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0545" tabRatio="847"/>
  </bookViews>
  <sheets>
    <sheet name="RAP-NATURAL GAS PRICES" sheetId="1" r:id="rId1"/>
    <sheet name="RAP TEMPLATE-GAS AVAILABILITY" sheetId="2" r:id="rId2"/>
    <sheet name="RAP-HEAVY &amp; LIGHT OIL &amp; WTI" sheetId="3" r:id="rId3"/>
    <sheet name="RAP-SOLID FUEL PRICES" sheetId="4" r:id="rId4"/>
    <sheet name="CONTROL" sheetId="5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[1]HISTORY!#REF!</definedName>
    <definedName name="__123Graph_A" localSheetId="1" hidden="1">'[2]FPL MOST LIKELY GAS BACKUP 1'!#REF!</definedName>
    <definedName name="__123Graph_A" hidden="1">'[2]FPL MOST LIKELY GAS BACKUP 1'!#REF!</definedName>
    <definedName name="__123Graph_B" localSheetId="1" hidden="1">'[2]FPL MOST LIKELY GAS BACKUP 1'!#REF!</definedName>
    <definedName name="__123Graph_B" hidden="1">'[2]FPL MOST LIKELY GAS BACKUP 1'!#REF!</definedName>
    <definedName name="__123Graph_X" localSheetId="1" hidden="1">'[2]FPL MOST LIKELY GAS BACKUP 1'!#REF!</definedName>
    <definedName name="__123Graph_X" hidden="1">'[2]FPL MOST LIKELY GAS BACKUP 1'!#REF!</definedName>
    <definedName name="_1" localSheetId="1">#REF!</definedName>
    <definedName name="_1">#REF!</definedName>
    <definedName name="_1A" localSheetId="1">#REF!</definedName>
    <definedName name="_1A">#REF!</definedName>
    <definedName name="_2" localSheetId="1">#REF!</definedName>
    <definedName name="_2">#REF!</definedName>
    <definedName name="_3" localSheetId="1">#REF!</definedName>
    <definedName name="_3">#REF!</definedName>
    <definedName name="_4" localSheetId="1">#REF!</definedName>
    <definedName name="_4">#REF!</definedName>
    <definedName name="_5" localSheetId="1">#REF!</definedName>
    <definedName name="_5">#REF!</definedName>
    <definedName name="_6" localSheetId="1">#REF!</definedName>
    <definedName name="_6">#REF!</definedName>
    <definedName name="_7" localSheetId="1">#REF!</definedName>
    <definedName name="_7">#REF!</definedName>
    <definedName name="_8" localSheetId="1">#REF!</definedName>
    <definedName name="_8">#REF!</definedName>
    <definedName name="_9394GAS" localSheetId="1">#REF!</definedName>
    <definedName name="_9394GAS">#REF!</definedName>
    <definedName name="_9394OIL" localSheetId="1">#REF!</definedName>
    <definedName name="_9394OIL">#REF!</definedName>
    <definedName name="_C1" localSheetId="1">#REF!</definedName>
    <definedName name="_C1">#REF!</definedName>
    <definedName name="_GIP1" localSheetId="1">#REF!</definedName>
    <definedName name="_GIP1">#REF!</definedName>
    <definedName name="_SYP1" localSheetId="1">#REF!</definedName>
    <definedName name="_SYP1">#REF!</definedName>
    <definedName name="C_" localSheetId="1">#REF!</definedName>
    <definedName name="C_">#REF!</definedName>
    <definedName name="CC1_" localSheetId="1">#REF!</definedName>
    <definedName name="CC1_">#REF!</definedName>
    <definedName name="COMPET" localSheetId="1">#REF!</definedName>
    <definedName name="COMPET">#REF!</definedName>
    <definedName name="CopyXC" localSheetId="1">#REF!</definedName>
    <definedName name="CopyXC">#REF!</definedName>
    <definedName name="DatabaseNameCopy" localSheetId="1">#REF!</definedName>
    <definedName name="DatabaseNameCopy">#REF!</definedName>
    <definedName name="DatabaseNameDG" localSheetId="1">#REF!</definedName>
    <definedName name="DatabaseNameDG">#REF!</definedName>
    <definedName name="DateColumn" localSheetId="1">[3]_Setup_!#REF!</definedName>
    <definedName name="DateColumn">[3]_Setup_!#REF!</definedName>
    <definedName name="DestColRowXC" localSheetId="1">#REF!</definedName>
    <definedName name="DestColRowXC">#REF!</definedName>
    <definedName name="DestDBname" localSheetId="1">#REF!</definedName>
    <definedName name="DestDBname">#REF!</definedName>
    <definedName name="DestHdrRowColXC" localSheetId="1">#REF!</definedName>
    <definedName name="DestHdrRowColXC">#REF!</definedName>
    <definedName name="DestLayoutXC" localSheetId="1">#REF!</definedName>
    <definedName name="DestLayoutXC">#REF!</definedName>
    <definedName name="DestRowColXC" localSheetId="1">#REF!</definedName>
    <definedName name="DestRowColXC">#REF!</definedName>
    <definedName name="DestStudyName" localSheetId="1">#REF!</definedName>
    <definedName name="DestStudyName">#REF!</definedName>
    <definedName name="DestStudyNameCopy" localSheetId="1">#REF!</definedName>
    <definedName name="DestStudyNameCopy">#REF!</definedName>
    <definedName name="DestUserName" localSheetId="1">#REF!</definedName>
    <definedName name="DestUserName">#REF!</definedName>
    <definedName name="DestWorksheetXC" localSheetId="1">#REF!</definedName>
    <definedName name="DestWorksheetXC">#REF!</definedName>
    <definedName name="EffectiveDate" localSheetId="1">[3]_Setup_!#REF!</definedName>
    <definedName name="EffectiveDate">[3]_Setup_!#REF!</definedName>
    <definedName name="FIRM" localSheetId="1">#REF!</definedName>
    <definedName name="FIRM">#REF!</definedName>
    <definedName name="FIRM1" localSheetId="1">#REF!</definedName>
    <definedName name="FIRM1">#REF!</definedName>
    <definedName name="GAS" localSheetId="1">#REF!</definedName>
    <definedName name="GAS">#REF!</definedName>
    <definedName name="GASAVAIL" localSheetId="1">#REF!</definedName>
    <definedName name="GASAVAIL">#REF!</definedName>
    <definedName name="GIP" localSheetId="1">#REF!</definedName>
    <definedName name="GIP">#REF!</definedName>
    <definedName name="HeaderXC" localSheetId="1">#REF!</definedName>
    <definedName name="HeaderXC">#REF!</definedName>
    <definedName name="I5_" localSheetId="1">#REF!</definedName>
    <definedName name="I5_">#REF!</definedName>
    <definedName name="I6_" localSheetId="1">#REF!</definedName>
    <definedName name="I6_">#REF!</definedName>
    <definedName name="I7_" localSheetId="1">#REF!</definedName>
    <definedName name="I7_">#REF!</definedName>
    <definedName name="ImportListDG" localSheetId="1">#REF!</definedName>
    <definedName name="ImportListDG">#REF!</definedName>
    <definedName name="INDEXDATA">'[4]Index-Data'!$A$2:$CG$68</definedName>
    <definedName name="INFLAT" localSheetId="1">#REF!</definedName>
    <definedName name="INFLAT">#REF!</definedName>
    <definedName name="LayoutXC" localSheetId="1">#REF!</definedName>
    <definedName name="LayoutXC">#REF!</definedName>
    <definedName name="Messages" localSheetId="1">[5]_UnregulatedCurves_!#REF!</definedName>
    <definedName name="Messages">[5]_UnregulatedCurves_!#REF!</definedName>
    <definedName name="MessagesDG" localSheetId="1">#REF!</definedName>
    <definedName name="MessagesDG">#REF!</definedName>
    <definedName name="MessagesDW" localSheetId="1">[5]_UnregulatedCurves_!#REF!</definedName>
    <definedName name="MessagesDW">[5]_UnregulatedCurves_!#REF!</definedName>
    <definedName name="MONTH" localSheetId="1">#REF!</definedName>
    <definedName name="MONTH">#REF!</definedName>
    <definedName name="MONTH1" localSheetId="1">#REF!</definedName>
    <definedName name="MONTH1">#REF!</definedName>
    <definedName name="MONTHID">'[4]Misc-Data'!$A$2:$F$85</definedName>
    <definedName name="MONTHS2" localSheetId="1">#REF!</definedName>
    <definedName name="MONTHS2">#REF!</definedName>
    <definedName name="MONTHS3" localSheetId="1">#REF!</definedName>
    <definedName name="MONTHS3">#REF!</definedName>
    <definedName name="MONTHS4" localSheetId="1">#REF!</definedName>
    <definedName name="MONTHS4">#REF!</definedName>
    <definedName name="MONTHS5" localSheetId="1">#REF!</definedName>
    <definedName name="MONTHS5">#REF!</definedName>
    <definedName name="MONTHS6" localSheetId="1">#REF!</definedName>
    <definedName name="MONTHS6">#REF!</definedName>
    <definedName name="MONTHS7" localSheetId="1">#REF!</definedName>
    <definedName name="MONTHS7">#REF!</definedName>
    <definedName name="OIPBBL" localSheetId="1">#REF!</definedName>
    <definedName name="OIPBBL">#REF!</definedName>
    <definedName name="OIPBBL1" localSheetId="1">#REF!</definedName>
    <definedName name="OIPBBL1">#REF!</definedName>
    <definedName name="PasswordCopy" localSheetId="1">#REF!</definedName>
    <definedName name="PasswordCopy">#REF!</definedName>
    <definedName name="PasswordDG" localSheetId="1">#REF!</definedName>
    <definedName name="PasswordDG">#REF!</definedName>
    <definedName name="PHASEII" localSheetId="1">#REF!</definedName>
    <definedName name="PHASEII">#REF!</definedName>
    <definedName name="PHASEII1" localSheetId="1">#REF!</definedName>
    <definedName name="PHASEII1">#REF!</definedName>
    <definedName name="PHASEIII" localSheetId="1">#REF!</definedName>
    <definedName name="PHASEIII">#REF!</definedName>
    <definedName name="PHASEIII1" localSheetId="1">#REF!</definedName>
    <definedName name="PHASEIII1">#REF!</definedName>
    <definedName name="pipedes">'[4]Misc-Data'!$D$2:$F$69</definedName>
    <definedName name="PRINT">#N/A</definedName>
    <definedName name="_xlnm.Print_Area" localSheetId="1">'RAP TEMPLATE-GAS AVAILABILITY'!$A$17:$J$1123</definedName>
    <definedName name="_xlnm.Print_Area" localSheetId="2">'RAP-HEAVY &amp; LIGHT OIL &amp; WTI'!$A$17:$I$1123</definedName>
    <definedName name="_xlnm.Print_Area" localSheetId="0">'RAP-NATURAL GAS PRICES'!$A$17:$S$1123</definedName>
    <definedName name="_xlnm.Print_Area" localSheetId="3">'RAP-SOLID FUEL PRICES'!$A$17:$K$1123</definedName>
    <definedName name="_xlnm.Print_Titles" localSheetId="1">'RAP TEMPLATE-GAS AVAILABILITY'!$1:$16</definedName>
    <definedName name="_xlnm.Print_Titles" localSheetId="2">'RAP-HEAVY &amp; LIGHT OIL &amp; WTI'!$1:$16</definedName>
    <definedName name="_xlnm.Print_Titles" localSheetId="0">'RAP-NATURAL GAS PRICES'!$1:$16</definedName>
    <definedName name="_xlnm.Print_Titles" localSheetId="3">'RAP-SOLID FUEL PRICES'!$1:$16</definedName>
    <definedName name="RESULTS" localSheetId="1">#REF!</definedName>
    <definedName name="RESULTS">#REF!</definedName>
    <definedName name="RESULTS1" localSheetId="1">#REF!</definedName>
    <definedName name="RESULTS1">#REF!</definedName>
    <definedName name="RESULTS2" localSheetId="1">#REF!</definedName>
    <definedName name="RESULTS2">#REF!</definedName>
    <definedName name="RESULTS3" localSheetId="1">#REF!</definedName>
    <definedName name="RESULTS3">#REF!</definedName>
    <definedName name="RESULTS4" localSheetId="1">#REF!</definedName>
    <definedName name="RESULTS4">#REF!</definedName>
    <definedName name="RESULTSA" localSheetId="1">#REF!</definedName>
    <definedName name="RESULTSA">#REF!</definedName>
    <definedName name="RowStart" localSheetId="1">[3]_Setup_!#REF!</definedName>
    <definedName name="RowStart">[3]_Setup_!#REF!</definedName>
    <definedName name="SelectListCopy" localSheetId="1">#REF!</definedName>
    <definedName name="SelectListCopy">#REF!</definedName>
    <definedName name="SFOR" localSheetId="1">#REF!</definedName>
    <definedName name="SFOR">#REF!</definedName>
    <definedName name="SFOR1" localSheetId="1">#REF!</definedName>
    <definedName name="SFOR1">#REF!</definedName>
    <definedName name="SourceDBname" localSheetId="1">#REF!</definedName>
    <definedName name="SourceDBname">#REF!</definedName>
    <definedName name="SourceStudyName" localSheetId="1">#REF!</definedName>
    <definedName name="SourceStudyName">#REF!</definedName>
    <definedName name="SourceStudyNameCopy" localSheetId="1">#REF!</definedName>
    <definedName name="SourceStudyNameCopy">#REF!</definedName>
    <definedName name="SourceUserName" localSheetId="1">#REF!</definedName>
    <definedName name="SourceUserName">#REF!</definedName>
    <definedName name="SrcColRowXC" localSheetId="1">#REF!</definedName>
    <definedName name="SrcColRowXC">#REF!</definedName>
    <definedName name="SrcFileXC" localSheetId="1">#REF!</definedName>
    <definedName name="SrcFileXC">#REF!</definedName>
    <definedName name="SrcStartRowColXC" localSheetId="1">#REF!</definedName>
    <definedName name="SrcStartRowColXC">#REF!</definedName>
    <definedName name="SrcWorksheetXC" localSheetId="1">#REF!</definedName>
    <definedName name="SrcWorksheetXC">#REF!</definedName>
    <definedName name="StatusCopy" localSheetId="1">#REF!</definedName>
    <definedName name="StatusCopy">#REF!</definedName>
    <definedName name="StatusDG" localSheetId="1">#REF!</definedName>
    <definedName name="StatusDG">#REF!</definedName>
    <definedName name="StatusXC" localSheetId="1">#REF!</definedName>
    <definedName name="StatusXC">#REF!</definedName>
    <definedName name="StudyNameDG" localSheetId="1">#REF!</definedName>
    <definedName name="StudyNameDG">#REF!</definedName>
    <definedName name="SYP" localSheetId="1">#REF!</definedName>
    <definedName name="SYP">#REF!</definedName>
    <definedName name="SYSGAS" localSheetId="1">#REF!</definedName>
    <definedName name="SYSGAS">#REF!</definedName>
    <definedName name="test" hidden="1">'[2]FPL MOST LIKELY GAS BACKUP 1'!#REF!</definedName>
    <definedName name="TITLES" localSheetId="1">#REF!</definedName>
    <definedName name="TITLES">#REF!</definedName>
    <definedName name="TOBBL" localSheetId="1">#REF!</definedName>
    <definedName name="TOBBL">#REF!</definedName>
    <definedName name="TotalRowColXC" localSheetId="1">#REF!</definedName>
    <definedName name="TotalRowColXC">#REF!</definedName>
    <definedName name="TransferListDG" localSheetId="1">#REF!</definedName>
    <definedName name="TransferListDG">#REF!</definedName>
    <definedName name="TTG" localSheetId="1">#REF!</definedName>
    <definedName name="TTG">#REF!</definedName>
    <definedName name="UserNameCopy" localSheetId="1">#REF!</definedName>
    <definedName name="UserNameCopy">#REF!</definedName>
    <definedName name="UserNameDG" localSheetId="1">#REF!</definedName>
    <definedName name="UserNameDG">#REF!</definedName>
    <definedName name="VOLUMES" localSheetId="1">#REF!</definedName>
    <definedName name="VOLUMES">#REF!</definedName>
    <definedName name="VOLUMES1" localSheetId="1">#REF!</definedName>
    <definedName name="VOLUMES1">#REF!</definedName>
    <definedName name="YEAR" localSheetId="1">#REF!</definedName>
    <definedName name="YEAR">#REF!</definedName>
    <definedName name="YEARS" localSheetId="1">#REF!</definedName>
    <definedName name="YEARS">#REF!</definedName>
  </definedNames>
  <calcPr calcId="145621" calcMode="manual"/>
</workbook>
</file>

<file path=xl/calcChain.xml><?xml version="1.0" encoding="utf-8"?>
<calcChain xmlns="http://schemas.openxmlformats.org/spreadsheetml/2006/main">
  <c r="C13" i="4" l="1"/>
  <c r="E13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B350" i="4"/>
  <c r="C350" i="4"/>
  <c r="D350" i="4"/>
  <c r="E350" i="4"/>
  <c r="F350" i="4"/>
  <c r="G350" i="4"/>
  <c r="H350" i="4"/>
  <c r="I350" i="4"/>
  <c r="J350" i="4"/>
  <c r="K350" i="4"/>
  <c r="B351" i="4"/>
  <c r="C351" i="4"/>
  <c r="D351" i="4"/>
  <c r="E351" i="4"/>
  <c r="F351" i="4"/>
  <c r="G351" i="4"/>
  <c r="H351" i="4"/>
  <c r="I351" i="4"/>
  <c r="J351" i="4"/>
  <c r="K351" i="4"/>
  <c r="B352" i="4"/>
  <c r="C352" i="4"/>
  <c r="D352" i="4"/>
  <c r="E352" i="4"/>
  <c r="F352" i="4"/>
  <c r="G352" i="4"/>
  <c r="H352" i="4"/>
  <c r="I352" i="4"/>
  <c r="J352" i="4"/>
  <c r="K352" i="4"/>
  <c r="B353" i="4"/>
  <c r="C353" i="4"/>
  <c r="D353" i="4"/>
  <c r="E353" i="4"/>
  <c r="F353" i="4"/>
  <c r="G353" i="4"/>
  <c r="H353" i="4"/>
  <c r="I353" i="4"/>
  <c r="J353" i="4"/>
  <c r="K353" i="4"/>
  <c r="B354" i="4"/>
  <c r="C354" i="4"/>
  <c r="D354" i="4"/>
  <c r="E354" i="4"/>
  <c r="F354" i="4"/>
  <c r="G354" i="4"/>
  <c r="H354" i="4"/>
  <c r="I354" i="4"/>
  <c r="J354" i="4"/>
  <c r="K354" i="4"/>
  <c r="B355" i="4"/>
  <c r="C355" i="4"/>
  <c r="D355" i="4"/>
  <c r="E355" i="4"/>
  <c r="F355" i="4"/>
  <c r="G355" i="4"/>
  <c r="H355" i="4"/>
  <c r="I355" i="4"/>
  <c r="J355" i="4"/>
  <c r="K355" i="4"/>
  <c r="B356" i="4"/>
  <c r="C356" i="4"/>
  <c r="D356" i="4"/>
  <c r="E356" i="4"/>
  <c r="F356" i="4"/>
  <c r="G356" i="4"/>
  <c r="H356" i="4"/>
  <c r="I356" i="4"/>
  <c r="J356" i="4"/>
  <c r="K356" i="4"/>
  <c r="B357" i="4"/>
  <c r="C357" i="4"/>
  <c r="D357" i="4"/>
  <c r="E357" i="4"/>
  <c r="F357" i="4"/>
  <c r="G357" i="4"/>
  <c r="H357" i="4"/>
  <c r="I357" i="4"/>
  <c r="J357" i="4"/>
  <c r="K357" i="4"/>
  <c r="B358" i="4"/>
  <c r="C358" i="4"/>
  <c r="D358" i="4"/>
  <c r="E358" i="4"/>
  <c r="F358" i="4"/>
  <c r="G358" i="4"/>
  <c r="H358" i="4"/>
  <c r="I358" i="4"/>
  <c r="J358" i="4"/>
  <c r="K358" i="4"/>
  <c r="B359" i="4"/>
  <c r="C359" i="4"/>
  <c r="D359" i="4"/>
  <c r="E359" i="4"/>
  <c r="F359" i="4"/>
  <c r="G359" i="4"/>
  <c r="H359" i="4"/>
  <c r="I359" i="4"/>
  <c r="J359" i="4"/>
  <c r="K359" i="4"/>
  <c r="B360" i="4"/>
  <c r="C360" i="4"/>
  <c r="D360" i="4"/>
  <c r="E360" i="4"/>
  <c r="F360" i="4"/>
  <c r="G360" i="4"/>
  <c r="H360" i="4"/>
  <c r="I360" i="4"/>
  <c r="J360" i="4"/>
  <c r="K360" i="4"/>
  <c r="B361" i="4"/>
  <c r="C361" i="4"/>
  <c r="D361" i="4"/>
  <c r="E361" i="4"/>
  <c r="F361" i="4"/>
  <c r="G361" i="4"/>
  <c r="H361" i="4"/>
  <c r="I361" i="4"/>
  <c r="J361" i="4"/>
  <c r="K361" i="4"/>
  <c r="B362" i="4"/>
  <c r="C362" i="4"/>
  <c r="D362" i="4"/>
  <c r="E362" i="4"/>
  <c r="F362" i="4"/>
  <c r="G362" i="4"/>
  <c r="H362" i="4"/>
  <c r="I362" i="4"/>
  <c r="J362" i="4"/>
  <c r="K362" i="4"/>
  <c r="B363" i="4"/>
  <c r="C363" i="4"/>
  <c r="D363" i="4"/>
  <c r="E363" i="4"/>
  <c r="F363" i="4"/>
  <c r="G363" i="4"/>
  <c r="H363" i="4"/>
  <c r="I363" i="4"/>
  <c r="J363" i="4"/>
  <c r="K363" i="4"/>
  <c r="B364" i="4"/>
  <c r="C364" i="4"/>
  <c r="D364" i="4"/>
  <c r="E364" i="4"/>
  <c r="F364" i="4"/>
  <c r="G364" i="4"/>
  <c r="H364" i="4"/>
  <c r="I364" i="4"/>
  <c r="J364" i="4"/>
  <c r="K364" i="4"/>
  <c r="B365" i="4"/>
  <c r="C365" i="4"/>
  <c r="D365" i="4"/>
  <c r="E365" i="4"/>
  <c r="F365" i="4"/>
  <c r="G365" i="4"/>
  <c r="H365" i="4"/>
  <c r="I365" i="4"/>
  <c r="J365" i="4"/>
  <c r="K365" i="4"/>
  <c r="B366" i="4"/>
  <c r="C366" i="4"/>
  <c r="D366" i="4"/>
  <c r="E366" i="4"/>
  <c r="F366" i="4"/>
  <c r="G366" i="4"/>
  <c r="H366" i="4"/>
  <c r="I366" i="4"/>
  <c r="J366" i="4"/>
  <c r="K366" i="4"/>
  <c r="B367" i="4"/>
  <c r="C367" i="4"/>
  <c r="D367" i="4"/>
  <c r="E367" i="4"/>
  <c r="F367" i="4"/>
  <c r="G367" i="4"/>
  <c r="H367" i="4"/>
  <c r="I367" i="4"/>
  <c r="J367" i="4"/>
  <c r="K367" i="4"/>
  <c r="B368" i="4"/>
  <c r="C368" i="4"/>
  <c r="D368" i="4"/>
  <c r="E368" i="4"/>
  <c r="F368" i="4"/>
  <c r="G368" i="4"/>
  <c r="H368" i="4"/>
  <c r="I368" i="4"/>
  <c r="J368" i="4"/>
  <c r="K368" i="4"/>
  <c r="B369" i="4"/>
  <c r="C369" i="4"/>
  <c r="D369" i="4"/>
  <c r="E369" i="4"/>
  <c r="F369" i="4"/>
  <c r="G369" i="4"/>
  <c r="H369" i="4"/>
  <c r="I369" i="4"/>
  <c r="J369" i="4"/>
  <c r="K369" i="4"/>
  <c r="B370" i="4"/>
  <c r="C370" i="4"/>
  <c r="D370" i="4"/>
  <c r="E370" i="4"/>
  <c r="F370" i="4"/>
  <c r="G370" i="4"/>
  <c r="H370" i="4"/>
  <c r="I370" i="4"/>
  <c r="J370" i="4"/>
  <c r="K370" i="4"/>
  <c r="B371" i="4"/>
  <c r="C371" i="4"/>
  <c r="D371" i="4"/>
  <c r="E371" i="4"/>
  <c r="F371" i="4"/>
  <c r="G371" i="4"/>
  <c r="H371" i="4"/>
  <c r="I371" i="4"/>
  <c r="J371" i="4"/>
  <c r="K371" i="4"/>
  <c r="B372" i="4"/>
  <c r="C372" i="4"/>
  <c r="D372" i="4"/>
  <c r="E372" i="4"/>
  <c r="F372" i="4"/>
  <c r="G372" i="4"/>
  <c r="H372" i="4"/>
  <c r="I372" i="4"/>
  <c r="J372" i="4"/>
  <c r="K372" i="4"/>
  <c r="B373" i="4"/>
  <c r="C373" i="4"/>
  <c r="D373" i="4"/>
  <c r="E373" i="4"/>
  <c r="F373" i="4"/>
  <c r="G373" i="4"/>
  <c r="H373" i="4"/>
  <c r="I373" i="4"/>
  <c r="J373" i="4"/>
  <c r="K373" i="4"/>
  <c r="B374" i="4"/>
  <c r="C374" i="4"/>
  <c r="D374" i="4"/>
  <c r="E374" i="4"/>
  <c r="F374" i="4"/>
  <c r="G374" i="4"/>
  <c r="H374" i="4"/>
  <c r="I374" i="4"/>
  <c r="J374" i="4"/>
  <c r="K374" i="4"/>
  <c r="B375" i="4"/>
  <c r="C375" i="4"/>
  <c r="D375" i="4"/>
  <c r="E375" i="4"/>
  <c r="F375" i="4"/>
  <c r="G375" i="4"/>
  <c r="H375" i="4"/>
  <c r="I375" i="4"/>
  <c r="J375" i="4"/>
  <c r="K375" i="4"/>
  <c r="B376" i="4"/>
  <c r="C376" i="4"/>
  <c r="D376" i="4"/>
  <c r="E376" i="4"/>
  <c r="F376" i="4"/>
  <c r="G376" i="4"/>
  <c r="H376" i="4"/>
  <c r="I376" i="4"/>
  <c r="J376" i="4"/>
  <c r="K376" i="4"/>
  <c r="B377" i="4"/>
  <c r="C377" i="4"/>
  <c r="D377" i="4"/>
  <c r="E377" i="4"/>
  <c r="F377" i="4"/>
  <c r="G377" i="4"/>
  <c r="H377" i="4"/>
  <c r="I377" i="4"/>
  <c r="J377" i="4"/>
  <c r="K377" i="4"/>
  <c r="B378" i="4"/>
  <c r="C378" i="4"/>
  <c r="D378" i="4"/>
  <c r="E378" i="4"/>
  <c r="F378" i="4"/>
  <c r="G378" i="4"/>
  <c r="H378" i="4"/>
  <c r="I378" i="4"/>
  <c r="J378" i="4"/>
  <c r="K378" i="4"/>
  <c r="B379" i="4"/>
  <c r="C379" i="4"/>
  <c r="D379" i="4"/>
  <c r="E379" i="4"/>
  <c r="F379" i="4"/>
  <c r="G379" i="4"/>
  <c r="H379" i="4"/>
  <c r="I379" i="4"/>
  <c r="J379" i="4"/>
  <c r="K379" i="4"/>
  <c r="B380" i="4"/>
  <c r="C380" i="4"/>
  <c r="D380" i="4"/>
  <c r="E380" i="4"/>
  <c r="F380" i="4"/>
  <c r="G380" i="4"/>
  <c r="H380" i="4"/>
  <c r="I380" i="4"/>
  <c r="J380" i="4"/>
  <c r="K380" i="4"/>
  <c r="B381" i="4"/>
  <c r="C381" i="4"/>
  <c r="D381" i="4"/>
  <c r="E381" i="4"/>
  <c r="F381" i="4"/>
  <c r="G381" i="4"/>
  <c r="H381" i="4"/>
  <c r="I381" i="4"/>
  <c r="J381" i="4"/>
  <c r="K381" i="4"/>
  <c r="B382" i="4"/>
  <c r="C382" i="4"/>
  <c r="D382" i="4"/>
  <c r="E382" i="4"/>
  <c r="F382" i="4"/>
  <c r="G382" i="4"/>
  <c r="H382" i="4"/>
  <c r="I382" i="4"/>
  <c r="J382" i="4"/>
  <c r="K382" i="4"/>
  <c r="B383" i="4"/>
  <c r="C383" i="4"/>
  <c r="D383" i="4"/>
  <c r="E383" i="4"/>
  <c r="F383" i="4"/>
  <c r="G383" i="4"/>
  <c r="H383" i="4"/>
  <c r="I383" i="4"/>
  <c r="J383" i="4"/>
  <c r="K383" i="4"/>
  <c r="B384" i="4"/>
  <c r="C384" i="4"/>
  <c r="D384" i="4"/>
  <c r="E384" i="4"/>
  <c r="F384" i="4"/>
  <c r="G384" i="4"/>
  <c r="H384" i="4"/>
  <c r="I384" i="4"/>
  <c r="J384" i="4"/>
  <c r="K384" i="4"/>
  <c r="B385" i="4"/>
  <c r="C385" i="4"/>
  <c r="D385" i="4"/>
  <c r="E385" i="4"/>
  <c r="F385" i="4"/>
  <c r="G385" i="4"/>
  <c r="H385" i="4"/>
  <c r="I385" i="4"/>
  <c r="J385" i="4"/>
  <c r="K385" i="4"/>
  <c r="B386" i="4"/>
  <c r="C386" i="4"/>
  <c r="D386" i="4"/>
  <c r="E386" i="4"/>
  <c r="F386" i="4"/>
  <c r="G386" i="4"/>
  <c r="H386" i="4"/>
  <c r="I386" i="4"/>
  <c r="J386" i="4"/>
  <c r="K386" i="4"/>
  <c r="B387" i="4"/>
  <c r="C387" i="4"/>
  <c r="D387" i="4"/>
  <c r="E387" i="4"/>
  <c r="F387" i="4"/>
  <c r="G387" i="4"/>
  <c r="H387" i="4"/>
  <c r="I387" i="4"/>
  <c r="J387" i="4"/>
  <c r="K387" i="4"/>
  <c r="B388" i="4"/>
  <c r="C388" i="4"/>
  <c r="D388" i="4"/>
  <c r="E388" i="4"/>
  <c r="F388" i="4"/>
  <c r="G388" i="4"/>
  <c r="H388" i="4"/>
  <c r="I388" i="4"/>
  <c r="J388" i="4"/>
  <c r="K388" i="4"/>
  <c r="B389" i="4"/>
  <c r="C389" i="4"/>
  <c r="D389" i="4"/>
  <c r="E389" i="4"/>
  <c r="F389" i="4"/>
  <c r="G389" i="4"/>
  <c r="H389" i="4"/>
  <c r="I389" i="4"/>
  <c r="J389" i="4"/>
  <c r="K389" i="4"/>
  <c r="B390" i="4"/>
  <c r="C390" i="4"/>
  <c r="D390" i="4"/>
  <c r="E390" i="4"/>
  <c r="F390" i="4"/>
  <c r="G390" i="4"/>
  <c r="H390" i="4"/>
  <c r="I390" i="4"/>
  <c r="J390" i="4"/>
  <c r="K390" i="4"/>
  <c r="B391" i="4"/>
  <c r="C391" i="4"/>
  <c r="D391" i="4"/>
  <c r="E391" i="4"/>
  <c r="F391" i="4"/>
  <c r="G391" i="4"/>
  <c r="H391" i="4"/>
  <c r="I391" i="4"/>
  <c r="J391" i="4"/>
  <c r="K391" i="4"/>
  <c r="B392" i="4"/>
  <c r="C392" i="4"/>
  <c r="D392" i="4"/>
  <c r="E392" i="4"/>
  <c r="F392" i="4"/>
  <c r="G392" i="4"/>
  <c r="H392" i="4"/>
  <c r="I392" i="4"/>
  <c r="J392" i="4"/>
  <c r="K392" i="4"/>
  <c r="B393" i="4"/>
  <c r="C393" i="4"/>
  <c r="D393" i="4"/>
  <c r="E393" i="4"/>
  <c r="F393" i="4"/>
  <c r="G393" i="4"/>
  <c r="H393" i="4"/>
  <c r="I393" i="4"/>
  <c r="J393" i="4"/>
  <c r="K393" i="4"/>
  <c r="B394" i="4"/>
  <c r="C394" i="4"/>
  <c r="D394" i="4"/>
  <c r="E394" i="4"/>
  <c r="F394" i="4"/>
  <c r="G394" i="4"/>
  <c r="H394" i="4"/>
  <c r="I394" i="4"/>
  <c r="J394" i="4"/>
  <c r="K394" i="4"/>
  <c r="B395" i="4"/>
  <c r="C395" i="4"/>
  <c r="D395" i="4"/>
  <c r="E395" i="4"/>
  <c r="F395" i="4"/>
  <c r="G395" i="4"/>
  <c r="H395" i="4"/>
  <c r="I395" i="4"/>
  <c r="J395" i="4"/>
  <c r="K395" i="4"/>
  <c r="B396" i="4"/>
  <c r="C396" i="4"/>
  <c r="D396" i="4"/>
  <c r="E396" i="4"/>
  <c r="F396" i="4"/>
  <c r="G396" i="4"/>
  <c r="H396" i="4"/>
  <c r="I396" i="4"/>
  <c r="J396" i="4"/>
  <c r="K396" i="4"/>
  <c r="B397" i="4"/>
  <c r="C397" i="4"/>
  <c r="D397" i="4"/>
  <c r="E397" i="4"/>
  <c r="F397" i="4"/>
  <c r="G397" i="4"/>
  <c r="H397" i="4"/>
  <c r="I397" i="4"/>
  <c r="J397" i="4"/>
  <c r="K397" i="4"/>
  <c r="B398" i="4"/>
  <c r="C398" i="4"/>
  <c r="D398" i="4"/>
  <c r="E398" i="4"/>
  <c r="F398" i="4"/>
  <c r="G398" i="4"/>
  <c r="H398" i="4"/>
  <c r="I398" i="4"/>
  <c r="J398" i="4"/>
  <c r="K398" i="4"/>
  <c r="B399" i="4"/>
  <c r="C399" i="4"/>
  <c r="D399" i="4"/>
  <c r="E399" i="4"/>
  <c r="F399" i="4"/>
  <c r="G399" i="4"/>
  <c r="H399" i="4"/>
  <c r="I399" i="4"/>
  <c r="J399" i="4"/>
  <c r="K399" i="4"/>
  <c r="B400" i="4"/>
  <c r="C400" i="4"/>
  <c r="D400" i="4"/>
  <c r="E400" i="4"/>
  <c r="F400" i="4"/>
  <c r="G400" i="4"/>
  <c r="H400" i="4"/>
  <c r="I400" i="4"/>
  <c r="J400" i="4"/>
  <c r="K400" i="4"/>
  <c r="B401" i="4"/>
  <c r="C401" i="4"/>
  <c r="D401" i="4"/>
  <c r="E401" i="4"/>
  <c r="F401" i="4"/>
  <c r="G401" i="4"/>
  <c r="H401" i="4"/>
  <c r="I401" i="4"/>
  <c r="J401" i="4"/>
  <c r="K401" i="4"/>
  <c r="B402" i="4"/>
  <c r="C402" i="4"/>
  <c r="D402" i="4"/>
  <c r="E402" i="4"/>
  <c r="F402" i="4"/>
  <c r="G402" i="4"/>
  <c r="H402" i="4"/>
  <c r="I402" i="4"/>
  <c r="J402" i="4"/>
  <c r="K402" i="4"/>
  <c r="B403" i="4"/>
  <c r="C403" i="4"/>
  <c r="D403" i="4"/>
  <c r="E403" i="4"/>
  <c r="F403" i="4"/>
  <c r="G403" i="4"/>
  <c r="H403" i="4"/>
  <c r="I403" i="4"/>
  <c r="J403" i="4"/>
  <c r="K403" i="4"/>
  <c r="B404" i="4"/>
  <c r="C404" i="4"/>
  <c r="D404" i="4"/>
  <c r="E404" i="4"/>
  <c r="F404" i="4"/>
  <c r="G404" i="4"/>
  <c r="H404" i="4"/>
  <c r="I404" i="4"/>
  <c r="J404" i="4"/>
  <c r="K404" i="4"/>
  <c r="B405" i="4"/>
  <c r="C405" i="4"/>
  <c r="D405" i="4"/>
  <c r="E405" i="4"/>
  <c r="F405" i="4"/>
  <c r="G405" i="4"/>
  <c r="H405" i="4"/>
  <c r="I405" i="4"/>
  <c r="J405" i="4"/>
  <c r="K405" i="4"/>
  <c r="B406" i="4"/>
  <c r="C406" i="4"/>
  <c r="D406" i="4"/>
  <c r="E406" i="4"/>
  <c r="F406" i="4"/>
  <c r="G406" i="4"/>
  <c r="H406" i="4"/>
  <c r="I406" i="4"/>
  <c r="J406" i="4"/>
  <c r="K406" i="4"/>
  <c r="B407" i="4"/>
  <c r="C407" i="4"/>
  <c r="D407" i="4"/>
  <c r="E407" i="4"/>
  <c r="F407" i="4"/>
  <c r="G407" i="4"/>
  <c r="H407" i="4"/>
  <c r="I407" i="4"/>
  <c r="J407" i="4"/>
  <c r="K407" i="4"/>
  <c r="B408" i="4"/>
  <c r="C408" i="4"/>
  <c r="D408" i="4"/>
  <c r="E408" i="4"/>
  <c r="F408" i="4"/>
  <c r="G408" i="4"/>
  <c r="H408" i="4"/>
  <c r="I408" i="4"/>
  <c r="J408" i="4"/>
  <c r="K408" i="4"/>
  <c r="B409" i="4"/>
  <c r="C409" i="4"/>
  <c r="D409" i="4"/>
  <c r="E409" i="4"/>
  <c r="F409" i="4"/>
  <c r="G409" i="4"/>
  <c r="H409" i="4"/>
  <c r="I409" i="4"/>
  <c r="J409" i="4"/>
  <c r="K409" i="4"/>
  <c r="B410" i="4"/>
  <c r="C410" i="4"/>
  <c r="D410" i="4"/>
  <c r="E410" i="4"/>
  <c r="F410" i="4"/>
  <c r="G410" i="4"/>
  <c r="H410" i="4"/>
  <c r="I410" i="4"/>
  <c r="J410" i="4"/>
  <c r="K410" i="4"/>
  <c r="B411" i="4"/>
  <c r="C411" i="4"/>
  <c r="D411" i="4"/>
  <c r="E411" i="4"/>
  <c r="F411" i="4"/>
  <c r="G411" i="4"/>
  <c r="H411" i="4"/>
  <c r="I411" i="4"/>
  <c r="J411" i="4"/>
  <c r="K411" i="4"/>
  <c r="B412" i="4"/>
  <c r="C412" i="4"/>
  <c r="D412" i="4"/>
  <c r="E412" i="4"/>
  <c r="F412" i="4"/>
  <c r="G412" i="4"/>
  <c r="H412" i="4"/>
  <c r="I412" i="4"/>
  <c r="J412" i="4"/>
  <c r="K412" i="4"/>
  <c r="B413" i="4"/>
  <c r="C413" i="4"/>
  <c r="D413" i="4"/>
  <c r="E413" i="4"/>
  <c r="F413" i="4"/>
  <c r="G413" i="4"/>
  <c r="H413" i="4"/>
  <c r="I413" i="4"/>
  <c r="J413" i="4"/>
  <c r="K413" i="4"/>
  <c r="B414" i="4"/>
  <c r="C414" i="4"/>
  <c r="D414" i="4"/>
  <c r="E414" i="4"/>
  <c r="F414" i="4"/>
  <c r="G414" i="4"/>
  <c r="H414" i="4"/>
  <c r="I414" i="4"/>
  <c r="J414" i="4"/>
  <c r="K414" i="4"/>
  <c r="B415" i="4"/>
  <c r="C415" i="4"/>
  <c r="D415" i="4"/>
  <c r="E415" i="4"/>
  <c r="F415" i="4"/>
  <c r="G415" i="4"/>
  <c r="H415" i="4"/>
  <c r="I415" i="4"/>
  <c r="J415" i="4"/>
  <c r="K415" i="4"/>
  <c r="B416" i="4"/>
  <c r="C416" i="4"/>
  <c r="D416" i="4"/>
  <c r="E416" i="4"/>
  <c r="F416" i="4"/>
  <c r="G416" i="4"/>
  <c r="H416" i="4"/>
  <c r="I416" i="4"/>
  <c r="J416" i="4"/>
  <c r="K416" i="4"/>
  <c r="B417" i="4"/>
  <c r="C417" i="4"/>
  <c r="D417" i="4"/>
  <c r="E417" i="4"/>
  <c r="F417" i="4"/>
  <c r="G417" i="4"/>
  <c r="H417" i="4"/>
  <c r="I417" i="4"/>
  <c r="J417" i="4"/>
  <c r="K417" i="4"/>
  <c r="B418" i="4"/>
  <c r="C418" i="4"/>
  <c r="D418" i="4"/>
  <c r="E418" i="4"/>
  <c r="F418" i="4"/>
  <c r="G418" i="4"/>
  <c r="H418" i="4"/>
  <c r="I418" i="4"/>
  <c r="J418" i="4"/>
  <c r="K418" i="4"/>
  <c r="B419" i="4"/>
  <c r="C419" i="4"/>
  <c r="D419" i="4"/>
  <c r="E419" i="4"/>
  <c r="F419" i="4"/>
  <c r="G419" i="4"/>
  <c r="H419" i="4"/>
  <c r="I419" i="4"/>
  <c r="J419" i="4"/>
  <c r="K419" i="4"/>
  <c r="B420" i="4"/>
  <c r="C420" i="4"/>
  <c r="D420" i="4"/>
  <c r="E420" i="4"/>
  <c r="F420" i="4"/>
  <c r="G420" i="4"/>
  <c r="H420" i="4"/>
  <c r="I420" i="4"/>
  <c r="J420" i="4"/>
  <c r="K420" i="4"/>
  <c r="B421" i="4"/>
  <c r="C421" i="4"/>
  <c r="D421" i="4"/>
  <c r="E421" i="4"/>
  <c r="F421" i="4"/>
  <c r="G421" i="4"/>
  <c r="H421" i="4"/>
  <c r="I421" i="4"/>
  <c r="J421" i="4"/>
  <c r="K421" i="4"/>
  <c r="B422" i="4"/>
  <c r="C422" i="4"/>
  <c r="D422" i="4"/>
  <c r="E422" i="4"/>
  <c r="F422" i="4"/>
  <c r="G422" i="4"/>
  <c r="H422" i="4"/>
  <c r="I422" i="4"/>
  <c r="J422" i="4"/>
  <c r="K422" i="4"/>
  <c r="B423" i="4"/>
  <c r="C423" i="4"/>
  <c r="D423" i="4"/>
  <c r="E423" i="4"/>
  <c r="F423" i="4"/>
  <c r="G423" i="4"/>
  <c r="H423" i="4"/>
  <c r="I423" i="4"/>
  <c r="J423" i="4"/>
  <c r="K423" i="4"/>
  <c r="B424" i="4"/>
  <c r="C424" i="4"/>
  <c r="D424" i="4"/>
  <c r="E424" i="4"/>
  <c r="F424" i="4"/>
  <c r="G424" i="4"/>
  <c r="H424" i="4"/>
  <c r="I424" i="4"/>
  <c r="J424" i="4"/>
  <c r="K424" i="4"/>
  <c r="B425" i="4"/>
  <c r="C425" i="4"/>
  <c r="D425" i="4"/>
  <c r="E425" i="4"/>
  <c r="F425" i="4"/>
  <c r="G425" i="4"/>
  <c r="H425" i="4"/>
  <c r="I425" i="4"/>
  <c r="J425" i="4"/>
  <c r="K425" i="4"/>
  <c r="B426" i="4"/>
  <c r="C426" i="4"/>
  <c r="D426" i="4"/>
  <c r="E426" i="4"/>
  <c r="F426" i="4"/>
  <c r="G426" i="4"/>
  <c r="H426" i="4"/>
  <c r="I426" i="4"/>
  <c r="J426" i="4"/>
  <c r="K426" i="4"/>
  <c r="B427" i="4"/>
  <c r="C427" i="4"/>
  <c r="D427" i="4"/>
  <c r="E427" i="4"/>
  <c r="F427" i="4"/>
  <c r="G427" i="4"/>
  <c r="H427" i="4"/>
  <c r="I427" i="4"/>
  <c r="J427" i="4"/>
  <c r="K427" i="4"/>
  <c r="B428" i="4"/>
  <c r="C428" i="4"/>
  <c r="D428" i="4"/>
  <c r="E428" i="4"/>
  <c r="F428" i="4"/>
  <c r="G428" i="4"/>
  <c r="H428" i="4"/>
  <c r="I428" i="4"/>
  <c r="J428" i="4"/>
  <c r="K428" i="4"/>
  <c r="B429" i="4"/>
  <c r="C429" i="4"/>
  <c r="D429" i="4"/>
  <c r="E429" i="4"/>
  <c r="F429" i="4"/>
  <c r="G429" i="4"/>
  <c r="H429" i="4"/>
  <c r="I429" i="4"/>
  <c r="J429" i="4"/>
  <c r="K429" i="4"/>
  <c r="B430" i="4"/>
  <c r="C430" i="4"/>
  <c r="D430" i="4"/>
  <c r="E430" i="4"/>
  <c r="F430" i="4"/>
  <c r="G430" i="4"/>
  <c r="H430" i="4"/>
  <c r="I430" i="4"/>
  <c r="J430" i="4"/>
  <c r="K430" i="4"/>
  <c r="B431" i="4"/>
  <c r="C431" i="4"/>
  <c r="D431" i="4"/>
  <c r="E431" i="4"/>
  <c r="F431" i="4"/>
  <c r="G431" i="4"/>
  <c r="H431" i="4"/>
  <c r="I431" i="4"/>
  <c r="J431" i="4"/>
  <c r="K431" i="4"/>
  <c r="B432" i="4"/>
  <c r="C432" i="4"/>
  <c r="D432" i="4"/>
  <c r="E432" i="4"/>
  <c r="F432" i="4"/>
  <c r="G432" i="4"/>
  <c r="H432" i="4"/>
  <c r="I432" i="4"/>
  <c r="J432" i="4"/>
  <c r="K432" i="4"/>
  <c r="B433" i="4"/>
  <c r="C433" i="4"/>
  <c r="D433" i="4"/>
  <c r="E433" i="4"/>
  <c r="F433" i="4"/>
  <c r="G433" i="4"/>
  <c r="H433" i="4"/>
  <c r="I433" i="4"/>
  <c r="J433" i="4"/>
  <c r="K433" i="4"/>
  <c r="B434" i="4"/>
  <c r="C434" i="4"/>
  <c r="D434" i="4"/>
  <c r="E434" i="4"/>
  <c r="F434" i="4"/>
  <c r="G434" i="4"/>
  <c r="H434" i="4"/>
  <c r="I434" i="4"/>
  <c r="J434" i="4"/>
  <c r="K434" i="4"/>
  <c r="B435" i="4"/>
  <c r="C435" i="4"/>
  <c r="D435" i="4"/>
  <c r="E435" i="4"/>
  <c r="F435" i="4"/>
  <c r="G435" i="4"/>
  <c r="H435" i="4"/>
  <c r="I435" i="4"/>
  <c r="J435" i="4"/>
  <c r="K435" i="4"/>
  <c r="B436" i="4"/>
  <c r="C436" i="4"/>
  <c r="D436" i="4"/>
  <c r="E436" i="4"/>
  <c r="F436" i="4"/>
  <c r="G436" i="4"/>
  <c r="H436" i="4"/>
  <c r="I436" i="4"/>
  <c r="J436" i="4"/>
  <c r="K436" i="4"/>
  <c r="B437" i="4"/>
  <c r="C437" i="4"/>
  <c r="D437" i="4"/>
  <c r="E437" i="4"/>
  <c r="F437" i="4"/>
  <c r="G437" i="4"/>
  <c r="H437" i="4"/>
  <c r="I437" i="4"/>
  <c r="J437" i="4"/>
  <c r="K437" i="4"/>
  <c r="B438" i="4"/>
  <c r="C438" i="4"/>
  <c r="D438" i="4"/>
  <c r="E438" i="4"/>
  <c r="F438" i="4"/>
  <c r="G438" i="4"/>
  <c r="H438" i="4"/>
  <c r="I438" i="4"/>
  <c r="J438" i="4"/>
  <c r="K438" i="4"/>
  <c r="B439" i="4"/>
  <c r="C439" i="4"/>
  <c r="D439" i="4"/>
  <c r="E439" i="4"/>
  <c r="F439" i="4"/>
  <c r="G439" i="4"/>
  <c r="H439" i="4"/>
  <c r="I439" i="4"/>
  <c r="J439" i="4"/>
  <c r="K439" i="4"/>
  <c r="B440" i="4"/>
  <c r="C440" i="4"/>
  <c r="D440" i="4"/>
  <c r="E440" i="4"/>
  <c r="F440" i="4"/>
  <c r="G440" i="4"/>
  <c r="H440" i="4"/>
  <c r="I440" i="4"/>
  <c r="J440" i="4"/>
  <c r="K440" i="4"/>
  <c r="B441" i="4"/>
  <c r="C441" i="4"/>
  <c r="D441" i="4"/>
  <c r="E441" i="4"/>
  <c r="F441" i="4"/>
  <c r="G441" i="4"/>
  <c r="H441" i="4"/>
  <c r="I441" i="4"/>
  <c r="J441" i="4"/>
  <c r="K441" i="4"/>
  <c r="B442" i="4"/>
  <c r="C442" i="4"/>
  <c r="D442" i="4"/>
  <c r="E442" i="4"/>
  <c r="F442" i="4"/>
  <c r="G442" i="4"/>
  <c r="H442" i="4"/>
  <c r="I442" i="4"/>
  <c r="J442" i="4"/>
  <c r="K442" i="4"/>
  <c r="B443" i="4"/>
  <c r="C443" i="4"/>
  <c r="D443" i="4"/>
  <c r="E443" i="4"/>
  <c r="F443" i="4"/>
  <c r="G443" i="4"/>
  <c r="H443" i="4"/>
  <c r="I443" i="4"/>
  <c r="J443" i="4"/>
  <c r="K443" i="4"/>
  <c r="B444" i="4"/>
  <c r="C444" i="4"/>
  <c r="D444" i="4"/>
  <c r="E444" i="4"/>
  <c r="F444" i="4"/>
  <c r="G444" i="4"/>
  <c r="H444" i="4"/>
  <c r="I444" i="4"/>
  <c r="J444" i="4"/>
  <c r="K444" i="4"/>
  <c r="B445" i="4"/>
  <c r="C445" i="4"/>
  <c r="D445" i="4"/>
  <c r="E445" i="4"/>
  <c r="F445" i="4"/>
  <c r="G445" i="4"/>
  <c r="H445" i="4"/>
  <c r="I445" i="4"/>
  <c r="J445" i="4"/>
  <c r="K445" i="4"/>
  <c r="B446" i="4"/>
  <c r="C446" i="4"/>
  <c r="D446" i="4"/>
  <c r="E446" i="4"/>
  <c r="F446" i="4"/>
  <c r="G446" i="4"/>
  <c r="H446" i="4"/>
  <c r="I446" i="4"/>
  <c r="J446" i="4"/>
  <c r="K446" i="4"/>
  <c r="B447" i="4"/>
  <c r="C447" i="4"/>
  <c r="D447" i="4"/>
  <c r="E447" i="4"/>
  <c r="F447" i="4"/>
  <c r="G447" i="4"/>
  <c r="H447" i="4"/>
  <c r="I447" i="4"/>
  <c r="J447" i="4"/>
  <c r="K447" i="4"/>
  <c r="B448" i="4"/>
  <c r="C448" i="4"/>
  <c r="D448" i="4"/>
  <c r="E448" i="4"/>
  <c r="F448" i="4"/>
  <c r="G448" i="4"/>
  <c r="H448" i="4"/>
  <c r="I448" i="4"/>
  <c r="J448" i="4"/>
  <c r="K448" i="4"/>
  <c r="B449" i="4"/>
  <c r="C449" i="4"/>
  <c r="D449" i="4"/>
  <c r="E449" i="4"/>
  <c r="F449" i="4"/>
  <c r="G449" i="4"/>
  <c r="H449" i="4"/>
  <c r="I449" i="4"/>
  <c r="J449" i="4"/>
  <c r="K449" i="4"/>
  <c r="B450" i="4"/>
  <c r="C450" i="4"/>
  <c r="D450" i="4"/>
  <c r="E450" i="4"/>
  <c r="F450" i="4"/>
  <c r="G450" i="4"/>
  <c r="H450" i="4"/>
  <c r="I450" i="4"/>
  <c r="J450" i="4"/>
  <c r="K450" i="4"/>
  <c r="B451" i="4"/>
  <c r="C451" i="4"/>
  <c r="D451" i="4"/>
  <c r="E451" i="4"/>
  <c r="F451" i="4"/>
  <c r="G451" i="4"/>
  <c r="H451" i="4"/>
  <c r="I451" i="4"/>
  <c r="J451" i="4"/>
  <c r="K451" i="4"/>
  <c r="B452" i="4"/>
  <c r="C452" i="4"/>
  <c r="D452" i="4"/>
  <c r="E452" i="4"/>
  <c r="F452" i="4"/>
  <c r="G452" i="4"/>
  <c r="H452" i="4"/>
  <c r="I452" i="4"/>
  <c r="J452" i="4"/>
  <c r="K452" i="4"/>
  <c r="B453" i="4"/>
  <c r="C453" i="4"/>
  <c r="D453" i="4"/>
  <c r="E453" i="4"/>
  <c r="F453" i="4"/>
  <c r="G453" i="4"/>
  <c r="H453" i="4"/>
  <c r="I453" i="4"/>
  <c r="J453" i="4"/>
  <c r="K453" i="4"/>
  <c r="B454" i="4"/>
  <c r="C454" i="4"/>
  <c r="D454" i="4"/>
  <c r="E454" i="4"/>
  <c r="F454" i="4"/>
  <c r="G454" i="4"/>
  <c r="H454" i="4"/>
  <c r="I454" i="4"/>
  <c r="J454" i="4"/>
  <c r="K454" i="4"/>
  <c r="B455" i="4"/>
  <c r="C455" i="4"/>
  <c r="D455" i="4"/>
  <c r="E455" i="4"/>
  <c r="F455" i="4"/>
  <c r="G455" i="4"/>
  <c r="H455" i="4"/>
  <c r="I455" i="4"/>
  <c r="J455" i="4"/>
  <c r="K455" i="4"/>
  <c r="B456" i="4"/>
  <c r="C456" i="4"/>
  <c r="D456" i="4"/>
  <c r="E456" i="4"/>
  <c r="F456" i="4"/>
  <c r="G456" i="4"/>
  <c r="H456" i="4"/>
  <c r="I456" i="4"/>
  <c r="J456" i="4"/>
  <c r="K456" i="4"/>
  <c r="B457" i="4"/>
  <c r="C457" i="4"/>
  <c r="D457" i="4"/>
  <c r="E457" i="4"/>
  <c r="F457" i="4"/>
  <c r="G457" i="4"/>
  <c r="H457" i="4"/>
  <c r="I457" i="4"/>
  <c r="J457" i="4"/>
  <c r="K457" i="4"/>
  <c r="B458" i="4"/>
  <c r="C458" i="4"/>
  <c r="D458" i="4"/>
  <c r="E458" i="4"/>
  <c r="F458" i="4"/>
  <c r="G458" i="4"/>
  <c r="H458" i="4"/>
  <c r="I458" i="4"/>
  <c r="J458" i="4"/>
  <c r="K458" i="4"/>
  <c r="B459" i="4"/>
  <c r="C459" i="4"/>
  <c r="D459" i="4"/>
  <c r="E459" i="4"/>
  <c r="F459" i="4"/>
  <c r="G459" i="4"/>
  <c r="H459" i="4"/>
  <c r="I459" i="4"/>
  <c r="J459" i="4"/>
  <c r="K459" i="4"/>
  <c r="B460" i="4"/>
  <c r="C460" i="4"/>
  <c r="D460" i="4"/>
  <c r="E460" i="4"/>
  <c r="F460" i="4"/>
  <c r="G460" i="4"/>
  <c r="H460" i="4"/>
  <c r="I460" i="4"/>
  <c r="J460" i="4"/>
  <c r="K460" i="4"/>
  <c r="B461" i="4"/>
  <c r="C461" i="4"/>
  <c r="D461" i="4"/>
  <c r="E461" i="4"/>
  <c r="F461" i="4"/>
  <c r="G461" i="4"/>
  <c r="H461" i="4"/>
  <c r="I461" i="4"/>
  <c r="J461" i="4"/>
  <c r="K461" i="4"/>
  <c r="B462" i="4"/>
  <c r="C462" i="4"/>
  <c r="D462" i="4"/>
  <c r="E462" i="4"/>
  <c r="F462" i="4"/>
  <c r="G462" i="4"/>
  <c r="H462" i="4"/>
  <c r="I462" i="4"/>
  <c r="J462" i="4"/>
  <c r="K462" i="4"/>
  <c r="B463" i="4"/>
  <c r="C463" i="4"/>
  <c r="D463" i="4"/>
  <c r="E463" i="4"/>
  <c r="F463" i="4"/>
  <c r="G463" i="4"/>
  <c r="H463" i="4"/>
  <c r="I463" i="4"/>
  <c r="J463" i="4"/>
  <c r="K463" i="4"/>
  <c r="B464" i="4"/>
  <c r="C464" i="4"/>
  <c r="D464" i="4"/>
  <c r="E464" i="4"/>
  <c r="F464" i="4"/>
  <c r="G464" i="4"/>
  <c r="H464" i="4"/>
  <c r="I464" i="4"/>
  <c r="J464" i="4"/>
  <c r="K464" i="4"/>
  <c r="B465" i="4"/>
  <c r="C465" i="4"/>
  <c r="D465" i="4"/>
  <c r="E465" i="4"/>
  <c r="F465" i="4"/>
  <c r="G465" i="4"/>
  <c r="H465" i="4"/>
  <c r="I465" i="4"/>
  <c r="J465" i="4"/>
  <c r="K465" i="4"/>
  <c r="B466" i="4"/>
  <c r="C466" i="4"/>
  <c r="D466" i="4"/>
  <c r="E466" i="4"/>
  <c r="F466" i="4"/>
  <c r="G466" i="4"/>
  <c r="H466" i="4"/>
  <c r="I466" i="4"/>
  <c r="J466" i="4"/>
  <c r="K466" i="4"/>
  <c r="B467" i="4"/>
  <c r="C467" i="4"/>
  <c r="D467" i="4"/>
  <c r="E467" i="4"/>
  <c r="F467" i="4"/>
  <c r="G467" i="4"/>
  <c r="H467" i="4"/>
  <c r="I467" i="4"/>
  <c r="J467" i="4"/>
  <c r="K467" i="4"/>
  <c r="B468" i="4"/>
  <c r="C468" i="4"/>
  <c r="D468" i="4"/>
  <c r="E468" i="4"/>
  <c r="F468" i="4"/>
  <c r="G468" i="4"/>
  <c r="H468" i="4"/>
  <c r="I468" i="4"/>
  <c r="J468" i="4"/>
  <c r="K468" i="4"/>
  <c r="B469" i="4"/>
  <c r="C469" i="4"/>
  <c r="D469" i="4"/>
  <c r="E469" i="4"/>
  <c r="F469" i="4"/>
  <c r="G469" i="4"/>
  <c r="H469" i="4"/>
  <c r="I469" i="4"/>
  <c r="J469" i="4"/>
  <c r="K469" i="4"/>
  <c r="B470" i="4"/>
  <c r="C470" i="4"/>
  <c r="D470" i="4"/>
  <c r="E470" i="4"/>
  <c r="F470" i="4"/>
  <c r="G470" i="4"/>
  <c r="H470" i="4"/>
  <c r="I470" i="4"/>
  <c r="J470" i="4"/>
  <c r="K470" i="4"/>
  <c r="B471" i="4"/>
  <c r="C471" i="4"/>
  <c r="D471" i="4"/>
  <c r="E471" i="4"/>
  <c r="F471" i="4"/>
  <c r="G471" i="4"/>
  <c r="H471" i="4"/>
  <c r="I471" i="4"/>
  <c r="J471" i="4"/>
  <c r="K471" i="4"/>
  <c r="B472" i="4"/>
  <c r="C472" i="4"/>
  <c r="D472" i="4"/>
  <c r="E472" i="4"/>
  <c r="F472" i="4"/>
  <c r="G472" i="4"/>
  <c r="H472" i="4"/>
  <c r="I472" i="4"/>
  <c r="J472" i="4"/>
  <c r="K472" i="4"/>
  <c r="B473" i="4"/>
  <c r="C473" i="4"/>
  <c r="D473" i="4"/>
  <c r="E473" i="4"/>
  <c r="F473" i="4"/>
  <c r="G473" i="4"/>
  <c r="H473" i="4"/>
  <c r="I473" i="4"/>
  <c r="J473" i="4"/>
  <c r="K473" i="4"/>
  <c r="B474" i="4"/>
  <c r="C474" i="4"/>
  <c r="D474" i="4"/>
  <c r="E474" i="4"/>
  <c r="F474" i="4"/>
  <c r="G474" i="4"/>
  <c r="H474" i="4"/>
  <c r="I474" i="4"/>
  <c r="J474" i="4"/>
  <c r="K474" i="4"/>
  <c r="B475" i="4"/>
  <c r="C475" i="4"/>
  <c r="D475" i="4"/>
  <c r="E475" i="4"/>
  <c r="F475" i="4"/>
  <c r="G475" i="4"/>
  <c r="H475" i="4"/>
  <c r="I475" i="4"/>
  <c r="J475" i="4"/>
  <c r="K475" i="4"/>
  <c r="B476" i="4"/>
  <c r="C476" i="4"/>
  <c r="D476" i="4"/>
  <c r="E476" i="4"/>
  <c r="F476" i="4"/>
  <c r="G476" i="4"/>
  <c r="H476" i="4"/>
  <c r="I476" i="4"/>
  <c r="J476" i="4"/>
  <c r="K476" i="4"/>
  <c r="B477" i="4"/>
  <c r="C477" i="4"/>
  <c r="D477" i="4"/>
  <c r="E477" i="4"/>
  <c r="F477" i="4"/>
  <c r="G477" i="4"/>
  <c r="H477" i="4"/>
  <c r="I477" i="4"/>
  <c r="J477" i="4"/>
  <c r="K477" i="4"/>
  <c r="B478" i="4"/>
  <c r="C478" i="4"/>
  <c r="D478" i="4"/>
  <c r="E478" i="4"/>
  <c r="F478" i="4"/>
  <c r="G478" i="4"/>
  <c r="H478" i="4"/>
  <c r="I478" i="4"/>
  <c r="J478" i="4"/>
  <c r="K478" i="4"/>
  <c r="B479" i="4"/>
  <c r="C479" i="4"/>
  <c r="D479" i="4"/>
  <c r="E479" i="4"/>
  <c r="F479" i="4"/>
  <c r="G479" i="4"/>
  <c r="H479" i="4"/>
  <c r="I479" i="4"/>
  <c r="J479" i="4"/>
  <c r="K479" i="4"/>
  <c r="B480" i="4"/>
  <c r="C480" i="4"/>
  <c r="D480" i="4"/>
  <c r="E480" i="4"/>
  <c r="F480" i="4"/>
  <c r="G480" i="4"/>
  <c r="H480" i="4"/>
  <c r="I480" i="4"/>
  <c r="J480" i="4"/>
  <c r="K480" i="4"/>
  <c r="B481" i="4"/>
  <c r="C481" i="4"/>
  <c r="D481" i="4"/>
  <c r="E481" i="4"/>
  <c r="F481" i="4"/>
  <c r="G481" i="4"/>
  <c r="H481" i="4"/>
  <c r="I481" i="4"/>
  <c r="J481" i="4"/>
  <c r="K481" i="4"/>
  <c r="B482" i="4"/>
  <c r="C482" i="4"/>
  <c r="D482" i="4"/>
  <c r="E482" i="4"/>
  <c r="F482" i="4"/>
  <c r="G482" i="4"/>
  <c r="H482" i="4"/>
  <c r="I482" i="4"/>
  <c r="J482" i="4"/>
  <c r="K482" i="4"/>
  <c r="B483" i="4"/>
  <c r="C483" i="4"/>
  <c r="D483" i="4"/>
  <c r="E483" i="4"/>
  <c r="F483" i="4"/>
  <c r="G483" i="4"/>
  <c r="H483" i="4"/>
  <c r="I483" i="4"/>
  <c r="J483" i="4"/>
  <c r="K483" i="4"/>
  <c r="B484" i="4"/>
  <c r="C484" i="4"/>
  <c r="D484" i="4"/>
  <c r="E484" i="4"/>
  <c r="F484" i="4"/>
  <c r="G484" i="4"/>
  <c r="H484" i="4"/>
  <c r="I484" i="4"/>
  <c r="J484" i="4"/>
  <c r="K484" i="4"/>
  <c r="B485" i="4"/>
  <c r="C485" i="4"/>
  <c r="D485" i="4"/>
  <c r="E485" i="4"/>
  <c r="F485" i="4"/>
  <c r="G485" i="4"/>
  <c r="H485" i="4"/>
  <c r="I485" i="4"/>
  <c r="J485" i="4"/>
  <c r="K485" i="4"/>
  <c r="B486" i="4"/>
  <c r="C486" i="4"/>
  <c r="D486" i="4"/>
  <c r="E486" i="4"/>
  <c r="F486" i="4"/>
  <c r="G486" i="4"/>
  <c r="H486" i="4"/>
  <c r="I486" i="4"/>
  <c r="J486" i="4"/>
  <c r="K486" i="4"/>
  <c r="B487" i="4"/>
  <c r="C487" i="4"/>
  <c r="D487" i="4"/>
  <c r="E487" i="4"/>
  <c r="F487" i="4"/>
  <c r="G487" i="4"/>
  <c r="H487" i="4"/>
  <c r="I487" i="4"/>
  <c r="J487" i="4"/>
  <c r="K487" i="4"/>
  <c r="B488" i="4"/>
  <c r="C488" i="4"/>
  <c r="D488" i="4"/>
  <c r="E488" i="4"/>
  <c r="F488" i="4"/>
  <c r="G488" i="4"/>
  <c r="H488" i="4"/>
  <c r="I488" i="4"/>
  <c r="J488" i="4"/>
  <c r="K488" i="4"/>
  <c r="B489" i="4"/>
  <c r="C489" i="4"/>
  <c r="D489" i="4"/>
  <c r="E489" i="4"/>
  <c r="F489" i="4"/>
  <c r="G489" i="4"/>
  <c r="H489" i="4"/>
  <c r="I489" i="4"/>
  <c r="J489" i="4"/>
  <c r="K489" i="4"/>
  <c r="B490" i="4"/>
  <c r="C490" i="4"/>
  <c r="D490" i="4"/>
  <c r="E490" i="4"/>
  <c r="F490" i="4"/>
  <c r="G490" i="4"/>
  <c r="H490" i="4"/>
  <c r="I490" i="4"/>
  <c r="J490" i="4"/>
  <c r="K490" i="4"/>
  <c r="B491" i="4"/>
  <c r="C491" i="4"/>
  <c r="D491" i="4"/>
  <c r="E491" i="4"/>
  <c r="F491" i="4"/>
  <c r="G491" i="4"/>
  <c r="H491" i="4"/>
  <c r="I491" i="4"/>
  <c r="J491" i="4"/>
  <c r="K491" i="4"/>
  <c r="B492" i="4"/>
  <c r="C492" i="4"/>
  <c r="D492" i="4"/>
  <c r="E492" i="4"/>
  <c r="F492" i="4"/>
  <c r="G492" i="4"/>
  <c r="H492" i="4"/>
  <c r="I492" i="4"/>
  <c r="J492" i="4"/>
  <c r="K492" i="4"/>
  <c r="B493" i="4"/>
  <c r="C493" i="4"/>
  <c r="D493" i="4"/>
  <c r="E493" i="4"/>
  <c r="F493" i="4"/>
  <c r="G493" i="4"/>
  <c r="H493" i="4"/>
  <c r="I493" i="4"/>
  <c r="J493" i="4"/>
  <c r="K493" i="4"/>
  <c r="B494" i="4"/>
  <c r="C494" i="4"/>
  <c r="D494" i="4"/>
  <c r="E494" i="4"/>
  <c r="F494" i="4"/>
  <c r="G494" i="4"/>
  <c r="H494" i="4"/>
  <c r="I494" i="4"/>
  <c r="J494" i="4"/>
  <c r="K494" i="4"/>
  <c r="B495" i="4"/>
  <c r="C495" i="4"/>
  <c r="D495" i="4"/>
  <c r="E495" i="4"/>
  <c r="F495" i="4"/>
  <c r="G495" i="4"/>
  <c r="H495" i="4"/>
  <c r="I495" i="4"/>
  <c r="J495" i="4"/>
  <c r="K495" i="4"/>
  <c r="B496" i="4"/>
  <c r="C496" i="4"/>
  <c r="D496" i="4"/>
  <c r="E496" i="4"/>
  <c r="F496" i="4"/>
  <c r="G496" i="4"/>
  <c r="H496" i="4"/>
  <c r="I496" i="4"/>
  <c r="J496" i="4"/>
  <c r="K496" i="4"/>
  <c r="B497" i="4"/>
  <c r="C497" i="4"/>
  <c r="D497" i="4"/>
  <c r="E497" i="4"/>
  <c r="F497" i="4"/>
  <c r="G497" i="4"/>
  <c r="H497" i="4"/>
  <c r="I497" i="4"/>
  <c r="J497" i="4"/>
  <c r="K497" i="4"/>
  <c r="B498" i="4"/>
  <c r="C498" i="4"/>
  <c r="D498" i="4"/>
  <c r="E498" i="4"/>
  <c r="F498" i="4"/>
  <c r="G498" i="4"/>
  <c r="H498" i="4"/>
  <c r="I498" i="4"/>
  <c r="J498" i="4"/>
  <c r="K498" i="4"/>
  <c r="B499" i="4"/>
  <c r="C499" i="4"/>
  <c r="D499" i="4"/>
  <c r="E499" i="4"/>
  <c r="F499" i="4"/>
  <c r="G499" i="4"/>
  <c r="H499" i="4"/>
  <c r="I499" i="4"/>
  <c r="J499" i="4"/>
  <c r="K499" i="4"/>
  <c r="B500" i="4"/>
  <c r="C500" i="4"/>
  <c r="D500" i="4"/>
  <c r="E500" i="4"/>
  <c r="F500" i="4"/>
  <c r="G500" i="4"/>
  <c r="H500" i="4"/>
  <c r="I500" i="4"/>
  <c r="J500" i="4"/>
  <c r="K500" i="4"/>
  <c r="B501" i="4"/>
  <c r="C501" i="4"/>
  <c r="D501" i="4"/>
  <c r="E501" i="4"/>
  <c r="F501" i="4"/>
  <c r="G501" i="4"/>
  <c r="H501" i="4"/>
  <c r="I501" i="4"/>
  <c r="J501" i="4"/>
  <c r="K501" i="4"/>
  <c r="B502" i="4"/>
  <c r="C502" i="4"/>
  <c r="D502" i="4"/>
  <c r="E502" i="4"/>
  <c r="F502" i="4"/>
  <c r="G502" i="4"/>
  <c r="H502" i="4"/>
  <c r="I502" i="4"/>
  <c r="J502" i="4"/>
  <c r="K502" i="4"/>
  <c r="B503" i="4"/>
  <c r="C503" i="4"/>
  <c r="D503" i="4"/>
  <c r="E503" i="4"/>
  <c r="F503" i="4"/>
  <c r="G503" i="4"/>
  <c r="H503" i="4"/>
  <c r="I503" i="4"/>
  <c r="J503" i="4"/>
  <c r="K503" i="4"/>
  <c r="B504" i="4"/>
  <c r="C504" i="4"/>
  <c r="D504" i="4"/>
  <c r="E504" i="4"/>
  <c r="F504" i="4"/>
  <c r="G504" i="4"/>
  <c r="H504" i="4"/>
  <c r="I504" i="4"/>
  <c r="J504" i="4"/>
  <c r="K504" i="4"/>
  <c r="B505" i="4"/>
  <c r="C505" i="4"/>
  <c r="D505" i="4"/>
  <c r="E505" i="4"/>
  <c r="F505" i="4"/>
  <c r="G505" i="4"/>
  <c r="H505" i="4"/>
  <c r="I505" i="4"/>
  <c r="J505" i="4"/>
  <c r="K505" i="4"/>
  <c r="B506" i="4"/>
  <c r="C506" i="4"/>
  <c r="D506" i="4"/>
  <c r="E506" i="4"/>
  <c r="F506" i="4"/>
  <c r="G506" i="4"/>
  <c r="H506" i="4"/>
  <c r="I506" i="4"/>
  <c r="J506" i="4"/>
  <c r="K506" i="4"/>
  <c r="B507" i="4"/>
  <c r="C507" i="4"/>
  <c r="D507" i="4"/>
  <c r="E507" i="4"/>
  <c r="F507" i="4"/>
  <c r="G507" i="4"/>
  <c r="H507" i="4"/>
  <c r="I507" i="4"/>
  <c r="J507" i="4"/>
  <c r="K507" i="4"/>
  <c r="B508" i="4"/>
  <c r="C508" i="4"/>
  <c r="D508" i="4"/>
  <c r="E508" i="4"/>
  <c r="F508" i="4"/>
  <c r="G508" i="4"/>
  <c r="H508" i="4"/>
  <c r="I508" i="4"/>
  <c r="J508" i="4"/>
  <c r="K508" i="4"/>
  <c r="B509" i="4"/>
  <c r="C509" i="4"/>
  <c r="D509" i="4"/>
  <c r="E509" i="4"/>
  <c r="F509" i="4"/>
  <c r="G509" i="4"/>
  <c r="H509" i="4"/>
  <c r="I509" i="4"/>
  <c r="J509" i="4"/>
  <c r="K509" i="4"/>
  <c r="B510" i="4"/>
  <c r="C510" i="4"/>
  <c r="D510" i="4"/>
  <c r="E510" i="4"/>
  <c r="F510" i="4"/>
  <c r="G510" i="4"/>
  <c r="H510" i="4"/>
  <c r="I510" i="4"/>
  <c r="J510" i="4"/>
  <c r="K510" i="4"/>
  <c r="B511" i="4"/>
  <c r="C511" i="4"/>
  <c r="D511" i="4"/>
  <c r="E511" i="4"/>
  <c r="F511" i="4"/>
  <c r="G511" i="4"/>
  <c r="H511" i="4"/>
  <c r="I511" i="4"/>
  <c r="J511" i="4"/>
  <c r="K511" i="4"/>
  <c r="B512" i="4"/>
  <c r="C512" i="4"/>
  <c r="D512" i="4"/>
  <c r="E512" i="4"/>
  <c r="F512" i="4"/>
  <c r="G512" i="4"/>
  <c r="H512" i="4"/>
  <c r="I512" i="4"/>
  <c r="J512" i="4"/>
  <c r="K512" i="4"/>
  <c r="B513" i="4"/>
  <c r="C513" i="4"/>
  <c r="D513" i="4"/>
  <c r="E513" i="4"/>
  <c r="F513" i="4"/>
  <c r="G513" i="4"/>
  <c r="H513" i="4"/>
  <c r="I513" i="4"/>
  <c r="J513" i="4"/>
  <c r="K513" i="4"/>
  <c r="B514" i="4"/>
  <c r="C514" i="4"/>
  <c r="D514" i="4"/>
  <c r="E514" i="4"/>
  <c r="F514" i="4"/>
  <c r="G514" i="4"/>
  <c r="H514" i="4"/>
  <c r="I514" i="4"/>
  <c r="J514" i="4"/>
  <c r="K514" i="4"/>
  <c r="B515" i="4"/>
  <c r="C515" i="4"/>
  <c r="D515" i="4"/>
  <c r="E515" i="4"/>
  <c r="F515" i="4"/>
  <c r="G515" i="4"/>
  <c r="H515" i="4"/>
  <c r="I515" i="4"/>
  <c r="J515" i="4"/>
  <c r="K515" i="4"/>
  <c r="B516" i="4"/>
  <c r="C516" i="4"/>
  <c r="D516" i="4"/>
  <c r="E516" i="4"/>
  <c r="F516" i="4"/>
  <c r="G516" i="4"/>
  <c r="H516" i="4"/>
  <c r="I516" i="4"/>
  <c r="J516" i="4"/>
  <c r="K516" i="4"/>
  <c r="B517" i="4"/>
  <c r="C517" i="4"/>
  <c r="D517" i="4"/>
  <c r="E517" i="4"/>
  <c r="F517" i="4"/>
  <c r="G517" i="4"/>
  <c r="H517" i="4"/>
  <c r="I517" i="4"/>
  <c r="J517" i="4"/>
  <c r="K517" i="4"/>
  <c r="B518" i="4"/>
  <c r="C518" i="4"/>
  <c r="D518" i="4"/>
  <c r="E518" i="4"/>
  <c r="F518" i="4"/>
  <c r="G518" i="4"/>
  <c r="H518" i="4"/>
  <c r="I518" i="4"/>
  <c r="J518" i="4"/>
  <c r="K518" i="4"/>
  <c r="B519" i="4"/>
  <c r="C519" i="4"/>
  <c r="D519" i="4"/>
  <c r="E519" i="4"/>
  <c r="F519" i="4"/>
  <c r="G519" i="4"/>
  <c r="H519" i="4"/>
  <c r="I519" i="4"/>
  <c r="J519" i="4"/>
  <c r="K519" i="4"/>
  <c r="B520" i="4"/>
  <c r="C520" i="4"/>
  <c r="D520" i="4"/>
  <c r="E520" i="4"/>
  <c r="F520" i="4"/>
  <c r="G520" i="4"/>
  <c r="H520" i="4"/>
  <c r="I520" i="4"/>
  <c r="J520" i="4"/>
  <c r="K520" i="4"/>
  <c r="B521" i="4"/>
  <c r="C521" i="4"/>
  <c r="D521" i="4"/>
  <c r="E521" i="4"/>
  <c r="F521" i="4"/>
  <c r="G521" i="4"/>
  <c r="H521" i="4"/>
  <c r="I521" i="4"/>
  <c r="J521" i="4"/>
  <c r="K521" i="4"/>
  <c r="B522" i="4"/>
  <c r="C522" i="4"/>
  <c r="D522" i="4"/>
  <c r="E522" i="4"/>
  <c r="F522" i="4"/>
  <c r="G522" i="4"/>
  <c r="H522" i="4"/>
  <c r="I522" i="4"/>
  <c r="J522" i="4"/>
  <c r="K522" i="4"/>
  <c r="B523" i="4"/>
  <c r="C523" i="4"/>
  <c r="D523" i="4"/>
  <c r="E523" i="4"/>
  <c r="F523" i="4"/>
  <c r="G523" i="4"/>
  <c r="H523" i="4"/>
  <c r="I523" i="4"/>
  <c r="J523" i="4"/>
  <c r="K523" i="4"/>
  <c r="B524" i="4"/>
  <c r="C524" i="4"/>
  <c r="D524" i="4"/>
  <c r="E524" i="4"/>
  <c r="F524" i="4"/>
  <c r="G524" i="4"/>
  <c r="H524" i="4"/>
  <c r="I524" i="4"/>
  <c r="J524" i="4"/>
  <c r="K524" i="4"/>
  <c r="B525" i="4"/>
  <c r="C525" i="4"/>
  <c r="D525" i="4"/>
  <c r="E525" i="4"/>
  <c r="F525" i="4"/>
  <c r="G525" i="4"/>
  <c r="H525" i="4"/>
  <c r="I525" i="4"/>
  <c r="J525" i="4"/>
  <c r="K525" i="4"/>
  <c r="B526" i="4"/>
  <c r="C526" i="4"/>
  <c r="D526" i="4"/>
  <c r="E526" i="4"/>
  <c r="F526" i="4"/>
  <c r="G526" i="4"/>
  <c r="H526" i="4"/>
  <c r="I526" i="4"/>
  <c r="J526" i="4"/>
  <c r="K526" i="4"/>
  <c r="B527" i="4"/>
  <c r="C527" i="4"/>
  <c r="D527" i="4"/>
  <c r="E527" i="4"/>
  <c r="F527" i="4"/>
  <c r="G527" i="4"/>
  <c r="H527" i="4"/>
  <c r="I527" i="4"/>
  <c r="J527" i="4"/>
  <c r="K527" i="4"/>
  <c r="B528" i="4"/>
  <c r="C528" i="4"/>
  <c r="D528" i="4"/>
  <c r="E528" i="4"/>
  <c r="F528" i="4"/>
  <c r="G528" i="4"/>
  <c r="H528" i="4"/>
  <c r="I528" i="4"/>
  <c r="J528" i="4"/>
  <c r="K528" i="4"/>
  <c r="B529" i="4"/>
  <c r="C529" i="4"/>
  <c r="D529" i="4"/>
  <c r="E529" i="4"/>
  <c r="F529" i="4"/>
  <c r="G529" i="4"/>
  <c r="H529" i="4"/>
  <c r="I529" i="4"/>
  <c r="J529" i="4"/>
  <c r="K529" i="4"/>
  <c r="B530" i="4"/>
  <c r="C530" i="4"/>
  <c r="D530" i="4"/>
  <c r="E530" i="4"/>
  <c r="F530" i="4"/>
  <c r="G530" i="4"/>
  <c r="H530" i="4"/>
  <c r="I530" i="4"/>
  <c r="J530" i="4"/>
  <c r="K530" i="4"/>
  <c r="B531" i="4"/>
  <c r="C531" i="4"/>
  <c r="D531" i="4"/>
  <c r="E531" i="4"/>
  <c r="F531" i="4"/>
  <c r="G531" i="4"/>
  <c r="H531" i="4"/>
  <c r="I531" i="4"/>
  <c r="J531" i="4"/>
  <c r="K531" i="4"/>
  <c r="B532" i="4"/>
  <c r="C532" i="4"/>
  <c r="D532" i="4"/>
  <c r="E532" i="4"/>
  <c r="F532" i="4"/>
  <c r="G532" i="4"/>
  <c r="H532" i="4"/>
  <c r="I532" i="4"/>
  <c r="J532" i="4"/>
  <c r="K532" i="4"/>
  <c r="B533" i="4"/>
  <c r="C533" i="4"/>
  <c r="D533" i="4"/>
  <c r="E533" i="4"/>
  <c r="F533" i="4"/>
  <c r="G533" i="4"/>
  <c r="H533" i="4"/>
  <c r="I533" i="4"/>
  <c r="J533" i="4"/>
  <c r="K533" i="4"/>
  <c r="B534" i="4"/>
  <c r="C534" i="4"/>
  <c r="D534" i="4"/>
  <c r="E534" i="4"/>
  <c r="F534" i="4"/>
  <c r="G534" i="4"/>
  <c r="H534" i="4"/>
  <c r="I534" i="4"/>
  <c r="J534" i="4"/>
  <c r="K534" i="4"/>
  <c r="B535" i="4"/>
  <c r="C535" i="4"/>
  <c r="D535" i="4"/>
  <c r="E535" i="4"/>
  <c r="F535" i="4"/>
  <c r="G535" i="4"/>
  <c r="H535" i="4"/>
  <c r="I535" i="4"/>
  <c r="J535" i="4"/>
  <c r="K535" i="4"/>
  <c r="B536" i="4"/>
  <c r="C536" i="4"/>
  <c r="D536" i="4"/>
  <c r="E536" i="4"/>
  <c r="F536" i="4"/>
  <c r="G536" i="4"/>
  <c r="H536" i="4"/>
  <c r="I536" i="4"/>
  <c r="J536" i="4"/>
  <c r="K536" i="4"/>
  <c r="B537" i="4"/>
  <c r="C537" i="4"/>
  <c r="D537" i="4"/>
  <c r="E537" i="4"/>
  <c r="F537" i="4"/>
  <c r="G537" i="4"/>
  <c r="H537" i="4"/>
  <c r="I537" i="4"/>
  <c r="J537" i="4"/>
  <c r="K537" i="4"/>
  <c r="B538" i="4"/>
  <c r="C538" i="4"/>
  <c r="D538" i="4"/>
  <c r="E538" i="4"/>
  <c r="F538" i="4"/>
  <c r="G538" i="4"/>
  <c r="H538" i="4"/>
  <c r="I538" i="4"/>
  <c r="J538" i="4"/>
  <c r="K538" i="4"/>
  <c r="B539" i="4"/>
  <c r="C539" i="4"/>
  <c r="D539" i="4"/>
  <c r="E539" i="4"/>
  <c r="F539" i="4"/>
  <c r="G539" i="4"/>
  <c r="H539" i="4"/>
  <c r="I539" i="4"/>
  <c r="J539" i="4"/>
  <c r="K539" i="4"/>
  <c r="B540" i="4"/>
  <c r="C540" i="4"/>
  <c r="D540" i="4"/>
  <c r="E540" i="4"/>
  <c r="F540" i="4"/>
  <c r="G540" i="4"/>
  <c r="H540" i="4"/>
  <c r="I540" i="4"/>
  <c r="J540" i="4"/>
  <c r="K540" i="4"/>
  <c r="B541" i="4"/>
  <c r="C541" i="4"/>
  <c r="D541" i="4"/>
  <c r="E541" i="4"/>
  <c r="F541" i="4"/>
  <c r="G541" i="4"/>
  <c r="H541" i="4"/>
  <c r="I541" i="4"/>
  <c r="J541" i="4"/>
  <c r="K541" i="4"/>
  <c r="B542" i="4"/>
  <c r="C542" i="4"/>
  <c r="D542" i="4"/>
  <c r="E542" i="4"/>
  <c r="F542" i="4"/>
  <c r="G542" i="4"/>
  <c r="H542" i="4"/>
  <c r="I542" i="4"/>
  <c r="J542" i="4"/>
  <c r="K542" i="4"/>
  <c r="B543" i="4"/>
  <c r="C543" i="4"/>
  <c r="D543" i="4"/>
  <c r="E543" i="4"/>
  <c r="F543" i="4"/>
  <c r="G543" i="4"/>
  <c r="H543" i="4"/>
  <c r="I543" i="4"/>
  <c r="J543" i="4"/>
  <c r="K543" i="4"/>
  <c r="B544" i="4"/>
  <c r="C544" i="4"/>
  <c r="D544" i="4"/>
  <c r="E544" i="4"/>
  <c r="F544" i="4"/>
  <c r="G544" i="4"/>
  <c r="H544" i="4"/>
  <c r="I544" i="4"/>
  <c r="J544" i="4"/>
  <c r="K544" i="4"/>
  <c r="B545" i="4"/>
  <c r="C545" i="4"/>
  <c r="D545" i="4"/>
  <c r="E545" i="4"/>
  <c r="F545" i="4"/>
  <c r="G545" i="4"/>
  <c r="H545" i="4"/>
  <c r="I545" i="4"/>
  <c r="J545" i="4"/>
  <c r="K545" i="4"/>
  <c r="B546" i="4"/>
  <c r="C546" i="4"/>
  <c r="D546" i="4"/>
  <c r="E546" i="4"/>
  <c r="F546" i="4"/>
  <c r="G546" i="4"/>
  <c r="H546" i="4"/>
  <c r="I546" i="4"/>
  <c r="J546" i="4"/>
  <c r="K546" i="4"/>
  <c r="B547" i="4"/>
  <c r="C547" i="4"/>
  <c r="D547" i="4"/>
  <c r="E547" i="4"/>
  <c r="F547" i="4"/>
  <c r="G547" i="4"/>
  <c r="H547" i="4"/>
  <c r="I547" i="4"/>
  <c r="J547" i="4"/>
  <c r="K547" i="4"/>
  <c r="B548" i="4"/>
  <c r="C548" i="4"/>
  <c r="D548" i="4"/>
  <c r="E548" i="4"/>
  <c r="F548" i="4"/>
  <c r="G548" i="4"/>
  <c r="H548" i="4"/>
  <c r="I548" i="4"/>
  <c r="J548" i="4"/>
  <c r="K548" i="4"/>
  <c r="B549" i="4"/>
  <c r="C549" i="4"/>
  <c r="D549" i="4"/>
  <c r="E549" i="4"/>
  <c r="F549" i="4"/>
  <c r="G549" i="4"/>
  <c r="H549" i="4"/>
  <c r="I549" i="4"/>
  <c r="J549" i="4"/>
  <c r="K549" i="4"/>
  <c r="B550" i="4"/>
  <c r="C550" i="4"/>
  <c r="D550" i="4"/>
  <c r="E550" i="4"/>
  <c r="F550" i="4"/>
  <c r="G550" i="4"/>
  <c r="H550" i="4"/>
  <c r="I550" i="4"/>
  <c r="J550" i="4"/>
  <c r="K550" i="4"/>
  <c r="B551" i="4"/>
  <c r="C551" i="4"/>
  <c r="D551" i="4"/>
  <c r="E551" i="4"/>
  <c r="F551" i="4"/>
  <c r="G551" i="4"/>
  <c r="H551" i="4"/>
  <c r="I551" i="4"/>
  <c r="J551" i="4"/>
  <c r="K551" i="4"/>
  <c r="B552" i="4"/>
  <c r="C552" i="4"/>
  <c r="D552" i="4"/>
  <c r="E552" i="4"/>
  <c r="F552" i="4"/>
  <c r="G552" i="4"/>
  <c r="H552" i="4"/>
  <c r="I552" i="4"/>
  <c r="J552" i="4"/>
  <c r="K552" i="4"/>
  <c r="B553" i="4"/>
  <c r="C553" i="4"/>
  <c r="D553" i="4"/>
  <c r="E553" i="4"/>
  <c r="F553" i="4"/>
  <c r="G553" i="4"/>
  <c r="H553" i="4"/>
  <c r="I553" i="4"/>
  <c r="J553" i="4"/>
  <c r="K553" i="4"/>
  <c r="B554" i="4"/>
  <c r="C554" i="4"/>
  <c r="D554" i="4"/>
  <c r="E554" i="4"/>
  <c r="F554" i="4"/>
  <c r="G554" i="4"/>
  <c r="H554" i="4"/>
  <c r="I554" i="4"/>
  <c r="J554" i="4"/>
  <c r="K554" i="4"/>
  <c r="B555" i="4"/>
  <c r="C555" i="4"/>
  <c r="D555" i="4"/>
  <c r="E555" i="4"/>
  <c r="F555" i="4"/>
  <c r="G555" i="4"/>
  <c r="H555" i="4"/>
  <c r="I555" i="4"/>
  <c r="J555" i="4"/>
  <c r="K555" i="4"/>
  <c r="B556" i="4"/>
  <c r="C556" i="4"/>
  <c r="D556" i="4"/>
  <c r="E556" i="4"/>
  <c r="F556" i="4"/>
  <c r="G556" i="4"/>
  <c r="H556" i="4"/>
  <c r="I556" i="4"/>
  <c r="J556" i="4"/>
  <c r="K556" i="4"/>
  <c r="B557" i="4"/>
  <c r="C557" i="4"/>
  <c r="D557" i="4"/>
  <c r="E557" i="4"/>
  <c r="F557" i="4"/>
  <c r="G557" i="4"/>
  <c r="H557" i="4"/>
  <c r="I557" i="4"/>
  <c r="J557" i="4"/>
  <c r="K557" i="4"/>
  <c r="B558" i="4"/>
  <c r="C558" i="4"/>
  <c r="D558" i="4"/>
  <c r="E558" i="4"/>
  <c r="F558" i="4"/>
  <c r="G558" i="4"/>
  <c r="H558" i="4"/>
  <c r="I558" i="4"/>
  <c r="J558" i="4"/>
  <c r="K558" i="4"/>
  <c r="B559" i="4"/>
  <c r="C559" i="4"/>
  <c r="D559" i="4"/>
  <c r="E559" i="4"/>
  <c r="F559" i="4"/>
  <c r="G559" i="4"/>
  <c r="H559" i="4"/>
  <c r="I559" i="4"/>
  <c r="J559" i="4"/>
  <c r="K559" i="4"/>
  <c r="B560" i="4"/>
  <c r="C560" i="4"/>
  <c r="D560" i="4"/>
  <c r="E560" i="4"/>
  <c r="F560" i="4"/>
  <c r="G560" i="4"/>
  <c r="H560" i="4"/>
  <c r="I560" i="4"/>
  <c r="J560" i="4"/>
  <c r="K560" i="4"/>
  <c r="B561" i="4"/>
  <c r="C561" i="4"/>
  <c r="D561" i="4"/>
  <c r="E561" i="4"/>
  <c r="F561" i="4"/>
  <c r="G561" i="4"/>
  <c r="H561" i="4"/>
  <c r="I561" i="4"/>
  <c r="J561" i="4"/>
  <c r="K561" i="4"/>
  <c r="B562" i="4"/>
  <c r="C562" i="4"/>
  <c r="D562" i="4"/>
  <c r="E562" i="4"/>
  <c r="F562" i="4"/>
  <c r="G562" i="4"/>
  <c r="H562" i="4"/>
  <c r="I562" i="4"/>
  <c r="J562" i="4"/>
  <c r="K562" i="4"/>
  <c r="B563" i="4"/>
  <c r="C563" i="4"/>
  <c r="D563" i="4"/>
  <c r="E563" i="4"/>
  <c r="F563" i="4"/>
  <c r="G563" i="4"/>
  <c r="H563" i="4"/>
  <c r="I563" i="4"/>
  <c r="J563" i="4"/>
  <c r="K563" i="4"/>
  <c r="B564" i="4"/>
  <c r="C564" i="4"/>
  <c r="D564" i="4"/>
  <c r="E564" i="4"/>
  <c r="F564" i="4"/>
  <c r="G564" i="4"/>
  <c r="H564" i="4"/>
  <c r="I564" i="4"/>
  <c r="J564" i="4"/>
  <c r="K564" i="4"/>
  <c r="B565" i="4"/>
  <c r="C565" i="4"/>
  <c r="D565" i="4"/>
  <c r="E565" i="4"/>
  <c r="F565" i="4"/>
  <c r="G565" i="4"/>
  <c r="H565" i="4"/>
  <c r="I565" i="4"/>
  <c r="J565" i="4"/>
  <c r="K565" i="4"/>
  <c r="B566" i="4"/>
  <c r="C566" i="4"/>
  <c r="D566" i="4"/>
  <c r="E566" i="4"/>
  <c r="F566" i="4"/>
  <c r="G566" i="4"/>
  <c r="H566" i="4"/>
  <c r="I566" i="4"/>
  <c r="J566" i="4"/>
  <c r="K566" i="4"/>
  <c r="B567" i="4"/>
  <c r="C567" i="4"/>
  <c r="D567" i="4"/>
  <c r="E567" i="4"/>
  <c r="F567" i="4"/>
  <c r="G567" i="4"/>
  <c r="H567" i="4"/>
  <c r="I567" i="4"/>
  <c r="J567" i="4"/>
  <c r="K567" i="4"/>
  <c r="B568" i="4"/>
  <c r="C568" i="4"/>
  <c r="D568" i="4"/>
  <c r="E568" i="4"/>
  <c r="F568" i="4"/>
  <c r="G568" i="4"/>
  <c r="H568" i="4"/>
  <c r="I568" i="4"/>
  <c r="J568" i="4"/>
  <c r="K568" i="4"/>
  <c r="B569" i="4"/>
  <c r="C569" i="4"/>
  <c r="D569" i="4"/>
  <c r="E569" i="4"/>
  <c r="F569" i="4"/>
  <c r="G569" i="4"/>
  <c r="H569" i="4"/>
  <c r="I569" i="4"/>
  <c r="J569" i="4"/>
  <c r="K569" i="4"/>
  <c r="B570" i="4"/>
  <c r="C570" i="4"/>
  <c r="D570" i="4"/>
  <c r="E570" i="4"/>
  <c r="F570" i="4"/>
  <c r="G570" i="4"/>
  <c r="H570" i="4"/>
  <c r="I570" i="4"/>
  <c r="J570" i="4"/>
  <c r="K570" i="4"/>
  <c r="B571" i="4"/>
  <c r="C571" i="4"/>
  <c r="D571" i="4"/>
  <c r="E571" i="4"/>
  <c r="F571" i="4"/>
  <c r="G571" i="4"/>
  <c r="H571" i="4"/>
  <c r="I571" i="4"/>
  <c r="J571" i="4"/>
  <c r="K571" i="4"/>
  <c r="B572" i="4"/>
  <c r="C572" i="4"/>
  <c r="D572" i="4"/>
  <c r="E572" i="4"/>
  <c r="F572" i="4"/>
  <c r="G572" i="4"/>
  <c r="H572" i="4"/>
  <c r="I572" i="4"/>
  <c r="J572" i="4"/>
  <c r="K572" i="4"/>
  <c r="B573" i="4"/>
  <c r="C573" i="4"/>
  <c r="D573" i="4"/>
  <c r="E573" i="4"/>
  <c r="F573" i="4"/>
  <c r="G573" i="4"/>
  <c r="H573" i="4"/>
  <c r="I573" i="4"/>
  <c r="J573" i="4"/>
  <c r="K573" i="4"/>
  <c r="B574" i="4"/>
  <c r="C574" i="4"/>
  <c r="D574" i="4"/>
  <c r="E574" i="4"/>
  <c r="F574" i="4"/>
  <c r="G574" i="4"/>
  <c r="H574" i="4"/>
  <c r="I574" i="4"/>
  <c r="J574" i="4"/>
  <c r="K574" i="4"/>
  <c r="B575" i="4"/>
  <c r="C575" i="4"/>
  <c r="D575" i="4"/>
  <c r="E575" i="4"/>
  <c r="F575" i="4"/>
  <c r="G575" i="4"/>
  <c r="H575" i="4"/>
  <c r="I575" i="4"/>
  <c r="J575" i="4"/>
  <c r="K575" i="4"/>
  <c r="B576" i="4"/>
  <c r="C576" i="4"/>
  <c r="D576" i="4"/>
  <c r="E576" i="4"/>
  <c r="F576" i="4"/>
  <c r="G576" i="4"/>
  <c r="H576" i="4"/>
  <c r="I576" i="4"/>
  <c r="J576" i="4"/>
  <c r="K576" i="4"/>
  <c r="B577" i="4"/>
  <c r="C577" i="4"/>
  <c r="D577" i="4"/>
  <c r="E577" i="4"/>
  <c r="F577" i="4"/>
  <c r="G577" i="4"/>
  <c r="H577" i="4"/>
  <c r="I577" i="4"/>
  <c r="J577" i="4"/>
  <c r="K577" i="4"/>
  <c r="B578" i="4"/>
  <c r="C578" i="4"/>
  <c r="D578" i="4"/>
  <c r="E578" i="4"/>
  <c r="F578" i="4"/>
  <c r="G578" i="4"/>
  <c r="H578" i="4"/>
  <c r="I578" i="4"/>
  <c r="J578" i="4"/>
  <c r="K578" i="4"/>
  <c r="B579" i="4"/>
  <c r="C579" i="4"/>
  <c r="D579" i="4"/>
  <c r="E579" i="4"/>
  <c r="F579" i="4"/>
  <c r="G579" i="4"/>
  <c r="H579" i="4"/>
  <c r="I579" i="4"/>
  <c r="J579" i="4"/>
  <c r="K579" i="4"/>
  <c r="B580" i="4"/>
  <c r="C580" i="4"/>
  <c r="D580" i="4"/>
  <c r="E580" i="4"/>
  <c r="F580" i="4"/>
  <c r="G580" i="4"/>
  <c r="H580" i="4"/>
  <c r="I580" i="4"/>
  <c r="J580" i="4"/>
  <c r="K580" i="4"/>
  <c r="B581" i="4"/>
  <c r="C581" i="4"/>
  <c r="D581" i="4"/>
  <c r="E581" i="4"/>
  <c r="F581" i="4"/>
  <c r="G581" i="4"/>
  <c r="H581" i="4"/>
  <c r="I581" i="4"/>
  <c r="J581" i="4"/>
  <c r="K581" i="4"/>
  <c r="B582" i="4"/>
  <c r="C582" i="4"/>
  <c r="D582" i="4"/>
  <c r="E582" i="4"/>
  <c r="F582" i="4"/>
  <c r="G582" i="4"/>
  <c r="H582" i="4"/>
  <c r="I582" i="4"/>
  <c r="J582" i="4"/>
  <c r="K582" i="4"/>
  <c r="B583" i="4"/>
  <c r="C583" i="4"/>
  <c r="D583" i="4"/>
  <c r="E583" i="4"/>
  <c r="F583" i="4"/>
  <c r="G583" i="4"/>
  <c r="H583" i="4"/>
  <c r="I583" i="4"/>
  <c r="J583" i="4"/>
  <c r="K583" i="4"/>
  <c r="B584" i="4"/>
  <c r="C584" i="4"/>
  <c r="D584" i="4"/>
  <c r="E584" i="4"/>
  <c r="F584" i="4"/>
  <c r="G584" i="4"/>
  <c r="H584" i="4"/>
  <c r="I584" i="4"/>
  <c r="J584" i="4"/>
  <c r="K584" i="4"/>
  <c r="B585" i="4"/>
  <c r="C585" i="4"/>
  <c r="D585" i="4"/>
  <c r="E585" i="4"/>
  <c r="F585" i="4"/>
  <c r="G585" i="4"/>
  <c r="H585" i="4"/>
  <c r="I585" i="4"/>
  <c r="J585" i="4"/>
  <c r="K585" i="4"/>
  <c r="B586" i="4"/>
  <c r="C586" i="4"/>
  <c r="D586" i="4"/>
  <c r="E586" i="4"/>
  <c r="F586" i="4"/>
  <c r="G586" i="4"/>
  <c r="H586" i="4"/>
  <c r="I586" i="4"/>
  <c r="J586" i="4"/>
  <c r="K586" i="4"/>
  <c r="B587" i="4"/>
  <c r="C587" i="4"/>
  <c r="D587" i="4"/>
  <c r="E587" i="4"/>
  <c r="F587" i="4"/>
  <c r="G587" i="4"/>
  <c r="H587" i="4"/>
  <c r="I587" i="4"/>
  <c r="J587" i="4"/>
  <c r="K587" i="4"/>
  <c r="B588" i="4"/>
  <c r="C588" i="4"/>
  <c r="D588" i="4"/>
  <c r="E588" i="4"/>
  <c r="F588" i="4"/>
  <c r="G588" i="4"/>
  <c r="H588" i="4"/>
  <c r="I588" i="4"/>
  <c r="J588" i="4"/>
  <c r="K588" i="4"/>
  <c r="B589" i="4"/>
  <c r="C589" i="4"/>
  <c r="D589" i="4"/>
  <c r="E589" i="4"/>
  <c r="F589" i="4"/>
  <c r="G589" i="4"/>
  <c r="H589" i="4"/>
  <c r="I589" i="4"/>
  <c r="J589" i="4"/>
  <c r="K589" i="4"/>
  <c r="B590" i="4"/>
  <c r="C590" i="4"/>
  <c r="D590" i="4"/>
  <c r="E590" i="4"/>
  <c r="F590" i="4"/>
  <c r="G590" i="4"/>
  <c r="H590" i="4"/>
  <c r="I590" i="4"/>
  <c r="J590" i="4"/>
  <c r="K590" i="4"/>
  <c r="B591" i="4"/>
  <c r="C591" i="4"/>
  <c r="D591" i="4"/>
  <c r="E591" i="4"/>
  <c r="F591" i="4"/>
  <c r="G591" i="4"/>
  <c r="H591" i="4"/>
  <c r="I591" i="4"/>
  <c r="J591" i="4"/>
  <c r="K591" i="4"/>
  <c r="B592" i="4"/>
  <c r="C592" i="4"/>
  <c r="D592" i="4"/>
  <c r="E592" i="4"/>
  <c r="F592" i="4"/>
  <c r="G592" i="4"/>
  <c r="H592" i="4"/>
  <c r="I592" i="4"/>
  <c r="J592" i="4"/>
  <c r="K592" i="4"/>
  <c r="B593" i="4"/>
  <c r="C593" i="4"/>
  <c r="D593" i="4"/>
  <c r="E593" i="4"/>
  <c r="F593" i="4"/>
  <c r="G593" i="4"/>
  <c r="H593" i="4"/>
  <c r="I593" i="4"/>
  <c r="J593" i="4"/>
  <c r="K593" i="4"/>
  <c r="B594" i="4"/>
  <c r="C594" i="4"/>
  <c r="D594" i="4"/>
  <c r="E594" i="4"/>
  <c r="F594" i="4"/>
  <c r="G594" i="4"/>
  <c r="H594" i="4"/>
  <c r="I594" i="4"/>
  <c r="J594" i="4"/>
  <c r="K594" i="4"/>
  <c r="B595" i="4"/>
  <c r="C595" i="4"/>
  <c r="D595" i="4"/>
  <c r="E595" i="4"/>
  <c r="F595" i="4"/>
  <c r="G595" i="4"/>
  <c r="H595" i="4"/>
  <c r="I595" i="4"/>
  <c r="J595" i="4"/>
  <c r="K595" i="4"/>
  <c r="B596" i="4"/>
  <c r="C596" i="4"/>
  <c r="D596" i="4"/>
  <c r="E596" i="4"/>
  <c r="F596" i="4"/>
  <c r="G596" i="4"/>
  <c r="H596" i="4"/>
  <c r="I596" i="4"/>
  <c r="J596" i="4"/>
  <c r="K596" i="4"/>
  <c r="B597" i="4"/>
  <c r="C597" i="4"/>
  <c r="D597" i="4"/>
  <c r="E597" i="4"/>
  <c r="F597" i="4"/>
  <c r="G597" i="4"/>
  <c r="H597" i="4"/>
  <c r="I597" i="4"/>
  <c r="J597" i="4"/>
  <c r="K597" i="4"/>
  <c r="B598" i="4"/>
  <c r="C598" i="4"/>
  <c r="D598" i="4"/>
  <c r="E598" i="4"/>
  <c r="F598" i="4"/>
  <c r="G598" i="4"/>
  <c r="H598" i="4"/>
  <c r="I598" i="4"/>
  <c r="J598" i="4"/>
  <c r="K598" i="4"/>
  <c r="B599" i="4"/>
  <c r="C599" i="4"/>
  <c r="D599" i="4"/>
  <c r="E599" i="4"/>
  <c r="F599" i="4"/>
  <c r="G599" i="4"/>
  <c r="H599" i="4"/>
  <c r="I599" i="4"/>
  <c r="J599" i="4"/>
  <c r="K599" i="4"/>
  <c r="B600" i="4"/>
  <c r="C600" i="4"/>
  <c r="D600" i="4"/>
  <c r="E600" i="4"/>
  <c r="F600" i="4"/>
  <c r="G600" i="4"/>
  <c r="H600" i="4"/>
  <c r="I600" i="4"/>
  <c r="J600" i="4"/>
  <c r="K600" i="4"/>
  <c r="B601" i="4"/>
  <c r="C601" i="4"/>
  <c r="D601" i="4"/>
  <c r="E601" i="4"/>
  <c r="F601" i="4"/>
  <c r="G601" i="4"/>
  <c r="H601" i="4"/>
  <c r="I601" i="4"/>
  <c r="J601" i="4"/>
  <c r="K601" i="4"/>
  <c r="B602" i="4"/>
  <c r="C602" i="4"/>
  <c r="D602" i="4"/>
  <c r="E602" i="4"/>
  <c r="F602" i="4"/>
  <c r="G602" i="4"/>
  <c r="H602" i="4"/>
  <c r="I602" i="4"/>
  <c r="J602" i="4"/>
  <c r="K602" i="4"/>
  <c r="B603" i="4"/>
  <c r="C603" i="4"/>
  <c r="D603" i="4"/>
  <c r="E603" i="4"/>
  <c r="F603" i="4"/>
  <c r="G603" i="4"/>
  <c r="H603" i="4"/>
  <c r="I603" i="4"/>
  <c r="J603" i="4"/>
  <c r="K603" i="4"/>
  <c r="B604" i="4"/>
  <c r="C604" i="4"/>
  <c r="D604" i="4"/>
  <c r="E604" i="4"/>
  <c r="F604" i="4"/>
  <c r="G604" i="4"/>
  <c r="H604" i="4"/>
  <c r="I604" i="4"/>
  <c r="J604" i="4"/>
  <c r="K604" i="4"/>
  <c r="B605" i="4"/>
  <c r="C605" i="4"/>
  <c r="D605" i="4"/>
  <c r="E605" i="4"/>
  <c r="F605" i="4"/>
  <c r="G605" i="4"/>
  <c r="H605" i="4"/>
  <c r="I605" i="4"/>
  <c r="J605" i="4"/>
  <c r="K605" i="4"/>
  <c r="B606" i="4"/>
  <c r="C606" i="4"/>
  <c r="D606" i="4"/>
  <c r="E606" i="4"/>
  <c r="F606" i="4"/>
  <c r="G606" i="4"/>
  <c r="H606" i="4"/>
  <c r="I606" i="4"/>
  <c r="J606" i="4"/>
  <c r="K606" i="4"/>
  <c r="B607" i="4"/>
  <c r="C607" i="4"/>
  <c r="D607" i="4"/>
  <c r="E607" i="4"/>
  <c r="F607" i="4"/>
  <c r="G607" i="4"/>
  <c r="H607" i="4"/>
  <c r="I607" i="4"/>
  <c r="J607" i="4"/>
  <c r="K607" i="4"/>
  <c r="B608" i="4"/>
  <c r="C608" i="4"/>
  <c r="D608" i="4"/>
  <c r="E608" i="4"/>
  <c r="F608" i="4"/>
  <c r="G608" i="4"/>
  <c r="H608" i="4"/>
  <c r="I608" i="4"/>
  <c r="J608" i="4"/>
  <c r="K608" i="4"/>
  <c r="B609" i="4"/>
  <c r="C609" i="4"/>
  <c r="D609" i="4"/>
  <c r="E609" i="4"/>
  <c r="F609" i="4"/>
  <c r="G609" i="4"/>
  <c r="H609" i="4"/>
  <c r="I609" i="4"/>
  <c r="J609" i="4"/>
  <c r="K609" i="4"/>
  <c r="B610" i="4"/>
  <c r="C610" i="4"/>
  <c r="D610" i="4"/>
  <c r="E610" i="4"/>
  <c r="F610" i="4"/>
  <c r="G610" i="4"/>
  <c r="H610" i="4"/>
  <c r="I610" i="4"/>
  <c r="J610" i="4"/>
  <c r="K610" i="4"/>
  <c r="B611" i="4"/>
  <c r="C611" i="4"/>
  <c r="D611" i="4"/>
  <c r="E611" i="4"/>
  <c r="F611" i="4"/>
  <c r="G611" i="4"/>
  <c r="H611" i="4"/>
  <c r="I611" i="4"/>
  <c r="J611" i="4"/>
  <c r="K611" i="4"/>
  <c r="B612" i="4"/>
  <c r="C612" i="4"/>
  <c r="D612" i="4"/>
  <c r="E612" i="4"/>
  <c r="F612" i="4"/>
  <c r="G612" i="4"/>
  <c r="H612" i="4"/>
  <c r="I612" i="4"/>
  <c r="J612" i="4"/>
  <c r="K612" i="4"/>
  <c r="B613" i="4"/>
  <c r="C613" i="4"/>
  <c r="D613" i="4"/>
  <c r="E613" i="4"/>
  <c r="F613" i="4"/>
  <c r="G613" i="4"/>
  <c r="H613" i="4"/>
  <c r="I613" i="4"/>
  <c r="J613" i="4"/>
  <c r="K613" i="4"/>
  <c r="B614" i="4"/>
  <c r="C614" i="4"/>
  <c r="D614" i="4"/>
  <c r="E614" i="4"/>
  <c r="F614" i="4"/>
  <c r="G614" i="4"/>
  <c r="H614" i="4"/>
  <c r="I614" i="4"/>
  <c r="J614" i="4"/>
  <c r="K614" i="4"/>
  <c r="B615" i="4"/>
  <c r="C615" i="4"/>
  <c r="D615" i="4"/>
  <c r="E615" i="4"/>
  <c r="F615" i="4"/>
  <c r="G615" i="4"/>
  <c r="H615" i="4"/>
  <c r="I615" i="4"/>
  <c r="J615" i="4"/>
  <c r="K615" i="4"/>
  <c r="B616" i="4"/>
  <c r="C616" i="4"/>
  <c r="D616" i="4"/>
  <c r="E616" i="4"/>
  <c r="F616" i="4"/>
  <c r="G616" i="4"/>
  <c r="H616" i="4"/>
  <c r="I616" i="4"/>
  <c r="J616" i="4"/>
  <c r="K616" i="4"/>
  <c r="B617" i="4"/>
  <c r="C617" i="4"/>
  <c r="D617" i="4"/>
  <c r="E617" i="4"/>
  <c r="F617" i="4"/>
  <c r="G617" i="4"/>
  <c r="H617" i="4"/>
  <c r="I617" i="4"/>
  <c r="J617" i="4"/>
  <c r="K617" i="4"/>
  <c r="B618" i="4"/>
  <c r="C618" i="4"/>
  <c r="D618" i="4"/>
  <c r="E618" i="4"/>
  <c r="F618" i="4"/>
  <c r="G618" i="4"/>
  <c r="H618" i="4"/>
  <c r="I618" i="4"/>
  <c r="J618" i="4"/>
  <c r="K618" i="4"/>
  <c r="B619" i="4"/>
  <c r="C619" i="4"/>
  <c r="D619" i="4"/>
  <c r="E619" i="4"/>
  <c r="F619" i="4"/>
  <c r="G619" i="4"/>
  <c r="H619" i="4"/>
  <c r="I619" i="4"/>
  <c r="J619" i="4"/>
  <c r="K619" i="4"/>
  <c r="B620" i="4"/>
  <c r="C620" i="4"/>
  <c r="D620" i="4"/>
  <c r="E620" i="4"/>
  <c r="F620" i="4"/>
  <c r="G620" i="4"/>
  <c r="H620" i="4"/>
  <c r="I620" i="4"/>
  <c r="J620" i="4"/>
  <c r="K620" i="4"/>
  <c r="B621" i="4"/>
  <c r="C621" i="4"/>
  <c r="D621" i="4"/>
  <c r="E621" i="4"/>
  <c r="F621" i="4"/>
  <c r="G621" i="4"/>
  <c r="H621" i="4"/>
  <c r="I621" i="4"/>
  <c r="J621" i="4"/>
  <c r="K621" i="4"/>
  <c r="B622" i="4"/>
  <c r="C622" i="4"/>
  <c r="D622" i="4"/>
  <c r="E622" i="4"/>
  <c r="F622" i="4"/>
  <c r="G622" i="4"/>
  <c r="H622" i="4"/>
  <c r="I622" i="4"/>
  <c r="J622" i="4"/>
  <c r="K622" i="4"/>
  <c r="B623" i="4"/>
  <c r="C623" i="4"/>
  <c r="D623" i="4"/>
  <c r="E623" i="4"/>
  <c r="F623" i="4"/>
  <c r="G623" i="4"/>
  <c r="H623" i="4"/>
  <c r="I623" i="4"/>
  <c r="J623" i="4"/>
  <c r="K623" i="4"/>
  <c r="B624" i="4"/>
  <c r="C624" i="4"/>
  <c r="D624" i="4"/>
  <c r="E624" i="4"/>
  <c r="F624" i="4"/>
  <c r="G624" i="4"/>
  <c r="H624" i="4"/>
  <c r="I624" i="4"/>
  <c r="J624" i="4"/>
  <c r="K624" i="4"/>
  <c r="B625" i="4"/>
  <c r="C625" i="4"/>
  <c r="D625" i="4"/>
  <c r="E625" i="4"/>
  <c r="F625" i="4"/>
  <c r="G625" i="4"/>
  <c r="H625" i="4"/>
  <c r="I625" i="4"/>
  <c r="J625" i="4"/>
  <c r="K625" i="4"/>
  <c r="B626" i="4"/>
  <c r="C626" i="4"/>
  <c r="D626" i="4"/>
  <c r="E626" i="4"/>
  <c r="F626" i="4"/>
  <c r="G626" i="4"/>
  <c r="H626" i="4"/>
  <c r="I626" i="4"/>
  <c r="J626" i="4"/>
  <c r="K626" i="4"/>
  <c r="B627" i="4"/>
  <c r="C627" i="4"/>
  <c r="D627" i="4"/>
  <c r="E627" i="4"/>
  <c r="F627" i="4"/>
  <c r="G627" i="4"/>
  <c r="H627" i="4"/>
  <c r="I627" i="4"/>
  <c r="J627" i="4"/>
  <c r="K627" i="4"/>
  <c r="B628" i="4"/>
  <c r="C628" i="4"/>
  <c r="D628" i="4"/>
  <c r="E628" i="4"/>
  <c r="F628" i="4"/>
  <c r="G628" i="4"/>
  <c r="H628" i="4"/>
  <c r="I628" i="4"/>
  <c r="J628" i="4"/>
  <c r="K628" i="4"/>
  <c r="B629" i="4"/>
  <c r="C629" i="4"/>
  <c r="D629" i="4"/>
  <c r="E629" i="4"/>
  <c r="F629" i="4"/>
  <c r="G629" i="4"/>
  <c r="H629" i="4"/>
  <c r="I629" i="4"/>
  <c r="J629" i="4"/>
  <c r="K629" i="4"/>
  <c r="B630" i="4"/>
  <c r="C630" i="4"/>
  <c r="D630" i="4"/>
  <c r="E630" i="4"/>
  <c r="F630" i="4"/>
  <c r="G630" i="4"/>
  <c r="H630" i="4"/>
  <c r="I630" i="4"/>
  <c r="J630" i="4"/>
  <c r="K630" i="4"/>
  <c r="B631" i="4"/>
  <c r="C631" i="4"/>
  <c r="D631" i="4"/>
  <c r="E631" i="4"/>
  <c r="F631" i="4"/>
  <c r="G631" i="4"/>
  <c r="H631" i="4"/>
  <c r="I631" i="4"/>
  <c r="J631" i="4"/>
  <c r="K631" i="4"/>
  <c r="B632" i="4"/>
  <c r="C632" i="4"/>
  <c r="D632" i="4"/>
  <c r="E632" i="4"/>
  <c r="F632" i="4"/>
  <c r="G632" i="4"/>
  <c r="H632" i="4"/>
  <c r="I632" i="4"/>
  <c r="J632" i="4"/>
  <c r="K632" i="4"/>
  <c r="B633" i="4"/>
  <c r="C633" i="4"/>
  <c r="D633" i="4"/>
  <c r="E633" i="4"/>
  <c r="F633" i="4"/>
  <c r="G633" i="4"/>
  <c r="H633" i="4"/>
  <c r="I633" i="4"/>
  <c r="J633" i="4"/>
  <c r="K633" i="4"/>
  <c r="B634" i="4"/>
  <c r="C634" i="4"/>
  <c r="D634" i="4"/>
  <c r="E634" i="4"/>
  <c r="F634" i="4"/>
  <c r="G634" i="4"/>
  <c r="H634" i="4"/>
  <c r="I634" i="4"/>
  <c r="J634" i="4"/>
  <c r="K634" i="4"/>
  <c r="B635" i="4"/>
  <c r="C635" i="4"/>
  <c r="D635" i="4"/>
  <c r="E635" i="4"/>
  <c r="F635" i="4"/>
  <c r="G635" i="4"/>
  <c r="H635" i="4"/>
  <c r="I635" i="4"/>
  <c r="J635" i="4"/>
  <c r="K635" i="4"/>
  <c r="B636" i="4"/>
  <c r="C636" i="4"/>
  <c r="D636" i="4"/>
  <c r="E636" i="4"/>
  <c r="F636" i="4"/>
  <c r="G636" i="4"/>
  <c r="H636" i="4"/>
  <c r="I636" i="4"/>
  <c r="J636" i="4"/>
  <c r="K636" i="4"/>
  <c r="B637" i="4"/>
  <c r="C637" i="4"/>
  <c r="D637" i="4"/>
  <c r="E637" i="4"/>
  <c r="F637" i="4"/>
  <c r="G637" i="4"/>
  <c r="H637" i="4"/>
  <c r="I637" i="4"/>
  <c r="J637" i="4"/>
  <c r="K637" i="4"/>
  <c r="B638" i="4"/>
  <c r="C638" i="4"/>
  <c r="D638" i="4"/>
  <c r="E638" i="4"/>
  <c r="F638" i="4"/>
  <c r="G638" i="4"/>
  <c r="H638" i="4"/>
  <c r="I638" i="4"/>
  <c r="J638" i="4"/>
  <c r="K638" i="4"/>
  <c r="B639" i="4"/>
  <c r="C639" i="4"/>
  <c r="D639" i="4"/>
  <c r="E639" i="4"/>
  <c r="F639" i="4"/>
  <c r="G639" i="4"/>
  <c r="H639" i="4"/>
  <c r="I639" i="4"/>
  <c r="J639" i="4"/>
  <c r="K639" i="4"/>
  <c r="B640" i="4"/>
  <c r="C640" i="4"/>
  <c r="D640" i="4"/>
  <c r="E640" i="4"/>
  <c r="F640" i="4"/>
  <c r="G640" i="4"/>
  <c r="H640" i="4"/>
  <c r="I640" i="4"/>
  <c r="J640" i="4"/>
  <c r="K640" i="4"/>
  <c r="B641" i="4"/>
  <c r="C641" i="4"/>
  <c r="D641" i="4"/>
  <c r="E641" i="4"/>
  <c r="F641" i="4"/>
  <c r="G641" i="4"/>
  <c r="H641" i="4"/>
  <c r="I641" i="4"/>
  <c r="J641" i="4"/>
  <c r="K641" i="4"/>
  <c r="B642" i="4"/>
  <c r="C642" i="4"/>
  <c r="D642" i="4"/>
  <c r="E642" i="4"/>
  <c r="F642" i="4"/>
  <c r="G642" i="4"/>
  <c r="H642" i="4"/>
  <c r="I642" i="4"/>
  <c r="J642" i="4"/>
  <c r="K642" i="4"/>
  <c r="B643" i="4"/>
  <c r="C643" i="4"/>
  <c r="D643" i="4"/>
  <c r="E643" i="4"/>
  <c r="F643" i="4"/>
  <c r="G643" i="4"/>
  <c r="H643" i="4"/>
  <c r="I643" i="4"/>
  <c r="J643" i="4"/>
  <c r="K643" i="4"/>
  <c r="B644" i="4"/>
  <c r="C644" i="4"/>
  <c r="D644" i="4"/>
  <c r="E644" i="4"/>
  <c r="F644" i="4"/>
  <c r="G644" i="4"/>
  <c r="H644" i="4"/>
  <c r="I644" i="4"/>
  <c r="J644" i="4"/>
  <c r="K644" i="4"/>
  <c r="B645" i="4"/>
  <c r="C645" i="4"/>
  <c r="D645" i="4"/>
  <c r="E645" i="4"/>
  <c r="F645" i="4"/>
  <c r="G645" i="4"/>
  <c r="H645" i="4"/>
  <c r="I645" i="4"/>
  <c r="J645" i="4"/>
  <c r="K645" i="4"/>
  <c r="B646" i="4"/>
  <c r="C646" i="4"/>
  <c r="D646" i="4"/>
  <c r="E646" i="4"/>
  <c r="F646" i="4"/>
  <c r="G646" i="4"/>
  <c r="H646" i="4"/>
  <c r="I646" i="4"/>
  <c r="J646" i="4"/>
  <c r="K646" i="4"/>
  <c r="B647" i="4"/>
  <c r="C647" i="4"/>
  <c r="D647" i="4"/>
  <c r="E647" i="4"/>
  <c r="F647" i="4"/>
  <c r="G647" i="4"/>
  <c r="H647" i="4"/>
  <c r="I647" i="4"/>
  <c r="J647" i="4"/>
  <c r="K647" i="4"/>
  <c r="B648" i="4"/>
  <c r="C648" i="4"/>
  <c r="D648" i="4"/>
  <c r="E648" i="4"/>
  <c r="F648" i="4"/>
  <c r="G648" i="4"/>
  <c r="H648" i="4"/>
  <c r="I648" i="4"/>
  <c r="J648" i="4"/>
  <c r="K648" i="4"/>
  <c r="B649" i="4"/>
  <c r="C649" i="4"/>
  <c r="D649" i="4"/>
  <c r="E649" i="4"/>
  <c r="F649" i="4"/>
  <c r="G649" i="4"/>
  <c r="H649" i="4"/>
  <c r="I649" i="4"/>
  <c r="J649" i="4"/>
  <c r="K649" i="4"/>
  <c r="B650" i="4"/>
  <c r="C650" i="4"/>
  <c r="D650" i="4"/>
  <c r="E650" i="4"/>
  <c r="F650" i="4"/>
  <c r="G650" i="4"/>
  <c r="H650" i="4"/>
  <c r="I650" i="4"/>
  <c r="J650" i="4"/>
  <c r="K650" i="4"/>
  <c r="B651" i="4"/>
  <c r="C651" i="4"/>
  <c r="D651" i="4"/>
  <c r="E651" i="4"/>
  <c r="F651" i="4"/>
  <c r="G651" i="4"/>
  <c r="H651" i="4"/>
  <c r="I651" i="4"/>
  <c r="J651" i="4"/>
  <c r="K651" i="4"/>
  <c r="B652" i="4"/>
  <c r="C652" i="4"/>
  <c r="D652" i="4"/>
  <c r="E652" i="4"/>
  <c r="F652" i="4"/>
  <c r="G652" i="4"/>
  <c r="H652" i="4"/>
  <c r="I652" i="4"/>
  <c r="J652" i="4"/>
  <c r="K652" i="4"/>
  <c r="B653" i="4"/>
  <c r="C653" i="4"/>
  <c r="D653" i="4"/>
  <c r="E653" i="4"/>
  <c r="F653" i="4"/>
  <c r="G653" i="4"/>
  <c r="H653" i="4"/>
  <c r="I653" i="4"/>
  <c r="J653" i="4"/>
  <c r="K653" i="4"/>
  <c r="B654" i="4"/>
  <c r="C654" i="4"/>
  <c r="D654" i="4"/>
  <c r="E654" i="4"/>
  <c r="F654" i="4"/>
  <c r="G654" i="4"/>
  <c r="H654" i="4"/>
  <c r="I654" i="4"/>
  <c r="J654" i="4"/>
  <c r="K654" i="4"/>
  <c r="B655" i="4"/>
  <c r="C655" i="4"/>
  <c r="D655" i="4"/>
  <c r="E655" i="4"/>
  <c r="F655" i="4"/>
  <c r="G655" i="4"/>
  <c r="H655" i="4"/>
  <c r="I655" i="4"/>
  <c r="J655" i="4"/>
  <c r="K655" i="4"/>
  <c r="B656" i="4"/>
  <c r="C656" i="4"/>
  <c r="D656" i="4"/>
  <c r="E656" i="4"/>
  <c r="F656" i="4"/>
  <c r="G656" i="4"/>
  <c r="H656" i="4"/>
  <c r="I656" i="4"/>
  <c r="J656" i="4"/>
  <c r="K656" i="4"/>
  <c r="B657" i="4"/>
  <c r="C657" i="4"/>
  <c r="D657" i="4"/>
  <c r="E657" i="4"/>
  <c r="F657" i="4"/>
  <c r="G657" i="4"/>
  <c r="H657" i="4"/>
  <c r="I657" i="4"/>
  <c r="J657" i="4"/>
  <c r="K657" i="4"/>
  <c r="B658" i="4"/>
  <c r="C658" i="4"/>
  <c r="D658" i="4"/>
  <c r="E658" i="4"/>
  <c r="F658" i="4"/>
  <c r="G658" i="4"/>
  <c r="H658" i="4"/>
  <c r="I658" i="4"/>
  <c r="J658" i="4"/>
  <c r="K658" i="4"/>
  <c r="B659" i="4"/>
  <c r="C659" i="4"/>
  <c r="D659" i="4"/>
  <c r="E659" i="4"/>
  <c r="F659" i="4"/>
  <c r="G659" i="4"/>
  <c r="H659" i="4"/>
  <c r="I659" i="4"/>
  <c r="J659" i="4"/>
  <c r="K659" i="4"/>
  <c r="B660" i="4"/>
  <c r="C660" i="4"/>
  <c r="D660" i="4"/>
  <c r="E660" i="4"/>
  <c r="F660" i="4"/>
  <c r="G660" i="4"/>
  <c r="H660" i="4"/>
  <c r="I660" i="4"/>
  <c r="J660" i="4"/>
  <c r="K660" i="4"/>
  <c r="B661" i="4"/>
  <c r="C661" i="4"/>
  <c r="D661" i="4"/>
  <c r="E661" i="4"/>
  <c r="F661" i="4"/>
  <c r="G661" i="4"/>
  <c r="H661" i="4"/>
  <c r="I661" i="4"/>
  <c r="J661" i="4"/>
  <c r="K661" i="4"/>
  <c r="B662" i="4"/>
  <c r="C662" i="4"/>
  <c r="D662" i="4"/>
  <c r="E662" i="4"/>
  <c r="F662" i="4"/>
  <c r="G662" i="4"/>
  <c r="H662" i="4"/>
  <c r="I662" i="4"/>
  <c r="J662" i="4"/>
  <c r="K662" i="4"/>
  <c r="B663" i="4"/>
  <c r="C663" i="4"/>
  <c r="D663" i="4"/>
  <c r="E663" i="4"/>
  <c r="F663" i="4"/>
  <c r="G663" i="4"/>
  <c r="H663" i="4"/>
  <c r="I663" i="4"/>
  <c r="J663" i="4"/>
  <c r="K663" i="4"/>
  <c r="B664" i="4"/>
  <c r="C664" i="4"/>
  <c r="D664" i="4"/>
  <c r="E664" i="4"/>
  <c r="F664" i="4"/>
  <c r="G664" i="4"/>
  <c r="H664" i="4"/>
  <c r="I664" i="4"/>
  <c r="J664" i="4"/>
  <c r="K664" i="4"/>
  <c r="B665" i="4"/>
  <c r="C665" i="4"/>
  <c r="D665" i="4"/>
  <c r="E665" i="4"/>
  <c r="F665" i="4"/>
  <c r="G665" i="4"/>
  <c r="H665" i="4"/>
  <c r="I665" i="4"/>
  <c r="J665" i="4"/>
  <c r="K665" i="4"/>
  <c r="B666" i="4"/>
  <c r="C666" i="4"/>
  <c r="D666" i="4"/>
  <c r="E666" i="4"/>
  <c r="F666" i="4"/>
  <c r="G666" i="4"/>
  <c r="H666" i="4"/>
  <c r="I666" i="4"/>
  <c r="J666" i="4"/>
  <c r="K666" i="4"/>
  <c r="B667" i="4"/>
  <c r="C667" i="4"/>
  <c r="D667" i="4"/>
  <c r="E667" i="4"/>
  <c r="F667" i="4"/>
  <c r="G667" i="4"/>
  <c r="H667" i="4"/>
  <c r="I667" i="4"/>
  <c r="J667" i="4"/>
  <c r="K667" i="4"/>
  <c r="B668" i="4"/>
  <c r="C668" i="4"/>
  <c r="D668" i="4"/>
  <c r="E668" i="4"/>
  <c r="F668" i="4"/>
  <c r="G668" i="4"/>
  <c r="H668" i="4"/>
  <c r="I668" i="4"/>
  <c r="J668" i="4"/>
  <c r="K668" i="4"/>
  <c r="B669" i="4"/>
  <c r="C669" i="4"/>
  <c r="D669" i="4"/>
  <c r="E669" i="4"/>
  <c r="F669" i="4"/>
  <c r="G669" i="4"/>
  <c r="H669" i="4"/>
  <c r="I669" i="4"/>
  <c r="J669" i="4"/>
  <c r="K669" i="4"/>
  <c r="B670" i="4"/>
  <c r="C670" i="4"/>
  <c r="D670" i="4"/>
  <c r="E670" i="4"/>
  <c r="F670" i="4"/>
  <c r="G670" i="4"/>
  <c r="H670" i="4"/>
  <c r="I670" i="4"/>
  <c r="J670" i="4"/>
  <c r="K670" i="4"/>
  <c r="B671" i="4"/>
  <c r="C671" i="4"/>
  <c r="D671" i="4"/>
  <c r="E671" i="4"/>
  <c r="F671" i="4"/>
  <c r="G671" i="4"/>
  <c r="H671" i="4"/>
  <c r="I671" i="4"/>
  <c r="J671" i="4"/>
  <c r="K671" i="4"/>
  <c r="B672" i="4"/>
  <c r="C672" i="4"/>
  <c r="D672" i="4"/>
  <c r="E672" i="4"/>
  <c r="F672" i="4"/>
  <c r="G672" i="4"/>
  <c r="H672" i="4"/>
  <c r="I672" i="4"/>
  <c r="J672" i="4"/>
  <c r="K672" i="4"/>
  <c r="B673" i="4"/>
  <c r="C673" i="4"/>
  <c r="D673" i="4"/>
  <c r="E673" i="4"/>
  <c r="F673" i="4"/>
  <c r="G673" i="4"/>
  <c r="H673" i="4"/>
  <c r="I673" i="4"/>
  <c r="J673" i="4"/>
  <c r="K673" i="4"/>
  <c r="B674" i="4"/>
  <c r="C674" i="4"/>
  <c r="D674" i="4"/>
  <c r="E674" i="4"/>
  <c r="F674" i="4"/>
  <c r="G674" i="4"/>
  <c r="H674" i="4"/>
  <c r="I674" i="4"/>
  <c r="J674" i="4"/>
  <c r="K674" i="4"/>
  <c r="B675" i="4"/>
  <c r="C675" i="4"/>
  <c r="D675" i="4"/>
  <c r="E675" i="4"/>
  <c r="F675" i="4"/>
  <c r="G675" i="4"/>
  <c r="H675" i="4"/>
  <c r="I675" i="4"/>
  <c r="J675" i="4"/>
  <c r="K675" i="4"/>
  <c r="B676" i="4"/>
  <c r="C676" i="4"/>
  <c r="D676" i="4"/>
  <c r="E676" i="4"/>
  <c r="F676" i="4"/>
  <c r="G676" i="4"/>
  <c r="H676" i="4"/>
  <c r="I676" i="4"/>
  <c r="J676" i="4"/>
  <c r="K676" i="4"/>
  <c r="B677" i="4"/>
  <c r="C677" i="4"/>
  <c r="D677" i="4"/>
  <c r="E677" i="4"/>
  <c r="F677" i="4"/>
  <c r="G677" i="4"/>
  <c r="H677" i="4"/>
  <c r="I677" i="4"/>
  <c r="J677" i="4"/>
  <c r="K677" i="4"/>
  <c r="B678" i="4"/>
  <c r="C678" i="4"/>
  <c r="D678" i="4"/>
  <c r="E678" i="4"/>
  <c r="F678" i="4"/>
  <c r="G678" i="4"/>
  <c r="H678" i="4"/>
  <c r="I678" i="4"/>
  <c r="J678" i="4"/>
  <c r="K678" i="4"/>
  <c r="B679" i="4"/>
  <c r="C679" i="4"/>
  <c r="D679" i="4"/>
  <c r="E679" i="4"/>
  <c r="F679" i="4"/>
  <c r="G679" i="4"/>
  <c r="H679" i="4"/>
  <c r="I679" i="4"/>
  <c r="J679" i="4"/>
  <c r="K679" i="4"/>
  <c r="B680" i="4"/>
  <c r="C680" i="4"/>
  <c r="D680" i="4"/>
  <c r="E680" i="4"/>
  <c r="F680" i="4"/>
  <c r="G680" i="4"/>
  <c r="H680" i="4"/>
  <c r="I680" i="4"/>
  <c r="J680" i="4"/>
  <c r="K680" i="4"/>
  <c r="B681" i="4"/>
  <c r="C681" i="4"/>
  <c r="D681" i="4"/>
  <c r="E681" i="4"/>
  <c r="F681" i="4"/>
  <c r="G681" i="4"/>
  <c r="H681" i="4"/>
  <c r="I681" i="4"/>
  <c r="J681" i="4"/>
  <c r="K681" i="4"/>
  <c r="B682" i="4"/>
  <c r="C682" i="4"/>
  <c r="D682" i="4"/>
  <c r="E682" i="4"/>
  <c r="F682" i="4"/>
  <c r="G682" i="4"/>
  <c r="H682" i="4"/>
  <c r="I682" i="4"/>
  <c r="J682" i="4"/>
  <c r="K682" i="4"/>
  <c r="B683" i="4"/>
  <c r="C683" i="4"/>
  <c r="D683" i="4"/>
  <c r="E683" i="4"/>
  <c r="F683" i="4"/>
  <c r="G683" i="4"/>
  <c r="H683" i="4"/>
  <c r="I683" i="4"/>
  <c r="J683" i="4"/>
  <c r="K683" i="4"/>
  <c r="B684" i="4"/>
  <c r="C684" i="4"/>
  <c r="D684" i="4"/>
  <c r="E684" i="4"/>
  <c r="F684" i="4"/>
  <c r="G684" i="4"/>
  <c r="H684" i="4"/>
  <c r="I684" i="4"/>
  <c r="J684" i="4"/>
  <c r="K684" i="4"/>
  <c r="B685" i="4"/>
  <c r="C685" i="4"/>
  <c r="D685" i="4"/>
  <c r="E685" i="4"/>
  <c r="F685" i="4"/>
  <c r="G685" i="4"/>
  <c r="H685" i="4"/>
  <c r="I685" i="4"/>
  <c r="J685" i="4"/>
  <c r="K685" i="4"/>
  <c r="B686" i="4"/>
  <c r="C686" i="4"/>
  <c r="D686" i="4"/>
  <c r="E686" i="4"/>
  <c r="F686" i="4"/>
  <c r="G686" i="4"/>
  <c r="H686" i="4"/>
  <c r="I686" i="4"/>
  <c r="J686" i="4"/>
  <c r="K686" i="4"/>
  <c r="B687" i="4"/>
  <c r="C687" i="4"/>
  <c r="D687" i="4"/>
  <c r="E687" i="4"/>
  <c r="F687" i="4"/>
  <c r="G687" i="4"/>
  <c r="H687" i="4"/>
  <c r="I687" i="4"/>
  <c r="J687" i="4"/>
  <c r="K687" i="4"/>
  <c r="B688" i="4"/>
  <c r="C688" i="4"/>
  <c r="D688" i="4"/>
  <c r="E688" i="4"/>
  <c r="F688" i="4"/>
  <c r="G688" i="4"/>
  <c r="H688" i="4"/>
  <c r="I688" i="4"/>
  <c r="J688" i="4"/>
  <c r="K688" i="4"/>
  <c r="B689" i="4"/>
  <c r="C689" i="4"/>
  <c r="D689" i="4"/>
  <c r="E689" i="4"/>
  <c r="F689" i="4"/>
  <c r="G689" i="4"/>
  <c r="H689" i="4"/>
  <c r="I689" i="4"/>
  <c r="J689" i="4"/>
  <c r="K689" i="4"/>
  <c r="B690" i="4"/>
  <c r="C690" i="4"/>
  <c r="D690" i="4"/>
  <c r="E690" i="4"/>
  <c r="F690" i="4"/>
  <c r="G690" i="4"/>
  <c r="H690" i="4"/>
  <c r="I690" i="4"/>
  <c r="J690" i="4"/>
  <c r="K690" i="4"/>
  <c r="B691" i="4"/>
  <c r="C691" i="4"/>
  <c r="D691" i="4"/>
  <c r="E691" i="4"/>
  <c r="F691" i="4"/>
  <c r="G691" i="4"/>
  <c r="H691" i="4"/>
  <c r="I691" i="4"/>
  <c r="J691" i="4"/>
  <c r="K691" i="4"/>
  <c r="B692" i="4"/>
  <c r="C692" i="4"/>
  <c r="D692" i="4"/>
  <c r="E692" i="4"/>
  <c r="F692" i="4"/>
  <c r="G692" i="4"/>
  <c r="H692" i="4"/>
  <c r="I692" i="4"/>
  <c r="J692" i="4"/>
  <c r="K692" i="4"/>
  <c r="B693" i="4"/>
  <c r="C693" i="4"/>
  <c r="D693" i="4"/>
  <c r="E693" i="4"/>
  <c r="F693" i="4"/>
  <c r="G693" i="4"/>
  <c r="H693" i="4"/>
  <c r="I693" i="4"/>
  <c r="J693" i="4"/>
  <c r="K693" i="4"/>
  <c r="B694" i="4"/>
  <c r="C694" i="4"/>
  <c r="D694" i="4"/>
  <c r="E694" i="4"/>
  <c r="F694" i="4"/>
  <c r="G694" i="4"/>
  <c r="H694" i="4"/>
  <c r="I694" i="4"/>
  <c r="J694" i="4"/>
  <c r="K694" i="4"/>
  <c r="B695" i="4"/>
  <c r="C695" i="4"/>
  <c r="D695" i="4"/>
  <c r="E695" i="4"/>
  <c r="F695" i="4"/>
  <c r="G695" i="4"/>
  <c r="H695" i="4"/>
  <c r="I695" i="4"/>
  <c r="J695" i="4"/>
  <c r="K695" i="4"/>
  <c r="B696" i="4"/>
  <c r="C696" i="4"/>
  <c r="D696" i="4"/>
  <c r="E696" i="4"/>
  <c r="F696" i="4"/>
  <c r="G696" i="4"/>
  <c r="H696" i="4"/>
  <c r="I696" i="4"/>
  <c r="J696" i="4"/>
  <c r="K696" i="4"/>
  <c r="B697" i="4"/>
  <c r="C697" i="4"/>
  <c r="D697" i="4"/>
  <c r="E697" i="4"/>
  <c r="F697" i="4"/>
  <c r="G697" i="4"/>
  <c r="H697" i="4"/>
  <c r="I697" i="4"/>
  <c r="J697" i="4"/>
  <c r="K697" i="4"/>
  <c r="B698" i="4"/>
  <c r="C698" i="4"/>
  <c r="D698" i="4"/>
  <c r="E698" i="4"/>
  <c r="F698" i="4"/>
  <c r="G698" i="4"/>
  <c r="H698" i="4"/>
  <c r="I698" i="4"/>
  <c r="J698" i="4"/>
  <c r="K698" i="4"/>
  <c r="B699" i="4"/>
  <c r="C699" i="4"/>
  <c r="D699" i="4"/>
  <c r="E699" i="4"/>
  <c r="F699" i="4"/>
  <c r="G699" i="4"/>
  <c r="H699" i="4"/>
  <c r="I699" i="4"/>
  <c r="J699" i="4"/>
  <c r="K699" i="4"/>
  <c r="B700" i="4"/>
  <c r="C700" i="4"/>
  <c r="D700" i="4"/>
  <c r="E700" i="4"/>
  <c r="F700" i="4"/>
  <c r="G700" i="4"/>
  <c r="H700" i="4"/>
  <c r="I700" i="4"/>
  <c r="J700" i="4"/>
  <c r="K700" i="4"/>
  <c r="B701" i="4"/>
  <c r="C701" i="4"/>
  <c r="D701" i="4"/>
  <c r="E701" i="4"/>
  <c r="F701" i="4"/>
  <c r="G701" i="4"/>
  <c r="H701" i="4"/>
  <c r="I701" i="4"/>
  <c r="J701" i="4"/>
  <c r="K701" i="4"/>
  <c r="B702" i="4"/>
  <c r="C702" i="4"/>
  <c r="D702" i="4"/>
  <c r="E702" i="4"/>
  <c r="F702" i="4"/>
  <c r="G702" i="4"/>
  <c r="H702" i="4"/>
  <c r="I702" i="4"/>
  <c r="J702" i="4"/>
  <c r="K702" i="4"/>
  <c r="B703" i="4"/>
  <c r="C703" i="4"/>
  <c r="D703" i="4"/>
  <c r="E703" i="4"/>
  <c r="F703" i="4"/>
  <c r="G703" i="4"/>
  <c r="H703" i="4"/>
  <c r="I703" i="4"/>
  <c r="J703" i="4"/>
  <c r="K703" i="4"/>
  <c r="B704" i="4"/>
  <c r="C704" i="4"/>
  <c r="D704" i="4"/>
  <c r="E704" i="4"/>
  <c r="F704" i="4"/>
  <c r="G704" i="4"/>
  <c r="H704" i="4"/>
  <c r="I704" i="4"/>
  <c r="J704" i="4"/>
  <c r="K704" i="4"/>
  <c r="B705" i="4"/>
  <c r="C705" i="4"/>
  <c r="D705" i="4"/>
  <c r="E705" i="4"/>
  <c r="F705" i="4"/>
  <c r="G705" i="4"/>
  <c r="H705" i="4"/>
  <c r="I705" i="4"/>
  <c r="J705" i="4"/>
  <c r="K705" i="4"/>
  <c r="B706" i="4"/>
  <c r="C706" i="4"/>
  <c r="D706" i="4"/>
  <c r="E706" i="4"/>
  <c r="F706" i="4"/>
  <c r="G706" i="4"/>
  <c r="H706" i="4"/>
  <c r="I706" i="4"/>
  <c r="J706" i="4"/>
  <c r="K706" i="4"/>
  <c r="B707" i="4"/>
  <c r="C707" i="4"/>
  <c r="D707" i="4"/>
  <c r="E707" i="4"/>
  <c r="F707" i="4"/>
  <c r="G707" i="4"/>
  <c r="H707" i="4"/>
  <c r="I707" i="4"/>
  <c r="J707" i="4"/>
  <c r="K707" i="4"/>
  <c r="B708" i="4"/>
  <c r="C708" i="4"/>
  <c r="D708" i="4"/>
  <c r="E708" i="4"/>
  <c r="F708" i="4"/>
  <c r="G708" i="4"/>
  <c r="H708" i="4"/>
  <c r="I708" i="4"/>
  <c r="J708" i="4"/>
  <c r="K708" i="4"/>
  <c r="B709" i="4"/>
  <c r="C709" i="4"/>
  <c r="D709" i="4"/>
  <c r="E709" i="4"/>
  <c r="F709" i="4"/>
  <c r="G709" i="4"/>
  <c r="H709" i="4"/>
  <c r="I709" i="4"/>
  <c r="J709" i="4"/>
  <c r="K709" i="4"/>
  <c r="B710" i="4"/>
  <c r="C710" i="4"/>
  <c r="D710" i="4"/>
  <c r="E710" i="4"/>
  <c r="F710" i="4"/>
  <c r="G710" i="4"/>
  <c r="H710" i="4"/>
  <c r="I710" i="4"/>
  <c r="J710" i="4"/>
  <c r="K710" i="4"/>
  <c r="B711" i="4"/>
  <c r="C711" i="4"/>
  <c r="D711" i="4"/>
  <c r="E711" i="4"/>
  <c r="F711" i="4"/>
  <c r="G711" i="4"/>
  <c r="H711" i="4"/>
  <c r="I711" i="4"/>
  <c r="J711" i="4"/>
  <c r="K711" i="4"/>
  <c r="B712" i="4"/>
  <c r="C712" i="4"/>
  <c r="D712" i="4"/>
  <c r="E712" i="4"/>
  <c r="F712" i="4"/>
  <c r="G712" i="4"/>
  <c r="H712" i="4"/>
  <c r="I712" i="4"/>
  <c r="J712" i="4"/>
  <c r="K712" i="4"/>
  <c r="B713" i="4"/>
  <c r="C713" i="4"/>
  <c r="D713" i="4"/>
  <c r="E713" i="4"/>
  <c r="F713" i="4"/>
  <c r="G713" i="4"/>
  <c r="H713" i="4"/>
  <c r="I713" i="4"/>
  <c r="J713" i="4"/>
  <c r="K713" i="4"/>
  <c r="B714" i="4"/>
  <c r="C714" i="4"/>
  <c r="D714" i="4"/>
  <c r="E714" i="4"/>
  <c r="F714" i="4"/>
  <c r="G714" i="4"/>
  <c r="H714" i="4"/>
  <c r="I714" i="4"/>
  <c r="J714" i="4"/>
  <c r="K714" i="4"/>
  <c r="B715" i="4"/>
  <c r="C715" i="4"/>
  <c r="D715" i="4"/>
  <c r="E715" i="4"/>
  <c r="F715" i="4"/>
  <c r="G715" i="4"/>
  <c r="H715" i="4"/>
  <c r="I715" i="4"/>
  <c r="J715" i="4"/>
  <c r="K715" i="4"/>
  <c r="B716" i="4"/>
  <c r="C716" i="4"/>
  <c r="D716" i="4"/>
  <c r="E716" i="4"/>
  <c r="F716" i="4"/>
  <c r="G716" i="4"/>
  <c r="H716" i="4"/>
  <c r="I716" i="4"/>
  <c r="J716" i="4"/>
  <c r="K716" i="4"/>
  <c r="B717" i="4"/>
  <c r="C717" i="4"/>
  <c r="D717" i="4"/>
  <c r="E717" i="4"/>
  <c r="F717" i="4"/>
  <c r="G717" i="4"/>
  <c r="H717" i="4"/>
  <c r="I717" i="4"/>
  <c r="J717" i="4"/>
  <c r="K717" i="4"/>
  <c r="B718" i="4"/>
  <c r="C718" i="4"/>
  <c r="D718" i="4"/>
  <c r="E718" i="4"/>
  <c r="F718" i="4"/>
  <c r="G718" i="4"/>
  <c r="H718" i="4"/>
  <c r="I718" i="4"/>
  <c r="J718" i="4"/>
  <c r="K718" i="4"/>
  <c r="B719" i="4"/>
  <c r="C719" i="4"/>
  <c r="D719" i="4"/>
  <c r="E719" i="4"/>
  <c r="F719" i="4"/>
  <c r="G719" i="4"/>
  <c r="H719" i="4"/>
  <c r="I719" i="4"/>
  <c r="J719" i="4"/>
  <c r="K719" i="4"/>
  <c r="B720" i="4"/>
  <c r="C720" i="4"/>
  <c r="D720" i="4"/>
  <c r="E720" i="4"/>
  <c r="F720" i="4"/>
  <c r="G720" i="4"/>
  <c r="H720" i="4"/>
  <c r="I720" i="4"/>
  <c r="J720" i="4"/>
  <c r="K720" i="4"/>
  <c r="B721" i="4"/>
  <c r="C721" i="4"/>
  <c r="D721" i="4"/>
  <c r="E721" i="4"/>
  <c r="F721" i="4"/>
  <c r="G721" i="4"/>
  <c r="H721" i="4"/>
  <c r="I721" i="4"/>
  <c r="J721" i="4"/>
  <c r="K721" i="4"/>
  <c r="B722" i="4"/>
  <c r="C722" i="4"/>
  <c r="D722" i="4"/>
  <c r="E722" i="4"/>
  <c r="F722" i="4"/>
  <c r="G722" i="4"/>
  <c r="H722" i="4"/>
  <c r="I722" i="4"/>
  <c r="J722" i="4"/>
  <c r="K722" i="4"/>
  <c r="B723" i="4"/>
  <c r="C723" i="4"/>
  <c r="D723" i="4"/>
  <c r="E723" i="4"/>
  <c r="F723" i="4"/>
  <c r="G723" i="4"/>
  <c r="H723" i="4"/>
  <c r="I723" i="4"/>
  <c r="J723" i="4"/>
  <c r="K723" i="4"/>
  <c r="B724" i="4"/>
  <c r="C724" i="4"/>
  <c r="D724" i="4"/>
  <c r="E724" i="4"/>
  <c r="F724" i="4"/>
  <c r="G724" i="4"/>
  <c r="H724" i="4"/>
  <c r="I724" i="4"/>
  <c r="J724" i="4"/>
  <c r="K724" i="4"/>
  <c r="B725" i="4"/>
  <c r="C725" i="4"/>
  <c r="D725" i="4"/>
  <c r="E725" i="4"/>
  <c r="F725" i="4"/>
  <c r="G725" i="4"/>
  <c r="H725" i="4"/>
  <c r="I725" i="4"/>
  <c r="J725" i="4"/>
  <c r="K725" i="4"/>
  <c r="B726" i="4"/>
  <c r="C726" i="4"/>
  <c r="D726" i="4"/>
  <c r="E726" i="4"/>
  <c r="F726" i="4"/>
  <c r="G726" i="4"/>
  <c r="H726" i="4"/>
  <c r="I726" i="4"/>
  <c r="J726" i="4"/>
  <c r="K726" i="4"/>
  <c r="B727" i="4"/>
  <c r="C727" i="4"/>
  <c r="D727" i="4"/>
  <c r="E727" i="4"/>
  <c r="F727" i="4"/>
  <c r="G727" i="4"/>
  <c r="H727" i="4"/>
  <c r="I727" i="4"/>
  <c r="J727" i="4"/>
  <c r="K727" i="4"/>
  <c r="B728" i="4"/>
  <c r="C728" i="4"/>
  <c r="D728" i="4"/>
  <c r="E728" i="4"/>
  <c r="F728" i="4"/>
  <c r="G728" i="4"/>
  <c r="H728" i="4"/>
  <c r="I728" i="4"/>
  <c r="J728" i="4"/>
  <c r="K728" i="4"/>
  <c r="B729" i="4"/>
  <c r="C729" i="4"/>
  <c r="D729" i="4"/>
  <c r="E729" i="4"/>
  <c r="F729" i="4"/>
  <c r="G729" i="4"/>
  <c r="H729" i="4"/>
  <c r="I729" i="4"/>
  <c r="J729" i="4"/>
  <c r="K729" i="4"/>
  <c r="B730" i="4"/>
  <c r="C730" i="4"/>
  <c r="D730" i="4"/>
  <c r="E730" i="4"/>
  <c r="F730" i="4"/>
  <c r="G730" i="4"/>
  <c r="H730" i="4"/>
  <c r="I730" i="4"/>
  <c r="J730" i="4"/>
  <c r="K730" i="4"/>
  <c r="B731" i="4"/>
  <c r="C731" i="4"/>
  <c r="D731" i="4"/>
  <c r="E731" i="4"/>
  <c r="F731" i="4"/>
  <c r="G731" i="4"/>
  <c r="H731" i="4"/>
  <c r="I731" i="4"/>
  <c r="J731" i="4"/>
  <c r="K731" i="4"/>
  <c r="B732" i="4"/>
  <c r="C732" i="4"/>
  <c r="D732" i="4"/>
  <c r="E732" i="4"/>
  <c r="F732" i="4"/>
  <c r="G732" i="4"/>
  <c r="H732" i="4"/>
  <c r="I732" i="4"/>
  <c r="J732" i="4"/>
  <c r="K732" i="4"/>
  <c r="B733" i="4"/>
  <c r="C733" i="4"/>
  <c r="D733" i="4"/>
  <c r="E733" i="4"/>
  <c r="F733" i="4"/>
  <c r="G733" i="4"/>
  <c r="H733" i="4"/>
  <c r="I733" i="4"/>
  <c r="J733" i="4"/>
  <c r="K733" i="4"/>
  <c r="B734" i="4"/>
  <c r="C734" i="4"/>
  <c r="D734" i="4"/>
  <c r="E734" i="4"/>
  <c r="F734" i="4"/>
  <c r="G734" i="4"/>
  <c r="H734" i="4"/>
  <c r="I734" i="4"/>
  <c r="J734" i="4"/>
  <c r="K734" i="4"/>
  <c r="B735" i="4"/>
  <c r="C735" i="4"/>
  <c r="D735" i="4"/>
  <c r="E735" i="4"/>
  <c r="F735" i="4"/>
  <c r="G735" i="4"/>
  <c r="H735" i="4"/>
  <c r="I735" i="4"/>
  <c r="J735" i="4"/>
  <c r="K735" i="4"/>
  <c r="B736" i="4"/>
  <c r="C736" i="4"/>
  <c r="D736" i="4"/>
  <c r="E736" i="4"/>
  <c r="F736" i="4"/>
  <c r="G736" i="4"/>
  <c r="H736" i="4"/>
  <c r="I736" i="4"/>
  <c r="J736" i="4"/>
  <c r="K736" i="4"/>
  <c r="B737" i="4"/>
  <c r="C737" i="4"/>
  <c r="D737" i="4"/>
  <c r="E737" i="4"/>
  <c r="F737" i="4"/>
  <c r="G737" i="4"/>
  <c r="H737" i="4"/>
  <c r="I737" i="4"/>
  <c r="J737" i="4"/>
  <c r="K737" i="4"/>
  <c r="B738" i="4"/>
  <c r="C738" i="4"/>
  <c r="D738" i="4"/>
  <c r="E738" i="4"/>
  <c r="F738" i="4"/>
  <c r="G738" i="4"/>
  <c r="H738" i="4"/>
  <c r="I738" i="4"/>
  <c r="J738" i="4"/>
  <c r="K738" i="4"/>
  <c r="B739" i="4"/>
  <c r="C739" i="4"/>
  <c r="D739" i="4"/>
  <c r="E739" i="4"/>
  <c r="F739" i="4"/>
  <c r="G739" i="4"/>
  <c r="H739" i="4"/>
  <c r="I739" i="4"/>
  <c r="J739" i="4"/>
  <c r="K739" i="4"/>
  <c r="B740" i="4"/>
  <c r="C740" i="4"/>
  <c r="D740" i="4"/>
  <c r="E740" i="4"/>
  <c r="F740" i="4"/>
  <c r="G740" i="4"/>
  <c r="H740" i="4"/>
  <c r="I740" i="4"/>
  <c r="J740" i="4"/>
  <c r="K740" i="4"/>
  <c r="B741" i="4"/>
  <c r="C741" i="4"/>
  <c r="D741" i="4"/>
  <c r="E741" i="4"/>
  <c r="F741" i="4"/>
  <c r="G741" i="4"/>
  <c r="H741" i="4"/>
  <c r="I741" i="4"/>
  <c r="J741" i="4"/>
  <c r="K741" i="4"/>
  <c r="B742" i="4"/>
  <c r="C742" i="4"/>
  <c r="D742" i="4"/>
  <c r="E742" i="4"/>
  <c r="F742" i="4"/>
  <c r="G742" i="4"/>
  <c r="H742" i="4"/>
  <c r="I742" i="4"/>
  <c r="J742" i="4"/>
  <c r="K742" i="4"/>
  <c r="B743" i="4"/>
  <c r="C743" i="4"/>
  <c r="D743" i="4"/>
  <c r="E743" i="4"/>
  <c r="F743" i="4"/>
  <c r="G743" i="4"/>
  <c r="H743" i="4"/>
  <c r="I743" i="4"/>
  <c r="J743" i="4"/>
  <c r="K743" i="4"/>
  <c r="B744" i="4"/>
  <c r="C744" i="4"/>
  <c r="D744" i="4"/>
  <c r="E744" i="4"/>
  <c r="F744" i="4"/>
  <c r="G744" i="4"/>
  <c r="H744" i="4"/>
  <c r="I744" i="4"/>
  <c r="J744" i="4"/>
  <c r="K744" i="4"/>
  <c r="B745" i="4"/>
  <c r="C745" i="4"/>
  <c r="D745" i="4"/>
  <c r="E745" i="4"/>
  <c r="F745" i="4"/>
  <c r="G745" i="4"/>
  <c r="H745" i="4"/>
  <c r="I745" i="4"/>
  <c r="J745" i="4"/>
  <c r="K745" i="4"/>
  <c r="B746" i="4"/>
  <c r="C746" i="4"/>
  <c r="D746" i="4"/>
  <c r="E746" i="4"/>
  <c r="F746" i="4"/>
  <c r="G746" i="4"/>
  <c r="H746" i="4"/>
  <c r="I746" i="4"/>
  <c r="J746" i="4"/>
  <c r="K746" i="4"/>
  <c r="B747" i="4"/>
  <c r="C747" i="4"/>
  <c r="D747" i="4"/>
  <c r="E747" i="4"/>
  <c r="F747" i="4"/>
  <c r="G747" i="4"/>
  <c r="H747" i="4"/>
  <c r="I747" i="4"/>
  <c r="J747" i="4"/>
  <c r="K747" i="4"/>
  <c r="B748" i="4"/>
  <c r="C748" i="4"/>
  <c r="D748" i="4"/>
  <c r="E748" i="4"/>
  <c r="F748" i="4"/>
  <c r="G748" i="4"/>
  <c r="H748" i="4"/>
  <c r="I748" i="4"/>
  <c r="J748" i="4"/>
  <c r="K748" i="4"/>
  <c r="B749" i="4"/>
  <c r="C749" i="4"/>
  <c r="D749" i="4"/>
  <c r="E749" i="4"/>
  <c r="F749" i="4"/>
  <c r="G749" i="4"/>
  <c r="H749" i="4"/>
  <c r="I749" i="4"/>
  <c r="J749" i="4"/>
  <c r="K749" i="4"/>
  <c r="B750" i="4"/>
  <c r="C750" i="4"/>
  <c r="D750" i="4"/>
  <c r="E750" i="4"/>
  <c r="F750" i="4"/>
  <c r="G750" i="4"/>
  <c r="H750" i="4"/>
  <c r="I750" i="4"/>
  <c r="J750" i="4"/>
  <c r="K750" i="4"/>
  <c r="B751" i="4"/>
  <c r="C751" i="4"/>
  <c r="D751" i="4"/>
  <c r="E751" i="4"/>
  <c r="F751" i="4"/>
  <c r="G751" i="4"/>
  <c r="H751" i="4"/>
  <c r="I751" i="4"/>
  <c r="J751" i="4"/>
  <c r="K751" i="4"/>
  <c r="B752" i="4"/>
  <c r="C752" i="4"/>
  <c r="D752" i="4"/>
  <c r="E752" i="4"/>
  <c r="F752" i="4"/>
  <c r="G752" i="4"/>
  <c r="H752" i="4"/>
  <c r="I752" i="4"/>
  <c r="J752" i="4"/>
  <c r="K752" i="4"/>
  <c r="B753" i="4"/>
  <c r="C753" i="4"/>
  <c r="D753" i="4"/>
  <c r="E753" i="4"/>
  <c r="F753" i="4"/>
  <c r="G753" i="4"/>
  <c r="H753" i="4"/>
  <c r="I753" i="4"/>
  <c r="J753" i="4"/>
  <c r="K753" i="4"/>
  <c r="B754" i="4"/>
  <c r="C754" i="4"/>
  <c r="D754" i="4"/>
  <c r="E754" i="4"/>
  <c r="F754" i="4"/>
  <c r="G754" i="4"/>
  <c r="H754" i="4"/>
  <c r="I754" i="4"/>
  <c r="J754" i="4"/>
  <c r="K754" i="4"/>
  <c r="B755" i="4"/>
  <c r="C755" i="4"/>
  <c r="D755" i="4"/>
  <c r="E755" i="4"/>
  <c r="F755" i="4"/>
  <c r="G755" i="4"/>
  <c r="H755" i="4"/>
  <c r="I755" i="4"/>
  <c r="J755" i="4"/>
  <c r="K755" i="4"/>
  <c r="B756" i="4"/>
  <c r="C756" i="4"/>
  <c r="D756" i="4"/>
  <c r="E756" i="4"/>
  <c r="F756" i="4"/>
  <c r="G756" i="4"/>
  <c r="H756" i="4"/>
  <c r="I756" i="4"/>
  <c r="J756" i="4"/>
  <c r="K756" i="4"/>
  <c r="B757" i="4"/>
  <c r="C757" i="4"/>
  <c r="D757" i="4"/>
  <c r="E757" i="4"/>
  <c r="F757" i="4"/>
  <c r="G757" i="4"/>
  <c r="H757" i="4"/>
  <c r="I757" i="4"/>
  <c r="J757" i="4"/>
  <c r="K757" i="4"/>
  <c r="B758" i="4"/>
  <c r="C758" i="4"/>
  <c r="D758" i="4"/>
  <c r="E758" i="4"/>
  <c r="F758" i="4"/>
  <c r="G758" i="4"/>
  <c r="H758" i="4"/>
  <c r="I758" i="4"/>
  <c r="J758" i="4"/>
  <c r="K758" i="4"/>
  <c r="B759" i="4"/>
  <c r="C759" i="4"/>
  <c r="D759" i="4"/>
  <c r="E759" i="4"/>
  <c r="F759" i="4"/>
  <c r="G759" i="4"/>
  <c r="H759" i="4"/>
  <c r="I759" i="4"/>
  <c r="J759" i="4"/>
  <c r="K759" i="4"/>
  <c r="B760" i="4"/>
  <c r="C760" i="4"/>
  <c r="D760" i="4"/>
  <c r="E760" i="4"/>
  <c r="F760" i="4"/>
  <c r="G760" i="4"/>
  <c r="H760" i="4"/>
  <c r="I760" i="4"/>
  <c r="J760" i="4"/>
  <c r="K760" i="4"/>
  <c r="B761" i="4"/>
  <c r="C761" i="4"/>
  <c r="D761" i="4"/>
  <c r="E761" i="4"/>
  <c r="F761" i="4"/>
  <c r="G761" i="4"/>
  <c r="H761" i="4"/>
  <c r="I761" i="4"/>
  <c r="J761" i="4"/>
  <c r="K761" i="4"/>
  <c r="B762" i="4"/>
  <c r="C762" i="4"/>
  <c r="D762" i="4"/>
  <c r="E762" i="4"/>
  <c r="F762" i="4"/>
  <c r="G762" i="4"/>
  <c r="H762" i="4"/>
  <c r="I762" i="4"/>
  <c r="J762" i="4"/>
  <c r="K762" i="4"/>
  <c r="B763" i="4"/>
  <c r="C763" i="4"/>
  <c r="D763" i="4"/>
  <c r="E763" i="4"/>
  <c r="F763" i="4"/>
  <c r="G763" i="4"/>
  <c r="H763" i="4"/>
  <c r="I763" i="4"/>
  <c r="J763" i="4"/>
  <c r="K763" i="4"/>
  <c r="B764" i="4"/>
  <c r="C764" i="4"/>
  <c r="D764" i="4"/>
  <c r="E764" i="4"/>
  <c r="F764" i="4"/>
  <c r="G764" i="4"/>
  <c r="H764" i="4"/>
  <c r="I764" i="4"/>
  <c r="J764" i="4"/>
  <c r="K764" i="4"/>
  <c r="B765" i="4"/>
  <c r="C765" i="4"/>
  <c r="D765" i="4"/>
  <c r="E765" i="4"/>
  <c r="F765" i="4"/>
  <c r="G765" i="4"/>
  <c r="H765" i="4"/>
  <c r="I765" i="4"/>
  <c r="J765" i="4"/>
  <c r="K765" i="4"/>
  <c r="B766" i="4"/>
  <c r="C766" i="4"/>
  <c r="D766" i="4"/>
  <c r="E766" i="4"/>
  <c r="F766" i="4"/>
  <c r="G766" i="4"/>
  <c r="H766" i="4"/>
  <c r="I766" i="4"/>
  <c r="J766" i="4"/>
  <c r="K766" i="4"/>
  <c r="B767" i="4"/>
  <c r="C767" i="4"/>
  <c r="D767" i="4"/>
  <c r="E767" i="4"/>
  <c r="F767" i="4"/>
  <c r="G767" i="4"/>
  <c r="H767" i="4"/>
  <c r="I767" i="4"/>
  <c r="J767" i="4"/>
  <c r="K767" i="4"/>
  <c r="B768" i="4"/>
  <c r="C768" i="4"/>
  <c r="D768" i="4"/>
  <c r="E768" i="4"/>
  <c r="F768" i="4"/>
  <c r="G768" i="4"/>
  <c r="H768" i="4"/>
  <c r="I768" i="4"/>
  <c r="J768" i="4"/>
  <c r="K768" i="4"/>
  <c r="B769" i="4"/>
  <c r="C769" i="4"/>
  <c r="D769" i="4"/>
  <c r="E769" i="4"/>
  <c r="F769" i="4"/>
  <c r="G769" i="4"/>
  <c r="H769" i="4"/>
  <c r="I769" i="4"/>
  <c r="J769" i="4"/>
  <c r="K769" i="4"/>
  <c r="B770" i="4"/>
  <c r="C770" i="4"/>
  <c r="D770" i="4"/>
  <c r="E770" i="4"/>
  <c r="F770" i="4"/>
  <c r="G770" i="4"/>
  <c r="H770" i="4"/>
  <c r="I770" i="4"/>
  <c r="J770" i="4"/>
  <c r="K770" i="4"/>
  <c r="B771" i="4"/>
  <c r="C771" i="4"/>
  <c r="D771" i="4"/>
  <c r="E771" i="4"/>
  <c r="F771" i="4"/>
  <c r="G771" i="4"/>
  <c r="H771" i="4"/>
  <c r="I771" i="4"/>
  <c r="J771" i="4"/>
  <c r="K771" i="4"/>
  <c r="B772" i="4"/>
  <c r="C772" i="4"/>
  <c r="D772" i="4"/>
  <c r="E772" i="4"/>
  <c r="F772" i="4"/>
  <c r="G772" i="4"/>
  <c r="H772" i="4"/>
  <c r="I772" i="4"/>
  <c r="J772" i="4"/>
  <c r="K772" i="4"/>
  <c r="B773" i="4"/>
  <c r="C773" i="4"/>
  <c r="D773" i="4"/>
  <c r="E773" i="4"/>
  <c r="F773" i="4"/>
  <c r="G773" i="4"/>
  <c r="H773" i="4"/>
  <c r="I773" i="4"/>
  <c r="J773" i="4"/>
  <c r="K773" i="4"/>
  <c r="B774" i="4"/>
  <c r="C774" i="4"/>
  <c r="D774" i="4"/>
  <c r="E774" i="4"/>
  <c r="F774" i="4"/>
  <c r="G774" i="4"/>
  <c r="H774" i="4"/>
  <c r="I774" i="4"/>
  <c r="J774" i="4"/>
  <c r="K774" i="4"/>
  <c r="B775" i="4"/>
  <c r="C775" i="4"/>
  <c r="D775" i="4"/>
  <c r="E775" i="4"/>
  <c r="F775" i="4"/>
  <c r="G775" i="4"/>
  <c r="H775" i="4"/>
  <c r="I775" i="4"/>
  <c r="J775" i="4"/>
  <c r="K775" i="4"/>
  <c r="B776" i="4"/>
  <c r="C776" i="4"/>
  <c r="D776" i="4"/>
  <c r="E776" i="4"/>
  <c r="F776" i="4"/>
  <c r="G776" i="4"/>
  <c r="H776" i="4"/>
  <c r="I776" i="4"/>
  <c r="J776" i="4"/>
  <c r="K776" i="4"/>
  <c r="B777" i="4"/>
  <c r="C777" i="4"/>
  <c r="D777" i="4"/>
  <c r="E777" i="4"/>
  <c r="F777" i="4"/>
  <c r="G777" i="4"/>
  <c r="H777" i="4"/>
  <c r="I777" i="4"/>
  <c r="J777" i="4"/>
  <c r="K777" i="4"/>
  <c r="B778" i="4"/>
  <c r="C778" i="4"/>
  <c r="D778" i="4"/>
  <c r="E778" i="4"/>
  <c r="F778" i="4"/>
  <c r="G778" i="4"/>
  <c r="H778" i="4"/>
  <c r="I778" i="4"/>
  <c r="J778" i="4"/>
  <c r="K778" i="4"/>
  <c r="B779" i="4"/>
  <c r="C779" i="4"/>
  <c r="D779" i="4"/>
  <c r="E779" i="4"/>
  <c r="F779" i="4"/>
  <c r="G779" i="4"/>
  <c r="H779" i="4"/>
  <c r="I779" i="4"/>
  <c r="J779" i="4"/>
  <c r="K779" i="4"/>
  <c r="B780" i="4"/>
  <c r="C780" i="4"/>
  <c r="D780" i="4"/>
  <c r="E780" i="4"/>
  <c r="F780" i="4"/>
  <c r="G780" i="4"/>
  <c r="H780" i="4"/>
  <c r="I780" i="4"/>
  <c r="J780" i="4"/>
  <c r="K780" i="4"/>
  <c r="B781" i="4"/>
  <c r="C781" i="4"/>
  <c r="D781" i="4"/>
  <c r="E781" i="4"/>
  <c r="F781" i="4"/>
  <c r="G781" i="4"/>
  <c r="H781" i="4"/>
  <c r="I781" i="4"/>
  <c r="J781" i="4"/>
  <c r="K781" i="4"/>
  <c r="B782" i="4"/>
  <c r="C782" i="4"/>
  <c r="D782" i="4"/>
  <c r="E782" i="4"/>
  <c r="F782" i="4"/>
  <c r="G782" i="4"/>
  <c r="H782" i="4"/>
  <c r="I782" i="4"/>
  <c r="J782" i="4"/>
  <c r="K782" i="4"/>
  <c r="B783" i="4"/>
  <c r="C783" i="4"/>
  <c r="D783" i="4"/>
  <c r="E783" i="4"/>
  <c r="F783" i="4"/>
  <c r="G783" i="4"/>
  <c r="H783" i="4"/>
  <c r="I783" i="4"/>
  <c r="J783" i="4"/>
  <c r="K783" i="4"/>
  <c r="B784" i="4"/>
  <c r="C784" i="4"/>
  <c r="D784" i="4"/>
  <c r="E784" i="4"/>
  <c r="F784" i="4"/>
  <c r="G784" i="4"/>
  <c r="H784" i="4"/>
  <c r="I784" i="4"/>
  <c r="J784" i="4"/>
  <c r="K784" i="4"/>
  <c r="B785" i="4"/>
  <c r="C785" i="4"/>
  <c r="D785" i="4"/>
  <c r="E785" i="4"/>
  <c r="F785" i="4"/>
  <c r="G785" i="4"/>
  <c r="H785" i="4"/>
  <c r="I785" i="4"/>
  <c r="J785" i="4"/>
  <c r="K785" i="4"/>
  <c r="B786" i="4"/>
  <c r="C786" i="4"/>
  <c r="D786" i="4"/>
  <c r="E786" i="4"/>
  <c r="F786" i="4"/>
  <c r="G786" i="4"/>
  <c r="H786" i="4"/>
  <c r="I786" i="4"/>
  <c r="J786" i="4"/>
  <c r="K786" i="4"/>
  <c r="B787" i="4"/>
  <c r="C787" i="4"/>
  <c r="D787" i="4"/>
  <c r="E787" i="4"/>
  <c r="F787" i="4"/>
  <c r="G787" i="4"/>
  <c r="H787" i="4"/>
  <c r="I787" i="4"/>
  <c r="J787" i="4"/>
  <c r="K787" i="4"/>
  <c r="B788" i="4"/>
  <c r="C788" i="4"/>
  <c r="D788" i="4"/>
  <c r="E788" i="4"/>
  <c r="F788" i="4"/>
  <c r="G788" i="4"/>
  <c r="H788" i="4"/>
  <c r="I788" i="4"/>
  <c r="J788" i="4"/>
  <c r="K788" i="4"/>
  <c r="B789" i="4"/>
  <c r="C789" i="4"/>
  <c r="D789" i="4"/>
  <c r="E789" i="4"/>
  <c r="F789" i="4"/>
  <c r="G789" i="4"/>
  <c r="H789" i="4"/>
  <c r="I789" i="4"/>
  <c r="J789" i="4"/>
  <c r="K789" i="4"/>
  <c r="B790" i="4"/>
  <c r="C790" i="4"/>
  <c r="D790" i="4"/>
  <c r="E790" i="4"/>
  <c r="F790" i="4"/>
  <c r="G790" i="4"/>
  <c r="H790" i="4"/>
  <c r="I790" i="4"/>
  <c r="J790" i="4"/>
  <c r="K790" i="4"/>
  <c r="B791" i="4"/>
  <c r="C791" i="4"/>
  <c r="D791" i="4"/>
  <c r="E791" i="4"/>
  <c r="F791" i="4"/>
  <c r="G791" i="4"/>
  <c r="H791" i="4"/>
  <c r="I791" i="4"/>
  <c r="J791" i="4"/>
  <c r="K791" i="4"/>
  <c r="B792" i="4"/>
  <c r="C792" i="4"/>
  <c r="D792" i="4"/>
  <c r="E792" i="4"/>
  <c r="F792" i="4"/>
  <c r="G792" i="4"/>
  <c r="H792" i="4"/>
  <c r="I792" i="4"/>
  <c r="J792" i="4"/>
  <c r="K792" i="4"/>
  <c r="B793" i="4"/>
  <c r="C793" i="4"/>
  <c r="D793" i="4"/>
  <c r="E793" i="4"/>
  <c r="F793" i="4"/>
  <c r="G793" i="4"/>
  <c r="H793" i="4"/>
  <c r="I793" i="4"/>
  <c r="J793" i="4"/>
  <c r="K793" i="4"/>
  <c r="B794" i="4"/>
  <c r="C794" i="4"/>
  <c r="D794" i="4"/>
  <c r="E794" i="4"/>
  <c r="F794" i="4"/>
  <c r="G794" i="4"/>
  <c r="H794" i="4"/>
  <c r="I794" i="4"/>
  <c r="J794" i="4"/>
  <c r="K794" i="4"/>
  <c r="B795" i="4"/>
  <c r="C795" i="4"/>
  <c r="D795" i="4"/>
  <c r="E795" i="4"/>
  <c r="F795" i="4"/>
  <c r="G795" i="4"/>
  <c r="H795" i="4"/>
  <c r="I795" i="4"/>
  <c r="J795" i="4"/>
  <c r="K795" i="4"/>
  <c r="B796" i="4"/>
  <c r="C796" i="4"/>
  <c r="D796" i="4"/>
  <c r="E796" i="4"/>
  <c r="F796" i="4"/>
  <c r="G796" i="4"/>
  <c r="H796" i="4"/>
  <c r="I796" i="4"/>
  <c r="J796" i="4"/>
  <c r="K796" i="4"/>
  <c r="B797" i="4"/>
  <c r="C797" i="4"/>
  <c r="D797" i="4"/>
  <c r="E797" i="4"/>
  <c r="F797" i="4"/>
  <c r="G797" i="4"/>
  <c r="H797" i="4"/>
  <c r="I797" i="4"/>
  <c r="J797" i="4"/>
  <c r="K797" i="4"/>
  <c r="B798" i="4"/>
  <c r="C798" i="4"/>
  <c r="D798" i="4"/>
  <c r="E798" i="4"/>
  <c r="F798" i="4"/>
  <c r="G798" i="4"/>
  <c r="H798" i="4"/>
  <c r="I798" i="4"/>
  <c r="J798" i="4"/>
  <c r="K798" i="4"/>
  <c r="B799" i="4"/>
  <c r="C799" i="4"/>
  <c r="D799" i="4"/>
  <c r="E799" i="4"/>
  <c r="F799" i="4"/>
  <c r="G799" i="4"/>
  <c r="H799" i="4"/>
  <c r="I799" i="4"/>
  <c r="J799" i="4"/>
  <c r="K799" i="4"/>
  <c r="B800" i="4"/>
  <c r="C800" i="4"/>
  <c r="D800" i="4"/>
  <c r="E800" i="4"/>
  <c r="F800" i="4"/>
  <c r="G800" i="4"/>
  <c r="H800" i="4"/>
  <c r="I800" i="4"/>
  <c r="J800" i="4"/>
  <c r="K800" i="4"/>
  <c r="B801" i="4"/>
  <c r="C801" i="4"/>
  <c r="D801" i="4"/>
  <c r="E801" i="4"/>
  <c r="F801" i="4"/>
  <c r="G801" i="4"/>
  <c r="H801" i="4"/>
  <c r="I801" i="4"/>
  <c r="J801" i="4"/>
  <c r="K801" i="4"/>
  <c r="B802" i="4"/>
  <c r="C802" i="4"/>
  <c r="D802" i="4"/>
  <c r="E802" i="4"/>
  <c r="F802" i="4"/>
  <c r="G802" i="4"/>
  <c r="H802" i="4"/>
  <c r="I802" i="4"/>
  <c r="J802" i="4"/>
  <c r="K802" i="4"/>
  <c r="B803" i="4"/>
  <c r="C803" i="4"/>
  <c r="D803" i="4"/>
  <c r="E803" i="4"/>
  <c r="F803" i="4"/>
  <c r="G803" i="4"/>
  <c r="H803" i="4"/>
  <c r="I803" i="4"/>
  <c r="J803" i="4"/>
  <c r="K803" i="4"/>
  <c r="B804" i="4"/>
  <c r="C804" i="4"/>
  <c r="D804" i="4"/>
  <c r="E804" i="4"/>
  <c r="F804" i="4"/>
  <c r="G804" i="4"/>
  <c r="H804" i="4"/>
  <c r="I804" i="4"/>
  <c r="J804" i="4"/>
  <c r="K804" i="4"/>
  <c r="B805" i="4"/>
  <c r="C805" i="4"/>
  <c r="D805" i="4"/>
  <c r="E805" i="4"/>
  <c r="F805" i="4"/>
  <c r="G805" i="4"/>
  <c r="H805" i="4"/>
  <c r="I805" i="4"/>
  <c r="J805" i="4"/>
  <c r="K805" i="4"/>
  <c r="B806" i="4"/>
  <c r="C806" i="4"/>
  <c r="D806" i="4"/>
  <c r="E806" i="4"/>
  <c r="F806" i="4"/>
  <c r="G806" i="4"/>
  <c r="H806" i="4"/>
  <c r="I806" i="4"/>
  <c r="J806" i="4"/>
  <c r="K806" i="4"/>
  <c r="B807" i="4"/>
  <c r="C807" i="4"/>
  <c r="D807" i="4"/>
  <c r="E807" i="4"/>
  <c r="F807" i="4"/>
  <c r="G807" i="4"/>
  <c r="H807" i="4"/>
  <c r="I807" i="4"/>
  <c r="J807" i="4"/>
  <c r="K807" i="4"/>
  <c r="B808" i="4"/>
  <c r="C808" i="4"/>
  <c r="D808" i="4"/>
  <c r="E808" i="4"/>
  <c r="F808" i="4"/>
  <c r="G808" i="4"/>
  <c r="H808" i="4"/>
  <c r="I808" i="4"/>
  <c r="J808" i="4"/>
  <c r="K808" i="4"/>
  <c r="B809" i="4"/>
  <c r="C809" i="4"/>
  <c r="D809" i="4"/>
  <c r="E809" i="4"/>
  <c r="F809" i="4"/>
  <c r="G809" i="4"/>
  <c r="H809" i="4"/>
  <c r="I809" i="4"/>
  <c r="J809" i="4"/>
  <c r="K809" i="4"/>
  <c r="B810" i="4"/>
  <c r="C810" i="4"/>
  <c r="D810" i="4"/>
  <c r="E810" i="4"/>
  <c r="F810" i="4"/>
  <c r="G810" i="4"/>
  <c r="H810" i="4"/>
  <c r="I810" i="4"/>
  <c r="J810" i="4"/>
  <c r="K810" i="4"/>
  <c r="B811" i="4"/>
  <c r="C811" i="4"/>
  <c r="D811" i="4"/>
  <c r="E811" i="4"/>
  <c r="F811" i="4"/>
  <c r="G811" i="4"/>
  <c r="H811" i="4"/>
  <c r="I811" i="4"/>
  <c r="J811" i="4"/>
  <c r="K811" i="4"/>
  <c r="B812" i="4"/>
  <c r="C812" i="4"/>
  <c r="D812" i="4"/>
  <c r="E812" i="4"/>
  <c r="F812" i="4"/>
  <c r="G812" i="4"/>
  <c r="H812" i="4"/>
  <c r="I812" i="4"/>
  <c r="J812" i="4"/>
  <c r="K812" i="4"/>
  <c r="B813" i="4"/>
  <c r="C813" i="4"/>
  <c r="D813" i="4"/>
  <c r="E813" i="4"/>
  <c r="F813" i="4"/>
  <c r="G813" i="4"/>
  <c r="H813" i="4"/>
  <c r="I813" i="4"/>
  <c r="J813" i="4"/>
  <c r="K813" i="4"/>
  <c r="B814" i="4"/>
  <c r="C814" i="4"/>
  <c r="D814" i="4"/>
  <c r="E814" i="4"/>
  <c r="F814" i="4"/>
  <c r="G814" i="4"/>
  <c r="H814" i="4"/>
  <c r="I814" i="4"/>
  <c r="J814" i="4"/>
  <c r="K814" i="4"/>
  <c r="B815" i="4"/>
  <c r="C815" i="4"/>
  <c r="D815" i="4"/>
  <c r="E815" i="4"/>
  <c r="F815" i="4"/>
  <c r="G815" i="4"/>
  <c r="H815" i="4"/>
  <c r="I815" i="4"/>
  <c r="J815" i="4"/>
  <c r="K815" i="4"/>
  <c r="B816" i="4"/>
  <c r="C816" i="4"/>
  <c r="D816" i="4"/>
  <c r="E816" i="4"/>
  <c r="F816" i="4"/>
  <c r="G816" i="4"/>
  <c r="H816" i="4"/>
  <c r="I816" i="4"/>
  <c r="J816" i="4"/>
  <c r="K816" i="4"/>
  <c r="B817" i="4"/>
  <c r="C817" i="4"/>
  <c r="D817" i="4"/>
  <c r="E817" i="4"/>
  <c r="F817" i="4"/>
  <c r="G817" i="4"/>
  <c r="H817" i="4"/>
  <c r="I817" i="4"/>
  <c r="J817" i="4"/>
  <c r="K817" i="4"/>
  <c r="B818" i="4"/>
  <c r="C818" i="4"/>
  <c r="D818" i="4"/>
  <c r="E818" i="4"/>
  <c r="F818" i="4"/>
  <c r="G818" i="4"/>
  <c r="H818" i="4"/>
  <c r="I818" i="4"/>
  <c r="J818" i="4"/>
  <c r="K818" i="4"/>
  <c r="B819" i="4"/>
  <c r="C819" i="4"/>
  <c r="D819" i="4"/>
  <c r="E819" i="4"/>
  <c r="F819" i="4"/>
  <c r="G819" i="4"/>
  <c r="H819" i="4"/>
  <c r="I819" i="4"/>
  <c r="J819" i="4"/>
  <c r="K819" i="4"/>
  <c r="B820" i="4"/>
  <c r="C820" i="4"/>
  <c r="D820" i="4"/>
  <c r="E820" i="4"/>
  <c r="F820" i="4"/>
  <c r="G820" i="4"/>
  <c r="H820" i="4"/>
  <c r="I820" i="4"/>
  <c r="J820" i="4"/>
  <c r="K820" i="4"/>
  <c r="B821" i="4"/>
  <c r="C821" i="4"/>
  <c r="D821" i="4"/>
  <c r="E821" i="4"/>
  <c r="F821" i="4"/>
  <c r="G821" i="4"/>
  <c r="H821" i="4"/>
  <c r="I821" i="4"/>
  <c r="J821" i="4"/>
  <c r="K821" i="4"/>
  <c r="B822" i="4"/>
  <c r="C822" i="4"/>
  <c r="D822" i="4"/>
  <c r="E822" i="4"/>
  <c r="F822" i="4"/>
  <c r="G822" i="4"/>
  <c r="H822" i="4"/>
  <c r="I822" i="4"/>
  <c r="J822" i="4"/>
  <c r="K822" i="4"/>
  <c r="B823" i="4"/>
  <c r="C823" i="4"/>
  <c r="D823" i="4"/>
  <c r="E823" i="4"/>
  <c r="F823" i="4"/>
  <c r="G823" i="4"/>
  <c r="H823" i="4"/>
  <c r="I823" i="4"/>
  <c r="J823" i="4"/>
  <c r="K823" i="4"/>
  <c r="B824" i="4"/>
  <c r="C824" i="4"/>
  <c r="D824" i="4"/>
  <c r="E824" i="4"/>
  <c r="F824" i="4"/>
  <c r="G824" i="4"/>
  <c r="H824" i="4"/>
  <c r="I824" i="4"/>
  <c r="J824" i="4"/>
  <c r="K824" i="4"/>
  <c r="B825" i="4"/>
  <c r="C825" i="4"/>
  <c r="D825" i="4"/>
  <c r="E825" i="4"/>
  <c r="F825" i="4"/>
  <c r="G825" i="4"/>
  <c r="H825" i="4"/>
  <c r="I825" i="4"/>
  <c r="J825" i="4"/>
  <c r="K825" i="4"/>
  <c r="B826" i="4"/>
  <c r="C826" i="4"/>
  <c r="D826" i="4"/>
  <c r="E826" i="4"/>
  <c r="F826" i="4"/>
  <c r="G826" i="4"/>
  <c r="H826" i="4"/>
  <c r="I826" i="4"/>
  <c r="J826" i="4"/>
  <c r="K826" i="4"/>
  <c r="B827" i="4"/>
  <c r="C827" i="4"/>
  <c r="D827" i="4"/>
  <c r="E827" i="4"/>
  <c r="F827" i="4"/>
  <c r="G827" i="4"/>
  <c r="H827" i="4"/>
  <c r="I827" i="4"/>
  <c r="J827" i="4"/>
  <c r="K827" i="4"/>
  <c r="B828" i="4"/>
  <c r="C828" i="4"/>
  <c r="D828" i="4"/>
  <c r="E828" i="4"/>
  <c r="F828" i="4"/>
  <c r="G828" i="4"/>
  <c r="H828" i="4"/>
  <c r="I828" i="4"/>
  <c r="J828" i="4"/>
  <c r="K828" i="4"/>
  <c r="B829" i="4"/>
  <c r="C829" i="4"/>
  <c r="D829" i="4"/>
  <c r="E829" i="4"/>
  <c r="F829" i="4"/>
  <c r="G829" i="4"/>
  <c r="H829" i="4"/>
  <c r="I829" i="4"/>
  <c r="J829" i="4"/>
  <c r="K829" i="4"/>
  <c r="B830" i="4"/>
  <c r="C830" i="4"/>
  <c r="D830" i="4"/>
  <c r="E830" i="4"/>
  <c r="F830" i="4"/>
  <c r="G830" i="4"/>
  <c r="H830" i="4"/>
  <c r="I830" i="4"/>
  <c r="J830" i="4"/>
  <c r="K830" i="4"/>
  <c r="B831" i="4"/>
  <c r="C831" i="4"/>
  <c r="D831" i="4"/>
  <c r="E831" i="4"/>
  <c r="F831" i="4"/>
  <c r="G831" i="4"/>
  <c r="H831" i="4"/>
  <c r="I831" i="4"/>
  <c r="J831" i="4"/>
  <c r="K831" i="4"/>
  <c r="B832" i="4"/>
  <c r="C832" i="4"/>
  <c r="D832" i="4"/>
  <c r="E832" i="4"/>
  <c r="F832" i="4"/>
  <c r="G832" i="4"/>
  <c r="H832" i="4"/>
  <c r="I832" i="4"/>
  <c r="J832" i="4"/>
  <c r="K832" i="4"/>
  <c r="B833" i="4"/>
  <c r="C833" i="4"/>
  <c r="D833" i="4"/>
  <c r="E833" i="4"/>
  <c r="F833" i="4"/>
  <c r="G833" i="4"/>
  <c r="H833" i="4"/>
  <c r="I833" i="4"/>
  <c r="J833" i="4"/>
  <c r="K833" i="4"/>
  <c r="B834" i="4"/>
  <c r="C834" i="4"/>
  <c r="D834" i="4"/>
  <c r="E834" i="4"/>
  <c r="F834" i="4"/>
  <c r="G834" i="4"/>
  <c r="H834" i="4"/>
  <c r="I834" i="4"/>
  <c r="J834" i="4"/>
  <c r="K834" i="4"/>
  <c r="B835" i="4"/>
  <c r="C835" i="4"/>
  <c r="D835" i="4"/>
  <c r="E835" i="4"/>
  <c r="F835" i="4"/>
  <c r="G835" i="4"/>
  <c r="H835" i="4"/>
  <c r="I835" i="4"/>
  <c r="J835" i="4"/>
  <c r="K835" i="4"/>
  <c r="B836" i="4"/>
  <c r="C836" i="4"/>
  <c r="D836" i="4"/>
  <c r="E836" i="4"/>
  <c r="F836" i="4"/>
  <c r="G836" i="4"/>
  <c r="H836" i="4"/>
  <c r="I836" i="4"/>
  <c r="J836" i="4"/>
  <c r="K836" i="4"/>
  <c r="B837" i="4"/>
  <c r="C837" i="4"/>
  <c r="D837" i="4"/>
  <c r="E837" i="4"/>
  <c r="F837" i="4"/>
  <c r="G837" i="4"/>
  <c r="H837" i="4"/>
  <c r="I837" i="4"/>
  <c r="J837" i="4"/>
  <c r="K837" i="4"/>
  <c r="B838" i="4"/>
  <c r="C838" i="4"/>
  <c r="D838" i="4"/>
  <c r="E838" i="4"/>
  <c r="F838" i="4"/>
  <c r="G838" i="4"/>
  <c r="H838" i="4"/>
  <c r="I838" i="4"/>
  <c r="J838" i="4"/>
  <c r="K838" i="4"/>
  <c r="B839" i="4"/>
  <c r="C839" i="4"/>
  <c r="D839" i="4"/>
  <c r="E839" i="4"/>
  <c r="F839" i="4"/>
  <c r="G839" i="4"/>
  <c r="H839" i="4"/>
  <c r="I839" i="4"/>
  <c r="J839" i="4"/>
  <c r="K839" i="4"/>
  <c r="B840" i="4"/>
  <c r="C840" i="4"/>
  <c r="D840" i="4"/>
  <c r="E840" i="4"/>
  <c r="F840" i="4"/>
  <c r="G840" i="4"/>
  <c r="H840" i="4"/>
  <c r="I840" i="4"/>
  <c r="J840" i="4"/>
  <c r="K840" i="4"/>
  <c r="B841" i="4"/>
  <c r="C841" i="4"/>
  <c r="D841" i="4"/>
  <c r="E841" i="4"/>
  <c r="F841" i="4"/>
  <c r="G841" i="4"/>
  <c r="H841" i="4"/>
  <c r="I841" i="4"/>
  <c r="J841" i="4"/>
  <c r="K841" i="4"/>
  <c r="B842" i="4"/>
  <c r="C842" i="4"/>
  <c r="D842" i="4"/>
  <c r="E842" i="4"/>
  <c r="F842" i="4"/>
  <c r="G842" i="4"/>
  <c r="H842" i="4"/>
  <c r="I842" i="4"/>
  <c r="J842" i="4"/>
  <c r="K842" i="4"/>
  <c r="B843" i="4"/>
  <c r="C843" i="4"/>
  <c r="D843" i="4"/>
  <c r="E843" i="4"/>
  <c r="F843" i="4"/>
  <c r="G843" i="4"/>
  <c r="H843" i="4"/>
  <c r="I843" i="4"/>
  <c r="J843" i="4"/>
  <c r="K843" i="4"/>
  <c r="B844" i="4"/>
  <c r="C844" i="4"/>
  <c r="D844" i="4"/>
  <c r="E844" i="4"/>
  <c r="F844" i="4"/>
  <c r="G844" i="4"/>
  <c r="H844" i="4"/>
  <c r="I844" i="4"/>
  <c r="J844" i="4"/>
  <c r="K844" i="4"/>
  <c r="B845" i="4"/>
  <c r="C845" i="4"/>
  <c r="D845" i="4"/>
  <c r="E845" i="4"/>
  <c r="F845" i="4"/>
  <c r="G845" i="4"/>
  <c r="H845" i="4"/>
  <c r="I845" i="4"/>
  <c r="J845" i="4"/>
  <c r="K845" i="4"/>
  <c r="B846" i="4"/>
  <c r="C846" i="4"/>
  <c r="D846" i="4"/>
  <c r="E846" i="4"/>
  <c r="F846" i="4"/>
  <c r="G846" i="4"/>
  <c r="H846" i="4"/>
  <c r="I846" i="4"/>
  <c r="J846" i="4"/>
  <c r="K846" i="4"/>
  <c r="B847" i="4"/>
  <c r="C847" i="4"/>
  <c r="D847" i="4"/>
  <c r="E847" i="4"/>
  <c r="F847" i="4"/>
  <c r="G847" i="4"/>
  <c r="H847" i="4"/>
  <c r="I847" i="4"/>
  <c r="J847" i="4"/>
  <c r="K847" i="4"/>
  <c r="B848" i="4"/>
  <c r="C848" i="4"/>
  <c r="D848" i="4"/>
  <c r="E848" i="4"/>
  <c r="F848" i="4"/>
  <c r="G848" i="4"/>
  <c r="H848" i="4"/>
  <c r="I848" i="4"/>
  <c r="J848" i="4"/>
  <c r="K848" i="4"/>
  <c r="B849" i="4"/>
  <c r="C849" i="4"/>
  <c r="D849" i="4"/>
  <c r="E849" i="4"/>
  <c r="F849" i="4"/>
  <c r="G849" i="4"/>
  <c r="H849" i="4"/>
  <c r="I849" i="4"/>
  <c r="J849" i="4"/>
  <c r="K849" i="4"/>
  <c r="B850" i="4"/>
  <c r="C850" i="4"/>
  <c r="D850" i="4"/>
  <c r="E850" i="4"/>
  <c r="F850" i="4"/>
  <c r="G850" i="4"/>
  <c r="H850" i="4"/>
  <c r="I850" i="4"/>
  <c r="J850" i="4"/>
  <c r="K850" i="4"/>
  <c r="B851" i="4"/>
  <c r="C851" i="4"/>
  <c r="D851" i="4"/>
  <c r="E851" i="4"/>
  <c r="F851" i="4"/>
  <c r="G851" i="4"/>
  <c r="H851" i="4"/>
  <c r="I851" i="4"/>
  <c r="J851" i="4"/>
  <c r="K851" i="4"/>
  <c r="B852" i="4"/>
  <c r="C852" i="4"/>
  <c r="D852" i="4"/>
  <c r="E852" i="4"/>
  <c r="F852" i="4"/>
  <c r="G852" i="4"/>
  <c r="H852" i="4"/>
  <c r="I852" i="4"/>
  <c r="J852" i="4"/>
  <c r="K852" i="4"/>
  <c r="B853" i="4"/>
  <c r="C853" i="4"/>
  <c r="D853" i="4"/>
  <c r="E853" i="4"/>
  <c r="F853" i="4"/>
  <c r="G853" i="4"/>
  <c r="H853" i="4"/>
  <c r="I853" i="4"/>
  <c r="J853" i="4"/>
  <c r="K853" i="4"/>
  <c r="B854" i="4"/>
  <c r="C854" i="4"/>
  <c r="D854" i="4"/>
  <c r="E854" i="4"/>
  <c r="F854" i="4"/>
  <c r="G854" i="4"/>
  <c r="H854" i="4"/>
  <c r="I854" i="4"/>
  <c r="J854" i="4"/>
  <c r="K854" i="4"/>
  <c r="B855" i="4"/>
  <c r="C855" i="4"/>
  <c r="D855" i="4"/>
  <c r="E855" i="4"/>
  <c r="F855" i="4"/>
  <c r="G855" i="4"/>
  <c r="H855" i="4"/>
  <c r="I855" i="4"/>
  <c r="J855" i="4"/>
  <c r="K855" i="4"/>
  <c r="B856" i="4"/>
  <c r="C856" i="4"/>
  <c r="D856" i="4"/>
  <c r="E856" i="4"/>
  <c r="F856" i="4"/>
  <c r="G856" i="4"/>
  <c r="H856" i="4"/>
  <c r="I856" i="4"/>
  <c r="J856" i="4"/>
  <c r="K856" i="4"/>
  <c r="B857" i="4"/>
  <c r="C857" i="4"/>
  <c r="D857" i="4"/>
  <c r="E857" i="4"/>
  <c r="F857" i="4"/>
  <c r="G857" i="4"/>
  <c r="H857" i="4"/>
  <c r="I857" i="4"/>
  <c r="J857" i="4"/>
  <c r="K857" i="4"/>
  <c r="B858" i="4"/>
  <c r="C858" i="4"/>
  <c r="D858" i="4"/>
  <c r="E858" i="4"/>
  <c r="F858" i="4"/>
  <c r="G858" i="4"/>
  <c r="H858" i="4"/>
  <c r="I858" i="4"/>
  <c r="J858" i="4"/>
  <c r="K858" i="4"/>
  <c r="B859" i="4"/>
  <c r="C859" i="4"/>
  <c r="D859" i="4"/>
  <c r="E859" i="4"/>
  <c r="F859" i="4"/>
  <c r="G859" i="4"/>
  <c r="H859" i="4"/>
  <c r="I859" i="4"/>
  <c r="J859" i="4"/>
  <c r="K859" i="4"/>
  <c r="B860" i="4"/>
  <c r="C860" i="4"/>
  <c r="D860" i="4"/>
  <c r="E860" i="4"/>
  <c r="F860" i="4"/>
  <c r="G860" i="4"/>
  <c r="H860" i="4"/>
  <c r="I860" i="4"/>
  <c r="J860" i="4"/>
  <c r="K860" i="4"/>
  <c r="B861" i="4"/>
  <c r="C861" i="4"/>
  <c r="D861" i="4"/>
  <c r="E861" i="4"/>
  <c r="F861" i="4"/>
  <c r="G861" i="4"/>
  <c r="H861" i="4"/>
  <c r="I861" i="4"/>
  <c r="J861" i="4"/>
  <c r="K861" i="4"/>
  <c r="B862" i="4"/>
  <c r="C862" i="4"/>
  <c r="D862" i="4"/>
  <c r="E862" i="4"/>
  <c r="F862" i="4"/>
  <c r="G862" i="4"/>
  <c r="H862" i="4"/>
  <c r="I862" i="4"/>
  <c r="J862" i="4"/>
  <c r="K862" i="4"/>
  <c r="B863" i="4"/>
  <c r="C863" i="4"/>
  <c r="D863" i="4"/>
  <c r="E863" i="4"/>
  <c r="F863" i="4"/>
  <c r="G863" i="4"/>
  <c r="H863" i="4"/>
  <c r="I863" i="4"/>
  <c r="J863" i="4"/>
  <c r="K863" i="4"/>
  <c r="B864" i="4"/>
  <c r="C864" i="4"/>
  <c r="D864" i="4"/>
  <c r="E864" i="4"/>
  <c r="F864" i="4"/>
  <c r="G864" i="4"/>
  <c r="H864" i="4"/>
  <c r="I864" i="4"/>
  <c r="J864" i="4"/>
  <c r="K864" i="4"/>
  <c r="B865" i="4"/>
  <c r="C865" i="4"/>
  <c r="D865" i="4"/>
  <c r="E865" i="4"/>
  <c r="F865" i="4"/>
  <c r="G865" i="4"/>
  <c r="H865" i="4"/>
  <c r="I865" i="4"/>
  <c r="J865" i="4"/>
  <c r="K865" i="4"/>
  <c r="B866" i="4"/>
  <c r="C866" i="4"/>
  <c r="D866" i="4"/>
  <c r="E866" i="4"/>
  <c r="F866" i="4"/>
  <c r="G866" i="4"/>
  <c r="H866" i="4"/>
  <c r="I866" i="4"/>
  <c r="J866" i="4"/>
  <c r="K866" i="4"/>
  <c r="B867" i="4"/>
  <c r="C867" i="4"/>
  <c r="D867" i="4"/>
  <c r="E867" i="4"/>
  <c r="F867" i="4"/>
  <c r="G867" i="4"/>
  <c r="H867" i="4"/>
  <c r="I867" i="4"/>
  <c r="J867" i="4"/>
  <c r="K867" i="4"/>
  <c r="B868" i="4"/>
  <c r="C868" i="4"/>
  <c r="D868" i="4"/>
  <c r="E868" i="4"/>
  <c r="F868" i="4"/>
  <c r="G868" i="4"/>
  <c r="H868" i="4"/>
  <c r="I868" i="4"/>
  <c r="J868" i="4"/>
  <c r="K868" i="4"/>
  <c r="B869" i="4"/>
  <c r="C869" i="4"/>
  <c r="D869" i="4"/>
  <c r="E869" i="4"/>
  <c r="F869" i="4"/>
  <c r="G869" i="4"/>
  <c r="H869" i="4"/>
  <c r="I869" i="4"/>
  <c r="J869" i="4"/>
  <c r="K869" i="4"/>
  <c r="B870" i="4"/>
  <c r="C870" i="4"/>
  <c r="D870" i="4"/>
  <c r="E870" i="4"/>
  <c r="F870" i="4"/>
  <c r="G870" i="4"/>
  <c r="H870" i="4"/>
  <c r="I870" i="4"/>
  <c r="J870" i="4"/>
  <c r="K870" i="4"/>
  <c r="B871" i="4"/>
  <c r="C871" i="4"/>
  <c r="D871" i="4"/>
  <c r="E871" i="4"/>
  <c r="F871" i="4"/>
  <c r="G871" i="4"/>
  <c r="H871" i="4"/>
  <c r="I871" i="4"/>
  <c r="J871" i="4"/>
  <c r="K871" i="4"/>
  <c r="B872" i="4"/>
  <c r="C872" i="4"/>
  <c r="D872" i="4"/>
  <c r="E872" i="4"/>
  <c r="F872" i="4"/>
  <c r="G872" i="4"/>
  <c r="H872" i="4"/>
  <c r="I872" i="4"/>
  <c r="J872" i="4"/>
  <c r="K872" i="4"/>
  <c r="B873" i="4"/>
  <c r="C873" i="4"/>
  <c r="D873" i="4"/>
  <c r="E873" i="4"/>
  <c r="F873" i="4"/>
  <c r="G873" i="4"/>
  <c r="H873" i="4"/>
  <c r="I873" i="4"/>
  <c r="J873" i="4"/>
  <c r="K873" i="4"/>
  <c r="B874" i="4"/>
  <c r="C874" i="4"/>
  <c r="D874" i="4"/>
  <c r="E874" i="4"/>
  <c r="F874" i="4"/>
  <c r="G874" i="4"/>
  <c r="H874" i="4"/>
  <c r="I874" i="4"/>
  <c r="J874" i="4"/>
  <c r="K874" i="4"/>
  <c r="B875" i="4"/>
  <c r="C875" i="4"/>
  <c r="D875" i="4"/>
  <c r="E875" i="4"/>
  <c r="F875" i="4"/>
  <c r="G875" i="4"/>
  <c r="H875" i="4"/>
  <c r="I875" i="4"/>
  <c r="J875" i="4"/>
  <c r="K875" i="4"/>
  <c r="B876" i="4"/>
  <c r="C876" i="4"/>
  <c r="D876" i="4"/>
  <c r="E876" i="4"/>
  <c r="F876" i="4"/>
  <c r="G876" i="4"/>
  <c r="H876" i="4"/>
  <c r="I876" i="4"/>
  <c r="J876" i="4"/>
  <c r="K876" i="4"/>
  <c r="B877" i="4"/>
  <c r="C877" i="4"/>
  <c r="D877" i="4"/>
  <c r="E877" i="4"/>
  <c r="F877" i="4"/>
  <c r="G877" i="4"/>
  <c r="H877" i="4"/>
  <c r="I877" i="4"/>
  <c r="J877" i="4"/>
  <c r="K877" i="4"/>
  <c r="B878" i="4"/>
  <c r="C878" i="4"/>
  <c r="D878" i="4"/>
  <c r="E878" i="4"/>
  <c r="F878" i="4"/>
  <c r="G878" i="4"/>
  <c r="H878" i="4"/>
  <c r="I878" i="4"/>
  <c r="J878" i="4"/>
  <c r="K878" i="4"/>
  <c r="B879" i="4"/>
  <c r="C879" i="4"/>
  <c r="D879" i="4"/>
  <c r="E879" i="4"/>
  <c r="F879" i="4"/>
  <c r="G879" i="4"/>
  <c r="H879" i="4"/>
  <c r="I879" i="4"/>
  <c r="J879" i="4"/>
  <c r="K879" i="4"/>
  <c r="B880" i="4"/>
  <c r="C880" i="4"/>
  <c r="D880" i="4"/>
  <c r="E880" i="4"/>
  <c r="F880" i="4"/>
  <c r="G880" i="4"/>
  <c r="H880" i="4"/>
  <c r="I880" i="4"/>
  <c r="J880" i="4"/>
  <c r="K880" i="4"/>
  <c r="B881" i="4"/>
  <c r="C881" i="4"/>
  <c r="D881" i="4"/>
  <c r="E881" i="4"/>
  <c r="F881" i="4"/>
  <c r="G881" i="4"/>
  <c r="H881" i="4"/>
  <c r="I881" i="4"/>
  <c r="J881" i="4"/>
  <c r="K881" i="4"/>
  <c r="B882" i="4"/>
  <c r="C882" i="4"/>
  <c r="D882" i="4"/>
  <c r="E882" i="4"/>
  <c r="F882" i="4"/>
  <c r="G882" i="4"/>
  <c r="H882" i="4"/>
  <c r="I882" i="4"/>
  <c r="J882" i="4"/>
  <c r="K882" i="4"/>
  <c r="B883" i="4"/>
  <c r="C883" i="4"/>
  <c r="D883" i="4"/>
  <c r="E883" i="4"/>
  <c r="F883" i="4"/>
  <c r="G883" i="4"/>
  <c r="H883" i="4"/>
  <c r="I883" i="4"/>
  <c r="J883" i="4"/>
  <c r="K883" i="4"/>
  <c r="B884" i="4"/>
  <c r="C884" i="4"/>
  <c r="D884" i="4"/>
  <c r="E884" i="4"/>
  <c r="F884" i="4"/>
  <c r="G884" i="4"/>
  <c r="H884" i="4"/>
  <c r="I884" i="4"/>
  <c r="J884" i="4"/>
  <c r="K884" i="4"/>
  <c r="B885" i="4"/>
  <c r="C885" i="4"/>
  <c r="D885" i="4"/>
  <c r="E885" i="4"/>
  <c r="F885" i="4"/>
  <c r="G885" i="4"/>
  <c r="H885" i="4"/>
  <c r="I885" i="4"/>
  <c r="J885" i="4"/>
  <c r="K885" i="4"/>
  <c r="B886" i="4"/>
  <c r="C886" i="4"/>
  <c r="D886" i="4"/>
  <c r="E886" i="4"/>
  <c r="F886" i="4"/>
  <c r="G886" i="4"/>
  <c r="H886" i="4"/>
  <c r="I886" i="4"/>
  <c r="J886" i="4"/>
  <c r="K886" i="4"/>
  <c r="B887" i="4"/>
  <c r="C887" i="4"/>
  <c r="D887" i="4"/>
  <c r="E887" i="4"/>
  <c r="F887" i="4"/>
  <c r="G887" i="4"/>
  <c r="H887" i="4"/>
  <c r="I887" i="4"/>
  <c r="J887" i="4"/>
  <c r="K887" i="4"/>
  <c r="B888" i="4"/>
  <c r="C888" i="4"/>
  <c r="D888" i="4"/>
  <c r="E888" i="4"/>
  <c r="F888" i="4"/>
  <c r="G888" i="4"/>
  <c r="H888" i="4"/>
  <c r="I888" i="4"/>
  <c r="J888" i="4"/>
  <c r="K888" i="4"/>
  <c r="B889" i="4"/>
  <c r="C889" i="4"/>
  <c r="D889" i="4"/>
  <c r="E889" i="4"/>
  <c r="F889" i="4"/>
  <c r="G889" i="4"/>
  <c r="H889" i="4"/>
  <c r="I889" i="4"/>
  <c r="J889" i="4"/>
  <c r="K889" i="4"/>
  <c r="B890" i="4"/>
  <c r="C890" i="4"/>
  <c r="D890" i="4"/>
  <c r="E890" i="4"/>
  <c r="F890" i="4"/>
  <c r="G890" i="4"/>
  <c r="H890" i="4"/>
  <c r="I890" i="4"/>
  <c r="J890" i="4"/>
  <c r="K890" i="4"/>
  <c r="B891" i="4"/>
  <c r="C891" i="4"/>
  <c r="D891" i="4"/>
  <c r="E891" i="4"/>
  <c r="F891" i="4"/>
  <c r="G891" i="4"/>
  <c r="H891" i="4"/>
  <c r="I891" i="4"/>
  <c r="J891" i="4"/>
  <c r="K891" i="4"/>
  <c r="B892" i="4"/>
  <c r="C892" i="4"/>
  <c r="D892" i="4"/>
  <c r="E892" i="4"/>
  <c r="F892" i="4"/>
  <c r="G892" i="4"/>
  <c r="H892" i="4"/>
  <c r="I892" i="4"/>
  <c r="J892" i="4"/>
  <c r="K892" i="4"/>
  <c r="B893" i="4"/>
  <c r="C893" i="4"/>
  <c r="D893" i="4"/>
  <c r="E893" i="4"/>
  <c r="F893" i="4"/>
  <c r="G893" i="4"/>
  <c r="H893" i="4"/>
  <c r="I893" i="4"/>
  <c r="J893" i="4"/>
  <c r="K893" i="4"/>
  <c r="B894" i="4"/>
  <c r="C894" i="4"/>
  <c r="D894" i="4"/>
  <c r="E894" i="4"/>
  <c r="F894" i="4"/>
  <c r="G894" i="4"/>
  <c r="H894" i="4"/>
  <c r="I894" i="4"/>
  <c r="J894" i="4"/>
  <c r="K894" i="4"/>
  <c r="B895" i="4"/>
  <c r="C895" i="4"/>
  <c r="D895" i="4"/>
  <c r="E895" i="4"/>
  <c r="F895" i="4"/>
  <c r="G895" i="4"/>
  <c r="H895" i="4"/>
  <c r="I895" i="4"/>
  <c r="J895" i="4"/>
  <c r="K895" i="4"/>
  <c r="B896" i="4"/>
  <c r="C896" i="4"/>
  <c r="D896" i="4"/>
  <c r="E896" i="4"/>
  <c r="F896" i="4"/>
  <c r="G896" i="4"/>
  <c r="H896" i="4"/>
  <c r="I896" i="4"/>
  <c r="J896" i="4"/>
  <c r="K896" i="4"/>
  <c r="B897" i="4"/>
  <c r="C897" i="4"/>
  <c r="D897" i="4"/>
  <c r="E897" i="4"/>
  <c r="F897" i="4"/>
  <c r="G897" i="4"/>
  <c r="H897" i="4"/>
  <c r="I897" i="4"/>
  <c r="J897" i="4"/>
  <c r="K897" i="4"/>
  <c r="B898" i="4"/>
  <c r="C898" i="4"/>
  <c r="D898" i="4"/>
  <c r="E898" i="4"/>
  <c r="F898" i="4"/>
  <c r="G898" i="4"/>
  <c r="H898" i="4"/>
  <c r="I898" i="4"/>
  <c r="J898" i="4"/>
  <c r="K898" i="4"/>
  <c r="B899" i="4"/>
  <c r="C899" i="4"/>
  <c r="D899" i="4"/>
  <c r="E899" i="4"/>
  <c r="F899" i="4"/>
  <c r="G899" i="4"/>
  <c r="H899" i="4"/>
  <c r="I899" i="4"/>
  <c r="J899" i="4"/>
  <c r="K899" i="4"/>
  <c r="B900" i="4"/>
  <c r="C900" i="4"/>
  <c r="D900" i="4"/>
  <c r="E900" i="4"/>
  <c r="F900" i="4"/>
  <c r="G900" i="4"/>
  <c r="H900" i="4"/>
  <c r="I900" i="4"/>
  <c r="J900" i="4"/>
  <c r="K900" i="4"/>
  <c r="B901" i="4"/>
  <c r="C901" i="4"/>
  <c r="D901" i="4"/>
  <c r="E901" i="4"/>
  <c r="F901" i="4"/>
  <c r="G901" i="4"/>
  <c r="H901" i="4"/>
  <c r="I901" i="4"/>
  <c r="J901" i="4"/>
  <c r="K901" i="4"/>
  <c r="B902" i="4"/>
  <c r="C902" i="4"/>
  <c r="D902" i="4"/>
  <c r="E902" i="4"/>
  <c r="F902" i="4"/>
  <c r="G902" i="4"/>
  <c r="H902" i="4"/>
  <c r="I902" i="4"/>
  <c r="J902" i="4"/>
  <c r="K902" i="4"/>
  <c r="B903" i="4"/>
  <c r="C903" i="4"/>
  <c r="D903" i="4"/>
  <c r="E903" i="4"/>
  <c r="F903" i="4"/>
  <c r="G903" i="4"/>
  <c r="H903" i="4"/>
  <c r="I903" i="4"/>
  <c r="J903" i="4"/>
  <c r="K903" i="4"/>
  <c r="B904" i="4"/>
  <c r="C904" i="4"/>
  <c r="D904" i="4"/>
  <c r="E904" i="4"/>
  <c r="F904" i="4"/>
  <c r="G904" i="4"/>
  <c r="H904" i="4"/>
  <c r="I904" i="4"/>
  <c r="J904" i="4"/>
  <c r="K904" i="4"/>
  <c r="B905" i="4"/>
  <c r="C905" i="4"/>
  <c r="D905" i="4"/>
  <c r="E905" i="4"/>
  <c r="F905" i="4"/>
  <c r="G905" i="4"/>
  <c r="H905" i="4"/>
  <c r="I905" i="4"/>
  <c r="J905" i="4"/>
  <c r="K905" i="4"/>
  <c r="B906" i="4"/>
  <c r="C906" i="4"/>
  <c r="D906" i="4"/>
  <c r="E906" i="4"/>
  <c r="F906" i="4"/>
  <c r="G906" i="4"/>
  <c r="H906" i="4"/>
  <c r="I906" i="4"/>
  <c r="J906" i="4"/>
  <c r="K906" i="4"/>
  <c r="B907" i="4"/>
  <c r="C907" i="4"/>
  <c r="D907" i="4"/>
  <c r="E907" i="4"/>
  <c r="F907" i="4"/>
  <c r="G907" i="4"/>
  <c r="H907" i="4"/>
  <c r="I907" i="4"/>
  <c r="J907" i="4"/>
  <c r="K907" i="4"/>
  <c r="B908" i="4"/>
  <c r="C908" i="4"/>
  <c r="D908" i="4"/>
  <c r="E908" i="4"/>
  <c r="F908" i="4"/>
  <c r="G908" i="4"/>
  <c r="H908" i="4"/>
  <c r="I908" i="4"/>
  <c r="J908" i="4"/>
  <c r="K908" i="4"/>
  <c r="B909" i="4"/>
  <c r="C909" i="4"/>
  <c r="D909" i="4"/>
  <c r="E909" i="4"/>
  <c r="F909" i="4"/>
  <c r="G909" i="4"/>
  <c r="H909" i="4"/>
  <c r="I909" i="4"/>
  <c r="J909" i="4"/>
  <c r="K909" i="4"/>
  <c r="B910" i="4"/>
  <c r="C910" i="4"/>
  <c r="D910" i="4"/>
  <c r="E910" i="4"/>
  <c r="F910" i="4"/>
  <c r="G910" i="4"/>
  <c r="H910" i="4"/>
  <c r="I910" i="4"/>
  <c r="J910" i="4"/>
  <c r="K910" i="4"/>
  <c r="B911" i="4"/>
  <c r="C911" i="4"/>
  <c r="D911" i="4"/>
  <c r="E911" i="4"/>
  <c r="F911" i="4"/>
  <c r="G911" i="4"/>
  <c r="H911" i="4"/>
  <c r="I911" i="4"/>
  <c r="J911" i="4"/>
  <c r="K911" i="4"/>
  <c r="B912" i="4"/>
  <c r="C912" i="4"/>
  <c r="D912" i="4"/>
  <c r="E912" i="4"/>
  <c r="F912" i="4"/>
  <c r="G912" i="4"/>
  <c r="H912" i="4"/>
  <c r="I912" i="4"/>
  <c r="J912" i="4"/>
  <c r="K912" i="4"/>
  <c r="B913" i="4"/>
  <c r="C913" i="4"/>
  <c r="D913" i="4"/>
  <c r="E913" i="4"/>
  <c r="F913" i="4"/>
  <c r="G913" i="4"/>
  <c r="H913" i="4"/>
  <c r="I913" i="4"/>
  <c r="J913" i="4"/>
  <c r="K913" i="4"/>
  <c r="B914" i="4"/>
  <c r="C914" i="4"/>
  <c r="D914" i="4"/>
  <c r="E914" i="4"/>
  <c r="F914" i="4"/>
  <c r="G914" i="4"/>
  <c r="H914" i="4"/>
  <c r="I914" i="4"/>
  <c r="J914" i="4"/>
  <c r="K914" i="4"/>
  <c r="B915" i="4"/>
  <c r="C915" i="4"/>
  <c r="D915" i="4"/>
  <c r="E915" i="4"/>
  <c r="F915" i="4"/>
  <c r="G915" i="4"/>
  <c r="H915" i="4"/>
  <c r="I915" i="4"/>
  <c r="J915" i="4"/>
  <c r="K915" i="4"/>
  <c r="B916" i="4"/>
  <c r="C916" i="4"/>
  <c r="D916" i="4"/>
  <c r="E916" i="4"/>
  <c r="F916" i="4"/>
  <c r="G916" i="4"/>
  <c r="H916" i="4"/>
  <c r="I916" i="4"/>
  <c r="J916" i="4"/>
  <c r="K916" i="4"/>
  <c r="B917" i="4"/>
  <c r="C917" i="4"/>
  <c r="D917" i="4"/>
  <c r="E917" i="4"/>
  <c r="F917" i="4"/>
  <c r="G917" i="4"/>
  <c r="H917" i="4"/>
  <c r="I917" i="4"/>
  <c r="J917" i="4"/>
  <c r="K917" i="4"/>
  <c r="B918" i="4"/>
  <c r="C918" i="4"/>
  <c r="D918" i="4"/>
  <c r="E918" i="4"/>
  <c r="F918" i="4"/>
  <c r="G918" i="4"/>
  <c r="H918" i="4"/>
  <c r="I918" i="4"/>
  <c r="J918" i="4"/>
  <c r="K918" i="4"/>
  <c r="B919" i="4"/>
  <c r="C919" i="4"/>
  <c r="D919" i="4"/>
  <c r="E919" i="4"/>
  <c r="F919" i="4"/>
  <c r="G919" i="4"/>
  <c r="H919" i="4"/>
  <c r="I919" i="4"/>
  <c r="J919" i="4"/>
  <c r="K919" i="4"/>
  <c r="B920" i="4"/>
  <c r="C920" i="4"/>
  <c r="D920" i="4"/>
  <c r="E920" i="4"/>
  <c r="F920" i="4"/>
  <c r="G920" i="4"/>
  <c r="H920" i="4"/>
  <c r="I920" i="4"/>
  <c r="J920" i="4"/>
  <c r="K920" i="4"/>
  <c r="B921" i="4"/>
  <c r="C921" i="4"/>
  <c r="D921" i="4"/>
  <c r="E921" i="4"/>
  <c r="F921" i="4"/>
  <c r="G921" i="4"/>
  <c r="H921" i="4"/>
  <c r="I921" i="4"/>
  <c r="J921" i="4"/>
  <c r="K921" i="4"/>
  <c r="B922" i="4"/>
  <c r="C922" i="4"/>
  <c r="D922" i="4"/>
  <c r="E922" i="4"/>
  <c r="F922" i="4"/>
  <c r="G922" i="4"/>
  <c r="H922" i="4"/>
  <c r="I922" i="4"/>
  <c r="J922" i="4"/>
  <c r="K922" i="4"/>
  <c r="B923" i="4"/>
  <c r="C923" i="4"/>
  <c r="D923" i="4"/>
  <c r="E923" i="4"/>
  <c r="F923" i="4"/>
  <c r="G923" i="4"/>
  <c r="H923" i="4"/>
  <c r="I923" i="4"/>
  <c r="J923" i="4"/>
  <c r="K923" i="4"/>
  <c r="B924" i="4"/>
  <c r="C924" i="4"/>
  <c r="D924" i="4"/>
  <c r="E924" i="4"/>
  <c r="F924" i="4"/>
  <c r="G924" i="4"/>
  <c r="H924" i="4"/>
  <c r="I924" i="4"/>
  <c r="J924" i="4"/>
  <c r="K924" i="4"/>
  <c r="B925" i="4"/>
  <c r="C925" i="4"/>
  <c r="D925" i="4"/>
  <c r="E925" i="4"/>
  <c r="F925" i="4"/>
  <c r="G925" i="4"/>
  <c r="H925" i="4"/>
  <c r="I925" i="4"/>
  <c r="J925" i="4"/>
  <c r="K925" i="4"/>
  <c r="B926" i="4"/>
  <c r="C926" i="4"/>
  <c r="D926" i="4"/>
  <c r="E926" i="4"/>
  <c r="F926" i="4"/>
  <c r="G926" i="4"/>
  <c r="H926" i="4"/>
  <c r="I926" i="4"/>
  <c r="J926" i="4"/>
  <c r="K926" i="4"/>
  <c r="B927" i="4"/>
  <c r="C927" i="4"/>
  <c r="D927" i="4"/>
  <c r="E927" i="4"/>
  <c r="F927" i="4"/>
  <c r="G927" i="4"/>
  <c r="H927" i="4"/>
  <c r="I927" i="4"/>
  <c r="J927" i="4"/>
  <c r="K927" i="4"/>
  <c r="B928" i="4"/>
  <c r="C928" i="4"/>
  <c r="D928" i="4"/>
  <c r="E928" i="4"/>
  <c r="F928" i="4"/>
  <c r="G928" i="4"/>
  <c r="H928" i="4"/>
  <c r="I928" i="4"/>
  <c r="J928" i="4"/>
  <c r="K928" i="4"/>
  <c r="B929" i="4"/>
  <c r="C929" i="4"/>
  <c r="D929" i="4"/>
  <c r="E929" i="4"/>
  <c r="F929" i="4"/>
  <c r="G929" i="4"/>
  <c r="H929" i="4"/>
  <c r="I929" i="4"/>
  <c r="J929" i="4"/>
  <c r="K929" i="4"/>
  <c r="B930" i="4"/>
  <c r="C930" i="4"/>
  <c r="D930" i="4"/>
  <c r="E930" i="4"/>
  <c r="F930" i="4"/>
  <c r="G930" i="4"/>
  <c r="H930" i="4"/>
  <c r="I930" i="4"/>
  <c r="J930" i="4"/>
  <c r="K930" i="4"/>
  <c r="B931" i="4"/>
  <c r="C931" i="4"/>
  <c r="D931" i="4"/>
  <c r="E931" i="4"/>
  <c r="F931" i="4"/>
  <c r="G931" i="4"/>
  <c r="H931" i="4"/>
  <c r="I931" i="4"/>
  <c r="J931" i="4"/>
  <c r="K931" i="4"/>
  <c r="B932" i="4"/>
  <c r="C932" i="4"/>
  <c r="D932" i="4"/>
  <c r="E932" i="4"/>
  <c r="F932" i="4"/>
  <c r="G932" i="4"/>
  <c r="H932" i="4"/>
  <c r="I932" i="4"/>
  <c r="J932" i="4"/>
  <c r="K932" i="4"/>
  <c r="B933" i="4"/>
  <c r="C933" i="4"/>
  <c r="D933" i="4"/>
  <c r="E933" i="4"/>
  <c r="F933" i="4"/>
  <c r="G933" i="4"/>
  <c r="H933" i="4"/>
  <c r="I933" i="4"/>
  <c r="J933" i="4"/>
  <c r="K933" i="4"/>
  <c r="B934" i="4"/>
  <c r="C934" i="4"/>
  <c r="D934" i="4"/>
  <c r="E934" i="4"/>
  <c r="F934" i="4"/>
  <c r="G934" i="4"/>
  <c r="H934" i="4"/>
  <c r="I934" i="4"/>
  <c r="J934" i="4"/>
  <c r="K934" i="4"/>
  <c r="B935" i="4"/>
  <c r="C935" i="4"/>
  <c r="D935" i="4"/>
  <c r="E935" i="4"/>
  <c r="F935" i="4"/>
  <c r="G935" i="4"/>
  <c r="H935" i="4"/>
  <c r="I935" i="4"/>
  <c r="J935" i="4"/>
  <c r="K935" i="4"/>
  <c r="B936" i="4"/>
  <c r="C936" i="4"/>
  <c r="D936" i="4"/>
  <c r="E936" i="4"/>
  <c r="F936" i="4"/>
  <c r="G936" i="4"/>
  <c r="H936" i="4"/>
  <c r="I936" i="4"/>
  <c r="J936" i="4"/>
  <c r="K936" i="4"/>
  <c r="B937" i="4"/>
  <c r="C937" i="4"/>
  <c r="D937" i="4"/>
  <c r="E937" i="4"/>
  <c r="F937" i="4"/>
  <c r="G937" i="4"/>
  <c r="H937" i="4"/>
  <c r="I937" i="4"/>
  <c r="J937" i="4"/>
  <c r="K937" i="4"/>
  <c r="B938" i="4"/>
  <c r="C938" i="4"/>
  <c r="D938" i="4"/>
  <c r="E938" i="4"/>
  <c r="F938" i="4"/>
  <c r="G938" i="4"/>
  <c r="H938" i="4"/>
  <c r="I938" i="4"/>
  <c r="J938" i="4"/>
  <c r="K938" i="4"/>
  <c r="B939" i="4"/>
  <c r="C939" i="4"/>
  <c r="D939" i="4"/>
  <c r="E939" i="4"/>
  <c r="F939" i="4"/>
  <c r="G939" i="4"/>
  <c r="H939" i="4"/>
  <c r="I939" i="4"/>
  <c r="J939" i="4"/>
  <c r="K939" i="4"/>
  <c r="B940" i="4"/>
  <c r="C940" i="4"/>
  <c r="D940" i="4"/>
  <c r="E940" i="4"/>
  <c r="F940" i="4"/>
  <c r="G940" i="4"/>
  <c r="H940" i="4"/>
  <c r="I940" i="4"/>
  <c r="J940" i="4"/>
  <c r="K940" i="4"/>
  <c r="B941" i="4"/>
  <c r="C941" i="4"/>
  <c r="D941" i="4"/>
  <c r="E941" i="4"/>
  <c r="F941" i="4"/>
  <c r="G941" i="4"/>
  <c r="H941" i="4"/>
  <c r="I941" i="4"/>
  <c r="J941" i="4"/>
  <c r="K941" i="4"/>
  <c r="B942" i="4"/>
  <c r="C942" i="4"/>
  <c r="D942" i="4"/>
  <c r="E942" i="4"/>
  <c r="F942" i="4"/>
  <c r="G942" i="4"/>
  <c r="H942" i="4"/>
  <c r="I942" i="4"/>
  <c r="J942" i="4"/>
  <c r="K942" i="4"/>
  <c r="B943" i="4"/>
  <c r="C943" i="4"/>
  <c r="D943" i="4"/>
  <c r="E943" i="4"/>
  <c r="F943" i="4"/>
  <c r="G943" i="4"/>
  <c r="H943" i="4"/>
  <c r="I943" i="4"/>
  <c r="J943" i="4"/>
  <c r="K943" i="4"/>
  <c r="B944" i="4"/>
  <c r="C944" i="4"/>
  <c r="D944" i="4"/>
  <c r="E944" i="4"/>
  <c r="F944" i="4"/>
  <c r="G944" i="4"/>
  <c r="H944" i="4"/>
  <c r="I944" i="4"/>
  <c r="J944" i="4"/>
  <c r="K944" i="4"/>
  <c r="B945" i="4"/>
  <c r="C945" i="4"/>
  <c r="D945" i="4"/>
  <c r="E945" i="4"/>
  <c r="F945" i="4"/>
  <c r="G945" i="4"/>
  <c r="H945" i="4"/>
  <c r="I945" i="4"/>
  <c r="J945" i="4"/>
  <c r="K945" i="4"/>
  <c r="B946" i="4"/>
  <c r="C946" i="4"/>
  <c r="D946" i="4"/>
  <c r="E946" i="4"/>
  <c r="F946" i="4"/>
  <c r="G946" i="4"/>
  <c r="H946" i="4"/>
  <c r="I946" i="4"/>
  <c r="J946" i="4"/>
  <c r="K946" i="4"/>
  <c r="B947" i="4"/>
  <c r="C947" i="4"/>
  <c r="D947" i="4"/>
  <c r="E947" i="4"/>
  <c r="F947" i="4"/>
  <c r="G947" i="4"/>
  <c r="H947" i="4"/>
  <c r="I947" i="4"/>
  <c r="J947" i="4"/>
  <c r="K947" i="4"/>
  <c r="B948" i="4"/>
  <c r="C948" i="4"/>
  <c r="D948" i="4"/>
  <c r="E948" i="4"/>
  <c r="F948" i="4"/>
  <c r="G948" i="4"/>
  <c r="H948" i="4"/>
  <c r="I948" i="4"/>
  <c r="J948" i="4"/>
  <c r="K948" i="4"/>
  <c r="B949" i="4"/>
  <c r="C949" i="4"/>
  <c r="D949" i="4"/>
  <c r="E949" i="4"/>
  <c r="F949" i="4"/>
  <c r="G949" i="4"/>
  <c r="H949" i="4"/>
  <c r="I949" i="4"/>
  <c r="J949" i="4"/>
  <c r="K949" i="4"/>
  <c r="B950" i="4"/>
  <c r="C950" i="4"/>
  <c r="D950" i="4"/>
  <c r="E950" i="4"/>
  <c r="F950" i="4"/>
  <c r="G950" i="4"/>
  <c r="H950" i="4"/>
  <c r="I950" i="4"/>
  <c r="J950" i="4"/>
  <c r="K950" i="4"/>
  <c r="B951" i="4"/>
  <c r="C951" i="4"/>
  <c r="D951" i="4"/>
  <c r="E951" i="4"/>
  <c r="F951" i="4"/>
  <c r="G951" i="4"/>
  <c r="H951" i="4"/>
  <c r="I951" i="4"/>
  <c r="J951" i="4"/>
  <c r="K951" i="4"/>
  <c r="B952" i="4"/>
  <c r="C952" i="4"/>
  <c r="D952" i="4"/>
  <c r="E952" i="4"/>
  <c r="F952" i="4"/>
  <c r="G952" i="4"/>
  <c r="H952" i="4"/>
  <c r="I952" i="4"/>
  <c r="J952" i="4"/>
  <c r="K952" i="4"/>
  <c r="B953" i="4"/>
  <c r="C953" i="4"/>
  <c r="D953" i="4"/>
  <c r="E953" i="4"/>
  <c r="F953" i="4"/>
  <c r="G953" i="4"/>
  <c r="H953" i="4"/>
  <c r="I953" i="4"/>
  <c r="J953" i="4"/>
  <c r="K953" i="4"/>
  <c r="B954" i="4"/>
  <c r="C954" i="4"/>
  <c r="D954" i="4"/>
  <c r="E954" i="4"/>
  <c r="F954" i="4"/>
  <c r="G954" i="4"/>
  <c r="H954" i="4"/>
  <c r="I954" i="4"/>
  <c r="J954" i="4"/>
  <c r="K954" i="4"/>
  <c r="B955" i="4"/>
  <c r="C955" i="4"/>
  <c r="D955" i="4"/>
  <c r="E955" i="4"/>
  <c r="F955" i="4"/>
  <c r="G955" i="4"/>
  <c r="H955" i="4"/>
  <c r="I955" i="4"/>
  <c r="J955" i="4"/>
  <c r="K955" i="4"/>
  <c r="B956" i="4"/>
  <c r="C956" i="4"/>
  <c r="D956" i="4"/>
  <c r="E956" i="4"/>
  <c r="F956" i="4"/>
  <c r="G956" i="4"/>
  <c r="H956" i="4"/>
  <c r="I956" i="4"/>
  <c r="J956" i="4"/>
  <c r="K956" i="4"/>
  <c r="B957" i="4"/>
  <c r="C957" i="4"/>
  <c r="D957" i="4"/>
  <c r="E957" i="4"/>
  <c r="F957" i="4"/>
  <c r="G957" i="4"/>
  <c r="H957" i="4"/>
  <c r="I957" i="4"/>
  <c r="J957" i="4"/>
  <c r="K957" i="4"/>
  <c r="B958" i="4"/>
  <c r="C958" i="4"/>
  <c r="D958" i="4"/>
  <c r="E958" i="4"/>
  <c r="F958" i="4"/>
  <c r="G958" i="4"/>
  <c r="H958" i="4"/>
  <c r="I958" i="4"/>
  <c r="J958" i="4"/>
  <c r="K958" i="4"/>
  <c r="B959" i="4"/>
  <c r="C959" i="4"/>
  <c r="D959" i="4"/>
  <c r="E959" i="4"/>
  <c r="F959" i="4"/>
  <c r="G959" i="4"/>
  <c r="H959" i="4"/>
  <c r="I959" i="4"/>
  <c r="J959" i="4"/>
  <c r="K959" i="4"/>
  <c r="B960" i="4"/>
  <c r="C960" i="4"/>
  <c r="D960" i="4"/>
  <c r="E960" i="4"/>
  <c r="F960" i="4"/>
  <c r="G960" i="4"/>
  <c r="H960" i="4"/>
  <c r="I960" i="4"/>
  <c r="J960" i="4"/>
  <c r="K960" i="4"/>
  <c r="B961" i="4"/>
  <c r="C961" i="4"/>
  <c r="D961" i="4"/>
  <c r="E961" i="4"/>
  <c r="F961" i="4"/>
  <c r="G961" i="4"/>
  <c r="H961" i="4"/>
  <c r="I961" i="4"/>
  <c r="J961" i="4"/>
  <c r="K961" i="4"/>
  <c r="B962" i="4"/>
  <c r="C962" i="4"/>
  <c r="D962" i="4"/>
  <c r="E962" i="4"/>
  <c r="F962" i="4"/>
  <c r="G962" i="4"/>
  <c r="H962" i="4"/>
  <c r="I962" i="4"/>
  <c r="J962" i="4"/>
  <c r="K962" i="4"/>
  <c r="B963" i="4"/>
  <c r="C963" i="4"/>
  <c r="D963" i="4"/>
  <c r="E963" i="4"/>
  <c r="F963" i="4"/>
  <c r="G963" i="4"/>
  <c r="H963" i="4"/>
  <c r="I963" i="4"/>
  <c r="J963" i="4"/>
  <c r="K963" i="4"/>
  <c r="B964" i="4"/>
  <c r="C964" i="4"/>
  <c r="D964" i="4"/>
  <c r="E964" i="4"/>
  <c r="F964" i="4"/>
  <c r="G964" i="4"/>
  <c r="H964" i="4"/>
  <c r="I964" i="4"/>
  <c r="J964" i="4"/>
  <c r="K964" i="4"/>
  <c r="B965" i="4"/>
  <c r="C965" i="4"/>
  <c r="D965" i="4"/>
  <c r="E965" i="4"/>
  <c r="F965" i="4"/>
  <c r="G965" i="4"/>
  <c r="H965" i="4"/>
  <c r="I965" i="4"/>
  <c r="J965" i="4"/>
  <c r="K965" i="4"/>
  <c r="B966" i="4"/>
  <c r="C966" i="4"/>
  <c r="D966" i="4"/>
  <c r="E966" i="4"/>
  <c r="F966" i="4"/>
  <c r="G966" i="4"/>
  <c r="H966" i="4"/>
  <c r="I966" i="4"/>
  <c r="J966" i="4"/>
  <c r="K966" i="4"/>
  <c r="B967" i="4"/>
  <c r="C967" i="4"/>
  <c r="D967" i="4"/>
  <c r="E967" i="4"/>
  <c r="F967" i="4"/>
  <c r="G967" i="4"/>
  <c r="H967" i="4"/>
  <c r="I967" i="4"/>
  <c r="J967" i="4"/>
  <c r="K967" i="4"/>
  <c r="B968" i="4"/>
  <c r="C968" i="4"/>
  <c r="D968" i="4"/>
  <c r="E968" i="4"/>
  <c r="F968" i="4"/>
  <c r="G968" i="4"/>
  <c r="H968" i="4"/>
  <c r="I968" i="4"/>
  <c r="J968" i="4"/>
  <c r="K968" i="4"/>
  <c r="B969" i="4"/>
  <c r="C969" i="4"/>
  <c r="D969" i="4"/>
  <c r="E969" i="4"/>
  <c r="F969" i="4"/>
  <c r="G969" i="4"/>
  <c r="H969" i="4"/>
  <c r="I969" i="4"/>
  <c r="J969" i="4"/>
  <c r="K969" i="4"/>
  <c r="B970" i="4"/>
  <c r="C970" i="4"/>
  <c r="D970" i="4"/>
  <c r="E970" i="4"/>
  <c r="F970" i="4"/>
  <c r="G970" i="4"/>
  <c r="H970" i="4"/>
  <c r="I970" i="4"/>
  <c r="J970" i="4"/>
  <c r="K970" i="4"/>
  <c r="B971" i="4"/>
  <c r="C971" i="4"/>
  <c r="D971" i="4"/>
  <c r="E971" i="4"/>
  <c r="F971" i="4"/>
  <c r="G971" i="4"/>
  <c r="H971" i="4"/>
  <c r="I971" i="4"/>
  <c r="J971" i="4"/>
  <c r="K971" i="4"/>
  <c r="B972" i="4"/>
  <c r="C972" i="4"/>
  <c r="D972" i="4"/>
  <c r="E972" i="4"/>
  <c r="F972" i="4"/>
  <c r="G972" i="4"/>
  <c r="H972" i="4"/>
  <c r="I972" i="4"/>
  <c r="J972" i="4"/>
  <c r="K972" i="4"/>
  <c r="B973" i="4"/>
  <c r="C973" i="4"/>
  <c r="D973" i="4"/>
  <c r="E973" i="4"/>
  <c r="F973" i="4"/>
  <c r="G973" i="4"/>
  <c r="H973" i="4"/>
  <c r="I973" i="4"/>
  <c r="J973" i="4"/>
  <c r="K973" i="4"/>
  <c r="B974" i="4"/>
  <c r="C974" i="4"/>
  <c r="D974" i="4"/>
  <c r="E974" i="4"/>
  <c r="F974" i="4"/>
  <c r="G974" i="4"/>
  <c r="H974" i="4"/>
  <c r="I974" i="4"/>
  <c r="J974" i="4"/>
  <c r="K974" i="4"/>
  <c r="B975" i="4"/>
  <c r="C975" i="4"/>
  <c r="D975" i="4"/>
  <c r="E975" i="4"/>
  <c r="F975" i="4"/>
  <c r="G975" i="4"/>
  <c r="H975" i="4"/>
  <c r="I975" i="4"/>
  <c r="J975" i="4"/>
  <c r="K975" i="4"/>
  <c r="B976" i="4"/>
  <c r="C976" i="4"/>
  <c r="D976" i="4"/>
  <c r="E976" i="4"/>
  <c r="F976" i="4"/>
  <c r="G976" i="4"/>
  <c r="H976" i="4"/>
  <c r="I976" i="4"/>
  <c r="J976" i="4"/>
  <c r="K976" i="4"/>
  <c r="B977" i="4"/>
  <c r="C977" i="4"/>
  <c r="D977" i="4"/>
  <c r="E977" i="4"/>
  <c r="F977" i="4"/>
  <c r="G977" i="4"/>
  <c r="H977" i="4"/>
  <c r="I977" i="4"/>
  <c r="J977" i="4"/>
  <c r="K977" i="4"/>
  <c r="B978" i="4"/>
  <c r="C978" i="4"/>
  <c r="D978" i="4"/>
  <c r="E978" i="4"/>
  <c r="F978" i="4"/>
  <c r="G978" i="4"/>
  <c r="H978" i="4"/>
  <c r="I978" i="4"/>
  <c r="J978" i="4"/>
  <c r="K978" i="4"/>
  <c r="B979" i="4"/>
  <c r="C979" i="4"/>
  <c r="D979" i="4"/>
  <c r="E979" i="4"/>
  <c r="F979" i="4"/>
  <c r="G979" i="4"/>
  <c r="H979" i="4"/>
  <c r="I979" i="4"/>
  <c r="J979" i="4"/>
  <c r="K979" i="4"/>
  <c r="B980" i="4"/>
  <c r="C980" i="4"/>
  <c r="D980" i="4"/>
  <c r="E980" i="4"/>
  <c r="F980" i="4"/>
  <c r="G980" i="4"/>
  <c r="H980" i="4"/>
  <c r="I980" i="4"/>
  <c r="J980" i="4"/>
  <c r="K980" i="4"/>
  <c r="B981" i="4"/>
  <c r="C981" i="4"/>
  <c r="D981" i="4"/>
  <c r="E981" i="4"/>
  <c r="F981" i="4"/>
  <c r="G981" i="4"/>
  <c r="H981" i="4"/>
  <c r="I981" i="4"/>
  <c r="J981" i="4"/>
  <c r="K981" i="4"/>
  <c r="B982" i="4"/>
  <c r="C982" i="4"/>
  <c r="D982" i="4"/>
  <c r="E982" i="4"/>
  <c r="F982" i="4"/>
  <c r="G982" i="4"/>
  <c r="H982" i="4"/>
  <c r="I982" i="4"/>
  <c r="J982" i="4"/>
  <c r="K982" i="4"/>
  <c r="B983" i="4"/>
  <c r="C983" i="4"/>
  <c r="D983" i="4"/>
  <c r="E983" i="4"/>
  <c r="F983" i="4"/>
  <c r="G983" i="4"/>
  <c r="H983" i="4"/>
  <c r="I983" i="4"/>
  <c r="J983" i="4"/>
  <c r="K983" i="4"/>
  <c r="B984" i="4"/>
  <c r="C984" i="4"/>
  <c r="D984" i="4"/>
  <c r="E984" i="4"/>
  <c r="F984" i="4"/>
  <c r="G984" i="4"/>
  <c r="H984" i="4"/>
  <c r="I984" i="4"/>
  <c r="J984" i="4"/>
  <c r="K984" i="4"/>
  <c r="B985" i="4"/>
  <c r="C985" i="4"/>
  <c r="D985" i="4"/>
  <c r="E985" i="4"/>
  <c r="F985" i="4"/>
  <c r="G985" i="4"/>
  <c r="H985" i="4"/>
  <c r="I985" i="4"/>
  <c r="J985" i="4"/>
  <c r="K985" i="4"/>
  <c r="B986" i="4"/>
  <c r="C986" i="4"/>
  <c r="D986" i="4"/>
  <c r="E986" i="4"/>
  <c r="F986" i="4"/>
  <c r="G986" i="4"/>
  <c r="H986" i="4"/>
  <c r="I986" i="4"/>
  <c r="J986" i="4"/>
  <c r="K986" i="4"/>
  <c r="B987" i="4"/>
  <c r="C987" i="4"/>
  <c r="D987" i="4"/>
  <c r="E987" i="4"/>
  <c r="F987" i="4"/>
  <c r="G987" i="4"/>
  <c r="H987" i="4"/>
  <c r="I987" i="4"/>
  <c r="J987" i="4"/>
  <c r="K987" i="4"/>
  <c r="B988" i="4"/>
  <c r="C988" i="4"/>
  <c r="D988" i="4"/>
  <c r="E988" i="4"/>
  <c r="F988" i="4"/>
  <c r="G988" i="4"/>
  <c r="H988" i="4"/>
  <c r="I988" i="4"/>
  <c r="J988" i="4"/>
  <c r="K988" i="4"/>
  <c r="B989" i="4"/>
  <c r="C989" i="4"/>
  <c r="D989" i="4"/>
  <c r="E989" i="4"/>
  <c r="F989" i="4"/>
  <c r="G989" i="4"/>
  <c r="H989" i="4"/>
  <c r="I989" i="4"/>
  <c r="J989" i="4"/>
  <c r="K989" i="4"/>
  <c r="B990" i="4"/>
  <c r="C990" i="4"/>
  <c r="D990" i="4"/>
  <c r="E990" i="4"/>
  <c r="F990" i="4"/>
  <c r="G990" i="4"/>
  <c r="H990" i="4"/>
  <c r="I990" i="4"/>
  <c r="J990" i="4"/>
  <c r="K990" i="4"/>
  <c r="B991" i="4"/>
  <c r="C991" i="4"/>
  <c r="D991" i="4"/>
  <c r="E991" i="4"/>
  <c r="F991" i="4"/>
  <c r="G991" i="4"/>
  <c r="H991" i="4"/>
  <c r="I991" i="4"/>
  <c r="J991" i="4"/>
  <c r="K991" i="4"/>
  <c r="B992" i="4"/>
  <c r="C992" i="4"/>
  <c r="D992" i="4"/>
  <c r="E992" i="4"/>
  <c r="F992" i="4"/>
  <c r="G992" i="4"/>
  <c r="H992" i="4"/>
  <c r="I992" i="4"/>
  <c r="J992" i="4"/>
  <c r="K992" i="4"/>
  <c r="B993" i="4"/>
  <c r="C993" i="4"/>
  <c r="D993" i="4"/>
  <c r="E993" i="4"/>
  <c r="F993" i="4"/>
  <c r="G993" i="4"/>
  <c r="H993" i="4"/>
  <c r="I993" i="4"/>
  <c r="J993" i="4"/>
  <c r="K993" i="4"/>
  <c r="B994" i="4"/>
  <c r="C994" i="4"/>
  <c r="D994" i="4"/>
  <c r="E994" i="4"/>
  <c r="F994" i="4"/>
  <c r="G994" i="4"/>
  <c r="H994" i="4"/>
  <c r="I994" i="4"/>
  <c r="J994" i="4"/>
  <c r="K994" i="4"/>
  <c r="B995" i="4"/>
  <c r="C995" i="4"/>
  <c r="D995" i="4"/>
  <c r="E995" i="4"/>
  <c r="F995" i="4"/>
  <c r="G995" i="4"/>
  <c r="H995" i="4"/>
  <c r="I995" i="4"/>
  <c r="J995" i="4"/>
  <c r="K995" i="4"/>
  <c r="B996" i="4"/>
  <c r="C996" i="4"/>
  <c r="D996" i="4"/>
  <c r="E996" i="4"/>
  <c r="F996" i="4"/>
  <c r="G996" i="4"/>
  <c r="H996" i="4"/>
  <c r="I996" i="4"/>
  <c r="J996" i="4"/>
  <c r="K996" i="4"/>
  <c r="B997" i="4"/>
  <c r="C997" i="4"/>
  <c r="D997" i="4"/>
  <c r="E997" i="4"/>
  <c r="F997" i="4"/>
  <c r="G997" i="4"/>
  <c r="H997" i="4"/>
  <c r="I997" i="4"/>
  <c r="J997" i="4"/>
  <c r="K997" i="4"/>
  <c r="B998" i="4"/>
  <c r="C998" i="4"/>
  <c r="D998" i="4"/>
  <c r="E998" i="4"/>
  <c r="F998" i="4"/>
  <c r="G998" i="4"/>
  <c r="H998" i="4"/>
  <c r="I998" i="4"/>
  <c r="J998" i="4"/>
  <c r="K998" i="4"/>
  <c r="B999" i="4"/>
  <c r="C999" i="4"/>
  <c r="D999" i="4"/>
  <c r="E999" i="4"/>
  <c r="F999" i="4"/>
  <c r="G999" i="4"/>
  <c r="H999" i="4"/>
  <c r="I999" i="4"/>
  <c r="J999" i="4"/>
  <c r="K999" i="4"/>
  <c r="B1000" i="4"/>
  <c r="C1000" i="4"/>
  <c r="D1000" i="4"/>
  <c r="E1000" i="4"/>
  <c r="F1000" i="4"/>
  <c r="G1000" i="4"/>
  <c r="H1000" i="4"/>
  <c r="I1000" i="4"/>
  <c r="J1000" i="4"/>
  <c r="K1000" i="4"/>
  <c r="B1001" i="4"/>
  <c r="C1001" i="4"/>
  <c r="D1001" i="4"/>
  <c r="E1001" i="4"/>
  <c r="F1001" i="4"/>
  <c r="G1001" i="4"/>
  <c r="H1001" i="4"/>
  <c r="I1001" i="4"/>
  <c r="J1001" i="4"/>
  <c r="K1001" i="4"/>
  <c r="B1002" i="4"/>
  <c r="C1002" i="4"/>
  <c r="D1002" i="4"/>
  <c r="E1002" i="4"/>
  <c r="F1002" i="4"/>
  <c r="G1002" i="4"/>
  <c r="H1002" i="4"/>
  <c r="I1002" i="4"/>
  <c r="J1002" i="4"/>
  <c r="K1002" i="4"/>
  <c r="B1003" i="4"/>
  <c r="C1003" i="4"/>
  <c r="D1003" i="4"/>
  <c r="E1003" i="4"/>
  <c r="F1003" i="4"/>
  <c r="G1003" i="4"/>
  <c r="H1003" i="4"/>
  <c r="I1003" i="4"/>
  <c r="J1003" i="4"/>
  <c r="K1003" i="4"/>
  <c r="B1004" i="4"/>
  <c r="C1004" i="4"/>
  <c r="D1004" i="4"/>
  <c r="E1004" i="4"/>
  <c r="F1004" i="4"/>
  <c r="G1004" i="4"/>
  <c r="H1004" i="4"/>
  <c r="I1004" i="4"/>
  <c r="J1004" i="4"/>
  <c r="K1004" i="4"/>
  <c r="B1005" i="4"/>
  <c r="C1005" i="4"/>
  <c r="D1005" i="4"/>
  <c r="E1005" i="4"/>
  <c r="F1005" i="4"/>
  <c r="G1005" i="4"/>
  <c r="H1005" i="4"/>
  <c r="I1005" i="4"/>
  <c r="J1005" i="4"/>
  <c r="K1005" i="4"/>
  <c r="B1006" i="4"/>
  <c r="C1006" i="4"/>
  <c r="D1006" i="4"/>
  <c r="E1006" i="4"/>
  <c r="F1006" i="4"/>
  <c r="G1006" i="4"/>
  <c r="H1006" i="4"/>
  <c r="I1006" i="4"/>
  <c r="J1006" i="4"/>
  <c r="K1006" i="4"/>
  <c r="B1007" i="4"/>
  <c r="C1007" i="4"/>
  <c r="D1007" i="4"/>
  <c r="E1007" i="4"/>
  <c r="F1007" i="4"/>
  <c r="G1007" i="4"/>
  <c r="H1007" i="4"/>
  <c r="I1007" i="4"/>
  <c r="J1007" i="4"/>
  <c r="K1007" i="4"/>
  <c r="B1008" i="4"/>
  <c r="C1008" i="4"/>
  <c r="D1008" i="4"/>
  <c r="E1008" i="4"/>
  <c r="F1008" i="4"/>
  <c r="G1008" i="4"/>
  <c r="H1008" i="4"/>
  <c r="I1008" i="4"/>
  <c r="J1008" i="4"/>
  <c r="K1008" i="4"/>
  <c r="B1009" i="4"/>
  <c r="C1009" i="4"/>
  <c r="D1009" i="4"/>
  <c r="E1009" i="4"/>
  <c r="F1009" i="4"/>
  <c r="G1009" i="4"/>
  <c r="H1009" i="4"/>
  <c r="I1009" i="4"/>
  <c r="J1009" i="4"/>
  <c r="K1009" i="4"/>
  <c r="B1010" i="4"/>
  <c r="C1010" i="4"/>
  <c r="D1010" i="4"/>
  <c r="E1010" i="4"/>
  <c r="F1010" i="4"/>
  <c r="G1010" i="4"/>
  <c r="H1010" i="4"/>
  <c r="I1010" i="4"/>
  <c r="J1010" i="4"/>
  <c r="K1010" i="4"/>
  <c r="B1011" i="4"/>
  <c r="C1011" i="4"/>
  <c r="D1011" i="4"/>
  <c r="E1011" i="4"/>
  <c r="F1011" i="4"/>
  <c r="G1011" i="4"/>
  <c r="H1011" i="4"/>
  <c r="I1011" i="4"/>
  <c r="J1011" i="4"/>
  <c r="K1011" i="4"/>
  <c r="B1012" i="4"/>
  <c r="C1012" i="4"/>
  <c r="D1012" i="4"/>
  <c r="E1012" i="4"/>
  <c r="F1012" i="4"/>
  <c r="G1012" i="4"/>
  <c r="H1012" i="4"/>
  <c r="I1012" i="4"/>
  <c r="J1012" i="4"/>
  <c r="K1012" i="4"/>
  <c r="B1013" i="4"/>
  <c r="C1013" i="4"/>
  <c r="D1013" i="4"/>
  <c r="E1013" i="4"/>
  <c r="F1013" i="4"/>
  <c r="G1013" i="4"/>
  <c r="H1013" i="4"/>
  <c r="I1013" i="4"/>
  <c r="J1013" i="4"/>
  <c r="K1013" i="4"/>
  <c r="B1014" i="4"/>
  <c r="C1014" i="4"/>
  <c r="D1014" i="4"/>
  <c r="E1014" i="4"/>
  <c r="F1014" i="4"/>
  <c r="G1014" i="4"/>
  <c r="H1014" i="4"/>
  <c r="I1014" i="4"/>
  <c r="J1014" i="4"/>
  <c r="K1014" i="4"/>
  <c r="B1015" i="4"/>
  <c r="C1015" i="4"/>
  <c r="D1015" i="4"/>
  <c r="E1015" i="4"/>
  <c r="F1015" i="4"/>
  <c r="G1015" i="4"/>
  <c r="H1015" i="4"/>
  <c r="I1015" i="4"/>
  <c r="J1015" i="4"/>
  <c r="K1015" i="4"/>
  <c r="B1016" i="4"/>
  <c r="C1016" i="4"/>
  <c r="D1016" i="4"/>
  <c r="E1016" i="4"/>
  <c r="F1016" i="4"/>
  <c r="G1016" i="4"/>
  <c r="H1016" i="4"/>
  <c r="I1016" i="4"/>
  <c r="J1016" i="4"/>
  <c r="K1016" i="4"/>
  <c r="B1017" i="4"/>
  <c r="C1017" i="4"/>
  <c r="D1017" i="4"/>
  <c r="E1017" i="4"/>
  <c r="F1017" i="4"/>
  <c r="G1017" i="4"/>
  <c r="H1017" i="4"/>
  <c r="I1017" i="4"/>
  <c r="J1017" i="4"/>
  <c r="K1017" i="4"/>
  <c r="B1018" i="4"/>
  <c r="C1018" i="4"/>
  <c r="D1018" i="4"/>
  <c r="E1018" i="4"/>
  <c r="F1018" i="4"/>
  <c r="G1018" i="4"/>
  <c r="H1018" i="4"/>
  <c r="I1018" i="4"/>
  <c r="J1018" i="4"/>
  <c r="K1018" i="4"/>
  <c r="B1019" i="4"/>
  <c r="C1019" i="4"/>
  <c r="D1019" i="4"/>
  <c r="E1019" i="4"/>
  <c r="F1019" i="4"/>
  <c r="G1019" i="4"/>
  <c r="H1019" i="4"/>
  <c r="I1019" i="4"/>
  <c r="J1019" i="4"/>
  <c r="K1019" i="4"/>
  <c r="B1020" i="4"/>
  <c r="C1020" i="4"/>
  <c r="D1020" i="4"/>
  <c r="E1020" i="4"/>
  <c r="F1020" i="4"/>
  <c r="G1020" i="4"/>
  <c r="H1020" i="4"/>
  <c r="I1020" i="4"/>
  <c r="J1020" i="4"/>
  <c r="K1020" i="4"/>
  <c r="B1021" i="4"/>
  <c r="C1021" i="4"/>
  <c r="D1021" i="4"/>
  <c r="E1021" i="4"/>
  <c r="F1021" i="4"/>
  <c r="G1021" i="4"/>
  <c r="H1021" i="4"/>
  <c r="I1021" i="4"/>
  <c r="J1021" i="4"/>
  <c r="K1021" i="4"/>
  <c r="B1022" i="4"/>
  <c r="C1022" i="4"/>
  <c r="D1022" i="4"/>
  <c r="E1022" i="4"/>
  <c r="F1022" i="4"/>
  <c r="G1022" i="4"/>
  <c r="H1022" i="4"/>
  <c r="I1022" i="4"/>
  <c r="J1022" i="4"/>
  <c r="K1022" i="4"/>
  <c r="B1023" i="4"/>
  <c r="C1023" i="4"/>
  <c r="D1023" i="4"/>
  <c r="E1023" i="4"/>
  <c r="F1023" i="4"/>
  <c r="G1023" i="4"/>
  <c r="H1023" i="4"/>
  <c r="I1023" i="4"/>
  <c r="J1023" i="4"/>
  <c r="K1023" i="4"/>
  <c r="B1024" i="4"/>
  <c r="C1024" i="4"/>
  <c r="D1024" i="4"/>
  <c r="E1024" i="4"/>
  <c r="F1024" i="4"/>
  <c r="G1024" i="4"/>
  <c r="H1024" i="4"/>
  <c r="I1024" i="4"/>
  <c r="J1024" i="4"/>
  <c r="K1024" i="4"/>
  <c r="B1025" i="4"/>
  <c r="C1025" i="4"/>
  <c r="D1025" i="4"/>
  <c r="E1025" i="4"/>
  <c r="F1025" i="4"/>
  <c r="G1025" i="4"/>
  <c r="H1025" i="4"/>
  <c r="I1025" i="4"/>
  <c r="J1025" i="4"/>
  <c r="K1025" i="4"/>
  <c r="B1026" i="4"/>
  <c r="C1026" i="4"/>
  <c r="D1026" i="4"/>
  <c r="E1026" i="4"/>
  <c r="F1026" i="4"/>
  <c r="G1026" i="4"/>
  <c r="H1026" i="4"/>
  <c r="I1026" i="4"/>
  <c r="J1026" i="4"/>
  <c r="K1026" i="4"/>
  <c r="B1027" i="4"/>
  <c r="C1027" i="4"/>
  <c r="D1027" i="4"/>
  <c r="E1027" i="4"/>
  <c r="F1027" i="4"/>
  <c r="G1027" i="4"/>
  <c r="H1027" i="4"/>
  <c r="I1027" i="4"/>
  <c r="J1027" i="4"/>
  <c r="K1027" i="4"/>
  <c r="B1028" i="4"/>
  <c r="C1028" i="4"/>
  <c r="D1028" i="4"/>
  <c r="E1028" i="4"/>
  <c r="F1028" i="4"/>
  <c r="G1028" i="4"/>
  <c r="H1028" i="4"/>
  <c r="I1028" i="4"/>
  <c r="J1028" i="4"/>
  <c r="K1028" i="4"/>
  <c r="B1029" i="4"/>
  <c r="C1029" i="4"/>
  <c r="D1029" i="4"/>
  <c r="E1029" i="4"/>
  <c r="F1029" i="4"/>
  <c r="G1029" i="4"/>
  <c r="H1029" i="4"/>
  <c r="I1029" i="4"/>
  <c r="J1029" i="4"/>
  <c r="K1029" i="4"/>
  <c r="B1030" i="4"/>
  <c r="C1030" i="4"/>
  <c r="D1030" i="4"/>
  <c r="E1030" i="4"/>
  <c r="F1030" i="4"/>
  <c r="G1030" i="4"/>
  <c r="H1030" i="4"/>
  <c r="I1030" i="4"/>
  <c r="J1030" i="4"/>
  <c r="K1030" i="4"/>
  <c r="B1031" i="4"/>
  <c r="C1031" i="4"/>
  <c r="D1031" i="4"/>
  <c r="E1031" i="4"/>
  <c r="F1031" i="4"/>
  <c r="G1031" i="4"/>
  <c r="H1031" i="4"/>
  <c r="I1031" i="4"/>
  <c r="J1031" i="4"/>
  <c r="K1031" i="4"/>
  <c r="B1032" i="4"/>
  <c r="C1032" i="4"/>
  <c r="D1032" i="4"/>
  <c r="E1032" i="4"/>
  <c r="F1032" i="4"/>
  <c r="G1032" i="4"/>
  <c r="H1032" i="4"/>
  <c r="I1032" i="4"/>
  <c r="J1032" i="4"/>
  <c r="K1032" i="4"/>
  <c r="B1033" i="4"/>
  <c r="C1033" i="4"/>
  <c r="D1033" i="4"/>
  <c r="E1033" i="4"/>
  <c r="F1033" i="4"/>
  <c r="G1033" i="4"/>
  <c r="H1033" i="4"/>
  <c r="I1033" i="4"/>
  <c r="J1033" i="4"/>
  <c r="K1033" i="4"/>
  <c r="B1034" i="4"/>
  <c r="C1034" i="4"/>
  <c r="D1034" i="4"/>
  <c r="E1034" i="4"/>
  <c r="F1034" i="4"/>
  <c r="G1034" i="4"/>
  <c r="H1034" i="4"/>
  <c r="I1034" i="4"/>
  <c r="J1034" i="4"/>
  <c r="K1034" i="4"/>
  <c r="B1035" i="4"/>
  <c r="C1035" i="4"/>
  <c r="D1035" i="4"/>
  <c r="E1035" i="4"/>
  <c r="F1035" i="4"/>
  <c r="G1035" i="4"/>
  <c r="H1035" i="4"/>
  <c r="I1035" i="4"/>
  <c r="J1035" i="4"/>
  <c r="K1035" i="4"/>
  <c r="B1036" i="4"/>
  <c r="C1036" i="4"/>
  <c r="D1036" i="4"/>
  <c r="E1036" i="4"/>
  <c r="F1036" i="4"/>
  <c r="G1036" i="4"/>
  <c r="H1036" i="4"/>
  <c r="I1036" i="4"/>
  <c r="J1036" i="4"/>
  <c r="K1036" i="4"/>
  <c r="D1038" i="4"/>
  <c r="H1038" i="4"/>
  <c r="B1039" i="4"/>
  <c r="F1039" i="4"/>
  <c r="J1039" i="4"/>
  <c r="D1040" i="4"/>
  <c r="H1040" i="4"/>
  <c r="B1041" i="4"/>
  <c r="F1041" i="4"/>
  <c r="J1041" i="4"/>
  <c r="D1042" i="4"/>
  <c r="H1042" i="4"/>
  <c r="B1043" i="4"/>
  <c r="F1043" i="4"/>
  <c r="J1043" i="4"/>
  <c r="D1044" i="4"/>
  <c r="F1044" i="4"/>
  <c r="H1044" i="4"/>
  <c r="B1045" i="4"/>
  <c r="D1045" i="4"/>
  <c r="J1045" i="4"/>
  <c r="B1046" i="4"/>
  <c r="D1046" i="4"/>
  <c r="H1046" i="4"/>
  <c r="J1046" i="4"/>
  <c r="B1047" i="4"/>
  <c r="F1047" i="4"/>
  <c r="H1047" i="4"/>
  <c r="J1047" i="4"/>
  <c r="F1048" i="4"/>
  <c r="H1048" i="4"/>
  <c r="B1049" i="4"/>
  <c r="D1049" i="4"/>
  <c r="F1049" i="4"/>
  <c r="J1049" i="4"/>
  <c r="D1050" i="4"/>
  <c r="H1050" i="4"/>
  <c r="J1050" i="4"/>
  <c r="B1051" i="4"/>
  <c r="F1051" i="4"/>
  <c r="H1051" i="4"/>
  <c r="F1052" i="4"/>
  <c r="H1052" i="4"/>
  <c r="D1053" i="4"/>
  <c r="F1053" i="4"/>
  <c r="J1053" i="4"/>
  <c r="D1054" i="4"/>
  <c r="B1055" i="4"/>
  <c r="F1055" i="4"/>
  <c r="H1055" i="4"/>
  <c r="D1056" i="4"/>
  <c r="B1057" i="4"/>
  <c r="D1057" i="4"/>
  <c r="F1057" i="4"/>
  <c r="J1057" i="4"/>
  <c r="B1058" i="4"/>
  <c r="J1058" i="4"/>
  <c r="B1059" i="4"/>
  <c r="H1059" i="4"/>
  <c r="J1059" i="4"/>
  <c r="D1060" i="4"/>
  <c r="H1060" i="4"/>
  <c r="F1061" i="4"/>
  <c r="J1061" i="4"/>
  <c r="B1062" i="4"/>
  <c r="H1062" i="4"/>
  <c r="F1063" i="4"/>
  <c r="H1063" i="4"/>
  <c r="J1063" i="4"/>
  <c r="D1064" i="4"/>
  <c r="F1064" i="4"/>
  <c r="J1082" i="4"/>
  <c r="H1116" i="4"/>
  <c r="F1118" i="4"/>
  <c r="C13" i="3"/>
  <c r="E13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B72" i="3"/>
  <c r="C72" i="3"/>
  <c r="D72" i="3"/>
  <c r="E72" i="3"/>
  <c r="B73" i="3"/>
  <c r="C73" i="3"/>
  <c r="D73" i="3"/>
  <c r="E73" i="3"/>
  <c r="B74" i="3"/>
  <c r="C74" i="3"/>
  <c r="D74" i="3"/>
  <c r="E74" i="3"/>
  <c r="B75" i="3"/>
  <c r="C75" i="3"/>
  <c r="D75" i="3"/>
  <c r="E75" i="3"/>
  <c r="B76" i="3"/>
  <c r="C76" i="3"/>
  <c r="D76" i="3"/>
  <c r="E76" i="3"/>
  <c r="B77" i="3"/>
  <c r="C77" i="3"/>
  <c r="D77" i="3"/>
  <c r="E77" i="3"/>
  <c r="B78" i="3"/>
  <c r="C78" i="3"/>
  <c r="D78" i="3"/>
  <c r="E78" i="3"/>
  <c r="B79" i="3"/>
  <c r="C79" i="3"/>
  <c r="D79" i="3"/>
  <c r="E79" i="3"/>
  <c r="B80" i="3"/>
  <c r="C80" i="3"/>
  <c r="D80" i="3"/>
  <c r="E80" i="3"/>
  <c r="B81" i="3"/>
  <c r="C81" i="3"/>
  <c r="D81" i="3"/>
  <c r="E81" i="3"/>
  <c r="B82" i="3"/>
  <c r="C82" i="3"/>
  <c r="D82" i="3"/>
  <c r="E82" i="3"/>
  <c r="B83" i="3"/>
  <c r="C83" i="3"/>
  <c r="D83" i="3"/>
  <c r="E83" i="3"/>
  <c r="B84" i="3"/>
  <c r="C84" i="3"/>
  <c r="D84" i="3"/>
  <c r="E84" i="3"/>
  <c r="B85" i="3"/>
  <c r="C85" i="3"/>
  <c r="D85" i="3"/>
  <c r="E85" i="3"/>
  <c r="B86" i="3"/>
  <c r="C86" i="3"/>
  <c r="D86" i="3"/>
  <c r="E86" i="3"/>
  <c r="B87" i="3"/>
  <c r="C87" i="3"/>
  <c r="D87" i="3"/>
  <c r="E87" i="3"/>
  <c r="B88" i="3"/>
  <c r="C88" i="3"/>
  <c r="D88" i="3"/>
  <c r="E88" i="3"/>
  <c r="B89" i="3"/>
  <c r="C89" i="3"/>
  <c r="D89" i="3"/>
  <c r="E89" i="3"/>
  <c r="B90" i="3"/>
  <c r="C90" i="3"/>
  <c r="D90" i="3"/>
  <c r="E90" i="3"/>
  <c r="B91" i="3"/>
  <c r="C91" i="3"/>
  <c r="D91" i="3"/>
  <c r="E91" i="3"/>
  <c r="B92" i="3"/>
  <c r="C92" i="3"/>
  <c r="D92" i="3"/>
  <c r="E92" i="3"/>
  <c r="B93" i="3"/>
  <c r="C93" i="3"/>
  <c r="D93" i="3"/>
  <c r="E93" i="3"/>
  <c r="B94" i="3"/>
  <c r="C94" i="3"/>
  <c r="D94" i="3"/>
  <c r="E94" i="3"/>
  <c r="B95" i="3"/>
  <c r="C95" i="3"/>
  <c r="D95" i="3"/>
  <c r="E95" i="3"/>
  <c r="B96" i="3"/>
  <c r="C96" i="3"/>
  <c r="D96" i="3"/>
  <c r="E96" i="3"/>
  <c r="B97" i="3"/>
  <c r="C97" i="3"/>
  <c r="D97" i="3"/>
  <c r="E97" i="3"/>
  <c r="B98" i="3"/>
  <c r="C98" i="3"/>
  <c r="D98" i="3"/>
  <c r="E98" i="3"/>
  <c r="B99" i="3"/>
  <c r="C99" i="3"/>
  <c r="D99" i="3"/>
  <c r="E99" i="3"/>
  <c r="B100" i="3"/>
  <c r="C100" i="3"/>
  <c r="D100" i="3"/>
  <c r="E100" i="3"/>
  <c r="B101" i="3"/>
  <c r="C101" i="3"/>
  <c r="D101" i="3"/>
  <c r="E101" i="3"/>
  <c r="B102" i="3"/>
  <c r="C102" i="3"/>
  <c r="D102" i="3"/>
  <c r="E102" i="3"/>
  <c r="B103" i="3"/>
  <c r="C103" i="3"/>
  <c r="D103" i="3"/>
  <c r="E103" i="3"/>
  <c r="B104" i="3"/>
  <c r="C104" i="3"/>
  <c r="D104" i="3"/>
  <c r="E104" i="3"/>
  <c r="B105" i="3"/>
  <c r="C105" i="3"/>
  <c r="D105" i="3"/>
  <c r="E105" i="3"/>
  <c r="B106" i="3"/>
  <c r="C106" i="3"/>
  <c r="D106" i="3"/>
  <c r="E106" i="3"/>
  <c r="B107" i="3"/>
  <c r="C107" i="3"/>
  <c r="D107" i="3"/>
  <c r="E107" i="3"/>
  <c r="B108" i="3"/>
  <c r="C108" i="3"/>
  <c r="D108" i="3"/>
  <c r="E108" i="3"/>
  <c r="B109" i="3"/>
  <c r="C109" i="3"/>
  <c r="D109" i="3"/>
  <c r="E109" i="3"/>
  <c r="B110" i="3"/>
  <c r="C110" i="3"/>
  <c r="D110" i="3"/>
  <c r="E110" i="3"/>
  <c r="B111" i="3"/>
  <c r="C111" i="3"/>
  <c r="D111" i="3"/>
  <c r="E111" i="3"/>
  <c r="B112" i="3"/>
  <c r="C112" i="3"/>
  <c r="D112" i="3"/>
  <c r="E112" i="3"/>
  <c r="B113" i="3"/>
  <c r="C113" i="3"/>
  <c r="D113" i="3"/>
  <c r="E113" i="3"/>
  <c r="B114" i="3"/>
  <c r="C114" i="3"/>
  <c r="D114" i="3"/>
  <c r="E114" i="3"/>
  <c r="B115" i="3"/>
  <c r="C115" i="3"/>
  <c r="D115" i="3"/>
  <c r="E115" i="3"/>
  <c r="B116" i="3"/>
  <c r="C116" i="3"/>
  <c r="D116" i="3"/>
  <c r="E116" i="3"/>
  <c r="B117" i="3"/>
  <c r="C117" i="3"/>
  <c r="D117" i="3"/>
  <c r="E117" i="3"/>
  <c r="B118" i="3"/>
  <c r="C118" i="3"/>
  <c r="D118" i="3"/>
  <c r="E118" i="3"/>
  <c r="B119" i="3"/>
  <c r="C119" i="3"/>
  <c r="D119" i="3"/>
  <c r="E119" i="3"/>
  <c r="B120" i="3"/>
  <c r="C120" i="3"/>
  <c r="D120" i="3"/>
  <c r="E120" i="3"/>
  <c r="B121" i="3"/>
  <c r="C121" i="3"/>
  <c r="D121" i="3"/>
  <c r="E121" i="3"/>
  <c r="B122" i="3"/>
  <c r="C122" i="3"/>
  <c r="D122" i="3"/>
  <c r="E122" i="3"/>
  <c r="B123" i="3"/>
  <c r="C123" i="3"/>
  <c r="D123" i="3"/>
  <c r="E123" i="3"/>
  <c r="B124" i="3"/>
  <c r="C124" i="3"/>
  <c r="D124" i="3"/>
  <c r="E124" i="3"/>
  <c r="B125" i="3"/>
  <c r="C125" i="3"/>
  <c r="D125" i="3"/>
  <c r="E125" i="3"/>
  <c r="B126" i="3"/>
  <c r="C126" i="3"/>
  <c r="D126" i="3"/>
  <c r="E126" i="3"/>
  <c r="B127" i="3"/>
  <c r="C127" i="3"/>
  <c r="D127" i="3"/>
  <c r="E127" i="3"/>
  <c r="B128" i="3"/>
  <c r="C128" i="3"/>
  <c r="D128" i="3"/>
  <c r="E128" i="3"/>
  <c r="B129" i="3"/>
  <c r="C129" i="3"/>
  <c r="D129" i="3"/>
  <c r="E129" i="3"/>
  <c r="B130" i="3"/>
  <c r="C130" i="3"/>
  <c r="D130" i="3"/>
  <c r="E130" i="3"/>
  <c r="B131" i="3"/>
  <c r="C131" i="3"/>
  <c r="D131" i="3"/>
  <c r="E131" i="3"/>
  <c r="B132" i="3"/>
  <c r="C132" i="3"/>
  <c r="D132" i="3"/>
  <c r="E132" i="3"/>
  <c r="B133" i="3"/>
  <c r="C133" i="3"/>
  <c r="D133" i="3"/>
  <c r="E133" i="3"/>
  <c r="B134" i="3"/>
  <c r="C134" i="3"/>
  <c r="D134" i="3"/>
  <c r="E134" i="3"/>
  <c r="B135" i="3"/>
  <c r="C135" i="3"/>
  <c r="D135" i="3"/>
  <c r="E135" i="3"/>
  <c r="B136" i="3"/>
  <c r="C136" i="3"/>
  <c r="D136" i="3"/>
  <c r="E136" i="3"/>
  <c r="B137" i="3"/>
  <c r="C137" i="3"/>
  <c r="D137" i="3"/>
  <c r="E137" i="3"/>
  <c r="B138" i="3"/>
  <c r="C138" i="3"/>
  <c r="D138" i="3"/>
  <c r="E138" i="3"/>
  <c r="B139" i="3"/>
  <c r="C139" i="3"/>
  <c r="D139" i="3"/>
  <c r="E139" i="3"/>
  <c r="B140" i="3"/>
  <c r="C140" i="3"/>
  <c r="D140" i="3"/>
  <c r="E140" i="3"/>
  <c r="B141" i="3"/>
  <c r="C141" i="3"/>
  <c r="D141" i="3"/>
  <c r="E141" i="3"/>
  <c r="B142" i="3"/>
  <c r="C142" i="3"/>
  <c r="D142" i="3"/>
  <c r="E142" i="3"/>
  <c r="B143" i="3"/>
  <c r="C143" i="3"/>
  <c r="D143" i="3"/>
  <c r="E143" i="3"/>
  <c r="B144" i="3"/>
  <c r="C144" i="3"/>
  <c r="D144" i="3"/>
  <c r="E144" i="3"/>
  <c r="B145" i="3"/>
  <c r="C145" i="3"/>
  <c r="D145" i="3"/>
  <c r="E145" i="3"/>
  <c r="B146" i="3"/>
  <c r="C146" i="3"/>
  <c r="D146" i="3"/>
  <c r="E146" i="3"/>
  <c r="B147" i="3"/>
  <c r="C147" i="3"/>
  <c r="D147" i="3"/>
  <c r="E147" i="3"/>
  <c r="B148" i="3"/>
  <c r="C148" i="3"/>
  <c r="D148" i="3"/>
  <c r="E148" i="3"/>
  <c r="B149" i="3"/>
  <c r="C149" i="3"/>
  <c r="D149" i="3"/>
  <c r="E149" i="3"/>
  <c r="B150" i="3"/>
  <c r="C150" i="3"/>
  <c r="D150" i="3"/>
  <c r="E150" i="3"/>
  <c r="B151" i="3"/>
  <c r="C151" i="3"/>
  <c r="D151" i="3"/>
  <c r="E151" i="3"/>
  <c r="B152" i="3"/>
  <c r="C152" i="3"/>
  <c r="D152" i="3"/>
  <c r="E152" i="3"/>
  <c r="B153" i="3"/>
  <c r="C153" i="3"/>
  <c r="D153" i="3"/>
  <c r="E153" i="3"/>
  <c r="B154" i="3"/>
  <c r="C154" i="3"/>
  <c r="D154" i="3"/>
  <c r="E154" i="3"/>
  <c r="B155" i="3"/>
  <c r="C155" i="3"/>
  <c r="D155" i="3"/>
  <c r="E155" i="3"/>
  <c r="B156" i="3"/>
  <c r="C156" i="3"/>
  <c r="D156" i="3"/>
  <c r="E156" i="3"/>
  <c r="B157" i="3"/>
  <c r="C157" i="3"/>
  <c r="D157" i="3"/>
  <c r="E157" i="3"/>
  <c r="B158" i="3"/>
  <c r="C158" i="3"/>
  <c r="D158" i="3"/>
  <c r="E158" i="3"/>
  <c r="B159" i="3"/>
  <c r="C159" i="3"/>
  <c r="D159" i="3"/>
  <c r="E159" i="3"/>
  <c r="B160" i="3"/>
  <c r="C160" i="3"/>
  <c r="D160" i="3"/>
  <c r="E160" i="3"/>
  <c r="B161" i="3"/>
  <c r="C161" i="3"/>
  <c r="D161" i="3"/>
  <c r="E161" i="3"/>
  <c r="B162" i="3"/>
  <c r="C162" i="3"/>
  <c r="D162" i="3"/>
  <c r="E162" i="3"/>
  <c r="B163" i="3"/>
  <c r="C163" i="3"/>
  <c r="D163" i="3"/>
  <c r="E163" i="3"/>
  <c r="B164" i="3"/>
  <c r="C164" i="3"/>
  <c r="D164" i="3"/>
  <c r="E164" i="3"/>
  <c r="B165" i="3"/>
  <c r="C165" i="3"/>
  <c r="D165" i="3"/>
  <c r="E165" i="3"/>
  <c r="B166" i="3"/>
  <c r="C166" i="3"/>
  <c r="D166" i="3"/>
  <c r="E166" i="3"/>
  <c r="B167" i="3"/>
  <c r="C167" i="3"/>
  <c r="D167" i="3"/>
  <c r="E167" i="3"/>
  <c r="B168" i="3"/>
  <c r="C168" i="3"/>
  <c r="D168" i="3"/>
  <c r="E168" i="3"/>
  <c r="B169" i="3"/>
  <c r="C169" i="3"/>
  <c r="D169" i="3"/>
  <c r="E169" i="3"/>
  <c r="B170" i="3"/>
  <c r="C170" i="3"/>
  <c r="D170" i="3"/>
  <c r="E170" i="3"/>
  <c r="B171" i="3"/>
  <c r="C171" i="3"/>
  <c r="D171" i="3"/>
  <c r="E171" i="3"/>
  <c r="B172" i="3"/>
  <c r="C172" i="3"/>
  <c r="D172" i="3"/>
  <c r="E172" i="3"/>
  <c r="B173" i="3"/>
  <c r="C173" i="3"/>
  <c r="D173" i="3"/>
  <c r="E173" i="3"/>
  <c r="B174" i="3"/>
  <c r="C174" i="3"/>
  <c r="D174" i="3"/>
  <c r="E174" i="3"/>
  <c r="B175" i="3"/>
  <c r="C175" i="3"/>
  <c r="D175" i="3"/>
  <c r="E175" i="3"/>
  <c r="B176" i="3"/>
  <c r="C176" i="3"/>
  <c r="D176" i="3"/>
  <c r="E176" i="3"/>
  <c r="B177" i="3"/>
  <c r="C177" i="3"/>
  <c r="D177" i="3"/>
  <c r="E177" i="3"/>
  <c r="B178" i="3"/>
  <c r="C178" i="3"/>
  <c r="D178" i="3"/>
  <c r="E178" i="3"/>
  <c r="B179" i="3"/>
  <c r="C179" i="3"/>
  <c r="D179" i="3"/>
  <c r="E179" i="3"/>
  <c r="B180" i="3"/>
  <c r="C180" i="3"/>
  <c r="D180" i="3"/>
  <c r="E180" i="3"/>
  <c r="B181" i="3"/>
  <c r="C181" i="3"/>
  <c r="D181" i="3"/>
  <c r="E181" i="3"/>
  <c r="B182" i="3"/>
  <c r="C182" i="3"/>
  <c r="D182" i="3"/>
  <c r="E182" i="3"/>
  <c r="B183" i="3"/>
  <c r="C183" i="3"/>
  <c r="D183" i="3"/>
  <c r="E183" i="3"/>
  <c r="B184" i="3"/>
  <c r="C184" i="3"/>
  <c r="D184" i="3"/>
  <c r="E184" i="3"/>
  <c r="B185" i="3"/>
  <c r="C185" i="3"/>
  <c r="D185" i="3"/>
  <c r="E185" i="3"/>
  <c r="B186" i="3"/>
  <c r="C186" i="3"/>
  <c r="D186" i="3"/>
  <c r="E186" i="3"/>
  <c r="B187" i="3"/>
  <c r="C187" i="3"/>
  <c r="D187" i="3"/>
  <c r="E187" i="3"/>
  <c r="B188" i="3"/>
  <c r="C188" i="3"/>
  <c r="D188" i="3"/>
  <c r="E188" i="3"/>
  <c r="B189" i="3"/>
  <c r="C189" i="3"/>
  <c r="D189" i="3"/>
  <c r="E189" i="3"/>
  <c r="B190" i="3"/>
  <c r="C190" i="3"/>
  <c r="D190" i="3"/>
  <c r="E190" i="3"/>
  <c r="B191" i="3"/>
  <c r="C191" i="3"/>
  <c r="D191" i="3"/>
  <c r="E191" i="3"/>
  <c r="B192" i="3"/>
  <c r="C192" i="3"/>
  <c r="D192" i="3"/>
  <c r="E192" i="3"/>
  <c r="B193" i="3"/>
  <c r="C193" i="3"/>
  <c r="D193" i="3"/>
  <c r="E193" i="3"/>
  <c r="B194" i="3"/>
  <c r="C194" i="3"/>
  <c r="D194" i="3"/>
  <c r="E194" i="3"/>
  <c r="B195" i="3"/>
  <c r="C195" i="3"/>
  <c r="D195" i="3"/>
  <c r="E195" i="3"/>
  <c r="B196" i="3"/>
  <c r="C196" i="3"/>
  <c r="D196" i="3"/>
  <c r="E196" i="3"/>
  <c r="B197" i="3"/>
  <c r="C197" i="3"/>
  <c r="D197" i="3"/>
  <c r="E197" i="3"/>
  <c r="B198" i="3"/>
  <c r="C198" i="3"/>
  <c r="D198" i="3"/>
  <c r="E198" i="3"/>
  <c r="B199" i="3"/>
  <c r="C199" i="3"/>
  <c r="D199" i="3"/>
  <c r="E199" i="3"/>
  <c r="B200" i="3"/>
  <c r="C200" i="3"/>
  <c r="D200" i="3"/>
  <c r="E200" i="3"/>
  <c r="B201" i="3"/>
  <c r="C201" i="3"/>
  <c r="D201" i="3"/>
  <c r="E201" i="3"/>
  <c r="B202" i="3"/>
  <c r="C202" i="3"/>
  <c r="D202" i="3"/>
  <c r="E202" i="3"/>
  <c r="B203" i="3"/>
  <c r="C203" i="3"/>
  <c r="D203" i="3"/>
  <c r="E203" i="3"/>
  <c r="B204" i="3"/>
  <c r="C204" i="3"/>
  <c r="D204" i="3"/>
  <c r="E204" i="3"/>
  <c r="B205" i="3"/>
  <c r="C205" i="3"/>
  <c r="D205" i="3"/>
  <c r="E205" i="3"/>
  <c r="B206" i="3"/>
  <c r="C206" i="3"/>
  <c r="D206" i="3"/>
  <c r="E206" i="3"/>
  <c r="B207" i="3"/>
  <c r="C207" i="3"/>
  <c r="D207" i="3"/>
  <c r="E207" i="3"/>
  <c r="B208" i="3"/>
  <c r="C208" i="3"/>
  <c r="D208" i="3"/>
  <c r="E208" i="3"/>
  <c r="B209" i="3"/>
  <c r="C209" i="3"/>
  <c r="D209" i="3"/>
  <c r="E209" i="3"/>
  <c r="B210" i="3"/>
  <c r="C210" i="3"/>
  <c r="D210" i="3"/>
  <c r="E210" i="3"/>
  <c r="B211" i="3"/>
  <c r="C211" i="3"/>
  <c r="D211" i="3"/>
  <c r="E211" i="3"/>
  <c r="B212" i="3"/>
  <c r="C212" i="3"/>
  <c r="D212" i="3"/>
  <c r="E212" i="3"/>
  <c r="B213" i="3"/>
  <c r="C213" i="3"/>
  <c r="D213" i="3"/>
  <c r="E213" i="3"/>
  <c r="B214" i="3"/>
  <c r="C214" i="3"/>
  <c r="D214" i="3"/>
  <c r="E214" i="3"/>
  <c r="B215" i="3"/>
  <c r="C215" i="3"/>
  <c r="D215" i="3"/>
  <c r="E215" i="3"/>
  <c r="B216" i="3"/>
  <c r="C216" i="3"/>
  <c r="D216" i="3"/>
  <c r="E216" i="3"/>
  <c r="B217" i="3"/>
  <c r="C217" i="3"/>
  <c r="D217" i="3"/>
  <c r="E217" i="3"/>
  <c r="B218" i="3"/>
  <c r="C218" i="3"/>
  <c r="D218" i="3"/>
  <c r="E218" i="3"/>
  <c r="B219" i="3"/>
  <c r="C219" i="3"/>
  <c r="D219" i="3"/>
  <c r="E219" i="3"/>
  <c r="B220" i="3"/>
  <c r="C220" i="3"/>
  <c r="D220" i="3"/>
  <c r="E220" i="3"/>
  <c r="B221" i="3"/>
  <c r="C221" i="3"/>
  <c r="D221" i="3"/>
  <c r="E221" i="3"/>
  <c r="B222" i="3"/>
  <c r="C222" i="3"/>
  <c r="D222" i="3"/>
  <c r="E222" i="3"/>
  <c r="B223" i="3"/>
  <c r="C223" i="3"/>
  <c r="D223" i="3"/>
  <c r="E223" i="3"/>
  <c r="B224" i="3"/>
  <c r="C224" i="3"/>
  <c r="D224" i="3"/>
  <c r="E224" i="3"/>
  <c r="B225" i="3"/>
  <c r="C225" i="3"/>
  <c r="D225" i="3"/>
  <c r="E225" i="3"/>
  <c r="B226" i="3"/>
  <c r="C226" i="3"/>
  <c r="D226" i="3"/>
  <c r="E226" i="3"/>
  <c r="B227" i="3"/>
  <c r="C227" i="3"/>
  <c r="D227" i="3"/>
  <c r="E227" i="3"/>
  <c r="B228" i="3"/>
  <c r="C228" i="3"/>
  <c r="D228" i="3"/>
  <c r="E228" i="3"/>
  <c r="B229" i="3"/>
  <c r="C229" i="3"/>
  <c r="D229" i="3"/>
  <c r="E229" i="3"/>
  <c r="B230" i="3"/>
  <c r="C230" i="3"/>
  <c r="D230" i="3"/>
  <c r="E230" i="3"/>
  <c r="B231" i="3"/>
  <c r="C231" i="3"/>
  <c r="D231" i="3"/>
  <c r="E231" i="3"/>
  <c r="B232" i="3"/>
  <c r="C232" i="3"/>
  <c r="D232" i="3"/>
  <c r="E232" i="3"/>
  <c r="B233" i="3"/>
  <c r="C233" i="3"/>
  <c r="D233" i="3"/>
  <c r="E233" i="3"/>
  <c r="B234" i="3"/>
  <c r="C234" i="3"/>
  <c r="D234" i="3"/>
  <c r="E234" i="3"/>
  <c r="B235" i="3"/>
  <c r="C235" i="3"/>
  <c r="D235" i="3"/>
  <c r="E235" i="3"/>
  <c r="B236" i="3"/>
  <c r="C236" i="3"/>
  <c r="D236" i="3"/>
  <c r="E236" i="3"/>
  <c r="B237" i="3"/>
  <c r="C237" i="3"/>
  <c r="D237" i="3"/>
  <c r="E237" i="3"/>
  <c r="B238" i="3"/>
  <c r="C238" i="3"/>
  <c r="D238" i="3"/>
  <c r="E238" i="3"/>
  <c r="B239" i="3"/>
  <c r="C239" i="3"/>
  <c r="D239" i="3"/>
  <c r="E239" i="3"/>
  <c r="B240" i="3"/>
  <c r="C240" i="3"/>
  <c r="D240" i="3"/>
  <c r="E240" i="3"/>
  <c r="B241" i="3"/>
  <c r="C241" i="3"/>
  <c r="D241" i="3"/>
  <c r="E241" i="3"/>
  <c r="B242" i="3"/>
  <c r="C242" i="3"/>
  <c r="D242" i="3"/>
  <c r="E242" i="3"/>
  <c r="B243" i="3"/>
  <c r="C243" i="3"/>
  <c r="D243" i="3"/>
  <c r="E243" i="3"/>
  <c r="B244" i="3"/>
  <c r="C244" i="3"/>
  <c r="D244" i="3"/>
  <c r="E244" i="3"/>
  <c r="B245" i="3"/>
  <c r="C245" i="3"/>
  <c r="D245" i="3"/>
  <c r="E245" i="3"/>
  <c r="B246" i="3"/>
  <c r="C246" i="3"/>
  <c r="D246" i="3"/>
  <c r="E246" i="3"/>
  <c r="B247" i="3"/>
  <c r="C247" i="3"/>
  <c r="D247" i="3"/>
  <c r="E247" i="3"/>
  <c r="B248" i="3"/>
  <c r="C248" i="3"/>
  <c r="D248" i="3"/>
  <c r="E248" i="3"/>
  <c r="B249" i="3"/>
  <c r="C249" i="3"/>
  <c r="D249" i="3"/>
  <c r="E249" i="3"/>
  <c r="B250" i="3"/>
  <c r="C250" i="3"/>
  <c r="D250" i="3"/>
  <c r="E250" i="3"/>
  <c r="B251" i="3"/>
  <c r="C251" i="3"/>
  <c r="D251" i="3"/>
  <c r="E251" i="3"/>
  <c r="B252" i="3"/>
  <c r="C252" i="3"/>
  <c r="D252" i="3"/>
  <c r="E252" i="3"/>
  <c r="B253" i="3"/>
  <c r="C253" i="3"/>
  <c r="D253" i="3"/>
  <c r="E253" i="3"/>
  <c r="B254" i="3"/>
  <c r="C254" i="3"/>
  <c r="D254" i="3"/>
  <c r="E254" i="3"/>
  <c r="B255" i="3"/>
  <c r="C255" i="3"/>
  <c r="D255" i="3"/>
  <c r="E255" i="3"/>
  <c r="B256" i="3"/>
  <c r="C256" i="3"/>
  <c r="D256" i="3"/>
  <c r="E256" i="3"/>
  <c r="B257" i="3"/>
  <c r="C257" i="3"/>
  <c r="D257" i="3"/>
  <c r="E257" i="3"/>
  <c r="B258" i="3"/>
  <c r="C258" i="3"/>
  <c r="D258" i="3"/>
  <c r="E258" i="3"/>
  <c r="B259" i="3"/>
  <c r="C259" i="3"/>
  <c r="D259" i="3"/>
  <c r="E259" i="3"/>
  <c r="B260" i="3"/>
  <c r="C260" i="3"/>
  <c r="D260" i="3"/>
  <c r="E260" i="3"/>
  <c r="B261" i="3"/>
  <c r="C261" i="3"/>
  <c r="D261" i="3"/>
  <c r="E261" i="3"/>
  <c r="B262" i="3"/>
  <c r="C262" i="3"/>
  <c r="D262" i="3"/>
  <c r="E262" i="3"/>
  <c r="B263" i="3"/>
  <c r="C263" i="3"/>
  <c r="D263" i="3"/>
  <c r="E263" i="3"/>
  <c r="B264" i="3"/>
  <c r="C264" i="3"/>
  <c r="D264" i="3"/>
  <c r="E264" i="3"/>
  <c r="B265" i="3"/>
  <c r="C265" i="3"/>
  <c r="D265" i="3"/>
  <c r="E265" i="3"/>
  <c r="B266" i="3"/>
  <c r="C266" i="3"/>
  <c r="D266" i="3"/>
  <c r="E266" i="3"/>
  <c r="B267" i="3"/>
  <c r="C267" i="3"/>
  <c r="D267" i="3"/>
  <c r="E267" i="3"/>
  <c r="B268" i="3"/>
  <c r="C268" i="3"/>
  <c r="D268" i="3"/>
  <c r="E268" i="3"/>
  <c r="B269" i="3"/>
  <c r="C269" i="3"/>
  <c r="D269" i="3"/>
  <c r="E269" i="3"/>
  <c r="B270" i="3"/>
  <c r="C270" i="3"/>
  <c r="D270" i="3"/>
  <c r="E270" i="3"/>
  <c r="B271" i="3"/>
  <c r="C271" i="3"/>
  <c r="D271" i="3"/>
  <c r="E271" i="3"/>
  <c r="B272" i="3"/>
  <c r="C272" i="3"/>
  <c r="D272" i="3"/>
  <c r="E272" i="3"/>
  <c r="B273" i="3"/>
  <c r="C273" i="3"/>
  <c r="D273" i="3"/>
  <c r="E273" i="3"/>
  <c r="B274" i="3"/>
  <c r="C274" i="3"/>
  <c r="D274" i="3"/>
  <c r="E274" i="3"/>
  <c r="B275" i="3"/>
  <c r="C275" i="3"/>
  <c r="D275" i="3"/>
  <c r="E275" i="3"/>
  <c r="B276" i="3"/>
  <c r="C276" i="3"/>
  <c r="D276" i="3"/>
  <c r="E276" i="3"/>
  <c r="B277" i="3"/>
  <c r="C277" i="3"/>
  <c r="D277" i="3"/>
  <c r="E277" i="3"/>
  <c r="B278" i="3"/>
  <c r="C278" i="3"/>
  <c r="D278" i="3"/>
  <c r="E278" i="3"/>
  <c r="B279" i="3"/>
  <c r="C279" i="3"/>
  <c r="D279" i="3"/>
  <c r="E279" i="3"/>
  <c r="B280" i="3"/>
  <c r="C280" i="3"/>
  <c r="D280" i="3"/>
  <c r="E280" i="3"/>
  <c r="B281" i="3"/>
  <c r="C281" i="3"/>
  <c r="D281" i="3"/>
  <c r="E281" i="3"/>
  <c r="B282" i="3"/>
  <c r="C282" i="3"/>
  <c r="D282" i="3"/>
  <c r="E282" i="3"/>
  <c r="B283" i="3"/>
  <c r="C283" i="3"/>
  <c r="D283" i="3"/>
  <c r="E283" i="3"/>
  <c r="B284" i="3"/>
  <c r="C284" i="3"/>
  <c r="D284" i="3"/>
  <c r="E284" i="3"/>
  <c r="B285" i="3"/>
  <c r="C285" i="3"/>
  <c r="D285" i="3"/>
  <c r="E285" i="3"/>
  <c r="B286" i="3"/>
  <c r="C286" i="3"/>
  <c r="D286" i="3"/>
  <c r="E286" i="3"/>
  <c r="B287" i="3"/>
  <c r="C287" i="3"/>
  <c r="D287" i="3"/>
  <c r="E287" i="3"/>
  <c r="B288" i="3"/>
  <c r="C288" i="3"/>
  <c r="D288" i="3"/>
  <c r="E288" i="3"/>
  <c r="B289" i="3"/>
  <c r="C289" i="3"/>
  <c r="D289" i="3"/>
  <c r="E289" i="3"/>
  <c r="B290" i="3"/>
  <c r="C290" i="3"/>
  <c r="D290" i="3"/>
  <c r="E290" i="3"/>
  <c r="B291" i="3"/>
  <c r="C291" i="3"/>
  <c r="D291" i="3"/>
  <c r="E291" i="3"/>
  <c r="B292" i="3"/>
  <c r="C292" i="3"/>
  <c r="D292" i="3"/>
  <c r="E292" i="3"/>
  <c r="B293" i="3"/>
  <c r="C293" i="3"/>
  <c r="D293" i="3"/>
  <c r="E293" i="3"/>
  <c r="B294" i="3"/>
  <c r="C294" i="3"/>
  <c r="D294" i="3"/>
  <c r="E294" i="3"/>
  <c r="B295" i="3"/>
  <c r="C295" i="3"/>
  <c r="D295" i="3"/>
  <c r="E295" i="3"/>
  <c r="B296" i="3"/>
  <c r="C296" i="3"/>
  <c r="D296" i="3"/>
  <c r="E296" i="3"/>
  <c r="B297" i="3"/>
  <c r="C297" i="3"/>
  <c r="D297" i="3"/>
  <c r="E297" i="3"/>
  <c r="B298" i="3"/>
  <c r="C298" i="3"/>
  <c r="D298" i="3"/>
  <c r="E298" i="3"/>
  <c r="B299" i="3"/>
  <c r="C299" i="3"/>
  <c r="D299" i="3"/>
  <c r="E299" i="3"/>
  <c r="B300" i="3"/>
  <c r="C300" i="3"/>
  <c r="D300" i="3"/>
  <c r="E300" i="3"/>
  <c r="B301" i="3"/>
  <c r="C301" i="3"/>
  <c r="D301" i="3"/>
  <c r="E301" i="3"/>
  <c r="B302" i="3"/>
  <c r="C302" i="3"/>
  <c r="D302" i="3"/>
  <c r="E302" i="3"/>
  <c r="B303" i="3"/>
  <c r="C303" i="3"/>
  <c r="D303" i="3"/>
  <c r="E303" i="3"/>
  <c r="B304" i="3"/>
  <c r="C304" i="3"/>
  <c r="D304" i="3"/>
  <c r="E304" i="3"/>
  <c r="B305" i="3"/>
  <c r="C305" i="3"/>
  <c r="D305" i="3"/>
  <c r="E305" i="3"/>
  <c r="B306" i="3"/>
  <c r="C306" i="3"/>
  <c r="D306" i="3"/>
  <c r="E306" i="3"/>
  <c r="B307" i="3"/>
  <c r="C307" i="3"/>
  <c r="D307" i="3"/>
  <c r="E307" i="3"/>
  <c r="B308" i="3"/>
  <c r="C308" i="3"/>
  <c r="D308" i="3"/>
  <c r="E308" i="3"/>
  <c r="B309" i="3"/>
  <c r="C309" i="3"/>
  <c r="D309" i="3"/>
  <c r="E309" i="3"/>
  <c r="B310" i="3"/>
  <c r="C310" i="3"/>
  <c r="D310" i="3"/>
  <c r="E310" i="3"/>
  <c r="B311" i="3"/>
  <c r="C311" i="3"/>
  <c r="D311" i="3"/>
  <c r="E311" i="3"/>
  <c r="B312" i="3"/>
  <c r="C312" i="3"/>
  <c r="D312" i="3"/>
  <c r="E312" i="3"/>
  <c r="B313" i="3"/>
  <c r="C313" i="3"/>
  <c r="D313" i="3"/>
  <c r="E313" i="3"/>
  <c r="B314" i="3"/>
  <c r="C314" i="3"/>
  <c r="D314" i="3"/>
  <c r="E314" i="3"/>
  <c r="B315" i="3"/>
  <c r="C315" i="3"/>
  <c r="D315" i="3"/>
  <c r="E315" i="3"/>
  <c r="B316" i="3"/>
  <c r="C316" i="3"/>
  <c r="D316" i="3"/>
  <c r="E316" i="3"/>
  <c r="B317" i="3"/>
  <c r="C317" i="3"/>
  <c r="D317" i="3"/>
  <c r="E317" i="3"/>
  <c r="B318" i="3"/>
  <c r="C318" i="3"/>
  <c r="D318" i="3"/>
  <c r="E318" i="3"/>
  <c r="B319" i="3"/>
  <c r="C319" i="3"/>
  <c r="D319" i="3"/>
  <c r="E319" i="3"/>
  <c r="B320" i="3"/>
  <c r="C320" i="3"/>
  <c r="D320" i="3"/>
  <c r="E320" i="3"/>
  <c r="B321" i="3"/>
  <c r="C321" i="3"/>
  <c r="D321" i="3"/>
  <c r="E321" i="3"/>
  <c r="B322" i="3"/>
  <c r="C322" i="3"/>
  <c r="D322" i="3"/>
  <c r="E322" i="3"/>
  <c r="B323" i="3"/>
  <c r="C323" i="3"/>
  <c r="D323" i="3"/>
  <c r="E323" i="3"/>
  <c r="B324" i="3"/>
  <c r="C324" i="3"/>
  <c r="D324" i="3"/>
  <c r="E324" i="3"/>
  <c r="B325" i="3"/>
  <c r="C325" i="3"/>
  <c r="D325" i="3"/>
  <c r="E325" i="3"/>
  <c r="B326" i="3"/>
  <c r="C326" i="3"/>
  <c r="D326" i="3"/>
  <c r="E326" i="3"/>
  <c r="B327" i="3"/>
  <c r="C327" i="3"/>
  <c r="D327" i="3"/>
  <c r="E327" i="3"/>
  <c r="B328" i="3"/>
  <c r="C328" i="3"/>
  <c r="D328" i="3"/>
  <c r="E328" i="3"/>
  <c r="B329" i="3"/>
  <c r="C329" i="3"/>
  <c r="D329" i="3"/>
  <c r="E329" i="3"/>
  <c r="B330" i="3"/>
  <c r="C330" i="3"/>
  <c r="D330" i="3"/>
  <c r="E330" i="3"/>
  <c r="B331" i="3"/>
  <c r="C331" i="3"/>
  <c r="D331" i="3"/>
  <c r="E331" i="3"/>
  <c r="B332" i="3"/>
  <c r="C332" i="3"/>
  <c r="D332" i="3"/>
  <c r="E332" i="3"/>
  <c r="B333" i="3"/>
  <c r="C333" i="3"/>
  <c r="D333" i="3"/>
  <c r="E333" i="3"/>
  <c r="B334" i="3"/>
  <c r="C334" i="3"/>
  <c r="D334" i="3"/>
  <c r="E334" i="3"/>
  <c r="B335" i="3"/>
  <c r="C335" i="3"/>
  <c r="D335" i="3"/>
  <c r="E335" i="3"/>
  <c r="B336" i="3"/>
  <c r="C336" i="3"/>
  <c r="D336" i="3"/>
  <c r="E336" i="3"/>
  <c r="B337" i="3"/>
  <c r="C337" i="3"/>
  <c r="D337" i="3"/>
  <c r="E337" i="3"/>
  <c r="B338" i="3"/>
  <c r="C338" i="3"/>
  <c r="D338" i="3"/>
  <c r="E338" i="3"/>
  <c r="B339" i="3"/>
  <c r="C339" i="3"/>
  <c r="D339" i="3"/>
  <c r="E339" i="3"/>
  <c r="B340" i="3"/>
  <c r="C340" i="3"/>
  <c r="D340" i="3"/>
  <c r="E340" i="3"/>
  <c r="B341" i="3"/>
  <c r="C341" i="3"/>
  <c r="D341" i="3"/>
  <c r="E341" i="3"/>
  <c r="B342" i="3"/>
  <c r="C342" i="3"/>
  <c r="D342" i="3"/>
  <c r="E342" i="3"/>
  <c r="B343" i="3"/>
  <c r="C343" i="3"/>
  <c r="D343" i="3"/>
  <c r="E343" i="3"/>
  <c r="B344" i="3"/>
  <c r="C344" i="3"/>
  <c r="D344" i="3"/>
  <c r="E344" i="3"/>
  <c r="B345" i="3"/>
  <c r="C345" i="3"/>
  <c r="D345" i="3"/>
  <c r="E345" i="3"/>
  <c r="B346" i="3"/>
  <c r="C346" i="3"/>
  <c r="D346" i="3"/>
  <c r="E346" i="3"/>
  <c r="B347" i="3"/>
  <c r="C347" i="3"/>
  <c r="D347" i="3"/>
  <c r="E347" i="3"/>
  <c r="B348" i="3"/>
  <c r="C348" i="3"/>
  <c r="D348" i="3"/>
  <c r="E348" i="3"/>
  <c r="B349" i="3"/>
  <c r="C349" i="3"/>
  <c r="D349" i="3"/>
  <c r="E349" i="3"/>
  <c r="B350" i="3"/>
  <c r="C350" i="3"/>
  <c r="D350" i="3"/>
  <c r="E350" i="3"/>
  <c r="B351" i="3"/>
  <c r="C351" i="3"/>
  <c r="D351" i="3"/>
  <c r="E351" i="3"/>
  <c r="B352" i="3"/>
  <c r="C352" i="3"/>
  <c r="D352" i="3"/>
  <c r="E352" i="3"/>
  <c r="B353" i="3"/>
  <c r="C353" i="3"/>
  <c r="D353" i="3"/>
  <c r="E353" i="3"/>
  <c r="B354" i="3"/>
  <c r="C354" i="3"/>
  <c r="D354" i="3"/>
  <c r="E354" i="3"/>
  <c r="B355" i="3"/>
  <c r="C355" i="3"/>
  <c r="D355" i="3"/>
  <c r="E355" i="3"/>
  <c r="B356" i="3"/>
  <c r="C356" i="3"/>
  <c r="D356" i="3"/>
  <c r="E356" i="3"/>
  <c r="B357" i="3"/>
  <c r="C357" i="3"/>
  <c r="D357" i="3"/>
  <c r="E357" i="3"/>
  <c r="B358" i="3"/>
  <c r="C358" i="3"/>
  <c r="D358" i="3"/>
  <c r="E358" i="3"/>
  <c r="B359" i="3"/>
  <c r="C359" i="3"/>
  <c r="D359" i="3"/>
  <c r="E359" i="3"/>
  <c r="B360" i="3"/>
  <c r="C360" i="3"/>
  <c r="D360" i="3"/>
  <c r="E360" i="3"/>
  <c r="B361" i="3"/>
  <c r="C361" i="3"/>
  <c r="D361" i="3"/>
  <c r="E361" i="3"/>
  <c r="B362" i="3"/>
  <c r="C362" i="3"/>
  <c r="D362" i="3"/>
  <c r="E362" i="3"/>
  <c r="B363" i="3"/>
  <c r="C363" i="3"/>
  <c r="D363" i="3"/>
  <c r="E363" i="3"/>
  <c r="B364" i="3"/>
  <c r="C364" i="3"/>
  <c r="D364" i="3"/>
  <c r="E364" i="3"/>
  <c r="B365" i="3"/>
  <c r="C365" i="3"/>
  <c r="D365" i="3"/>
  <c r="E365" i="3"/>
  <c r="B366" i="3"/>
  <c r="C366" i="3"/>
  <c r="D366" i="3"/>
  <c r="E366" i="3"/>
  <c r="B367" i="3"/>
  <c r="C367" i="3"/>
  <c r="D367" i="3"/>
  <c r="E367" i="3"/>
  <c r="B368" i="3"/>
  <c r="C368" i="3"/>
  <c r="D368" i="3"/>
  <c r="E368" i="3"/>
  <c r="B369" i="3"/>
  <c r="C369" i="3"/>
  <c r="D369" i="3"/>
  <c r="E369" i="3"/>
  <c r="B370" i="3"/>
  <c r="C370" i="3"/>
  <c r="D370" i="3"/>
  <c r="E370" i="3"/>
  <c r="B371" i="3"/>
  <c r="C371" i="3"/>
  <c r="D371" i="3"/>
  <c r="E371" i="3"/>
  <c r="B372" i="3"/>
  <c r="C372" i="3"/>
  <c r="D372" i="3"/>
  <c r="E372" i="3"/>
  <c r="B373" i="3"/>
  <c r="C373" i="3"/>
  <c r="D373" i="3"/>
  <c r="E373" i="3"/>
  <c r="B374" i="3"/>
  <c r="C374" i="3"/>
  <c r="D374" i="3"/>
  <c r="E374" i="3"/>
  <c r="B375" i="3"/>
  <c r="C375" i="3"/>
  <c r="D375" i="3"/>
  <c r="E375" i="3"/>
  <c r="B376" i="3"/>
  <c r="C376" i="3"/>
  <c r="D376" i="3"/>
  <c r="E376" i="3"/>
  <c r="B377" i="3"/>
  <c r="C377" i="3"/>
  <c r="D377" i="3"/>
  <c r="E377" i="3"/>
  <c r="B378" i="3"/>
  <c r="C378" i="3"/>
  <c r="D378" i="3"/>
  <c r="E378" i="3"/>
  <c r="B379" i="3"/>
  <c r="C379" i="3"/>
  <c r="D379" i="3"/>
  <c r="E379" i="3"/>
  <c r="B380" i="3"/>
  <c r="C380" i="3"/>
  <c r="D380" i="3"/>
  <c r="E380" i="3"/>
  <c r="B381" i="3"/>
  <c r="C381" i="3"/>
  <c r="D381" i="3"/>
  <c r="E381" i="3"/>
  <c r="B382" i="3"/>
  <c r="C382" i="3"/>
  <c r="D382" i="3"/>
  <c r="E382" i="3"/>
  <c r="B383" i="3"/>
  <c r="C383" i="3"/>
  <c r="D383" i="3"/>
  <c r="E383" i="3"/>
  <c r="B384" i="3"/>
  <c r="C384" i="3"/>
  <c r="D384" i="3"/>
  <c r="E384" i="3"/>
  <c r="B385" i="3"/>
  <c r="C385" i="3"/>
  <c r="D385" i="3"/>
  <c r="E385" i="3"/>
  <c r="B386" i="3"/>
  <c r="C386" i="3"/>
  <c r="D386" i="3"/>
  <c r="E386" i="3"/>
  <c r="B387" i="3"/>
  <c r="C387" i="3"/>
  <c r="D387" i="3"/>
  <c r="E387" i="3"/>
  <c r="B388" i="3"/>
  <c r="C388" i="3"/>
  <c r="D388" i="3"/>
  <c r="E388" i="3"/>
  <c r="B389" i="3"/>
  <c r="C389" i="3"/>
  <c r="D389" i="3"/>
  <c r="E389" i="3"/>
  <c r="B390" i="3"/>
  <c r="C390" i="3"/>
  <c r="D390" i="3"/>
  <c r="E390" i="3"/>
  <c r="B391" i="3"/>
  <c r="C391" i="3"/>
  <c r="D391" i="3"/>
  <c r="E391" i="3"/>
  <c r="B392" i="3"/>
  <c r="C392" i="3"/>
  <c r="D392" i="3"/>
  <c r="E392" i="3"/>
  <c r="B393" i="3"/>
  <c r="C393" i="3"/>
  <c r="D393" i="3"/>
  <c r="E393" i="3"/>
  <c r="B394" i="3"/>
  <c r="C394" i="3"/>
  <c r="D394" i="3"/>
  <c r="E394" i="3"/>
  <c r="B395" i="3"/>
  <c r="C395" i="3"/>
  <c r="D395" i="3"/>
  <c r="E395" i="3"/>
  <c r="B396" i="3"/>
  <c r="C396" i="3"/>
  <c r="D396" i="3"/>
  <c r="E396" i="3"/>
  <c r="B397" i="3"/>
  <c r="C397" i="3"/>
  <c r="D397" i="3"/>
  <c r="E397" i="3"/>
  <c r="B398" i="3"/>
  <c r="C398" i="3"/>
  <c r="D398" i="3"/>
  <c r="E398" i="3"/>
  <c r="B399" i="3"/>
  <c r="C399" i="3"/>
  <c r="D399" i="3"/>
  <c r="E399" i="3"/>
  <c r="B400" i="3"/>
  <c r="C400" i="3"/>
  <c r="D400" i="3"/>
  <c r="E400" i="3"/>
  <c r="B401" i="3"/>
  <c r="C401" i="3"/>
  <c r="D401" i="3"/>
  <c r="E401" i="3"/>
  <c r="B402" i="3"/>
  <c r="C402" i="3"/>
  <c r="D402" i="3"/>
  <c r="E402" i="3"/>
  <c r="B403" i="3"/>
  <c r="C403" i="3"/>
  <c r="D403" i="3"/>
  <c r="E403" i="3"/>
  <c r="B404" i="3"/>
  <c r="C404" i="3"/>
  <c r="D404" i="3"/>
  <c r="E404" i="3"/>
  <c r="B405" i="3"/>
  <c r="C405" i="3"/>
  <c r="D405" i="3"/>
  <c r="E405" i="3"/>
  <c r="B406" i="3"/>
  <c r="C406" i="3"/>
  <c r="D406" i="3"/>
  <c r="E406" i="3"/>
  <c r="B407" i="3"/>
  <c r="C407" i="3"/>
  <c r="D407" i="3"/>
  <c r="E407" i="3"/>
  <c r="B408" i="3"/>
  <c r="C408" i="3"/>
  <c r="D408" i="3"/>
  <c r="E408" i="3"/>
  <c r="B409" i="3"/>
  <c r="C409" i="3"/>
  <c r="D409" i="3"/>
  <c r="E409" i="3"/>
  <c r="B410" i="3"/>
  <c r="C410" i="3"/>
  <c r="D410" i="3"/>
  <c r="E410" i="3"/>
  <c r="B411" i="3"/>
  <c r="C411" i="3"/>
  <c r="D411" i="3"/>
  <c r="E411" i="3"/>
  <c r="B412" i="3"/>
  <c r="C412" i="3"/>
  <c r="D412" i="3"/>
  <c r="E412" i="3"/>
  <c r="B413" i="3"/>
  <c r="C413" i="3"/>
  <c r="D413" i="3"/>
  <c r="E413" i="3"/>
  <c r="B414" i="3"/>
  <c r="C414" i="3"/>
  <c r="D414" i="3"/>
  <c r="E414" i="3"/>
  <c r="B415" i="3"/>
  <c r="C415" i="3"/>
  <c r="D415" i="3"/>
  <c r="E415" i="3"/>
  <c r="B416" i="3"/>
  <c r="C416" i="3"/>
  <c r="D416" i="3"/>
  <c r="E416" i="3"/>
  <c r="B417" i="3"/>
  <c r="C417" i="3"/>
  <c r="D417" i="3"/>
  <c r="E417" i="3"/>
  <c r="B418" i="3"/>
  <c r="C418" i="3"/>
  <c r="D418" i="3"/>
  <c r="E418" i="3"/>
  <c r="B419" i="3"/>
  <c r="C419" i="3"/>
  <c r="D419" i="3"/>
  <c r="E419" i="3"/>
  <c r="B420" i="3"/>
  <c r="C420" i="3"/>
  <c r="D420" i="3"/>
  <c r="E420" i="3"/>
  <c r="B421" i="3"/>
  <c r="C421" i="3"/>
  <c r="D421" i="3"/>
  <c r="E421" i="3"/>
  <c r="B422" i="3"/>
  <c r="C422" i="3"/>
  <c r="D422" i="3"/>
  <c r="E422" i="3"/>
  <c r="B423" i="3"/>
  <c r="C423" i="3"/>
  <c r="D423" i="3"/>
  <c r="E423" i="3"/>
  <c r="B424" i="3"/>
  <c r="C424" i="3"/>
  <c r="D424" i="3"/>
  <c r="E424" i="3"/>
  <c r="B425" i="3"/>
  <c r="C425" i="3"/>
  <c r="D425" i="3"/>
  <c r="E425" i="3"/>
  <c r="B426" i="3"/>
  <c r="C426" i="3"/>
  <c r="D426" i="3"/>
  <c r="E426" i="3"/>
  <c r="B427" i="3"/>
  <c r="C427" i="3"/>
  <c r="D427" i="3"/>
  <c r="E427" i="3"/>
  <c r="B428" i="3"/>
  <c r="C428" i="3"/>
  <c r="D428" i="3"/>
  <c r="E428" i="3"/>
  <c r="B429" i="3"/>
  <c r="C429" i="3"/>
  <c r="D429" i="3"/>
  <c r="E429" i="3"/>
  <c r="B430" i="3"/>
  <c r="C430" i="3"/>
  <c r="D430" i="3"/>
  <c r="E430" i="3"/>
  <c r="B431" i="3"/>
  <c r="C431" i="3"/>
  <c r="D431" i="3"/>
  <c r="E431" i="3"/>
  <c r="B432" i="3"/>
  <c r="C432" i="3"/>
  <c r="D432" i="3"/>
  <c r="E432" i="3"/>
  <c r="B433" i="3"/>
  <c r="C433" i="3"/>
  <c r="D433" i="3"/>
  <c r="E433" i="3"/>
  <c r="B434" i="3"/>
  <c r="C434" i="3"/>
  <c r="D434" i="3"/>
  <c r="E434" i="3"/>
  <c r="B435" i="3"/>
  <c r="C435" i="3"/>
  <c r="D435" i="3"/>
  <c r="E435" i="3"/>
  <c r="B436" i="3"/>
  <c r="C436" i="3"/>
  <c r="D436" i="3"/>
  <c r="E436" i="3"/>
  <c r="B437" i="3"/>
  <c r="C437" i="3"/>
  <c r="D437" i="3"/>
  <c r="E437" i="3"/>
  <c r="B438" i="3"/>
  <c r="C438" i="3"/>
  <c r="D438" i="3"/>
  <c r="E438" i="3"/>
  <c r="B439" i="3"/>
  <c r="C439" i="3"/>
  <c r="D439" i="3"/>
  <c r="E439" i="3"/>
  <c r="B440" i="3"/>
  <c r="C440" i="3"/>
  <c r="D440" i="3"/>
  <c r="E440" i="3"/>
  <c r="B441" i="3"/>
  <c r="C441" i="3"/>
  <c r="D441" i="3"/>
  <c r="E441" i="3"/>
  <c r="B442" i="3"/>
  <c r="C442" i="3"/>
  <c r="D442" i="3"/>
  <c r="E442" i="3"/>
  <c r="B443" i="3"/>
  <c r="C443" i="3"/>
  <c r="D443" i="3"/>
  <c r="E443" i="3"/>
  <c r="B444" i="3"/>
  <c r="C444" i="3"/>
  <c r="D444" i="3"/>
  <c r="E444" i="3"/>
  <c r="B445" i="3"/>
  <c r="C445" i="3"/>
  <c r="D445" i="3"/>
  <c r="E445" i="3"/>
  <c r="B446" i="3"/>
  <c r="C446" i="3"/>
  <c r="D446" i="3"/>
  <c r="E446" i="3"/>
  <c r="B447" i="3"/>
  <c r="C447" i="3"/>
  <c r="D447" i="3"/>
  <c r="E447" i="3"/>
  <c r="B448" i="3"/>
  <c r="C448" i="3"/>
  <c r="D448" i="3"/>
  <c r="E448" i="3"/>
  <c r="B449" i="3"/>
  <c r="C449" i="3"/>
  <c r="D449" i="3"/>
  <c r="E449" i="3"/>
  <c r="B450" i="3"/>
  <c r="C450" i="3"/>
  <c r="D450" i="3"/>
  <c r="E450" i="3"/>
  <c r="B451" i="3"/>
  <c r="C451" i="3"/>
  <c r="D451" i="3"/>
  <c r="E451" i="3"/>
  <c r="B452" i="3"/>
  <c r="C452" i="3"/>
  <c r="D452" i="3"/>
  <c r="E452" i="3"/>
  <c r="B453" i="3"/>
  <c r="C453" i="3"/>
  <c r="D453" i="3"/>
  <c r="E453" i="3"/>
  <c r="B454" i="3"/>
  <c r="C454" i="3"/>
  <c r="D454" i="3"/>
  <c r="E454" i="3"/>
  <c r="B455" i="3"/>
  <c r="C455" i="3"/>
  <c r="D455" i="3"/>
  <c r="E455" i="3"/>
  <c r="B456" i="3"/>
  <c r="C456" i="3"/>
  <c r="D456" i="3"/>
  <c r="E456" i="3"/>
  <c r="B457" i="3"/>
  <c r="C457" i="3"/>
  <c r="D457" i="3"/>
  <c r="E457" i="3"/>
  <c r="B458" i="3"/>
  <c r="C458" i="3"/>
  <c r="D458" i="3"/>
  <c r="E458" i="3"/>
  <c r="B459" i="3"/>
  <c r="C459" i="3"/>
  <c r="D459" i="3"/>
  <c r="E459" i="3"/>
  <c r="B460" i="3"/>
  <c r="C460" i="3"/>
  <c r="D460" i="3"/>
  <c r="E460" i="3"/>
  <c r="B461" i="3"/>
  <c r="C461" i="3"/>
  <c r="D461" i="3"/>
  <c r="E461" i="3"/>
  <c r="B462" i="3"/>
  <c r="C462" i="3"/>
  <c r="D462" i="3"/>
  <c r="E462" i="3"/>
  <c r="B463" i="3"/>
  <c r="C463" i="3"/>
  <c r="D463" i="3"/>
  <c r="E463" i="3"/>
  <c r="B464" i="3"/>
  <c r="C464" i="3"/>
  <c r="D464" i="3"/>
  <c r="E464" i="3"/>
  <c r="B465" i="3"/>
  <c r="C465" i="3"/>
  <c r="D465" i="3"/>
  <c r="E465" i="3"/>
  <c r="B466" i="3"/>
  <c r="C466" i="3"/>
  <c r="D466" i="3"/>
  <c r="E466" i="3"/>
  <c r="B467" i="3"/>
  <c r="C467" i="3"/>
  <c r="D467" i="3"/>
  <c r="E467" i="3"/>
  <c r="B468" i="3"/>
  <c r="C468" i="3"/>
  <c r="D468" i="3"/>
  <c r="E468" i="3"/>
  <c r="B469" i="3"/>
  <c r="C469" i="3"/>
  <c r="D469" i="3"/>
  <c r="E469" i="3"/>
  <c r="B470" i="3"/>
  <c r="C470" i="3"/>
  <c r="D470" i="3"/>
  <c r="E470" i="3"/>
  <c r="B471" i="3"/>
  <c r="C471" i="3"/>
  <c r="D471" i="3"/>
  <c r="E471" i="3"/>
  <c r="B472" i="3"/>
  <c r="C472" i="3"/>
  <c r="D472" i="3"/>
  <c r="E472" i="3"/>
  <c r="B473" i="3"/>
  <c r="C473" i="3"/>
  <c r="D473" i="3"/>
  <c r="E473" i="3"/>
  <c r="B474" i="3"/>
  <c r="C474" i="3"/>
  <c r="D474" i="3"/>
  <c r="E474" i="3"/>
  <c r="B475" i="3"/>
  <c r="C475" i="3"/>
  <c r="D475" i="3"/>
  <c r="E475" i="3"/>
  <c r="B476" i="3"/>
  <c r="C476" i="3"/>
  <c r="D476" i="3"/>
  <c r="E476" i="3"/>
  <c r="B477" i="3"/>
  <c r="C477" i="3"/>
  <c r="D477" i="3"/>
  <c r="E477" i="3"/>
  <c r="B478" i="3"/>
  <c r="C478" i="3"/>
  <c r="D478" i="3"/>
  <c r="E478" i="3"/>
  <c r="B479" i="3"/>
  <c r="C479" i="3"/>
  <c r="D479" i="3"/>
  <c r="E479" i="3"/>
  <c r="B480" i="3"/>
  <c r="C480" i="3"/>
  <c r="D480" i="3"/>
  <c r="E480" i="3"/>
  <c r="B481" i="3"/>
  <c r="C481" i="3"/>
  <c r="D481" i="3"/>
  <c r="E481" i="3"/>
  <c r="B482" i="3"/>
  <c r="C482" i="3"/>
  <c r="D482" i="3"/>
  <c r="E482" i="3"/>
  <c r="B483" i="3"/>
  <c r="C483" i="3"/>
  <c r="D483" i="3"/>
  <c r="E483" i="3"/>
  <c r="B484" i="3"/>
  <c r="C484" i="3"/>
  <c r="D484" i="3"/>
  <c r="E484" i="3"/>
  <c r="B485" i="3"/>
  <c r="C485" i="3"/>
  <c r="D485" i="3"/>
  <c r="E485" i="3"/>
  <c r="B486" i="3"/>
  <c r="C486" i="3"/>
  <c r="D486" i="3"/>
  <c r="E486" i="3"/>
  <c r="B487" i="3"/>
  <c r="C487" i="3"/>
  <c r="D487" i="3"/>
  <c r="E487" i="3"/>
  <c r="B488" i="3"/>
  <c r="C488" i="3"/>
  <c r="D488" i="3"/>
  <c r="E488" i="3"/>
  <c r="B489" i="3"/>
  <c r="C489" i="3"/>
  <c r="D489" i="3"/>
  <c r="E489" i="3"/>
  <c r="B490" i="3"/>
  <c r="C490" i="3"/>
  <c r="D490" i="3"/>
  <c r="E490" i="3"/>
  <c r="B491" i="3"/>
  <c r="C491" i="3"/>
  <c r="D491" i="3"/>
  <c r="E491" i="3"/>
  <c r="B492" i="3"/>
  <c r="C492" i="3"/>
  <c r="D492" i="3"/>
  <c r="E492" i="3"/>
  <c r="B493" i="3"/>
  <c r="C493" i="3"/>
  <c r="D493" i="3"/>
  <c r="E493" i="3"/>
  <c r="B494" i="3"/>
  <c r="C494" i="3"/>
  <c r="D494" i="3"/>
  <c r="E494" i="3"/>
  <c r="B495" i="3"/>
  <c r="C495" i="3"/>
  <c r="D495" i="3"/>
  <c r="E495" i="3"/>
  <c r="B496" i="3"/>
  <c r="C496" i="3"/>
  <c r="D496" i="3"/>
  <c r="E496" i="3"/>
  <c r="B497" i="3"/>
  <c r="C497" i="3"/>
  <c r="D497" i="3"/>
  <c r="E497" i="3"/>
  <c r="B498" i="3"/>
  <c r="C498" i="3"/>
  <c r="D498" i="3"/>
  <c r="E498" i="3"/>
  <c r="B499" i="3"/>
  <c r="C499" i="3"/>
  <c r="D499" i="3"/>
  <c r="E499" i="3"/>
  <c r="B500" i="3"/>
  <c r="C500" i="3"/>
  <c r="D500" i="3"/>
  <c r="E500" i="3"/>
  <c r="B501" i="3"/>
  <c r="C501" i="3"/>
  <c r="D501" i="3"/>
  <c r="E501" i="3"/>
  <c r="B502" i="3"/>
  <c r="C502" i="3"/>
  <c r="D502" i="3"/>
  <c r="E502" i="3"/>
  <c r="B503" i="3"/>
  <c r="C503" i="3"/>
  <c r="D503" i="3"/>
  <c r="E503" i="3"/>
  <c r="B504" i="3"/>
  <c r="C504" i="3"/>
  <c r="D504" i="3"/>
  <c r="E504" i="3"/>
  <c r="B505" i="3"/>
  <c r="C505" i="3"/>
  <c r="D505" i="3"/>
  <c r="E505" i="3"/>
  <c r="B506" i="3"/>
  <c r="C506" i="3"/>
  <c r="D506" i="3"/>
  <c r="E506" i="3"/>
  <c r="B507" i="3"/>
  <c r="C507" i="3"/>
  <c r="D507" i="3"/>
  <c r="E507" i="3"/>
  <c r="B508" i="3"/>
  <c r="C508" i="3"/>
  <c r="D508" i="3"/>
  <c r="E508" i="3"/>
  <c r="B509" i="3"/>
  <c r="C509" i="3"/>
  <c r="D509" i="3"/>
  <c r="E509" i="3"/>
  <c r="B510" i="3"/>
  <c r="C510" i="3"/>
  <c r="D510" i="3"/>
  <c r="E510" i="3"/>
  <c r="B511" i="3"/>
  <c r="C511" i="3"/>
  <c r="D511" i="3"/>
  <c r="E511" i="3"/>
  <c r="B512" i="3"/>
  <c r="C512" i="3"/>
  <c r="D512" i="3"/>
  <c r="E512" i="3"/>
  <c r="B513" i="3"/>
  <c r="C513" i="3"/>
  <c r="D513" i="3"/>
  <c r="E513" i="3"/>
  <c r="B514" i="3"/>
  <c r="C514" i="3"/>
  <c r="D514" i="3"/>
  <c r="E514" i="3"/>
  <c r="B515" i="3"/>
  <c r="C515" i="3"/>
  <c r="D515" i="3"/>
  <c r="E515" i="3"/>
  <c r="B516" i="3"/>
  <c r="C516" i="3"/>
  <c r="D516" i="3"/>
  <c r="E516" i="3"/>
  <c r="B517" i="3"/>
  <c r="C517" i="3"/>
  <c r="D517" i="3"/>
  <c r="E517" i="3"/>
  <c r="B518" i="3"/>
  <c r="C518" i="3"/>
  <c r="D518" i="3"/>
  <c r="E518" i="3"/>
  <c r="B519" i="3"/>
  <c r="C519" i="3"/>
  <c r="D519" i="3"/>
  <c r="E519" i="3"/>
  <c r="B520" i="3"/>
  <c r="C520" i="3"/>
  <c r="D520" i="3"/>
  <c r="E520" i="3"/>
  <c r="B521" i="3"/>
  <c r="C521" i="3"/>
  <c r="D521" i="3"/>
  <c r="E521" i="3"/>
  <c r="B522" i="3"/>
  <c r="C522" i="3"/>
  <c r="D522" i="3"/>
  <c r="E522" i="3"/>
  <c r="B523" i="3"/>
  <c r="C523" i="3"/>
  <c r="D523" i="3"/>
  <c r="E523" i="3"/>
  <c r="B524" i="3"/>
  <c r="C524" i="3"/>
  <c r="D524" i="3"/>
  <c r="E524" i="3"/>
  <c r="B525" i="3"/>
  <c r="C525" i="3"/>
  <c r="D525" i="3"/>
  <c r="E525" i="3"/>
  <c r="B526" i="3"/>
  <c r="C526" i="3"/>
  <c r="D526" i="3"/>
  <c r="E526" i="3"/>
  <c r="B527" i="3"/>
  <c r="C527" i="3"/>
  <c r="D527" i="3"/>
  <c r="E527" i="3"/>
  <c r="B528" i="3"/>
  <c r="C528" i="3"/>
  <c r="D528" i="3"/>
  <c r="E528" i="3"/>
  <c r="B529" i="3"/>
  <c r="C529" i="3"/>
  <c r="D529" i="3"/>
  <c r="E529" i="3"/>
  <c r="B530" i="3"/>
  <c r="C530" i="3"/>
  <c r="D530" i="3"/>
  <c r="E530" i="3"/>
  <c r="B531" i="3"/>
  <c r="C531" i="3"/>
  <c r="D531" i="3"/>
  <c r="E531" i="3"/>
  <c r="B532" i="3"/>
  <c r="C532" i="3"/>
  <c r="D532" i="3"/>
  <c r="E532" i="3"/>
  <c r="B533" i="3"/>
  <c r="C533" i="3"/>
  <c r="D533" i="3"/>
  <c r="E533" i="3"/>
  <c r="B534" i="3"/>
  <c r="C534" i="3"/>
  <c r="D534" i="3"/>
  <c r="E534" i="3"/>
  <c r="B535" i="3"/>
  <c r="C535" i="3"/>
  <c r="D535" i="3"/>
  <c r="E535" i="3"/>
  <c r="B536" i="3"/>
  <c r="C536" i="3"/>
  <c r="D536" i="3"/>
  <c r="E536" i="3"/>
  <c r="B537" i="3"/>
  <c r="C537" i="3"/>
  <c r="D537" i="3"/>
  <c r="E537" i="3"/>
  <c r="B538" i="3"/>
  <c r="C538" i="3"/>
  <c r="D538" i="3"/>
  <c r="E538" i="3"/>
  <c r="B539" i="3"/>
  <c r="C539" i="3"/>
  <c r="D539" i="3"/>
  <c r="E539" i="3"/>
  <c r="B540" i="3"/>
  <c r="C540" i="3"/>
  <c r="D540" i="3"/>
  <c r="E540" i="3"/>
  <c r="B541" i="3"/>
  <c r="C541" i="3"/>
  <c r="D541" i="3"/>
  <c r="E541" i="3"/>
  <c r="B542" i="3"/>
  <c r="C542" i="3"/>
  <c r="D542" i="3"/>
  <c r="E542" i="3"/>
  <c r="B543" i="3"/>
  <c r="C543" i="3"/>
  <c r="D543" i="3"/>
  <c r="E543" i="3"/>
  <c r="B544" i="3"/>
  <c r="C544" i="3"/>
  <c r="D544" i="3"/>
  <c r="E544" i="3"/>
  <c r="B545" i="3"/>
  <c r="C545" i="3"/>
  <c r="D545" i="3"/>
  <c r="E545" i="3"/>
  <c r="B546" i="3"/>
  <c r="C546" i="3"/>
  <c r="D546" i="3"/>
  <c r="E546" i="3"/>
  <c r="B547" i="3"/>
  <c r="C547" i="3"/>
  <c r="D547" i="3"/>
  <c r="E547" i="3"/>
  <c r="B548" i="3"/>
  <c r="C548" i="3"/>
  <c r="D548" i="3"/>
  <c r="E548" i="3"/>
  <c r="B549" i="3"/>
  <c r="C549" i="3"/>
  <c r="D549" i="3"/>
  <c r="E549" i="3"/>
  <c r="B550" i="3"/>
  <c r="C550" i="3"/>
  <c r="D550" i="3"/>
  <c r="E550" i="3"/>
  <c r="B551" i="3"/>
  <c r="C551" i="3"/>
  <c r="D551" i="3"/>
  <c r="E551" i="3"/>
  <c r="B552" i="3"/>
  <c r="C552" i="3"/>
  <c r="D552" i="3"/>
  <c r="E552" i="3"/>
  <c r="B553" i="3"/>
  <c r="C553" i="3"/>
  <c r="D553" i="3"/>
  <c r="E553" i="3"/>
  <c r="B554" i="3"/>
  <c r="C554" i="3"/>
  <c r="D554" i="3"/>
  <c r="E554" i="3"/>
  <c r="B555" i="3"/>
  <c r="C555" i="3"/>
  <c r="D555" i="3"/>
  <c r="E555" i="3"/>
  <c r="B556" i="3"/>
  <c r="C556" i="3"/>
  <c r="D556" i="3"/>
  <c r="E556" i="3"/>
  <c r="B557" i="3"/>
  <c r="C557" i="3"/>
  <c r="D557" i="3"/>
  <c r="E557" i="3"/>
  <c r="B558" i="3"/>
  <c r="C558" i="3"/>
  <c r="D558" i="3"/>
  <c r="E558" i="3"/>
  <c r="B559" i="3"/>
  <c r="C559" i="3"/>
  <c r="D559" i="3"/>
  <c r="E559" i="3"/>
  <c r="B560" i="3"/>
  <c r="C560" i="3"/>
  <c r="D560" i="3"/>
  <c r="E560" i="3"/>
  <c r="B561" i="3"/>
  <c r="C561" i="3"/>
  <c r="D561" i="3"/>
  <c r="E561" i="3"/>
  <c r="B562" i="3"/>
  <c r="C562" i="3"/>
  <c r="D562" i="3"/>
  <c r="E562" i="3"/>
  <c r="B563" i="3"/>
  <c r="C563" i="3"/>
  <c r="D563" i="3"/>
  <c r="E563" i="3"/>
  <c r="B564" i="3"/>
  <c r="C564" i="3"/>
  <c r="D564" i="3"/>
  <c r="E564" i="3"/>
  <c r="B565" i="3"/>
  <c r="C565" i="3"/>
  <c r="D565" i="3"/>
  <c r="E565" i="3"/>
  <c r="B566" i="3"/>
  <c r="C566" i="3"/>
  <c r="D566" i="3"/>
  <c r="E566" i="3"/>
  <c r="B567" i="3"/>
  <c r="C567" i="3"/>
  <c r="D567" i="3"/>
  <c r="E567" i="3"/>
  <c r="B568" i="3"/>
  <c r="C568" i="3"/>
  <c r="D568" i="3"/>
  <c r="E568" i="3"/>
  <c r="B569" i="3"/>
  <c r="C569" i="3"/>
  <c r="D569" i="3"/>
  <c r="E569" i="3"/>
  <c r="B570" i="3"/>
  <c r="C570" i="3"/>
  <c r="D570" i="3"/>
  <c r="E570" i="3"/>
  <c r="B571" i="3"/>
  <c r="C571" i="3"/>
  <c r="D571" i="3"/>
  <c r="E571" i="3"/>
  <c r="B572" i="3"/>
  <c r="C572" i="3"/>
  <c r="D572" i="3"/>
  <c r="E572" i="3"/>
  <c r="B573" i="3"/>
  <c r="C573" i="3"/>
  <c r="D573" i="3"/>
  <c r="E573" i="3"/>
  <c r="B574" i="3"/>
  <c r="C574" i="3"/>
  <c r="D574" i="3"/>
  <c r="E574" i="3"/>
  <c r="B575" i="3"/>
  <c r="C575" i="3"/>
  <c r="D575" i="3"/>
  <c r="E575" i="3"/>
  <c r="B576" i="3"/>
  <c r="C576" i="3"/>
  <c r="D576" i="3"/>
  <c r="E576" i="3"/>
  <c r="B577" i="3"/>
  <c r="C577" i="3"/>
  <c r="D577" i="3"/>
  <c r="E577" i="3"/>
  <c r="B578" i="3"/>
  <c r="C578" i="3"/>
  <c r="D578" i="3"/>
  <c r="E578" i="3"/>
  <c r="B579" i="3"/>
  <c r="C579" i="3"/>
  <c r="D579" i="3"/>
  <c r="E579" i="3"/>
  <c r="B580" i="3"/>
  <c r="C580" i="3"/>
  <c r="D580" i="3"/>
  <c r="E580" i="3"/>
  <c r="B581" i="3"/>
  <c r="C581" i="3"/>
  <c r="D581" i="3"/>
  <c r="E581" i="3"/>
  <c r="B582" i="3"/>
  <c r="C582" i="3"/>
  <c r="D582" i="3"/>
  <c r="E582" i="3"/>
  <c r="B583" i="3"/>
  <c r="C583" i="3"/>
  <c r="D583" i="3"/>
  <c r="E583" i="3"/>
  <c r="B584" i="3"/>
  <c r="C584" i="3"/>
  <c r="D584" i="3"/>
  <c r="E584" i="3"/>
  <c r="B585" i="3"/>
  <c r="C585" i="3"/>
  <c r="D585" i="3"/>
  <c r="E585" i="3"/>
  <c r="B586" i="3"/>
  <c r="C586" i="3"/>
  <c r="D586" i="3"/>
  <c r="E586" i="3"/>
  <c r="B587" i="3"/>
  <c r="C587" i="3"/>
  <c r="D587" i="3"/>
  <c r="E587" i="3"/>
  <c r="B588" i="3"/>
  <c r="C588" i="3"/>
  <c r="D588" i="3"/>
  <c r="E588" i="3"/>
  <c r="B589" i="3"/>
  <c r="C589" i="3"/>
  <c r="D589" i="3"/>
  <c r="E589" i="3"/>
  <c r="B590" i="3"/>
  <c r="C590" i="3"/>
  <c r="D590" i="3"/>
  <c r="E590" i="3"/>
  <c r="B591" i="3"/>
  <c r="C591" i="3"/>
  <c r="D591" i="3"/>
  <c r="E591" i="3"/>
  <c r="B592" i="3"/>
  <c r="C592" i="3"/>
  <c r="D592" i="3"/>
  <c r="E592" i="3"/>
  <c r="B593" i="3"/>
  <c r="C593" i="3"/>
  <c r="D593" i="3"/>
  <c r="E593" i="3"/>
  <c r="B594" i="3"/>
  <c r="C594" i="3"/>
  <c r="D594" i="3"/>
  <c r="E594" i="3"/>
  <c r="B595" i="3"/>
  <c r="C595" i="3"/>
  <c r="D595" i="3"/>
  <c r="E595" i="3"/>
  <c r="B596" i="3"/>
  <c r="C596" i="3"/>
  <c r="D596" i="3"/>
  <c r="E596" i="3"/>
  <c r="B597" i="3"/>
  <c r="C597" i="3"/>
  <c r="D597" i="3"/>
  <c r="E597" i="3"/>
  <c r="B598" i="3"/>
  <c r="C598" i="3"/>
  <c r="D598" i="3"/>
  <c r="E598" i="3"/>
  <c r="B599" i="3"/>
  <c r="C599" i="3"/>
  <c r="D599" i="3"/>
  <c r="E599" i="3"/>
  <c r="B600" i="3"/>
  <c r="C600" i="3"/>
  <c r="D600" i="3"/>
  <c r="E600" i="3"/>
  <c r="B601" i="3"/>
  <c r="C601" i="3"/>
  <c r="D601" i="3"/>
  <c r="E601" i="3"/>
  <c r="B602" i="3"/>
  <c r="C602" i="3"/>
  <c r="D602" i="3"/>
  <c r="E602" i="3"/>
  <c r="B603" i="3"/>
  <c r="C603" i="3"/>
  <c r="D603" i="3"/>
  <c r="E603" i="3"/>
  <c r="B604" i="3"/>
  <c r="C604" i="3"/>
  <c r="D604" i="3"/>
  <c r="E604" i="3"/>
  <c r="B605" i="3"/>
  <c r="C605" i="3"/>
  <c r="D605" i="3"/>
  <c r="E605" i="3"/>
  <c r="B606" i="3"/>
  <c r="C606" i="3"/>
  <c r="D606" i="3"/>
  <c r="E606" i="3"/>
  <c r="B607" i="3"/>
  <c r="C607" i="3"/>
  <c r="D607" i="3"/>
  <c r="E607" i="3"/>
  <c r="B608" i="3"/>
  <c r="C608" i="3"/>
  <c r="D608" i="3"/>
  <c r="E608" i="3"/>
  <c r="B609" i="3"/>
  <c r="C609" i="3"/>
  <c r="D609" i="3"/>
  <c r="E609" i="3"/>
  <c r="B610" i="3"/>
  <c r="C610" i="3"/>
  <c r="D610" i="3"/>
  <c r="E610" i="3"/>
  <c r="B611" i="3"/>
  <c r="C611" i="3"/>
  <c r="D611" i="3"/>
  <c r="E611" i="3"/>
  <c r="B612" i="3"/>
  <c r="C612" i="3"/>
  <c r="D612" i="3"/>
  <c r="E612" i="3"/>
  <c r="B613" i="3"/>
  <c r="C613" i="3"/>
  <c r="D613" i="3"/>
  <c r="E613" i="3"/>
  <c r="B614" i="3"/>
  <c r="C614" i="3"/>
  <c r="D614" i="3"/>
  <c r="E614" i="3"/>
  <c r="B615" i="3"/>
  <c r="C615" i="3"/>
  <c r="D615" i="3"/>
  <c r="E615" i="3"/>
  <c r="B616" i="3"/>
  <c r="C616" i="3"/>
  <c r="D616" i="3"/>
  <c r="E616" i="3"/>
  <c r="B617" i="3"/>
  <c r="C617" i="3"/>
  <c r="D617" i="3"/>
  <c r="E617" i="3"/>
  <c r="B618" i="3"/>
  <c r="C618" i="3"/>
  <c r="D618" i="3"/>
  <c r="E618" i="3"/>
  <c r="B619" i="3"/>
  <c r="C619" i="3"/>
  <c r="D619" i="3"/>
  <c r="E619" i="3"/>
  <c r="B620" i="3"/>
  <c r="C620" i="3"/>
  <c r="D620" i="3"/>
  <c r="E620" i="3"/>
  <c r="B621" i="3"/>
  <c r="C621" i="3"/>
  <c r="D621" i="3"/>
  <c r="E621" i="3"/>
  <c r="B622" i="3"/>
  <c r="C622" i="3"/>
  <c r="D622" i="3"/>
  <c r="E622" i="3"/>
  <c r="B623" i="3"/>
  <c r="C623" i="3"/>
  <c r="D623" i="3"/>
  <c r="E623" i="3"/>
  <c r="B624" i="3"/>
  <c r="C624" i="3"/>
  <c r="D624" i="3"/>
  <c r="E624" i="3"/>
  <c r="B625" i="3"/>
  <c r="C625" i="3"/>
  <c r="D625" i="3"/>
  <c r="E625" i="3"/>
  <c r="B626" i="3"/>
  <c r="C626" i="3"/>
  <c r="D626" i="3"/>
  <c r="E626" i="3"/>
  <c r="B627" i="3"/>
  <c r="C627" i="3"/>
  <c r="D627" i="3"/>
  <c r="E627" i="3"/>
  <c r="B628" i="3"/>
  <c r="C628" i="3"/>
  <c r="D628" i="3"/>
  <c r="E628" i="3"/>
  <c r="B629" i="3"/>
  <c r="C629" i="3"/>
  <c r="D629" i="3"/>
  <c r="E629" i="3"/>
  <c r="B630" i="3"/>
  <c r="C630" i="3"/>
  <c r="D630" i="3"/>
  <c r="E630" i="3"/>
  <c r="B631" i="3"/>
  <c r="C631" i="3"/>
  <c r="D631" i="3"/>
  <c r="E631" i="3"/>
  <c r="B632" i="3"/>
  <c r="C632" i="3"/>
  <c r="D632" i="3"/>
  <c r="E632" i="3"/>
  <c r="B633" i="3"/>
  <c r="C633" i="3"/>
  <c r="D633" i="3"/>
  <c r="E633" i="3"/>
  <c r="B634" i="3"/>
  <c r="C634" i="3"/>
  <c r="D634" i="3"/>
  <c r="E634" i="3"/>
  <c r="B635" i="3"/>
  <c r="C635" i="3"/>
  <c r="D635" i="3"/>
  <c r="E635" i="3"/>
  <c r="B636" i="3"/>
  <c r="C636" i="3"/>
  <c r="D636" i="3"/>
  <c r="E636" i="3"/>
  <c r="B637" i="3"/>
  <c r="C637" i="3"/>
  <c r="D637" i="3"/>
  <c r="E637" i="3"/>
  <c r="B638" i="3"/>
  <c r="C638" i="3"/>
  <c r="D638" i="3"/>
  <c r="E638" i="3"/>
  <c r="B639" i="3"/>
  <c r="C639" i="3"/>
  <c r="D639" i="3"/>
  <c r="E639" i="3"/>
  <c r="B640" i="3"/>
  <c r="C640" i="3"/>
  <c r="D640" i="3"/>
  <c r="E640" i="3"/>
  <c r="B641" i="3"/>
  <c r="C641" i="3"/>
  <c r="D641" i="3"/>
  <c r="E641" i="3"/>
  <c r="B642" i="3"/>
  <c r="C642" i="3"/>
  <c r="D642" i="3"/>
  <c r="E642" i="3"/>
  <c r="B643" i="3"/>
  <c r="C643" i="3"/>
  <c r="D643" i="3"/>
  <c r="E643" i="3"/>
  <c r="B644" i="3"/>
  <c r="C644" i="3"/>
  <c r="D644" i="3"/>
  <c r="E644" i="3"/>
  <c r="B645" i="3"/>
  <c r="C645" i="3"/>
  <c r="D645" i="3"/>
  <c r="E645" i="3"/>
  <c r="B646" i="3"/>
  <c r="C646" i="3"/>
  <c r="D646" i="3"/>
  <c r="E646" i="3"/>
  <c r="B647" i="3"/>
  <c r="C647" i="3"/>
  <c r="D647" i="3"/>
  <c r="E647" i="3"/>
  <c r="B648" i="3"/>
  <c r="C648" i="3"/>
  <c r="D648" i="3"/>
  <c r="E648" i="3"/>
  <c r="B649" i="3"/>
  <c r="C649" i="3"/>
  <c r="D649" i="3"/>
  <c r="E649" i="3"/>
  <c r="B650" i="3"/>
  <c r="C650" i="3"/>
  <c r="D650" i="3"/>
  <c r="E650" i="3"/>
  <c r="B651" i="3"/>
  <c r="C651" i="3"/>
  <c r="D651" i="3"/>
  <c r="E651" i="3"/>
  <c r="B652" i="3"/>
  <c r="C652" i="3"/>
  <c r="D652" i="3"/>
  <c r="E652" i="3"/>
  <c r="B653" i="3"/>
  <c r="C653" i="3"/>
  <c r="D653" i="3"/>
  <c r="E653" i="3"/>
  <c r="B654" i="3"/>
  <c r="C654" i="3"/>
  <c r="D654" i="3"/>
  <c r="E654" i="3"/>
  <c r="B655" i="3"/>
  <c r="C655" i="3"/>
  <c r="D655" i="3"/>
  <c r="E655" i="3"/>
  <c r="B656" i="3"/>
  <c r="C656" i="3"/>
  <c r="D656" i="3"/>
  <c r="E656" i="3"/>
  <c r="B657" i="3"/>
  <c r="C657" i="3"/>
  <c r="D657" i="3"/>
  <c r="E657" i="3"/>
  <c r="B658" i="3"/>
  <c r="C658" i="3"/>
  <c r="D658" i="3"/>
  <c r="E658" i="3"/>
  <c r="B659" i="3"/>
  <c r="C659" i="3"/>
  <c r="D659" i="3"/>
  <c r="E659" i="3"/>
  <c r="B660" i="3"/>
  <c r="C660" i="3"/>
  <c r="D660" i="3"/>
  <c r="E660" i="3"/>
  <c r="B661" i="3"/>
  <c r="C661" i="3"/>
  <c r="D661" i="3"/>
  <c r="E661" i="3"/>
  <c r="B662" i="3"/>
  <c r="C662" i="3"/>
  <c r="D662" i="3"/>
  <c r="E662" i="3"/>
  <c r="B663" i="3"/>
  <c r="C663" i="3"/>
  <c r="D663" i="3"/>
  <c r="E663" i="3"/>
  <c r="B664" i="3"/>
  <c r="C664" i="3"/>
  <c r="D664" i="3"/>
  <c r="E664" i="3"/>
  <c r="B665" i="3"/>
  <c r="C665" i="3"/>
  <c r="D665" i="3"/>
  <c r="E665" i="3"/>
  <c r="B666" i="3"/>
  <c r="C666" i="3"/>
  <c r="D666" i="3"/>
  <c r="E666" i="3"/>
  <c r="B667" i="3"/>
  <c r="C667" i="3"/>
  <c r="D667" i="3"/>
  <c r="E667" i="3"/>
  <c r="B668" i="3"/>
  <c r="C668" i="3"/>
  <c r="D668" i="3"/>
  <c r="E668" i="3"/>
  <c r="B669" i="3"/>
  <c r="C669" i="3"/>
  <c r="D669" i="3"/>
  <c r="E669" i="3"/>
  <c r="B670" i="3"/>
  <c r="C670" i="3"/>
  <c r="D670" i="3"/>
  <c r="E670" i="3"/>
  <c r="B671" i="3"/>
  <c r="C671" i="3"/>
  <c r="D671" i="3"/>
  <c r="E671" i="3"/>
  <c r="B672" i="3"/>
  <c r="C672" i="3"/>
  <c r="D672" i="3"/>
  <c r="E672" i="3"/>
  <c r="B673" i="3"/>
  <c r="C673" i="3"/>
  <c r="D673" i="3"/>
  <c r="E673" i="3"/>
  <c r="B674" i="3"/>
  <c r="C674" i="3"/>
  <c r="D674" i="3"/>
  <c r="E674" i="3"/>
  <c r="B675" i="3"/>
  <c r="C675" i="3"/>
  <c r="D675" i="3"/>
  <c r="E675" i="3"/>
  <c r="B676" i="3"/>
  <c r="C676" i="3"/>
  <c r="D676" i="3"/>
  <c r="E676" i="3"/>
  <c r="B677" i="3"/>
  <c r="C677" i="3"/>
  <c r="D677" i="3"/>
  <c r="E677" i="3"/>
  <c r="B678" i="3"/>
  <c r="C678" i="3"/>
  <c r="D678" i="3"/>
  <c r="E678" i="3"/>
  <c r="B679" i="3"/>
  <c r="C679" i="3"/>
  <c r="D679" i="3"/>
  <c r="E679" i="3"/>
  <c r="B680" i="3"/>
  <c r="C680" i="3"/>
  <c r="D680" i="3"/>
  <c r="E680" i="3"/>
  <c r="B681" i="3"/>
  <c r="C681" i="3"/>
  <c r="D681" i="3"/>
  <c r="E681" i="3"/>
  <c r="B682" i="3"/>
  <c r="C682" i="3"/>
  <c r="D682" i="3"/>
  <c r="E682" i="3"/>
  <c r="B683" i="3"/>
  <c r="C683" i="3"/>
  <c r="D683" i="3"/>
  <c r="E683" i="3"/>
  <c r="B684" i="3"/>
  <c r="C684" i="3"/>
  <c r="D684" i="3"/>
  <c r="E684" i="3"/>
  <c r="B685" i="3"/>
  <c r="C685" i="3"/>
  <c r="D685" i="3"/>
  <c r="E685" i="3"/>
  <c r="B686" i="3"/>
  <c r="C686" i="3"/>
  <c r="D686" i="3"/>
  <c r="E686" i="3"/>
  <c r="B687" i="3"/>
  <c r="C687" i="3"/>
  <c r="D687" i="3"/>
  <c r="E687" i="3"/>
  <c r="B688" i="3"/>
  <c r="C688" i="3"/>
  <c r="D688" i="3"/>
  <c r="E688" i="3"/>
  <c r="B689" i="3"/>
  <c r="C689" i="3"/>
  <c r="D689" i="3"/>
  <c r="E689" i="3"/>
  <c r="B690" i="3"/>
  <c r="C690" i="3"/>
  <c r="D690" i="3"/>
  <c r="E690" i="3"/>
  <c r="B691" i="3"/>
  <c r="C691" i="3"/>
  <c r="D691" i="3"/>
  <c r="E691" i="3"/>
  <c r="B692" i="3"/>
  <c r="C692" i="3"/>
  <c r="D692" i="3"/>
  <c r="E692" i="3"/>
  <c r="B693" i="3"/>
  <c r="C693" i="3"/>
  <c r="D693" i="3"/>
  <c r="E693" i="3"/>
  <c r="B694" i="3"/>
  <c r="C694" i="3"/>
  <c r="D694" i="3"/>
  <c r="E694" i="3"/>
  <c r="B695" i="3"/>
  <c r="C695" i="3"/>
  <c r="D695" i="3"/>
  <c r="E695" i="3"/>
  <c r="B696" i="3"/>
  <c r="C696" i="3"/>
  <c r="D696" i="3"/>
  <c r="E696" i="3"/>
  <c r="B697" i="3"/>
  <c r="C697" i="3"/>
  <c r="D697" i="3"/>
  <c r="E697" i="3"/>
  <c r="B698" i="3"/>
  <c r="C698" i="3"/>
  <c r="D698" i="3"/>
  <c r="E698" i="3"/>
  <c r="B699" i="3"/>
  <c r="C699" i="3"/>
  <c r="D699" i="3"/>
  <c r="E699" i="3"/>
  <c r="B700" i="3"/>
  <c r="C700" i="3"/>
  <c r="D700" i="3"/>
  <c r="E700" i="3"/>
  <c r="B701" i="3"/>
  <c r="C701" i="3"/>
  <c r="D701" i="3"/>
  <c r="E701" i="3"/>
  <c r="B702" i="3"/>
  <c r="C702" i="3"/>
  <c r="D702" i="3"/>
  <c r="E702" i="3"/>
  <c r="B703" i="3"/>
  <c r="C703" i="3"/>
  <c r="D703" i="3"/>
  <c r="E703" i="3"/>
  <c r="B704" i="3"/>
  <c r="C704" i="3"/>
  <c r="D704" i="3"/>
  <c r="E704" i="3"/>
  <c r="B705" i="3"/>
  <c r="C705" i="3"/>
  <c r="D705" i="3"/>
  <c r="E705" i="3"/>
  <c r="B706" i="3"/>
  <c r="C706" i="3"/>
  <c r="D706" i="3"/>
  <c r="E706" i="3"/>
  <c r="B707" i="3"/>
  <c r="C707" i="3"/>
  <c r="D707" i="3"/>
  <c r="E707" i="3"/>
  <c r="B708" i="3"/>
  <c r="C708" i="3"/>
  <c r="D708" i="3"/>
  <c r="E708" i="3"/>
  <c r="B709" i="3"/>
  <c r="C709" i="3"/>
  <c r="D709" i="3"/>
  <c r="E709" i="3"/>
  <c r="B710" i="3"/>
  <c r="C710" i="3"/>
  <c r="D710" i="3"/>
  <c r="E710" i="3"/>
  <c r="B711" i="3"/>
  <c r="C711" i="3"/>
  <c r="D711" i="3"/>
  <c r="E711" i="3"/>
  <c r="B712" i="3"/>
  <c r="C712" i="3"/>
  <c r="D712" i="3"/>
  <c r="E712" i="3"/>
  <c r="B713" i="3"/>
  <c r="C713" i="3"/>
  <c r="D713" i="3"/>
  <c r="E713" i="3"/>
  <c r="B714" i="3"/>
  <c r="C714" i="3"/>
  <c r="D714" i="3"/>
  <c r="E714" i="3"/>
  <c r="B715" i="3"/>
  <c r="C715" i="3"/>
  <c r="D715" i="3"/>
  <c r="E715" i="3"/>
  <c r="B716" i="3"/>
  <c r="C716" i="3"/>
  <c r="D716" i="3"/>
  <c r="E716" i="3"/>
  <c r="B717" i="3"/>
  <c r="C717" i="3"/>
  <c r="D717" i="3"/>
  <c r="E717" i="3"/>
  <c r="B718" i="3"/>
  <c r="C718" i="3"/>
  <c r="D718" i="3"/>
  <c r="E718" i="3"/>
  <c r="B719" i="3"/>
  <c r="C719" i="3"/>
  <c r="D719" i="3"/>
  <c r="E719" i="3"/>
  <c r="B720" i="3"/>
  <c r="C720" i="3"/>
  <c r="D720" i="3"/>
  <c r="E720" i="3"/>
  <c r="B721" i="3"/>
  <c r="C721" i="3"/>
  <c r="D721" i="3"/>
  <c r="E721" i="3"/>
  <c r="B722" i="3"/>
  <c r="C722" i="3"/>
  <c r="D722" i="3"/>
  <c r="E722" i="3"/>
  <c r="B723" i="3"/>
  <c r="C723" i="3"/>
  <c r="D723" i="3"/>
  <c r="E723" i="3"/>
  <c r="B724" i="3"/>
  <c r="C724" i="3"/>
  <c r="D724" i="3"/>
  <c r="E724" i="3"/>
  <c r="B725" i="3"/>
  <c r="C725" i="3"/>
  <c r="D725" i="3"/>
  <c r="E725" i="3"/>
  <c r="B726" i="3"/>
  <c r="C726" i="3"/>
  <c r="D726" i="3"/>
  <c r="E726" i="3"/>
  <c r="B727" i="3"/>
  <c r="C727" i="3"/>
  <c r="D727" i="3"/>
  <c r="E727" i="3"/>
  <c r="B728" i="3"/>
  <c r="C728" i="3"/>
  <c r="D728" i="3"/>
  <c r="E728" i="3"/>
  <c r="B729" i="3"/>
  <c r="C729" i="3"/>
  <c r="D729" i="3"/>
  <c r="E729" i="3"/>
  <c r="B730" i="3"/>
  <c r="C730" i="3"/>
  <c r="D730" i="3"/>
  <c r="E730" i="3"/>
  <c r="B731" i="3"/>
  <c r="C731" i="3"/>
  <c r="D731" i="3"/>
  <c r="E731" i="3"/>
  <c r="B732" i="3"/>
  <c r="C732" i="3"/>
  <c r="D732" i="3"/>
  <c r="E732" i="3"/>
  <c r="B733" i="3"/>
  <c r="C733" i="3"/>
  <c r="D733" i="3"/>
  <c r="E733" i="3"/>
  <c r="B734" i="3"/>
  <c r="C734" i="3"/>
  <c r="D734" i="3"/>
  <c r="E734" i="3"/>
  <c r="B735" i="3"/>
  <c r="C735" i="3"/>
  <c r="D735" i="3"/>
  <c r="E735" i="3"/>
  <c r="B736" i="3"/>
  <c r="C736" i="3"/>
  <c r="D736" i="3"/>
  <c r="E736" i="3"/>
  <c r="B737" i="3"/>
  <c r="C737" i="3"/>
  <c r="D737" i="3"/>
  <c r="E737" i="3"/>
  <c r="B738" i="3"/>
  <c r="C738" i="3"/>
  <c r="D738" i="3"/>
  <c r="E738" i="3"/>
  <c r="B739" i="3"/>
  <c r="C739" i="3"/>
  <c r="D739" i="3"/>
  <c r="E739" i="3"/>
  <c r="B740" i="3"/>
  <c r="C740" i="3"/>
  <c r="D740" i="3"/>
  <c r="E740" i="3"/>
  <c r="B741" i="3"/>
  <c r="C741" i="3"/>
  <c r="D741" i="3"/>
  <c r="E741" i="3"/>
  <c r="B742" i="3"/>
  <c r="C742" i="3"/>
  <c r="D742" i="3"/>
  <c r="E742" i="3"/>
  <c r="B743" i="3"/>
  <c r="C743" i="3"/>
  <c r="D743" i="3"/>
  <c r="E743" i="3"/>
  <c r="B744" i="3"/>
  <c r="C744" i="3"/>
  <c r="D744" i="3"/>
  <c r="E744" i="3"/>
  <c r="B745" i="3"/>
  <c r="C745" i="3"/>
  <c r="D745" i="3"/>
  <c r="E745" i="3"/>
  <c r="B746" i="3"/>
  <c r="C746" i="3"/>
  <c r="D746" i="3"/>
  <c r="E746" i="3"/>
  <c r="B747" i="3"/>
  <c r="C747" i="3"/>
  <c r="D747" i="3"/>
  <c r="E747" i="3"/>
  <c r="B748" i="3"/>
  <c r="C748" i="3"/>
  <c r="D748" i="3"/>
  <c r="E748" i="3"/>
  <c r="B749" i="3"/>
  <c r="C749" i="3"/>
  <c r="D749" i="3"/>
  <c r="E749" i="3"/>
  <c r="B750" i="3"/>
  <c r="C750" i="3"/>
  <c r="D750" i="3"/>
  <c r="E750" i="3"/>
  <c r="B751" i="3"/>
  <c r="C751" i="3"/>
  <c r="D751" i="3"/>
  <c r="E751" i="3"/>
  <c r="B752" i="3"/>
  <c r="C752" i="3"/>
  <c r="D752" i="3"/>
  <c r="E752" i="3"/>
  <c r="B753" i="3"/>
  <c r="C753" i="3"/>
  <c r="D753" i="3"/>
  <c r="E753" i="3"/>
  <c r="B754" i="3"/>
  <c r="C754" i="3"/>
  <c r="D754" i="3"/>
  <c r="E754" i="3"/>
  <c r="B755" i="3"/>
  <c r="C755" i="3"/>
  <c r="D755" i="3"/>
  <c r="E755" i="3"/>
  <c r="B756" i="3"/>
  <c r="C756" i="3"/>
  <c r="D756" i="3"/>
  <c r="E756" i="3"/>
  <c r="B757" i="3"/>
  <c r="C757" i="3"/>
  <c r="D757" i="3"/>
  <c r="E757" i="3"/>
  <c r="B758" i="3"/>
  <c r="C758" i="3"/>
  <c r="D758" i="3"/>
  <c r="E758" i="3"/>
  <c r="B759" i="3"/>
  <c r="C759" i="3"/>
  <c r="D759" i="3"/>
  <c r="E759" i="3"/>
  <c r="B760" i="3"/>
  <c r="C760" i="3"/>
  <c r="D760" i="3"/>
  <c r="E760" i="3"/>
  <c r="B761" i="3"/>
  <c r="C761" i="3"/>
  <c r="D761" i="3"/>
  <c r="E761" i="3"/>
  <c r="B762" i="3"/>
  <c r="C762" i="3"/>
  <c r="D762" i="3"/>
  <c r="E762" i="3"/>
  <c r="B763" i="3"/>
  <c r="C763" i="3"/>
  <c r="D763" i="3"/>
  <c r="E763" i="3"/>
  <c r="B764" i="3"/>
  <c r="C764" i="3"/>
  <c r="D764" i="3"/>
  <c r="E764" i="3"/>
  <c r="B765" i="3"/>
  <c r="C765" i="3"/>
  <c r="D765" i="3"/>
  <c r="E765" i="3"/>
  <c r="B766" i="3"/>
  <c r="C766" i="3"/>
  <c r="D766" i="3"/>
  <c r="E766" i="3"/>
  <c r="B767" i="3"/>
  <c r="C767" i="3"/>
  <c r="D767" i="3"/>
  <c r="E767" i="3"/>
  <c r="B768" i="3"/>
  <c r="C768" i="3"/>
  <c r="D768" i="3"/>
  <c r="E768" i="3"/>
  <c r="B769" i="3"/>
  <c r="C769" i="3"/>
  <c r="D769" i="3"/>
  <c r="E769" i="3"/>
  <c r="B770" i="3"/>
  <c r="C770" i="3"/>
  <c r="D770" i="3"/>
  <c r="E770" i="3"/>
  <c r="B771" i="3"/>
  <c r="C771" i="3"/>
  <c r="D771" i="3"/>
  <c r="E771" i="3"/>
  <c r="B772" i="3"/>
  <c r="C772" i="3"/>
  <c r="D772" i="3"/>
  <c r="E772" i="3"/>
  <c r="B773" i="3"/>
  <c r="C773" i="3"/>
  <c r="D773" i="3"/>
  <c r="E773" i="3"/>
  <c r="B774" i="3"/>
  <c r="C774" i="3"/>
  <c r="D774" i="3"/>
  <c r="E774" i="3"/>
  <c r="B775" i="3"/>
  <c r="C775" i="3"/>
  <c r="D775" i="3"/>
  <c r="E775" i="3"/>
  <c r="B776" i="3"/>
  <c r="C776" i="3"/>
  <c r="D776" i="3"/>
  <c r="E776" i="3"/>
  <c r="B777" i="3"/>
  <c r="C777" i="3"/>
  <c r="D777" i="3"/>
  <c r="E777" i="3"/>
  <c r="B778" i="3"/>
  <c r="C778" i="3"/>
  <c r="D778" i="3"/>
  <c r="E778" i="3"/>
  <c r="B779" i="3"/>
  <c r="C779" i="3"/>
  <c r="D779" i="3"/>
  <c r="E779" i="3"/>
  <c r="B780" i="3"/>
  <c r="C780" i="3"/>
  <c r="D780" i="3"/>
  <c r="E780" i="3"/>
  <c r="B781" i="3"/>
  <c r="C781" i="3"/>
  <c r="D781" i="3"/>
  <c r="E781" i="3"/>
  <c r="B782" i="3"/>
  <c r="C782" i="3"/>
  <c r="D782" i="3"/>
  <c r="E782" i="3"/>
  <c r="B783" i="3"/>
  <c r="C783" i="3"/>
  <c r="D783" i="3"/>
  <c r="E783" i="3"/>
  <c r="B784" i="3"/>
  <c r="C784" i="3"/>
  <c r="D784" i="3"/>
  <c r="E784" i="3"/>
  <c r="B785" i="3"/>
  <c r="C785" i="3"/>
  <c r="D785" i="3"/>
  <c r="E785" i="3"/>
  <c r="B786" i="3"/>
  <c r="C786" i="3"/>
  <c r="D786" i="3"/>
  <c r="E786" i="3"/>
  <c r="B787" i="3"/>
  <c r="C787" i="3"/>
  <c r="D787" i="3"/>
  <c r="E787" i="3"/>
  <c r="B788" i="3"/>
  <c r="C788" i="3"/>
  <c r="D788" i="3"/>
  <c r="E788" i="3"/>
  <c r="B789" i="3"/>
  <c r="C789" i="3"/>
  <c r="D789" i="3"/>
  <c r="E789" i="3"/>
  <c r="B790" i="3"/>
  <c r="C790" i="3"/>
  <c r="D790" i="3"/>
  <c r="E790" i="3"/>
  <c r="B791" i="3"/>
  <c r="C791" i="3"/>
  <c r="D791" i="3"/>
  <c r="E791" i="3"/>
  <c r="B792" i="3"/>
  <c r="C792" i="3"/>
  <c r="D792" i="3"/>
  <c r="E792" i="3"/>
  <c r="B793" i="3"/>
  <c r="C793" i="3"/>
  <c r="D793" i="3"/>
  <c r="E793" i="3"/>
  <c r="B794" i="3"/>
  <c r="C794" i="3"/>
  <c r="D794" i="3"/>
  <c r="E794" i="3"/>
  <c r="B795" i="3"/>
  <c r="C795" i="3"/>
  <c r="D795" i="3"/>
  <c r="E795" i="3"/>
  <c r="B796" i="3"/>
  <c r="C796" i="3"/>
  <c r="D796" i="3"/>
  <c r="E796" i="3"/>
  <c r="B797" i="3"/>
  <c r="C797" i="3"/>
  <c r="D797" i="3"/>
  <c r="E797" i="3"/>
  <c r="B798" i="3"/>
  <c r="C798" i="3"/>
  <c r="D798" i="3"/>
  <c r="E798" i="3"/>
  <c r="B799" i="3"/>
  <c r="C799" i="3"/>
  <c r="D799" i="3"/>
  <c r="E799" i="3"/>
  <c r="B800" i="3"/>
  <c r="C800" i="3"/>
  <c r="D800" i="3"/>
  <c r="E800" i="3"/>
  <c r="B801" i="3"/>
  <c r="C801" i="3"/>
  <c r="D801" i="3"/>
  <c r="E801" i="3"/>
  <c r="B802" i="3"/>
  <c r="C802" i="3"/>
  <c r="D802" i="3"/>
  <c r="E802" i="3"/>
  <c r="B803" i="3"/>
  <c r="C803" i="3"/>
  <c r="D803" i="3"/>
  <c r="E803" i="3"/>
  <c r="B804" i="3"/>
  <c r="C804" i="3"/>
  <c r="D804" i="3"/>
  <c r="E804" i="3"/>
  <c r="B805" i="3"/>
  <c r="C805" i="3"/>
  <c r="D805" i="3"/>
  <c r="E805" i="3"/>
  <c r="B806" i="3"/>
  <c r="C806" i="3"/>
  <c r="D806" i="3"/>
  <c r="E806" i="3"/>
  <c r="B807" i="3"/>
  <c r="C807" i="3"/>
  <c r="D807" i="3"/>
  <c r="E807" i="3"/>
  <c r="B808" i="3"/>
  <c r="C808" i="3"/>
  <c r="D808" i="3"/>
  <c r="E808" i="3"/>
  <c r="B809" i="3"/>
  <c r="C809" i="3"/>
  <c r="D809" i="3"/>
  <c r="E809" i="3"/>
  <c r="B810" i="3"/>
  <c r="C810" i="3"/>
  <c r="D810" i="3"/>
  <c r="E810" i="3"/>
  <c r="B811" i="3"/>
  <c r="C811" i="3"/>
  <c r="D811" i="3"/>
  <c r="E811" i="3"/>
  <c r="B812" i="3"/>
  <c r="C812" i="3"/>
  <c r="D812" i="3"/>
  <c r="E812" i="3"/>
  <c r="B813" i="3"/>
  <c r="C813" i="3"/>
  <c r="D813" i="3"/>
  <c r="E813" i="3"/>
  <c r="B814" i="3"/>
  <c r="C814" i="3"/>
  <c r="D814" i="3"/>
  <c r="E814" i="3"/>
  <c r="B815" i="3"/>
  <c r="C815" i="3"/>
  <c r="D815" i="3"/>
  <c r="E815" i="3"/>
  <c r="B816" i="3"/>
  <c r="C816" i="3"/>
  <c r="D816" i="3"/>
  <c r="E816" i="3"/>
  <c r="B817" i="3"/>
  <c r="C817" i="3"/>
  <c r="D817" i="3"/>
  <c r="E817" i="3"/>
  <c r="B818" i="3"/>
  <c r="C818" i="3"/>
  <c r="D818" i="3"/>
  <c r="E818" i="3"/>
  <c r="B819" i="3"/>
  <c r="C819" i="3"/>
  <c r="D819" i="3"/>
  <c r="E819" i="3"/>
  <c r="B820" i="3"/>
  <c r="C820" i="3"/>
  <c r="D820" i="3"/>
  <c r="E820" i="3"/>
  <c r="B821" i="3"/>
  <c r="C821" i="3"/>
  <c r="D821" i="3"/>
  <c r="E821" i="3"/>
  <c r="B822" i="3"/>
  <c r="C822" i="3"/>
  <c r="D822" i="3"/>
  <c r="E822" i="3"/>
  <c r="B823" i="3"/>
  <c r="C823" i="3"/>
  <c r="D823" i="3"/>
  <c r="E823" i="3"/>
  <c r="B824" i="3"/>
  <c r="C824" i="3"/>
  <c r="D824" i="3"/>
  <c r="E824" i="3"/>
  <c r="B825" i="3"/>
  <c r="C825" i="3"/>
  <c r="D825" i="3"/>
  <c r="E825" i="3"/>
  <c r="B826" i="3"/>
  <c r="C826" i="3"/>
  <c r="D826" i="3"/>
  <c r="E826" i="3"/>
  <c r="B827" i="3"/>
  <c r="C827" i="3"/>
  <c r="D827" i="3"/>
  <c r="E827" i="3"/>
  <c r="B828" i="3"/>
  <c r="C828" i="3"/>
  <c r="D828" i="3"/>
  <c r="E828" i="3"/>
  <c r="B829" i="3"/>
  <c r="C829" i="3"/>
  <c r="D829" i="3"/>
  <c r="E829" i="3"/>
  <c r="B830" i="3"/>
  <c r="C830" i="3"/>
  <c r="D830" i="3"/>
  <c r="E830" i="3"/>
  <c r="B831" i="3"/>
  <c r="C831" i="3"/>
  <c r="D831" i="3"/>
  <c r="E831" i="3"/>
  <c r="B832" i="3"/>
  <c r="C832" i="3"/>
  <c r="D832" i="3"/>
  <c r="E832" i="3"/>
  <c r="B833" i="3"/>
  <c r="C833" i="3"/>
  <c r="D833" i="3"/>
  <c r="E833" i="3"/>
  <c r="B834" i="3"/>
  <c r="C834" i="3"/>
  <c r="D834" i="3"/>
  <c r="E834" i="3"/>
  <c r="B835" i="3"/>
  <c r="C835" i="3"/>
  <c r="D835" i="3"/>
  <c r="E835" i="3"/>
  <c r="B836" i="3"/>
  <c r="C836" i="3"/>
  <c r="D836" i="3"/>
  <c r="E836" i="3"/>
  <c r="B837" i="3"/>
  <c r="C837" i="3"/>
  <c r="D837" i="3"/>
  <c r="E837" i="3"/>
  <c r="B838" i="3"/>
  <c r="C838" i="3"/>
  <c r="D838" i="3"/>
  <c r="E838" i="3"/>
  <c r="B839" i="3"/>
  <c r="C839" i="3"/>
  <c r="D839" i="3"/>
  <c r="E839" i="3"/>
  <c r="B840" i="3"/>
  <c r="C840" i="3"/>
  <c r="D840" i="3"/>
  <c r="E840" i="3"/>
  <c r="B841" i="3"/>
  <c r="C841" i="3"/>
  <c r="D841" i="3"/>
  <c r="E841" i="3"/>
  <c r="B842" i="3"/>
  <c r="C842" i="3"/>
  <c r="D842" i="3"/>
  <c r="E842" i="3"/>
  <c r="B843" i="3"/>
  <c r="C843" i="3"/>
  <c r="D843" i="3"/>
  <c r="E843" i="3"/>
  <c r="B844" i="3"/>
  <c r="C844" i="3"/>
  <c r="D844" i="3"/>
  <c r="E844" i="3"/>
  <c r="B845" i="3"/>
  <c r="C845" i="3"/>
  <c r="D845" i="3"/>
  <c r="E845" i="3"/>
  <c r="B846" i="3"/>
  <c r="C846" i="3"/>
  <c r="D846" i="3"/>
  <c r="E846" i="3"/>
  <c r="B847" i="3"/>
  <c r="C847" i="3"/>
  <c r="D847" i="3"/>
  <c r="E847" i="3"/>
  <c r="B848" i="3"/>
  <c r="C848" i="3"/>
  <c r="D848" i="3"/>
  <c r="E848" i="3"/>
  <c r="B849" i="3"/>
  <c r="C849" i="3"/>
  <c r="D849" i="3"/>
  <c r="E849" i="3"/>
  <c r="B850" i="3"/>
  <c r="C850" i="3"/>
  <c r="D850" i="3"/>
  <c r="E850" i="3"/>
  <c r="B851" i="3"/>
  <c r="C851" i="3"/>
  <c r="D851" i="3"/>
  <c r="E851" i="3"/>
  <c r="B852" i="3"/>
  <c r="C852" i="3"/>
  <c r="D852" i="3"/>
  <c r="E852" i="3"/>
  <c r="B853" i="3"/>
  <c r="C853" i="3"/>
  <c r="D853" i="3"/>
  <c r="E853" i="3"/>
  <c r="B854" i="3"/>
  <c r="C854" i="3"/>
  <c r="D854" i="3"/>
  <c r="E854" i="3"/>
  <c r="B855" i="3"/>
  <c r="C855" i="3"/>
  <c r="D855" i="3"/>
  <c r="E855" i="3"/>
  <c r="B856" i="3"/>
  <c r="C856" i="3"/>
  <c r="D856" i="3"/>
  <c r="E856" i="3"/>
  <c r="B857" i="3"/>
  <c r="C857" i="3"/>
  <c r="D857" i="3"/>
  <c r="E857" i="3"/>
  <c r="B858" i="3"/>
  <c r="C858" i="3"/>
  <c r="D858" i="3"/>
  <c r="E858" i="3"/>
  <c r="B859" i="3"/>
  <c r="C859" i="3"/>
  <c r="D859" i="3"/>
  <c r="E859" i="3"/>
  <c r="B860" i="3"/>
  <c r="C860" i="3"/>
  <c r="D860" i="3"/>
  <c r="E860" i="3"/>
  <c r="B861" i="3"/>
  <c r="C861" i="3"/>
  <c r="D861" i="3"/>
  <c r="E861" i="3"/>
  <c r="B862" i="3"/>
  <c r="C862" i="3"/>
  <c r="D862" i="3"/>
  <c r="E862" i="3"/>
  <c r="B863" i="3"/>
  <c r="C863" i="3"/>
  <c r="D863" i="3"/>
  <c r="E863" i="3"/>
  <c r="B864" i="3"/>
  <c r="C864" i="3"/>
  <c r="D864" i="3"/>
  <c r="E864" i="3"/>
  <c r="B865" i="3"/>
  <c r="C865" i="3"/>
  <c r="D865" i="3"/>
  <c r="E865" i="3"/>
  <c r="B866" i="3"/>
  <c r="C866" i="3"/>
  <c r="D866" i="3"/>
  <c r="E866" i="3"/>
  <c r="B867" i="3"/>
  <c r="C867" i="3"/>
  <c r="D867" i="3"/>
  <c r="E867" i="3"/>
  <c r="B868" i="3"/>
  <c r="C868" i="3"/>
  <c r="D868" i="3"/>
  <c r="E868" i="3"/>
  <c r="B869" i="3"/>
  <c r="C869" i="3"/>
  <c r="D869" i="3"/>
  <c r="E869" i="3"/>
  <c r="B870" i="3"/>
  <c r="C870" i="3"/>
  <c r="D870" i="3"/>
  <c r="E870" i="3"/>
  <c r="B871" i="3"/>
  <c r="C871" i="3"/>
  <c r="D871" i="3"/>
  <c r="E871" i="3"/>
  <c r="B872" i="3"/>
  <c r="C872" i="3"/>
  <c r="D872" i="3"/>
  <c r="E872" i="3"/>
  <c r="B873" i="3"/>
  <c r="C873" i="3"/>
  <c r="D873" i="3"/>
  <c r="E873" i="3"/>
  <c r="B874" i="3"/>
  <c r="C874" i="3"/>
  <c r="D874" i="3"/>
  <c r="E874" i="3"/>
  <c r="B875" i="3"/>
  <c r="C875" i="3"/>
  <c r="D875" i="3"/>
  <c r="E875" i="3"/>
  <c r="B876" i="3"/>
  <c r="C876" i="3"/>
  <c r="D876" i="3"/>
  <c r="E876" i="3"/>
  <c r="B877" i="3"/>
  <c r="C877" i="3"/>
  <c r="D877" i="3"/>
  <c r="E877" i="3"/>
  <c r="B878" i="3"/>
  <c r="C878" i="3"/>
  <c r="D878" i="3"/>
  <c r="E878" i="3"/>
  <c r="B879" i="3"/>
  <c r="C879" i="3"/>
  <c r="D879" i="3"/>
  <c r="E879" i="3"/>
  <c r="B880" i="3"/>
  <c r="C880" i="3"/>
  <c r="D880" i="3"/>
  <c r="E880" i="3"/>
  <c r="B881" i="3"/>
  <c r="C881" i="3"/>
  <c r="D881" i="3"/>
  <c r="E881" i="3"/>
  <c r="B882" i="3"/>
  <c r="C882" i="3"/>
  <c r="D882" i="3"/>
  <c r="E882" i="3"/>
  <c r="B883" i="3"/>
  <c r="C883" i="3"/>
  <c r="D883" i="3"/>
  <c r="E883" i="3"/>
  <c r="B884" i="3"/>
  <c r="C884" i="3"/>
  <c r="D884" i="3"/>
  <c r="E884" i="3"/>
  <c r="B885" i="3"/>
  <c r="C885" i="3"/>
  <c r="D885" i="3"/>
  <c r="E885" i="3"/>
  <c r="B886" i="3"/>
  <c r="C886" i="3"/>
  <c r="D886" i="3"/>
  <c r="E886" i="3"/>
  <c r="B887" i="3"/>
  <c r="C887" i="3"/>
  <c r="D887" i="3"/>
  <c r="E887" i="3"/>
  <c r="B888" i="3"/>
  <c r="C888" i="3"/>
  <c r="D888" i="3"/>
  <c r="E888" i="3"/>
  <c r="B889" i="3"/>
  <c r="C889" i="3"/>
  <c r="D889" i="3"/>
  <c r="E889" i="3"/>
  <c r="B890" i="3"/>
  <c r="C890" i="3"/>
  <c r="D890" i="3"/>
  <c r="E890" i="3"/>
  <c r="B891" i="3"/>
  <c r="C891" i="3"/>
  <c r="D891" i="3"/>
  <c r="E891" i="3"/>
  <c r="B892" i="3"/>
  <c r="C892" i="3"/>
  <c r="D892" i="3"/>
  <c r="E892" i="3"/>
  <c r="B893" i="3"/>
  <c r="C893" i="3"/>
  <c r="D893" i="3"/>
  <c r="E893" i="3"/>
  <c r="B894" i="3"/>
  <c r="C894" i="3"/>
  <c r="D894" i="3"/>
  <c r="E894" i="3"/>
  <c r="B895" i="3"/>
  <c r="C895" i="3"/>
  <c r="D895" i="3"/>
  <c r="E895" i="3"/>
  <c r="B896" i="3"/>
  <c r="C896" i="3"/>
  <c r="D896" i="3"/>
  <c r="E896" i="3"/>
  <c r="B897" i="3"/>
  <c r="C897" i="3"/>
  <c r="D897" i="3"/>
  <c r="E897" i="3"/>
  <c r="B898" i="3"/>
  <c r="C898" i="3"/>
  <c r="D898" i="3"/>
  <c r="E898" i="3"/>
  <c r="B899" i="3"/>
  <c r="C899" i="3"/>
  <c r="D899" i="3"/>
  <c r="E899" i="3"/>
  <c r="B900" i="3"/>
  <c r="C900" i="3"/>
  <c r="D900" i="3"/>
  <c r="E900" i="3"/>
  <c r="B901" i="3"/>
  <c r="C901" i="3"/>
  <c r="D901" i="3"/>
  <c r="E901" i="3"/>
  <c r="B902" i="3"/>
  <c r="C902" i="3"/>
  <c r="D902" i="3"/>
  <c r="E902" i="3"/>
  <c r="B903" i="3"/>
  <c r="C903" i="3"/>
  <c r="D903" i="3"/>
  <c r="E903" i="3"/>
  <c r="B904" i="3"/>
  <c r="C904" i="3"/>
  <c r="D904" i="3"/>
  <c r="E904" i="3"/>
  <c r="B905" i="3"/>
  <c r="C905" i="3"/>
  <c r="D905" i="3"/>
  <c r="E905" i="3"/>
  <c r="B906" i="3"/>
  <c r="C906" i="3"/>
  <c r="D906" i="3"/>
  <c r="E906" i="3"/>
  <c r="B907" i="3"/>
  <c r="C907" i="3"/>
  <c r="D907" i="3"/>
  <c r="E907" i="3"/>
  <c r="B908" i="3"/>
  <c r="C908" i="3"/>
  <c r="D908" i="3"/>
  <c r="E908" i="3"/>
  <c r="B909" i="3"/>
  <c r="C909" i="3"/>
  <c r="D909" i="3"/>
  <c r="E909" i="3"/>
  <c r="B910" i="3"/>
  <c r="C910" i="3"/>
  <c r="D910" i="3"/>
  <c r="E910" i="3"/>
  <c r="B911" i="3"/>
  <c r="C911" i="3"/>
  <c r="D911" i="3"/>
  <c r="E911" i="3"/>
  <c r="B912" i="3"/>
  <c r="C912" i="3"/>
  <c r="D912" i="3"/>
  <c r="E912" i="3"/>
  <c r="B913" i="3"/>
  <c r="C913" i="3"/>
  <c r="D913" i="3"/>
  <c r="E913" i="3"/>
  <c r="B914" i="3"/>
  <c r="C914" i="3"/>
  <c r="D914" i="3"/>
  <c r="E914" i="3"/>
  <c r="B915" i="3"/>
  <c r="C915" i="3"/>
  <c r="D915" i="3"/>
  <c r="E915" i="3"/>
  <c r="B916" i="3"/>
  <c r="C916" i="3"/>
  <c r="D916" i="3"/>
  <c r="E916" i="3"/>
  <c r="B917" i="3"/>
  <c r="C917" i="3"/>
  <c r="D917" i="3"/>
  <c r="E917" i="3"/>
  <c r="B918" i="3"/>
  <c r="C918" i="3"/>
  <c r="D918" i="3"/>
  <c r="E918" i="3"/>
  <c r="B919" i="3"/>
  <c r="C919" i="3"/>
  <c r="D919" i="3"/>
  <c r="E919" i="3"/>
  <c r="B920" i="3"/>
  <c r="C920" i="3"/>
  <c r="D920" i="3"/>
  <c r="E920" i="3"/>
  <c r="B921" i="3"/>
  <c r="C921" i="3"/>
  <c r="D921" i="3"/>
  <c r="E921" i="3"/>
  <c r="B922" i="3"/>
  <c r="C922" i="3"/>
  <c r="D922" i="3"/>
  <c r="E922" i="3"/>
  <c r="B923" i="3"/>
  <c r="C923" i="3"/>
  <c r="D923" i="3"/>
  <c r="E923" i="3"/>
  <c r="B924" i="3"/>
  <c r="C924" i="3"/>
  <c r="D924" i="3"/>
  <c r="E924" i="3"/>
  <c r="B925" i="3"/>
  <c r="C925" i="3"/>
  <c r="D925" i="3"/>
  <c r="E925" i="3"/>
  <c r="B926" i="3"/>
  <c r="C926" i="3"/>
  <c r="D926" i="3"/>
  <c r="E926" i="3"/>
  <c r="B927" i="3"/>
  <c r="C927" i="3"/>
  <c r="D927" i="3"/>
  <c r="E927" i="3"/>
  <c r="B928" i="3"/>
  <c r="C928" i="3"/>
  <c r="D928" i="3"/>
  <c r="E928" i="3"/>
  <c r="B929" i="3"/>
  <c r="C929" i="3"/>
  <c r="D929" i="3"/>
  <c r="E929" i="3"/>
  <c r="B930" i="3"/>
  <c r="C930" i="3"/>
  <c r="D930" i="3"/>
  <c r="E930" i="3"/>
  <c r="B931" i="3"/>
  <c r="C931" i="3"/>
  <c r="D931" i="3"/>
  <c r="E931" i="3"/>
  <c r="B932" i="3"/>
  <c r="C932" i="3"/>
  <c r="D932" i="3"/>
  <c r="E932" i="3"/>
  <c r="B933" i="3"/>
  <c r="C933" i="3"/>
  <c r="D933" i="3"/>
  <c r="E933" i="3"/>
  <c r="B934" i="3"/>
  <c r="C934" i="3"/>
  <c r="D934" i="3"/>
  <c r="E934" i="3"/>
  <c r="B935" i="3"/>
  <c r="C935" i="3"/>
  <c r="D935" i="3"/>
  <c r="E935" i="3"/>
  <c r="B936" i="3"/>
  <c r="C936" i="3"/>
  <c r="D936" i="3"/>
  <c r="E936" i="3"/>
  <c r="B937" i="3"/>
  <c r="C937" i="3"/>
  <c r="D937" i="3"/>
  <c r="E937" i="3"/>
  <c r="B938" i="3"/>
  <c r="C938" i="3"/>
  <c r="D938" i="3"/>
  <c r="E938" i="3"/>
  <c r="B939" i="3"/>
  <c r="C939" i="3"/>
  <c r="D939" i="3"/>
  <c r="E939" i="3"/>
  <c r="B940" i="3"/>
  <c r="C940" i="3"/>
  <c r="D940" i="3"/>
  <c r="E940" i="3"/>
  <c r="B941" i="3"/>
  <c r="C941" i="3"/>
  <c r="D941" i="3"/>
  <c r="E941" i="3"/>
  <c r="B942" i="3"/>
  <c r="C942" i="3"/>
  <c r="D942" i="3"/>
  <c r="E942" i="3"/>
  <c r="B943" i="3"/>
  <c r="C943" i="3"/>
  <c r="D943" i="3"/>
  <c r="E943" i="3"/>
  <c r="B944" i="3"/>
  <c r="C944" i="3"/>
  <c r="D944" i="3"/>
  <c r="E944" i="3"/>
  <c r="B945" i="3"/>
  <c r="C945" i="3"/>
  <c r="D945" i="3"/>
  <c r="E945" i="3"/>
  <c r="B946" i="3"/>
  <c r="C946" i="3"/>
  <c r="D946" i="3"/>
  <c r="E946" i="3"/>
  <c r="B947" i="3"/>
  <c r="C947" i="3"/>
  <c r="D947" i="3"/>
  <c r="E947" i="3"/>
  <c r="B948" i="3"/>
  <c r="C948" i="3"/>
  <c r="D948" i="3"/>
  <c r="E948" i="3"/>
  <c r="B949" i="3"/>
  <c r="C949" i="3"/>
  <c r="D949" i="3"/>
  <c r="E949" i="3"/>
  <c r="B950" i="3"/>
  <c r="C950" i="3"/>
  <c r="D950" i="3"/>
  <c r="E950" i="3"/>
  <c r="B951" i="3"/>
  <c r="C951" i="3"/>
  <c r="D951" i="3"/>
  <c r="E951" i="3"/>
  <c r="B952" i="3"/>
  <c r="C952" i="3"/>
  <c r="D952" i="3"/>
  <c r="E952" i="3"/>
  <c r="B953" i="3"/>
  <c r="C953" i="3"/>
  <c r="D953" i="3"/>
  <c r="E953" i="3"/>
  <c r="B954" i="3"/>
  <c r="C954" i="3"/>
  <c r="D954" i="3"/>
  <c r="E954" i="3"/>
  <c r="B955" i="3"/>
  <c r="C955" i="3"/>
  <c r="D955" i="3"/>
  <c r="E955" i="3"/>
  <c r="B956" i="3"/>
  <c r="C956" i="3"/>
  <c r="D956" i="3"/>
  <c r="E956" i="3"/>
  <c r="B957" i="3"/>
  <c r="C957" i="3"/>
  <c r="D957" i="3"/>
  <c r="E957" i="3"/>
  <c r="B958" i="3"/>
  <c r="C958" i="3"/>
  <c r="D958" i="3"/>
  <c r="E958" i="3"/>
  <c r="B959" i="3"/>
  <c r="C959" i="3"/>
  <c r="D959" i="3"/>
  <c r="E959" i="3"/>
  <c r="B960" i="3"/>
  <c r="C960" i="3"/>
  <c r="D960" i="3"/>
  <c r="E960" i="3"/>
  <c r="B961" i="3"/>
  <c r="C961" i="3"/>
  <c r="D961" i="3"/>
  <c r="E961" i="3"/>
  <c r="B962" i="3"/>
  <c r="C962" i="3"/>
  <c r="D962" i="3"/>
  <c r="E962" i="3"/>
  <c r="B963" i="3"/>
  <c r="C963" i="3"/>
  <c r="D963" i="3"/>
  <c r="E963" i="3"/>
  <c r="B964" i="3"/>
  <c r="C964" i="3"/>
  <c r="D964" i="3"/>
  <c r="E964" i="3"/>
  <c r="B965" i="3"/>
  <c r="C965" i="3"/>
  <c r="D965" i="3"/>
  <c r="E965" i="3"/>
  <c r="B966" i="3"/>
  <c r="C966" i="3"/>
  <c r="D966" i="3"/>
  <c r="E966" i="3"/>
  <c r="B967" i="3"/>
  <c r="C967" i="3"/>
  <c r="D967" i="3"/>
  <c r="E967" i="3"/>
  <c r="B968" i="3"/>
  <c r="C968" i="3"/>
  <c r="D968" i="3"/>
  <c r="E968" i="3"/>
  <c r="B969" i="3"/>
  <c r="C969" i="3"/>
  <c r="D969" i="3"/>
  <c r="E969" i="3"/>
  <c r="B970" i="3"/>
  <c r="C970" i="3"/>
  <c r="D970" i="3"/>
  <c r="E970" i="3"/>
  <c r="B971" i="3"/>
  <c r="C971" i="3"/>
  <c r="D971" i="3"/>
  <c r="E971" i="3"/>
  <c r="B972" i="3"/>
  <c r="C972" i="3"/>
  <c r="D972" i="3"/>
  <c r="E972" i="3"/>
  <c r="B973" i="3"/>
  <c r="C973" i="3"/>
  <c r="D973" i="3"/>
  <c r="E973" i="3"/>
  <c r="B974" i="3"/>
  <c r="C974" i="3"/>
  <c r="D974" i="3"/>
  <c r="E974" i="3"/>
  <c r="B975" i="3"/>
  <c r="C975" i="3"/>
  <c r="D975" i="3"/>
  <c r="E975" i="3"/>
  <c r="B976" i="3"/>
  <c r="C976" i="3"/>
  <c r="D976" i="3"/>
  <c r="E976" i="3"/>
  <c r="B977" i="3"/>
  <c r="C977" i="3"/>
  <c r="D977" i="3"/>
  <c r="E977" i="3"/>
  <c r="B978" i="3"/>
  <c r="C978" i="3"/>
  <c r="D978" i="3"/>
  <c r="E978" i="3"/>
  <c r="B979" i="3"/>
  <c r="C979" i="3"/>
  <c r="D979" i="3"/>
  <c r="E979" i="3"/>
  <c r="B980" i="3"/>
  <c r="C980" i="3"/>
  <c r="D980" i="3"/>
  <c r="E980" i="3"/>
  <c r="B981" i="3"/>
  <c r="C981" i="3"/>
  <c r="D981" i="3"/>
  <c r="E981" i="3"/>
  <c r="B982" i="3"/>
  <c r="C982" i="3"/>
  <c r="D982" i="3"/>
  <c r="E982" i="3"/>
  <c r="B983" i="3"/>
  <c r="C983" i="3"/>
  <c r="D983" i="3"/>
  <c r="E983" i="3"/>
  <c r="B984" i="3"/>
  <c r="C984" i="3"/>
  <c r="D984" i="3"/>
  <c r="E984" i="3"/>
  <c r="B985" i="3"/>
  <c r="C985" i="3"/>
  <c r="D985" i="3"/>
  <c r="E985" i="3"/>
  <c r="B986" i="3"/>
  <c r="C986" i="3"/>
  <c r="D986" i="3"/>
  <c r="E986" i="3"/>
  <c r="B987" i="3"/>
  <c r="C987" i="3"/>
  <c r="D987" i="3"/>
  <c r="E987" i="3"/>
  <c r="B988" i="3"/>
  <c r="C988" i="3"/>
  <c r="D988" i="3"/>
  <c r="E988" i="3"/>
  <c r="B989" i="3"/>
  <c r="C989" i="3"/>
  <c r="D989" i="3"/>
  <c r="E989" i="3"/>
  <c r="B990" i="3"/>
  <c r="C990" i="3"/>
  <c r="D990" i="3"/>
  <c r="E990" i="3"/>
  <c r="B991" i="3"/>
  <c r="C991" i="3"/>
  <c r="D991" i="3"/>
  <c r="E991" i="3"/>
  <c r="B992" i="3"/>
  <c r="C992" i="3"/>
  <c r="D992" i="3"/>
  <c r="E992" i="3"/>
  <c r="B993" i="3"/>
  <c r="C993" i="3"/>
  <c r="D993" i="3"/>
  <c r="E993" i="3"/>
  <c r="B994" i="3"/>
  <c r="C994" i="3"/>
  <c r="D994" i="3"/>
  <c r="E994" i="3"/>
  <c r="B995" i="3"/>
  <c r="C995" i="3"/>
  <c r="D995" i="3"/>
  <c r="E995" i="3"/>
  <c r="B996" i="3"/>
  <c r="C996" i="3"/>
  <c r="D996" i="3"/>
  <c r="E996" i="3"/>
  <c r="B997" i="3"/>
  <c r="C997" i="3"/>
  <c r="D997" i="3"/>
  <c r="E997" i="3"/>
  <c r="B998" i="3"/>
  <c r="C998" i="3"/>
  <c r="D998" i="3"/>
  <c r="E998" i="3"/>
  <c r="B999" i="3"/>
  <c r="C999" i="3"/>
  <c r="D999" i="3"/>
  <c r="E999" i="3"/>
  <c r="B1000" i="3"/>
  <c r="C1000" i="3"/>
  <c r="D1000" i="3"/>
  <c r="E1000" i="3"/>
  <c r="B1001" i="3"/>
  <c r="C1001" i="3"/>
  <c r="D1001" i="3"/>
  <c r="E1001" i="3"/>
  <c r="B1002" i="3"/>
  <c r="C1002" i="3"/>
  <c r="D1002" i="3"/>
  <c r="E1002" i="3"/>
  <c r="B1003" i="3"/>
  <c r="C1003" i="3"/>
  <c r="D1003" i="3"/>
  <c r="E1003" i="3"/>
  <c r="B1004" i="3"/>
  <c r="C1004" i="3"/>
  <c r="D1004" i="3"/>
  <c r="E1004" i="3"/>
  <c r="B1005" i="3"/>
  <c r="C1005" i="3"/>
  <c r="D1005" i="3"/>
  <c r="E1005" i="3"/>
  <c r="B1006" i="3"/>
  <c r="C1006" i="3"/>
  <c r="D1006" i="3"/>
  <c r="E1006" i="3"/>
  <c r="B1007" i="3"/>
  <c r="C1007" i="3"/>
  <c r="D1007" i="3"/>
  <c r="E1007" i="3"/>
  <c r="B1008" i="3"/>
  <c r="C1008" i="3"/>
  <c r="D1008" i="3"/>
  <c r="E1008" i="3"/>
  <c r="B1009" i="3"/>
  <c r="C1009" i="3"/>
  <c r="D1009" i="3"/>
  <c r="E1009" i="3"/>
  <c r="B1010" i="3"/>
  <c r="C1010" i="3"/>
  <c r="D1010" i="3"/>
  <c r="E1010" i="3"/>
  <c r="B1011" i="3"/>
  <c r="C1011" i="3"/>
  <c r="D1011" i="3"/>
  <c r="E1011" i="3"/>
  <c r="B1012" i="3"/>
  <c r="C1012" i="3"/>
  <c r="D1012" i="3"/>
  <c r="E1012" i="3"/>
  <c r="B1013" i="3"/>
  <c r="C1013" i="3"/>
  <c r="D1013" i="3"/>
  <c r="E1013" i="3"/>
  <c r="B1014" i="3"/>
  <c r="C1014" i="3"/>
  <c r="D1014" i="3"/>
  <c r="E1014" i="3"/>
  <c r="B1015" i="3"/>
  <c r="C1015" i="3"/>
  <c r="D1015" i="3"/>
  <c r="E1015" i="3"/>
  <c r="B1016" i="3"/>
  <c r="C1016" i="3"/>
  <c r="D1016" i="3"/>
  <c r="E1016" i="3"/>
  <c r="B1017" i="3"/>
  <c r="C1017" i="3"/>
  <c r="D1017" i="3"/>
  <c r="E1017" i="3"/>
  <c r="B1018" i="3"/>
  <c r="C1018" i="3"/>
  <c r="D1018" i="3"/>
  <c r="E1018" i="3"/>
  <c r="B1019" i="3"/>
  <c r="C1019" i="3"/>
  <c r="D1019" i="3"/>
  <c r="E1019" i="3"/>
  <c r="B1020" i="3"/>
  <c r="C1020" i="3"/>
  <c r="D1020" i="3"/>
  <c r="E1020" i="3"/>
  <c r="B1021" i="3"/>
  <c r="C1021" i="3"/>
  <c r="D1021" i="3"/>
  <c r="E1021" i="3"/>
  <c r="B1022" i="3"/>
  <c r="C1022" i="3"/>
  <c r="D1022" i="3"/>
  <c r="E1022" i="3"/>
  <c r="B1023" i="3"/>
  <c r="C1023" i="3"/>
  <c r="D1023" i="3"/>
  <c r="E1023" i="3"/>
  <c r="B1024" i="3"/>
  <c r="C1024" i="3"/>
  <c r="D1024" i="3"/>
  <c r="E1024" i="3"/>
  <c r="B1025" i="3"/>
  <c r="C1025" i="3"/>
  <c r="D1025" i="3"/>
  <c r="E1025" i="3"/>
  <c r="B1026" i="3"/>
  <c r="C1026" i="3"/>
  <c r="D1026" i="3"/>
  <c r="E1026" i="3"/>
  <c r="B1027" i="3"/>
  <c r="C1027" i="3"/>
  <c r="D1027" i="3"/>
  <c r="E1027" i="3"/>
  <c r="B1028" i="3"/>
  <c r="C1028" i="3"/>
  <c r="D1028" i="3"/>
  <c r="E1028" i="3"/>
  <c r="B1029" i="3"/>
  <c r="C1029" i="3"/>
  <c r="D1029" i="3"/>
  <c r="E1029" i="3"/>
  <c r="B1030" i="3"/>
  <c r="C1030" i="3"/>
  <c r="D1030" i="3"/>
  <c r="E1030" i="3"/>
  <c r="B1031" i="3"/>
  <c r="C1031" i="3"/>
  <c r="D1031" i="3"/>
  <c r="E1031" i="3"/>
  <c r="B1032" i="3"/>
  <c r="C1032" i="3"/>
  <c r="D1032" i="3"/>
  <c r="E1032" i="3"/>
  <c r="B1033" i="3"/>
  <c r="C1033" i="3"/>
  <c r="D1033" i="3"/>
  <c r="E1033" i="3"/>
  <c r="B1034" i="3"/>
  <c r="C1034" i="3"/>
  <c r="D1034" i="3"/>
  <c r="E1034" i="3"/>
  <c r="B1035" i="3"/>
  <c r="C1035" i="3"/>
  <c r="D1035" i="3"/>
  <c r="E1035" i="3"/>
  <c r="B1036" i="3"/>
  <c r="C1036" i="3"/>
  <c r="D1036" i="3"/>
  <c r="E1036" i="3"/>
  <c r="B1038" i="3"/>
  <c r="E1038" i="3"/>
  <c r="D1039" i="3"/>
  <c r="E1039" i="3"/>
  <c r="B1040" i="3"/>
  <c r="E1040" i="3"/>
  <c r="B1041" i="3"/>
  <c r="E1041" i="3"/>
  <c r="B1042" i="3"/>
  <c r="E1042" i="3"/>
  <c r="B1043" i="3"/>
  <c r="D1043" i="3"/>
  <c r="E1043" i="3"/>
  <c r="E1044" i="3"/>
  <c r="B1045" i="3"/>
  <c r="D1045" i="3"/>
  <c r="E1045" i="3"/>
  <c r="B1046" i="3"/>
  <c r="E1046" i="3"/>
  <c r="E1047" i="3"/>
  <c r="B1048" i="3"/>
  <c r="E1048" i="3"/>
  <c r="B1049" i="3"/>
  <c r="E1049" i="3"/>
  <c r="B1050" i="3"/>
  <c r="E1050" i="3"/>
  <c r="B1051" i="3"/>
  <c r="D1051" i="3"/>
  <c r="E1051" i="3"/>
  <c r="E1052" i="3"/>
  <c r="B1053" i="3"/>
  <c r="D1053" i="3"/>
  <c r="E1053" i="3"/>
  <c r="B1054" i="3"/>
  <c r="E1054" i="3"/>
  <c r="C1055" i="3"/>
  <c r="D1055" i="3"/>
  <c r="E1055" i="3"/>
  <c r="B1056" i="3"/>
  <c r="E1056" i="3"/>
  <c r="B1057" i="3"/>
  <c r="E1057" i="3"/>
  <c r="B1058" i="3"/>
  <c r="E1058" i="3"/>
  <c r="B1059" i="3"/>
  <c r="D1059" i="3"/>
  <c r="E1059" i="3"/>
  <c r="A1060" i="3"/>
  <c r="E1060" i="3"/>
  <c r="A1061" i="3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B1061" i="3"/>
  <c r="D1061" i="3"/>
  <c r="E1061" i="3"/>
  <c r="E1062" i="3"/>
  <c r="E1063" i="3"/>
  <c r="B1064" i="3"/>
  <c r="C1064" i="3"/>
  <c r="E1064" i="3"/>
  <c r="E1065" i="3"/>
  <c r="E1066" i="3"/>
  <c r="B1067" i="3"/>
  <c r="D1067" i="3"/>
  <c r="E1067" i="3"/>
  <c r="E1068" i="3"/>
  <c r="D1069" i="3"/>
  <c r="E1069" i="3"/>
  <c r="E1070" i="3"/>
  <c r="B1071" i="3"/>
  <c r="E1071" i="3"/>
  <c r="E1072" i="3"/>
  <c r="E1073" i="3"/>
  <c r="E1074" i="3"/>
  <c r="B1075" i="3"/>
  <c r="D1075" i="3"/>
  <c r="E1075" i="3"/>
  <c r="E1076" i="3"/>
  <c r="B1077" i="3"/>
  <c r="D1077" i="3"/>
  <c r="E1077" i="3"/>
  <c r="E1078" i="3"/>
  <c r="B1079" i="3"/>
  <c r="E1079" i="3"/>
  <c r="B1080" i="3"/>
  <c r="C1080" i="3"/>
  <c r="E1080" i="3"/>
  <c r="E1081" i="3"/>
  <c r="E1082" i="3"/>
  <c r="B1083" i="3"/>
  <c r="D1083" i="3"/>
  <c r="E1083" i="3"/>
  <c r="A1085" i="3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8" i="2"/>
  <c r="C1038" i="2"/>
  <c r="D1038" i="2"/>
  <c r="E1038" i="2"/>
  <c r="F1038" i="2"/>
  <c r="G1038" i="2"/>
  <c r="I1038" i="2"/>
  <c r="J1038" i="2"/>
  <c r="B1039" i="2"/>
  <c r="C1039" i="2"/>
  <c r="D1039" i="2"/>
  <c r="E1039" i="2"/>
  <c r="F1039" i="2"/>
  <c r="G1039" i="2"/>
  <c r="H1039" i="2"/>
  <c r="I1039" i="2"/>
  <c r="J1039" i="2"/>
  <c r="B1040" i="2"/>
  <c r="C1040" i="2"/>
  <c r="D1040" i="2"/>
  <c r="E1040" i="2"/>
  <c r="F1040" i="2"/>
  <c r="G1040" i="2"/>
  <c r="H1040" i="2"/>
  <c r="I1040" i="2"/>
  <c r="J1040" i="2"/>
  <c r="B1041" i="2"/>
  <c r="C1041" i="2"/>
  <c r="D1041" i="2"/>
  <c r="E1041" i="2"/>
  <c r="F1041" i="2"/>
  <c r="G1041" i="2"/>
  <c r="H1041" i="2"/>
  <c r="I1041" i="2"/>
  <c r="J1041" i="2"/>
  <c r="B1042" i="2"/>
  <c r="C1042" i="2"/>
  <c r="D1042" i="2"/>
  <c r="E1042" i="2"/>
  <c r="F1042" i="2"/>
  <c r="G1042" i="2"/>
  <c r="H1042" i="2"/>
  <c r="I1042" i="2"/>
  <c r="J1042" i="2"/>
  <c r="B1043" i="2"/>
  <c r="C1043" i="2"/>
  <c r="D1043" i="2"/>
  <c r="E1043" i="2"/>
  <c r="F1043" i="2"/>
  <c r="G1043" i="2"/>
  <c r="H1043" i="2"/>
  <c r="I1043" i="2"/>
  <c r="J1043" i="2"/>
  <c r="B1044" i="2"/>
  <c r="C1044" i="2"/>
  <c r="D1044" i="2"/>
  <c r="E1044" i="2"/>
  <c r="F1044" i="2"/>
  <c r="G1044" i="2"/>
  <c r="H1044" i="2"/>
  <c r="I1044" i="2"/>
  <c r="J1044" i="2"/>
  <c r="B1045" i="2"/>
  <c r="C1045" i="2"/>
  <c r="D1045" i="2"/>
  <c r="E1045" i="2"/>
  <c r="F1045" i="2"/>
  <c r="G1045" i="2"/>
  <c r="H1045" i="2"/>
  <c r="I1045" i="2"/>
  <c r="J1045" i="2"/>
  <c r="B1046" i="2"/>
  <c r="C1046" i="2"/>
  <c r="D1046" i="2"/>
  <c r="E1046" i="2"/>
  <c r="F1046" i="2"/>
  <c r="G1046" i="2"/>
  <c r="H1046" i="2"/>
  <c r="I1046" i="2"/>
  <c r="J1046" i="2"/>
  <c r="B1047" i="2"/>
  <c r="C1047" i="2"/>
  <c r="D1047" i="2"/>
  <c r="E1047" i="2"/>
  <c r="F1047" i="2"/>
  <c r="G1047" i="2"/>
  <c r="H1047" i="2"/>
  <c r="I1047" i="2"/>
  <c r="J1047" i="2"/>
  <c r="B1048" i="2"/>
  <c r="C1048" i="2"/>
  <c r="D1048" i="2"/>
  <c r="E1048" i="2"/>
  <c r="F1048" i="2"/>
  <c r="G1048" i="2"/>
  <c r="H1048" i="2"/>
  <c r="I1048" i="2"/>
  <c r="J1048" i="2"/>
  <c r="B1049" i="2"/>
  <c r="C1049" i="2"/>
  <c r="D1049" i="2"/>
  <c r="E1049" i="2"/>
  <c r="F1049" i="2"/>
  <c r="G1049" i="2"/>
  <c r="H1049" i="2"/>
  <c r="I1049" i="2"/>
  <c r="J1049" i="2"/>
  <c r="B1050" i="2"/>
  <c r="C1050" i="2"/>
  <c r="D1050" i="2"/>
  <c r="E1050" i="2"/>
  <c r="F1050" i="2"/>
  <c r="G1050" i="2"/>
  <c r="H1050" i="2"/>
  <c r="I1050" i="2"/>
  <c r="J1050" i="2"/>
  <c r="B1051" i="2"/>
  <c r="C1051" i="2"/>
  <c r="D1051" i="2"/>
  <c r="E1051" i="2"/>
  <c r="F1051" i="2"/>
  <c r="G1051" i="2"/>
  <c r="H1051" i="2"/>
  <c r="I1051" i="2"/>
  <c r="J1051" i="2"/>
  <c r="B1052" i="2"/>
  <c r="C1052" i="2"/>
  <c r="D1052" i="2"/>
  <c r="E1052" i="2"/>
  <c r="F1052" i="2"/>
  <c r="G1052" i="2"/>
  <c r="H1052" i="2"/>
  <c r="I1052" i="2"/>
  <c r="J1052" i="2"/>
  <c r="B1053" i="2"/>
  <c r="C1053" i="2"/>
  <c r="D1053" i="2"/>
  <c r="E1053" i="2"/>
  <c r="F1053" i="2"/>
  <c r="G1053" i="2"/>
  <c r="H1053" i="2"/>
  <c r="I1053" i="2"/>
  <c r="J1053" i="2"/>
  <c r="B1054" i="2"/>
  <c r="C1054" i="2"/>
  <c r="D1054" i="2"/>
  <c r="E1054" i="2"/>
  <c r="F1054" i="2"/>
  <c r="G1054" i="2"/>
  <c r="H1054" i="2"/>
  <c r="I1054" i="2"/>
  <c r="J1054" i="2"/>
  <c r="B1055" i="2"/>
  <c r="C1055" i="2"/>
  <c r="D1055" i="2"/>
  <c r="E1055" i="2"/>
  <c r="F1055" i="2"/>
  <c r="G1055" i="2"/>
  <c r="H1055" i="2"/>
  <c r="I1055" i="2"/>
  <c r="J1055" i="2"/>
  <c r="B1056" i="2"/>
  <c r="C1056" i="2"/>
  <c r="D1056" i="2"/>
  <c r="E1056" i="2"/>
  <c r="F1056" i="2"/>
  <c r="G1056" i="2"/>
  <c r="H1056" i="2"/>
  <c r="I1056" i="2"/>
  <c r="J1056" i="2"/>
  <c r="B1057" i="2"/>
  <c r="C1057" i="2"/>
  <c r="D1057" i="2"/>
  <c r="E1057" i="2"/>
  <c r="F1057" i="2"/>
  <c r="G1057" i="2"/>
  <c r="H1057" i="2"/>
  <c r="I1057" i="2"/>
  <c r="J1057" i="2"/>
  <c r="B1058" i="2"/>
  <c r="C1058" i="2"/>
  <c r="D1058" i="2"/>
  <c r="E1058" i="2"/>
  <c r="F1058" i="2"/>
  <c r="G1058" i="2"/>
  <c r="H1058" i="2"/>
  <c r="I1058" i="2"/>
  <c r="J1058" i="2"/>
  <c r="B1059" i="2"/>
  <c r="C1059" i="2"/>
  <c r="D1059" i="2"/>
  <c r="E1059" i="2"/>
  <c r="F1059" i="2"/>
  <c r="G1059" i="2"/>
  <c r="H1059" i="2"/>
  <c r="I1059" i="2"/>
  <c r="J1059" i="2"/>
  <c r="A1060" i="2"/>
  <c r="C1060" i="2"/>
  <c r="D1060" i="2"/>
  <c r="E1060" i="2"/>
  <c r="F1060" i="2"/>
  <c r="G1060" i="2"/>
  <c r="H1060" i="2"/>
  <c r="I1060" i="2"/>
  <c r="J1060" i="2"/>
  <c r="C1061" i="2"/>
  <c r="D1061" i="2"/>
  <c r="E1061" i="2"/>
  <c r="F1061" i="2"/>
  <c r="G1061" i="2"/>
  <c r="H1061" i="2"/>
  <c r="I1061" i="2"/>
  <c r="J1061" i="2"/>
  <c r="C1062" i="2"/>
  <c r="D1062" i="2"/>
  <c r="E1062" i="2"/>
  <c r="F1062" i="2"/>
  <c r="G1062" i="2"/>
  <c r="H1062" i="2"/>
  <c r="I1062" i="2"/>
  <c r="J1062" i="2"/>
  <c r="C1063" i="2"/>
  <c r="D1063" i="2"/>
  <c r="E1063" i="2"/>
  <c r="F1063" i="2"/>
  <c r="G1063" i="2"/>
  <c r="H1063" i="2"/>
  <c r="I1063" i="2"/>
  <c r="J1063" i="2"/>
  <c r="C1064" i="2"/>
  <c r="D1064" i="2"/>
  <c r="E1064" i="2"/>
  <c r="F1064" i="2"/>
  <c r="G1064" i="2"/>
  <c r="H1064" i="2"/>
  <c r="I1064" i="2"/>
  <c r="J1064" i="2"/>
  <c r="C1065" i="2"/>
  <c r="D1065" i="2"/>
  <c r="E1065" i="2"/>
  <c r="F1065" i="2"/>
  <c r="G1065" i="2"/>
  <c r="H1065" i="2"/>
  <c r="I1065" i="2"/>
  <c r="J1065" i="2"/>
  <c r="C1066" i="2"/>
  <c r="D1066" i="2"/>
  <c r="E1066" i="2"/>
  <c r="F1066" i="2"/>
  <c r="G1066" i="2"/>
  <c r="H1066" i="2"/>
  <c r="I1066" i="2"/>
  <c r="J1066" i="2"/>
  <c r="C1067" i="2"/>
  <c r="D1067" i="2"/>
  <c r="E1067" i="2"/>
  <c r="F1067" i="2"/>
  <c r="G1067" i="2"/>
  <c r="H1067" i="2"/>
  <c r="I1067" i="2"/>
  <c r="J1067" i="2"/>
  <c r="C1068" i="2"/>
  <c r="D1068" i="2"/>
  <c r="E1068" i="2"/>
  <c r="F1068" i="2"/>
  <c r="G1068" i="2"/>
  <c r="H1068" i="2"/>
  <c r="I1068" i="2"/>
  <c r="J1068" i="2"/>
  <c r="C1069" i="2"/>
  <c r="D1069" i="2"/>
  <c r="E1069" i="2"/>
  <c r="F1069" i="2"/>
  <c r="G1069" i="2"/>
  <c r="H1069" i="2"/>
  <c r="I1069" i="2"/>
  <c r="J1069" i="2"/>
  <c r="C1070" i="2"/>
  <c r="D1070" i="2"/>
  <c r="E1070" i="2"/>
  <c r="F1070" i="2"/>
  <c r="G1070" i="2"/>
  <c r="H1070" i="2"/>
  <c r="I1070" i="2"/>
  <c r="J1070" i="2"/>
  <c r="C1071" i="2"/>
  <c r="D1071" i="2"/>
  <c r="E1071" i="2"/>
  <c r="F1071" i="2"/>
  <c r="G1071" i="2"/>
  <c r="H1071" i="2"/>
  <c r="I1071" i="2"/>
  <c r="J1071" i="2"/>
  <c r="C1072" i="2"/>
  <c r="D1072" i="2"/>
  <c r="E1072" i="2"/>
  <c r="F1072" i="2"/>
  <c r="G1072" i="2"/>
  <c r="H1072" i="2"/>
  <c r="I1072" i="2"/>
  <c r="J1072" i="2"/>
  <c r="C1073" i="2"/>
  <c r="D1073" i="2"/>
  <c r="E1073" i="2"/>
  <c r="F1073" i="2"/>
  <c r="G1073" i="2"/>
  <c r="H1073" i="2"/>
  <c r="I1073" i="2"/>
  <c r="J1073" i="2"/>
  <c r="C1074" i="2"/>
  <c r="D1074" i="2"/>
  <c r="E1074" i="2"/>
  <c r="F1074" i="2"/>
  <c r="G1074" i="2"/>
  <c r="H1074" i="2"/>
  <c r="I1074" i="2"/>
  <c r="J1074" i="2"/>
  <c r="C1075" i="2"/>
  <c r="D1075" i="2"/>
  <c r="E1075" i="2"/>
  <c r="F1075" i="2"/>
  <c r="G1075" i="2"/>
  <c r="H1075" i="2"/>
  <c r="I1075" i="2"/>
  <c r="J1075" i="2"/>
  <c r="C1076" i="2"/>
  <c r="D1076" i="2"/>
  <c r="E1076" i="2"/>
  <c r="F1076" i="2"/>
  <c r="G1076" i="2"/>
  <c r="H1076" i="2"/>
  <c r="I1076" i="2"/>
  <c r="J1076" i="2"/>
  <c r="C1077" i="2"/>
  <c r="D1077" i="2"/>
  <c r="E1077" i="2"/>
  <c r="F1077" i="2"/>
  <c r="G1077" i="2"/>
  <c r="H1077" i="2"/>
  <c r="I1077" i="2"/>
  <c r="J1077" i="2"/>
  <c r="C1078" i="2"/>
  <c r="D1078" i="2"/>
  <c r="E1078" i="2"/>
  <c r="F1078" i="2"/>
  <c r="G1078" i="2"/>
  <c r="H1078" i="2"/>
  <c r="I1078" i="2"/>
  <c r="J1078" i="2"/>
  <c r="C1079" i="2"/>
  <c r="D1079" i="2"/>
  <c r="E1079" i="2"/>
  <c r="F1079" i="2"/>
  <c r="G1079" i="2"/>
  <c r="H1079" i="2"/>
  <c r="I1079" i="2"/>
  <c r="J1079" i="2"/>
  <c r="C1080" i="2"/>
  <c r="D1080" i="2"/>
  <c r="E1080" i="2"/>
  <c r="F1080" i="2"/>
  <c r="G1080" i="2"/>
  <c r="H1080" i="2"/>
  <c r="I1080" i="2"/>
  <c r="J1080" i="2"/>
  <c r="C1081" i="2"/>
  <c r="D1081" i="2"/>
  <c r="E1081" i="2"/>
  <c r="F1081" i="2"/>
  <c r="G1081" i="2"/>
  <c r="H1081" i="2"/>
  <c r="I1081" i="2"/>
  <c r="J1081" i="2"/>
  <c r="C1082" i="2"/>
  <c r="D1082" i="2"/>
  <c r="E1082" i="2"/>
  <c r="F1082" i="2"/>
  <c r="G1082" i="2"/>
  <c r="H1082" i="2"/>
  <c r="I1082" i="2"/>
  <c r="J1082" i="2"/>
  <c r="C1083" i="2"/>
  <c r="D1083" i="2"/>
  <c r="E1083" i="2"/>
  <c r="F1083" i="2"/>
  <c r="G1083" i="2"/>
  <c r="H1083" i="2"/>
  <c r="I1083" i="2"/>
  <c r="J1083" i="2"/>
  <c r="D11" i="1"/>
  <c r="F11" i="1"/>
  <c r="B17" i="1"/>
  <c r="C17" i="1"/>
  <c r="D17" i="1"/>
  <c r="E17" i="1"/>
  <c r="F17" i="1"/>
  <c r="G17" i="1"/>
  <c r="H17" i="1"/>
  <c r="J17" i="1"/>
  <c r="R17" i="1"/>
  <c r="B18" i="1"/>
  <c r="C18" i="1"/>
  <c r="D18" i="1"/>
  <c r="E18" i="1"/>
  <c r="F18" i="1"/>
  <c r="G18" i="1"/>
  <c r="H18" i="1"/>
  <c r="J18" i="1"/>
  <c r="R18" i="1"/>
  <c r="B19" i="1"/>
  <c r="C19" i="1"/>
  <c r="D19" i="1"/>
  <c r="E19" i="1"/>
  <c r="F19" i="1"/>
  <c r="G19" i="1"/>
  <c r="H19" i="1"/>
  <c r="J19" i="1"/>
  <c r="R19" i="1"/>
  <c r="B20" i="1"/>
  <c r="C20" i="1"/>
  <c r="D20" i="1"/>
  <c r="E20" i="1"/>
  <c r="F20" i="1"/>
  <c r="G20" i="1"/>
  <c r="H20" i="1"/>
  <c r="J20" i="1"/>
  <c r="R20" i="1"/>
  <c r="B21" i="1"/>
  <c r="C21" i="1"/>
  <c r="D21" i="1"/>
  <c r="E21" i="1"/>
  <c r="F21" i="1"/>
  <c r="G21" i="1"/>
  <c r="H21" i="1"/>
  <c r="J21" i="1"/>
  <c r="R21" i="1"/>
  <c r="B22" i="1"/>
  <c r="C22" i="1"/>
  <c r="D22" i="1"/>
  <c r="E22" i="1"/>
  <c r="F22" i="1"/>
  <c r="G22" i="1"/>
  <c r="H22" i="1"/>
  <c r="J22" i="1"/>
  <c r="R22" i="1"/>
  <c r="B23" i="1"/>
  <c r="C23" i="1"/>
  <c r="D23" i="1"/>
  <c r="E23" i="1"/>
  <c r="F23" i="1"/>
  <c r="G23" i="1"/>
  <c r="H23" i="1"/>
  <c r="J23" i="1"/>
  <c r="R23" i="1"/>
  <c r="B24" i="1"/>
  <c r="C24" i="1"/>
  <c r="D24" i="1"/>
  <c r="E24" i="1"/>
  <c r="F24" i="1"/>
  <c r="G24" i="1"/>
  <c r="H24" i="1"/>
  <c r="J24" i="1"/>
  <c r="R24" i="1"/>
  <c r="B25" i="1"/>
  <c r="C25" i="1"/>
  <c r="D25" i="1"/>
  <c r="E25" i="1"/>
  <c r="F25" i="1"/>
  <c r="G25" i="1"/>
  <c r="H25" i="1"/>
  <c r="J25" i="1"/>
  <c r="R25" i="1"/>
  <c r="B26" i="1"/>
  <c r="C26" i="1"/>
  <c r="D26" i="1"/>
  <c r="E26" i="1"/>
  <c r="F26" i="1"/>
  <c r="G26" i="1"/>
  <c r="H26" i="1"/>
  <c r="J26" i="1"/>
  <c r="R26" i="1"/>
  <c r="B27" i="1"/>
  <c r="C27" i="1"/>
  <c r="D27" i="1"/>
  <c r="E27" i="1"/>
  <c r="F27" i="1"/>
  <c r="G27" i="1"/>
  <c r="H27" i="1"/>
  <c r="J27" i="1"/>
  <c r="R27" i="1"/>
  <c r="B28" i="1"/>
  <c r="C28" i="1"/>
  <c r="D28" i="1"/>
  <c r="E28" i="1"/>
  <c r="F28" i="1"/>
  <c r="G28" i="1"/>
  <c r="H28" i="1"/>
  <c r="J28" i="1"/>
  <c r="R28" i="1"/>
  <c r="B29" i="1"/>
  <c r="C29" i="1"/>
  <c r="D29" i="1"/>
  <c r="E29" i="1"/>
  <c r="F29" i="1"/>
  <c r="G29" i="1"/>
  <c r="H29" i="1"/>
  <c r="J29" i="1"/>
  <c r="R29" i="1"/>
  <c r="B30" i="1"/>
  <c r="C30" i="1"/>
  <c r="D30" i="1"/>
  <c r="E30" i="1"/>
  <c r="F30" i="1"/>
  <c r="G30" i="1"/>
  <c r="H30" i="1"/>
  <c r="J30" i="1"/>
  <c r="R30" i="1"/>
  <c r="B31" i="1"/>
  <c r="C31" i="1"/>
  <c r="D31" i="1"/>
  <c r="E31" i="1"/>
  <c r="F31" i="1"/>
  <c r="G31" i="1"/>
  <c r="H31" i="1"/>
  <c r="J31" i="1"/>
  <c r="R31" i="1"/>
  <c r="B32" i="1"/>
  <c r="C32" i="1"/>
  <c r="D32" i="1"/>
  <c r="E32" i="1"/>
  <c r="F32" i="1"/>
  <c r="G32" i="1"/>
  <c r="H32" i="1"/>
  <c r="J32" i="1"/>
  <c r="R32" i="1"/>
  <c r="B33" i="1"/>
  <c r="C33" i="1"/>
  <c r="D33" i="1"/>
  <c r="E33" i="1"/>
  <c r="F33" i="1"/>
  <c r="G33" i="1"/>
  <c r="H33" i="1"/>
  <c r="I33" i="1"/>
  <c r="J33" i="1"/>
  <c r="B34" i="1"/>
  <c r="C34" i="1"/>
  <c r="D34" i="1"/>
  <c r="E34" i="1"/>
  <c r="F34" i="1"/>
  <c r="G34" i="1"/>
  <c r="H34" i="1"/>
  <c r="I34" i="1"/>
  <c r="J34" i="1"/>
  <c r="B35" i="1"/>
  <c r="C35" i="1"/>
  <c r="D35" i="1"/>
  <c r="E35" i="1"/>
  <c r="F35" i="1"/>
  <c r="G35" i="1"/>
  <c r="H35" i="1"/>
  <c r="I35" i="1"/>
  <c r="J35" i="1"/>
  <c r="B36" i="1"/>
  <c r="C36" i="1"/>
  <c r="D36" i="1"/>
  <c r="E36" i="1"/>
  <c r="F36" i="1"/>
  <c r="G36" i="1"/>
  <c r="H36" i="1"/>
  <c r="I36" i="1"/>
  <c r="J36" i="1"/>
  <c r="B37" i="1"/>
  <c r="C37" i="1"/>
  <c r="D37" i="1"/>
  <c r="E37" i="1"/>
  <c r="F37" i="1"/>
  <c r="G37" i="1"/>
  <c r="H37" i="1"/>
  <c r="I37" i="1"/>
  <c r="J37" i="1"/>
  <c r="B38" i="1"/>
  <c r="C38" i="1"/>
  <c r="D38" i="1"/>
  <c r="E38" i="1"/>
  <c r="F38" i="1"/>
  <c r="G38" i="1"/>
  <c r="H38" i="1"/>
  <c r="I38" i="1"/>
  <c r="J38" i="1"/>
  <c r="B39" i="1"/>
  <c r="C39" i="1"/>
  <c r="D39" i="1"/>
  <c r="E39" i="1"/>
  <c r="F39" i="1"/>
  <c r="G39" i="1"/>
  <c r="H39" i="1"/>
  <c r="I39" i="1"/>
  <c r="J39" i="1"/>
  <c r="B40" i="1"/>
  <c r="C40" i="1"/>
  <c r="D40" i="1"/>
  <c r="E40" i="1"/>
  <c r="F40" i="1"/>
  <c r="G40" i="1"/>
  <c r="H40" i="1"/>
  <c r="I40" i="1"/>
  <c r="J40" i="1"/>
  <c r="B41" i="1"/>
  <c r="C41" i="1"/>
  <c r="D41" i="1"/>
  <c r="E41" i="1"/>
  <c r="F41" i="1"/>
  <c r="G41" i="1"/>
  <c r="H41" i="1"/>
  <c r="I41" i="1"/>
  <c r="J41" i="1"/>
  <c r="B42" i="1"/>
  <c r="C42" i="1"/>
  <c r="D42" i="1"/>
  <c r="E42" i="1"/>
  <c r="F42" i="1"/>
  <c r="G42" i="1"/>
  <c r="H42" i="1"/>
  <c r="I42" i="1"/>
  <c r="J42" i="1"/>
  <c r="B43" i="1"/>
  <c r="C43" i="1"/>
  <c r="D43" i="1"/>
  <c r="E43" i="1"/>
  <c r="F43" i="1"/>
  <c r="G43" i="1"/>
  <c r="H43" i="1"/>
  <c r="I43" i="1"/>
  <c r="J43" i="1"/>
  <c r="B44" i="1"/>
  <c r="C44" i="1"/>
  <c r="D44" i="1"/>
  <c r="E44" i="1"/>
  <c r="F44" i="1"/>
  <c r="G44" i="1"/>
  <c r="H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B47" i="1"/>
  <c r="C47" i="1"/>
  <c r="D47" i="1"/>
  <c r="E47" i="1"/>
  <c r="F47" i="1"/>
  <c r="G47" i="1"/>
  <c r="H47" i="1"/>
  <c r="I47" i="1"/>
  <c r="J47" i="1"/>
  <c r="B48" i="1"/>
  <c r="C48" i="1"/>
  <c r="D48" i="1"/>
  <c r="E48" i="1"/>
  <c r="F48" i="1"/>
  <c r="G48" i="1"/>
  <c r="H48" i="1"/>
  <c r="I48" i="1"/>
  <c r="J48" i="1"/>
  <c r="B49" i="1"/>
  <c r="C49" i="1"/>
  <c r="D49" i="1"/>
  <c r="E49" i="1"/>
  <c r="F49" i="1"/>
  <c r="G49" i="1"/>
  <c r="H49" i="1"/>
  <c r="I49" i="1"/>
  <c r="J49" i="1"/>
  <c r="B50" i="1"/>
  <c r="C50" i="1"/>
  <c r="D50" i="1"/>
  <c r="E50" i="1"/>
  <c r="F50" i="1"/>
  <c r="G50" i="1"/>
  <c r="H50" i="1"/>
  <c r="I50" i="1"/>
  <c r="J50" i="1"/>
  <c r="B51" i="1"/>
  <c r="C51" i="1"/>
  <c r="D51" i="1"/>
  <c r="E51" i="1"/>
  <c r="F51" i="1"/>
  <c r="G51" i="1"/>
  <c r="H51" i="1"/>
  <c r="I51" i="1"/>
  <c r="J51" i="1"/>
  <c r="B52" i="1"/>
  <c r="C52" i="1"/>
  <c r="D52" i="1"/>
  <c r="E52" i="1"/>
  <c r="F52" i="1"/>
  <c r="G52" i="1"/>
  <c r="H52" i="1"/>
  <c r="I52" i="1"/>
  <c r="J52" i="1"/>
  <c r="B53" i="1"/>
  <c r="C53" i="1"/>
  <c r="D53" i="1"/>
  <c r="E53" i="1"/>
  <c r="F53" i="1"/>
  <c r="G53" i="1"/>
  <c r="H53" i="1"/>
  <c r="I53" i="1"/>
  <c r="J53" i="1"/>
  <c r="B54" i="1"/>
  <c r="C54" i="1"/>
  <c r="D54" i="1"/>
  <c r="E54" i="1"/>
  <c r="F54" i="1"/>
  <c r="G54" i="1"/>
  <c r="H54" i="1"/>
  <c r="I54" i="1"/>
  <c r="J54" i="1"/>
  <c r="B55" i="1"/>
  <c r="C55" i="1"/>
  <c r="D55" i="1"/>
  <c r="E55" i="1"/>
  <c r="F55" i="1"/>
  <c r="G55" i="1"/>
  <c r="H55" i="1"/>
  <c r="I55" i="1"/>
  <c r="J55" i="1"/>
  <c r="B56" i="1"/>
  <c r="C56" i="1"/>
  <c r="D56" i="1"/>
  <c r="E56" i="1"/>
  <c r="F56" i="1"/>
  <c r="G56" i="1"/>
  <c r="H56" i="1"/>
  <c r="I56" i="1"/>
  <c r="J56" i="1"/>
  <c r="B57" i="1"/>
  <c r="C57" i="1"/>
  <c r="D57" i="1"/>
  <c r="E57" i="1"/>
  <c r="F57" i="1"/>
  <c r="G57" i="1"/>
  <c r="H57" i="1"/>
  <c r="I57" i="1"/>
  <c r="J57" i="1"/>
  <c r="B58" i="1"/>
  <c r="C58" i="1"/>
  <c r="D58" i="1"/>
  <c r="E58" i="1"/>
  <c r="F58" i="1"/>
  <c r="G58" i="1"/>
  <c r="H58" i="1"/>
  <c r="I58" i="1"/>
  <c r="J58" i="1"/>
  <c r="B59" i="1"/>
  <c r="C59" i="1"/>
  <c r="D59" i="1"/>
  <c r="E59" i="1"/>
  <c r="F59" i="1"/>
  <c r="G59" i="1"/>
  <c r="H59" i="1"/>
  <c r="I59" i="1"/>
  <c r="J59" i="1"/>
  <c r="B60" i="1"/>
  <c r="C60" i="1"/>
  <c r="D60" i="1"/>
  <c r="E60" i="1"/>
  <c r="F60" i="1"/>
  <c r="G60" i="1"/>
  <c r="H60" i="1"/>
  <c r="I60" i="1"/>
  <c r="J60" i="1"/>
  <c r="B61" i="1"/>
  <c r="C61" i="1"/>
  <c r="D61" i="1"/>
  <c r="E61" i="1"/>
  <c r="F61" i="1"/>
  <c r="G61" i="1"/>
  <c r="H61" i="1"/>
  <c r="I61" i="1"/>
  <c r="J61" i="1"/>
  <c r="B62" i="1"/>
  <c r="C62" i="1"/>
  <c r="D62" i="1"/>
  <c r="E62" i="1"/>
  <c r="F62" i="1"/>
  <c r="G62" i="1"/>
  <c r="H62" i="1"/>
  <c r="I62" i="1"/>
  <c r="J62" i="1"/>
  <c r="B63" i="1"/>
  <c r="C63" i="1"/>
  <c r="D63" i="1"/>
  <c r="E63" i="1"/>
  <c r="F63" i="1"/>
  <c r="G63" i="1"/>
  <c r="H63" i="1"/>
  <c r="I63" i="1"/>
  <c r="J63" i="1"/>
  <c r="B64" i="1"/>
  <c r="C64" i="1"/>
  <c r="D64" i="1"/>
  <c r="E64" i="1"/>
  <c r="F64" i="1"/>
  <c r="G64" i="1"/>
  <c r="H64" i="1"/>
  <c r="I64" i="1"/>
  <c r="J64" i="1"/>
  <c r="B65" i="1"/>
  <c r="C65" i="1"/>
  <c r="D65" i="1"/>
  <c r="E65" i="1"/>
  <c r="F65" i="1"/>
  <c r="G65" i="1"/>
  <c r="H65" i="1"/>
  <c r="I65" i="1"/>
  <c r="J65" i="1"/>
  <c r="B66" i="1"/>
  <c r="C66" i="1"/>
  <c r="D66" i="1"/>
  <c r="E66" i="1"/>
  <c r="F66" i="1"/>
  <c r="G66" i="1"/>
  <c r="H66" i="1"/>
  <c r="I66" i="1"/>
  <c r="J66" i="1"/>
  <c r="B67" i="1"/>
  <c r="C67" i="1"/>
  <c r="D67" i="1"/>
  <c r="E67" i="1"/>
  <c r="F67" i="1"/>
  <c r="G67" i="1"/>
  <c r="H67" i="1"/>
  <c r="I67" i="1"/>
  <c r="J67" i="1"/>
  <c r="B68" i="1"/>
  <c r="C68" i="1"/>
  <c r="D68" i="1"/>
  <c r="E68" i="1"/>
  <c r="F68" i="1"/>
  <c r="G68" i="1"/>
  <c r="H68" i="1"/>
  <c r="I68" i="1"/>
  <c r="J68" i="1"/>
  <c r="B69" i="1"/>
  <c r="C69" i="1"/>
  <c r="D69" i="1"/>
  <c r="E69" i="1"/>
  <c r="F69" i="1"/>
  <c r="G69" i="1"/>
  <c r="H69" i="1"/>
  <c r="I69" i="1"/>
  <c r="J69" i="1"/>
  <c r="B70" i="1"/>
  <c r="C70" i="1"/>
  <c r="D70" i="1"/>
  <c r="E70" i="1"/>
  <c r="F70" i="1"/>
  <c r="G70" i="1"/>
  <c r="H70" i="1"/>
  <c r="I70" i="1"/>
  <c r="J70" i="1"/>
  <c r="B71" i="1"/>
  <c r="C71" i="1"/>
  <c r="D71" i="1"/>
  <c r="E71" i="1"/>
  <c r="F71" i="1"/>
  <c r="G71" i="1"/>
  <c r="H71" i="1"/>
  <c r="I71" i="1"/>
  <c r="J71" i="1"/>
  <c r="B72" i="1"/>
  <c r="C72" i="1"/>
  <c r="D72" i="1"/>
  <c r="E72" i="1"/>
  <c r="F72" i="1"/>
  <c r="G72" i="1"/>
  <c r="H72" i="1"/>
  <c r="I72" i="1"/>
  <c r="J72" i="1"/>
  <c r="B73" i="1"/>
  <c r="C73" i="1"/>
  <c r="D73" i="1"/>
  <c r="E73" i="1"/>
  <c r="F73" i="1"/>
  <c r="G73" i="1"/>
  <c r="H73" i="1"/>
  <c r="I73" i="1"/>
  <c r="J73" i="1"/>
  <c r="B74" i="1"/>
  <c r="C74" i="1"/>
  <c r="D74" i="1"/>
  <c r="E74" i="1"/>
  <c r="F74" i="1"/>
  <c r="G74" i="1"/>
  <c r="H74" i="1"/>
  <c r="I74" i="1"/>
  <c r="J74" i="1"/>
  <c r="B75" i="1"/>
  <c r="C75" i="1"/>
  <c r="D75" i="1"/>
  <c r="E75" i="1"/>
  <c r="F75" i="1"/>
  <c r="G75" i="1"/>
  <c r="H75" i="1"/>
  <c r="I75" i="1"/>
  <c r="J75" i="1"/>
  <c r="B76" i="1"/>
  <c r="C76" i="1"/>
  <c r="D76" i="1"/>
  <c r="E76" i="1"/>
  <c r="F76" i="1"/>
  <c r="G76" i="1"/>
  <c r="H76" i="1"/>
  <c r="I76" i="1"/>
  <c r="J76" i="1"/>
  <c r="B77" i="1"/>
  <c r="C77" i="1"/>
  <c r="D77" i="1"/>
  <c r="E77" i="1"/>
  <c r="F77" i="1"/>
  <c r="G77" i="1"/>
  <c r="H77" i="1"/>
  <c r="I77" i="1"/>
  <c r="J77" i="1"/>
  <c r="B78" i="1"/>
  <c r="C78" i="1"/>
  <c r="D78" i="1"/>
  <c r="E78" i="1"/>
  <c r="F78" i="1"/>
  <c r="G78" i="1"/>
  <c r="H78" i="1"/>
  <c r="I78" i="1"/>
  <c r="J78" i="1"/>
  <c r="B79" i="1"/>
  <c r="C79" i="1"/>
  <c r="D79" i="1"/>
  <c r="E79" i="1"/>
  <c r="F79" i="1"/>
  <c r="G79" i="1"/>
  <c r="H79" i="1"/>
  <c r="I79" i="1"/>
  <c r="J79" i="1"/>
  <c r="B80" i="1"/>
  <c r="C80" i="1"/>
  <c r="D80" i="1"/>
  <c r="E80" i="1"/>
  <c r="F80" i="1"/>
  <c r="G80" i="1"/>
  <c r="H80" i="1"/>
  <c r="I80" i="1"/>
  <c r="J80" i="1"/>
  <c r="B81" i="1"/>
  <c r="C81" i="1"/>
  <c r="D81" i="1"/>
  <c r="E81" i="1"/>
  <c r="F81" i="1"/>
  <c r="G81" i="1"/>
  <c r="H81" i="1"/>
  <c r="I81" i="1"/>
  <c r="J81" i="1"/>
  <c r="B82" i="1"/>
  <c r="C82" i="1"/>
  <c r="D82" i="1"/>
  <c r="E82" i="1"/>
  <c r="F82" i="1"/>
  <c r="G82" i="1"/>
  <c r="H82" i="1"/>
  <c r="I82" i="1"/>
  <c r="J82" i="1"/>
  <c r="B83" i="1"/>
  <c r="C83" i="1"/>
  <c r="D83" i="1"/>
  <c r="E83" i="1"/>
  <c r="F83" i="1"/>
  <c r="G83" i="1"/>
  <c r="H83" i="1"/>
  <c r="I83" i="1"/>
  <c r="J83" i="1"/>
  <c r="B84" i="1"/>
  <c r="C84" i="1"/>
  <c r="D84" i="1"/>
  <c r="E84" i="1"/>
  <c r="F84" i="1"/>
  <c r="G84" i="1"/>
  <c r="H84" i="1"/>
  <c r="I84" i="1"/>
  <c r="J84" i="1"/>
  <c r="B85" i="1"/>
  <c r="C85" i="1"/>
  <c r="D85" i="1"/>
  <c r="E85" i="1"/>
  <c r="F85" i="1"/>
  <c r="G85" i="1"/>
  <c r="H85" i="1"/>
  <c r="I85" i="1"/>
  <c r="J85" i="1"/>
  <c r="B86" i="1"/>
  <c r="C86" i="1"/>
  <c r="D86" i="1"/>
  <c r="E86" i="1"/>
  <c r="F86" i="1"/>
  <c r="G86" i="1"/>
  <c r="H86" i="1"/>
  <c r="I86" i="1"/>
  <c r="J86" i="1"/>
  <c r="B87" i="1"/>
  <c r="C87" i="1"/>
  <c r="D87" i="1"/>
  <c r="E87" i="1"/>
  <c r="F87" i="1"/>
  <c r="G87" i="1"/>
  <c r="H87" i="1"/>
  <c r="I87" i="1"/>
  <c r="J87" i="1"/>
  <c r="B88" i="1"/>
  <c r="C88" i="1"/>
  <c r="D88" i="1"/>
  <c r="E88" i="1"/>
  <c r="F88" i="1"/>
  <c r="G88" i="1"/>
  <c r="H88" i="1"/>
  <c r="I88" i="1"/>
  <c r="J88" i="1"/>
  <c r="B89" i="1"/>
  <c r="C89" i="1"/>
  <c r="D89" i="1"/>
  <c r="E89" i="1"/>
  <c r="F89" i="1"/>
  <c r="G89" i="1"/>
  <c r="H89" i="1"/>
  <c r="I89" i="1"/>
  <c r="J89" i="1"/>
  <c r="B90" i="1"/>
  <c r="C90" i="1"/>
  <c r="D90" i="1"/>
  <c r="E90" i="1"/>
  <c r="F90" i="1"/>
  <c r="G90" i="1"/>
  <c r="H90" i="1"/>
  <c r="I90" i="1"/>
  <c r="J90" i="1"/>
  <c r="B91" i="1"/>
  <c r="C91" i="1"/>
  <c r="D91" i="1"/>
  <c r="E91" i="1"/>
  <c r="F91" i="1"/>
  <c r="G91" i="1"/>
  <c r="H91" i="1"/>
  <c r="I91" i="1"/>
  <c r="J91" i="1"/>
  <c r="B92" i="1"/>
  <c r="C92" i="1"/>
  <c r="D92" i="1"/>
  <c r="E92" i="1"/>
  <c r="F92" i="1"/>
  <c r="G92" i="1"/>
  <c r="H92" i="1"/>
  <c r="I92" i="1"/>
  <c r="J92" i="1"/>
  <c r="B93" i="1"/>
  <c r="C93" i="1"/>
  <c r="D93" i="1"/>
  <c r="E93" i="1"/>
  <c r="F93" i="1"/>
  <c r="G93" i="1"/>
  <c r="H93" i="1"/>
  <c r="I93" i="1"/>
  <c r="J93" i="1"/>
  <c r="B94" i="1"/>
  <c r="C94" i="1"/>
  <c r="D94" i="1"/>
  <c r="E94" i="1"/>
  <c r="F94" i="1"/>
  <c r="G94" i="1"/>
  <c r="H94" i="1"/>
  <c r="I94" i="1"/>
  <c r="J94" i="1"/>
  <c r="B95" i="1"/>
  <c r="C95" i="1"/>
  <c r="D95" i="1"/>
  <c r="E95" i="1"/>
  <c r="F95" i="1"/>
  <c r="G95" i="1"/>
  <c r="H95" i="1"/>
  <c r="I95" i="1"/>
  <c r="J95" i="1"/>
  <c r="B96" i="1"/>
  <c r="C96" i="1"/>
  <c r="D96" i="1"/>
  <c r="E96" i="1"/>
  <c r="F96" i="1"/>
  <c r="G96" i="1"/>
  <c r="H96" i="1"/>
  <c r="I96" i="1"/>
  <c r="J96" i="1"/>
  <c r="B97" i="1"/>
  <c r="C97" i="1"/>
  <c r="D97" i="1"/>
  <c r="E97" i="1"/>
  <c r="F97" i="1"/>
  <c r="G97" i="1"/>
  <c r="H97" i="1"/>
  <c r="I97" i="1"/>
  <c r="J97" i="1"/>
  <c r="B98" i="1"/>
  <c r="C98" i="1"/>
  <c r="D98" i="1"/>
  <c r="E98" i="1"/>
  <c r="F98" i="1"/>
  <c r="G98" i="1"/>
  <c r="H98" i="1"/>
  <c r="I98" i="1"/>
  <c r="J98" i="1"/>
  <c r="B99" i="1"/>
  <c r="C99" i="1"/>
  <c r="D99" i="1"/>
  <c r="E99" i="1"/>
  <c r="F99" i="1"/>
  <c r="G99" i="1"/>
  <c r="H99" i="1"/>
  <c r="I99" i="1"/>
  <c r="J99" i="1"/>
  <c r="B100" i="1"/>
  <c r="C100" i="1"/>
  <c r="D100" i="1"/>
  <c r="E100" i="1"/>
  <c r="F100" i="1"/>
  <c r="G100" i="1"/>
  <c r="H100" i="1"/>
  <c r="I100" i="1"/>
  <c r="J100" i="1"/>
  <c r="B101" i="1"/>
  <c r="C101" i="1"/>
  <c r="D101" i="1"/>
  <c r="E101" i="1"/>
  <c r="F101" i="1"/>
  <c r="G101" i="1"/>
  <c r="H101" i="1"/>
  <c r="I101" i="1"/>
  <c r="J101" i="1"/>
  <c r="B102" i="1"/>
  <c r="C102" i="1"/>
  <c r="D102" i="1"/>
  <c r="E102" i="1"/>
  <c r="F102" i="1"/>
  <c r="G102" i="1"/>
  <c r="H102" i="1"/>
  <c r="I102" i="1"/>
  <c r="J102" i="1"/>
  <c r="B103" i="1"/>
  <c r="C103" i="1"/>
  <c r="D103" i="1"/>
  <c r="E103" i="1"/>
  <c r="F103" i="1"/>
  <c r="G103" i="1"/>
  <c r="H103" i="1"/>
  <c r="I103" i="1"/>
  <c r="J103" i="1"/>
  <c r="B104" i="1"/>
  <c r="C104" i="1"/>
  <c r="D104" i="1"/>
  <c r="E104" i="1"/>
  <c r="F104" i="1"/>
  <c r="G104" i="1"/>
  <c r="H104" i="1"/>
  <c r="I104" i="1"/>
  <c r="J104" i="1"/>
  <c r="B105" i="1"/>
  <c r="C105" i="1"/>
  <c r="D105" i="1"/>
  <c r="E105" i="1"/>
  <c r="F105" i="1"/>
  <c r="G105" i="1"/>
  <c r="H105" i="1"/>
  <c r="I105" i="1"/>
  <c r="J105" i="1"/>
  <c r="B106" i="1"/>
  <c r="C106" i="1"/>
  <c r="D106" i="1"/>
  <c r="E106" i="1"/>
  <c r="F106" i="1"/>
  <c r="G106" i="1"/>
  <c r="H106" i="1"/>
  <c r="I106" i="1"/>
  <c r="J106" i="1"/>
  <c r="B107" i="1"/>
  <c r="C107" i="1"/>
  <c r="D107" i="1"/>
  <c r="E107" i="1"/>
  <c r="F107" i="1"/>
  <c r="G107" i="1"/>
  <c r="H107" i="1"/>
  <c r="I107" i="1"/>
  <c r="J107" i="1"/>
  <c r="B108" i="1"/>
  <c r="C108" i="1"/>
  <c r="D108" i="1"/>
  <c r="E108" i="1"/>
  <c r="F108" i="1"/>
  <c r="G108" i="1"/>
  <c r="H108" i="1"/>
  <c r="I108" i="1"/>
  <c r="J108" i="1"/>
  <c r="B109" i="1"/>
  <c r="C109" i="1"/>
  <c r="D109" i="1"/>
  <c r="E109" i="1"/>
  <c r="F109" i="1"/>
  <c r="G109" i="1"/>
  <c r="H109" i="1"/>
  <c r="I109" i="1"/>
  <c r="J109" i="1"/>
  <c r="B110" i="1"/>
  <c r="C110" i="1"/>
  <c r="D110" i="1"/>
  <c r="E110" i="1"/>
  <c r="F110" i="1"/>
  <c r="G110" i="1"/>
  <c r="H110" i="1"/>
  <c r="I110" i="1"/>
  <c r="J110" i="1"/>
  <c r="B111" i="1"/>
  <c r="C111" i="1"/>
  <c r="D111" i="1"/>
  <c r="E111" i="1"/>
  <c r="F111" i="1"/>
  <c r="G111" i="1"/>
  <c r="H111" i="1"/>
  <c r="I111" i="1"/>
  <c r="J111" i="1"/>
  <c r="B112" i="1"/>
  <c r="C112" i="1"/>
  <c r="D112" i="1"/>
  <c r="E112" i="1"/>
  <c r="F112" i="1"/>
  <c r="G112" i="1"/>
  <c r="H112" i="1"/>
  <c r="I112" i="1"/>
  <c r="J112" i="1"/>
  <c r="B113" i="1"/>
  <c r="C113" i="1"/>
  <c r="D113" i="1"/>
  <c r="E113" i="1"/>
  <c r="F113" i="1"/>
  <c r="G113" i="1"/>
  <c r="H113" i="1"/>
  <c r="I113" i="1"/>
  <c r="J113" i="1"/>
  <c r="B114" i="1"/>
  <c r="C114" i="1"/>
  <c r="D114" i="1"/>
  <c r="E114" i="1"/>
  <c r="F114" i="1"/>
  <c r="G114" i="1"/>
  <c r="H114" i="1"/>
  <c r="I114" i="1"/>
  <c r="J114" i="1"/>
  <c r="B115" i="1"/>
  <c r="C115" i="1"/>
  <c r="D115" i="1"/>
  <c r="E115" i="1"/>
  <c r="F115" i="1"/>
  <c r="G115" i="1"/>
  <c r="H115" i="1"/>
  <c r="I115" i="1"/>
  <c r="J115" i="1"/>
  <c r="B116" i="1"/>
  <c r="C116" i="1"/>
  <c r="D116" i="1"/>
  <c r="E116" i="1"/>
  <c r="F116" i="1"/>
  <c r="G116" i="1"/>
  <c r="H116" i="1"/>
  <c r="I116" i="1"/>
  <c r="J116" i="1"/>
  <c r="B117" i="1"/>
  <c r="C117" i="1"/>
  <c r="D117" i="1"/>
  <c r="E117" i="1"/>
  <c r="F117" i="1"/>
  <c r="G117" i="1"/>
  <c r="H117" i="1"/>
  <c r="I117" i="1"/>
  <c r="J117" i="1"/>
  <c r="B118" i="1"/>
  <c r="C118" i="1"/>
  <c r="D118" i="1"/>
  <c r="E118" i="1"/>
  <c r="F118" i="1"/>
  <c r="G118" i="1"/>
  <c r="H118" i="1"/>
  <c r="I118" i="1"/>
  <c r="J118" i="1"/>
  <c r="B119" i="1"/>
  <c r="C119" i="1"/>
  <c r="D119" i="1"/>
  <c r="E119" i="1"/>
  <c r="F119" i="1"/>
  <c r="G119" i="1"/>
  <c r="H119" i="1"/>
  <c r="I119" i="1"/>
  <c r="J119" i="1"/>
  <c r="B120" i="1"/>
  <c r="C120" i="1"/>
  <c r="D120" i="1"/>
  <c r="E120" i="1"/>
  <c r="F120" i="1"/>
  <c r="G120" i="1"/>
  <c r="H120" i="1"/>
  <c r="I120" i="1"/>
  <c r="J120" i="1"/>
  <c r="B121" i="1"/>
  <c r="C121" i="1"/>
  <c r="D121" i="1"/>
  <c r="E121" i="1"/>
  <c r="F121" i="1"/>
  <c r="G121" i="1"/>
  <c r="H121" i="1"/>
  <c r="I121" i="1"/>
  <c r="J121" i="1"/>
  <c r="B122" i="1"/>
  <c r="C122" i="1"/>
  <c r="D122" i="1"/>
  <c r="E122" i="1"/>
  <c r="F122" i="1"/>
  <c r="G122" i="1"/>
  <c r="H122" i="1"/>
  <c r="I122" i="1"/>
  <c r="J122" i="1"/>
  <c r="B123" i="1"/>
  <c r="C123" i="1"/>
  <c r="D123" i="1"/>
  <c r="E123" i="1"/>
  <c r="F123" i="1"/>
  <c r="G123" i="1"/>
  <c r="H123" i="1"/>
  <c r="I123" i="1"/>
  <c r="J123" i="1"/>
  <c r="B124" i="1"/>
  <c r="C124" i="1"/>
  <c r="D124" i="1"/>
  <c r="E124" i="1"/>
  <c r="F124" i="1"/>
  <c r="G124" i="1"/>
  <c r="H124" i="1"/>
  <c r="I124" i="1"/>
  <c r="J124" i="1"/>
  <c r="B125" i="1"/>
  <c r="C125" i="1"/>
  <c r="D125" i="1"/>
  <c r="E125" i="1"/>
  <c r="F125" i="1"/>
  <c r="G125" i="1"/>
  <c r="H125" i="1"/>
  <c r="I125" i="1"/>
  <c r="J125" i="1"/>
  <c r="B126" i="1"/>
  <c r="C126" i="1"/>
  <c r="D126" i="1"/>
  <c r="E126" i="1"/>
  <c r="F126" i="1"/>
  <c r="G126" i="1"/>
  <c r="H126" i="1"/>
  <c r="I126" i="1"/>
  <c r="J126" i="1"/>
  <c r="B127" i="1"/>
  <c r="C127" i="1"/>
  <c r="D127" i="1"/>
  <c r="E127" i="1"/>
  <c r="F127" i="1"/>
  <c r="G127" i="1"/>
  <c r="H127" i="1"/>
  <c r="I127" i="1"/>
  <c r="J127" i="1"/>
  <c r="B128" i="1"/>
  <c r="C128" i="1"/>
  <c r="D128" i="1"/>
  <c r="E128" i="1"/>
  <c r="F128" i="1"/>
  <c r="G128" i="1"/>
  <c r="H128" i="1"/>
  <c r="I128" i="1"/>
  <c r="J128" i="1"/>
  <c r="B129" i="1"/>
  <c r="C129" i="1"/>
  <c r="D129" i="1"/>
  <c r="E129" i="1"/>
  <c r="F129" i="1"/>
  <c r="G129" i="1"/>
  <c r="H129" i="1"/>
  <c r="I129" i="1"/>
  <c r="J129" i="1"/>
  <c r="B130" i="1"/>
  <c r="C130" i="1"/>
  <c r="D130" i="1"/>
  <c r="E130" i="1"/>
  <c r="F130" i="1"/>
  <c r="G130" i="1"/>
  <c r="H130" i="1"/>
  <c r="I130" i="1"/>
  <c r="J130" i="1"/>
  <c r="B131" i="1"/>
  <c r="C131" i="1"/>
  <c r="D131" i="1"/>
  <c r="E131" i="1"/>
  <c r="F131" i="1"/>
  <c r="G131" i="1"/>
  <c r="H131" i="1"/>
  <c r="I131" i="1"/>
  <c r="J131" i="1"/>
  <c r="B132" i="1"/>
  <c r="C132" i="1"/>
  <c r="D132" i="1"/>
  <c r="E132" i="1"/>
  <c r="F132" i="1"/>
  <c r="G132" i="1"/>
  <c r="H132" i="1"/>
  <c r="I132" i="1"/>
  <c r="J132" i="1"/>
  <c r="B133" i="1"/>
  <c r="C133" i="1"/>
  <c r="D133" i="1"/>
  <c r="E133" i="1"/>
  <c r="F133" i="1"/>
  <c r="G133" i="1"/>
  <c r="H133" i="1"/>
  <c r="I133" i="1"/>
  <c r="J133" i="1"/>
  <c r="B134" i="1"/>
  <c r="C134" i="1"/>
  <c r="D134" i="1"/>
  <c r="E134" i="1"/>
  <c r="F134" i="1"/>
  <c r="G134" i="1"/>
  <c r="H134" i="1"/>
  <c r="I134" i="1"/>
  <c r="J134" i="1"/>
  <c r="B135" i="1"/>
  <c r="C135" i="1"/>
  <c r="D135" i="1"/>
  <c r="E135" i="1"/>
  <c r="F135" i="1"/>
  <c r="G135" i="1"/>
  <c r="H135" i="1"/>
  <c r="I135" i="1"/>
  <c r="J135" i="1"/>
  <c r="B136" i="1"/>
  <c r="C136" i="1"/>
  <c r="D136" i="1"/>
  <c r="E136" i="1"/>
  <c r="F136" i="1"/>
  <c r="G136" i="1"/>
  <c r="H136" i="1"/>
  <c r="I136" i="1"/>
  <c r="J136" i="1"/>
  <c r="B137" i="1"/>
  <c r="C137" i="1"/>
  <c r="D137" i="1"/>
  <c r="E137" i="1"/>
  <c r="F137" i="1"/>
  <c r="G137" i="1"/>
  <c r="H137" i="1"/>
  <c r="I137" i="1"/>
  <c r="J137" i="1"/>
  <c r="B138" i="1"/>
  <c r="C138" i="1"/>
  <c r="D138" i="1"/>
  <c r="E138" i="1"/>
  <c r="F138" i="1"/>
  <c r="G138" i="1"/>
  <c r="H138" i="1"/>
  <c r="I138" i="1"/>
  <c r="J138" i="1"/>
  <c r="B139" i="1"/>
  <c r="C139" i="1"/>
  <c r="D139" i="1"/>
  <c r="E139" i="1"/>
  <c r="F139" i="1"/>
  <c r="G139" i="1"/>
  <c r="H139" i="1"/>
  <c r="I139" i="1"/>
  <c r="J139" i="1"/>
  <c r="B140" i="1"/>
  <c r="C140" i="1"/>
  <c r="D140" i="1"/>
  <c r="E140" i="1"/>
  <c r="F140" i="1"/>
  <c r="G140" i="1"/>
  <c r="H140" i="1"/>
  <c r="I140" i="1"/>
  <c r="J140" i="1"/>
  <c r="B141" i="1"/>
  <c r="C141" i="1"/>
  <c r="D141" i="1"/>
  <c r="E141" i="1"/>
  <c r="F141" i="1"/>
  <c r="G141" i="1"/>
  <c r="H141" i="1"/>
  <c r="I141" i="1"/>
  <c r="J141" i="1"/>
  <c r="B142" i="1"/>
  <c r="C142" i="1"/>
  <c r="D142" i="1"/>
  <c r="E142" i="1"/>
  <c r="F142" i="1"/>
  <c r="G142" i="1"/>
  <c r="H142" i="1"/>
  <c r="I142" i="1"/>
  <c r="J142" i="1"/>
  <c r="B143" i="1"/>
  <c r="C143" i="1"/>
  <c r="D143" i="1"/>
  <c r="E143" i="1"/>
  <c r="F143" i="1"/>
  <c r="G143" i="1"/>
  <c r="H143" i="1"/>
  <c r="I143" i="1"/>
  <c r="J143" i="1"/>
  <c r="B144" i="1"/>
  <c r="C144" i="1"/>
  <c r="D144" i="1"/>
  <c r="E144" i="1"/>
  <c r="F144" i="1"/>
  <c r="G144" i="1"/>
  <c r="H144" i="1"/>
  <c r="I144" i="1"/>
  <c r="J144" i="1"/>
  <c r="B145" i="1"/>
  <c r="C145" i="1"/>
  <c r="D145" i="1"/>
  <c r="E145" i="1"/>
  <c r="F145" i="1"/>
  <c r="G145" i="1"/>
  <c r="H145" i="1"/>
  <c r="I145" i="1"/>
  <c r="J145" i="1"/>
  <c r="B146" i="1"/>
  <c r="C146" i="1"/>
  <c r="D146" i="1"/>
  <c r="E146" i="1"/>
  <c r="F146" i="1"/>
  <c r="G146" i="1"/>
  <c r="H146" i="1"/>
  <c r="I146" i="1"/>
  <c r="J146" i="1"/>
  <c r="B147" i="1"/>
  <c r="C147" i="1"/>
  <c r="D147" i="1"/>
  <c r="E147" i="1"/>
  <c r="F147" i="1"/>
  <c r="G147" i="1"/>
  <c r="H147" i="1"/>
  <c r="I147" i="1"/>
  <c r="J147" i="1"/>
  <c r="B148" i="1"/>
  <c r="C148" i="1"/>
  <c r="D148" i="1"/>
  <c r="E148" i="1"/>
  <c r="F148" i="1"/>
  <c r="G148" i="1"/>
  <c r="H148" i="1"/>
  <c r="I148" i="1"/>
  <c r="J148" i="1"/>
  <c r="B149" i="1"/>
  <c r="C149" i="1"/>
  <c r="D149" i="1"/>
  <c r="E149" i="1"/>
  <c r="F149" i="1"/>
  <c r="G149" i="1"/>
  <c r="H149" i="1"/>
  <c r="I149" i="1"/>
  <c r="J149" i="1"/>
  <c r="B150" i="1"/>
  <c r="C150" i="1"/>
  <c r="D150" i="1"/>
  <c r="E150" i="1"/>
  <c r="F150" i="1"/>
  <c r="G150" i="1"/>
  <c r="H150" i="1"/>
  <c r="I150" i="1"/>
  <c r="J150" i="1"/>
  <c r="B151" i="1"/>
  <c r="C151" i="1"/>
  <c r="D151" i="1"/>
  <c r="E151" i="1"/>
  <c r="F151" i="1"/>
  <c r="G151" i="1"/>
  <c r="H151" i="1"/>
  <c r="I151" i="1"/>
  <c r="J151" i="1"/>
  <c r="B152" i="1"/>
  <c r="C152" i="1"/>
  <c r="D152" i="1"/>
  <c r="E152" i="1"/>
  <c r="F152" i="1"/>
  <c r="G152" i="1"/>
  <c r="H152" i="1"/>
  <c r="I152" i="1"/>
  <c r="J152" i="1"/>
  <c r="B153" i="1"/>
  <c r="C153" i="1"/>
  <c r="D153" i="1"/>
  <c r="E153" i="1"/>
  <c r="F153" i="1"/>
  <c r="G153" i="1"/>
  <c r="H153" i="1"/>
  <c r="I153" i="1"/>
  <c r="J153" i="1"/>
  <c r="B154" i="1"/>
  <c r="C154" i="1"/>
  <c r="D154" i="1"/>
  <c r="E154" i="1"/>
  <c r="F154" i="1"/>
  <c r="G154" i="1"/>
  <c r="H154" i="1"/>
  <c r="I154" i="1"/>
  <c r="J154" i="1"/>
  <c r="B155" i="1"/>
  <c r="C155" i="1"/>
  <c r="D155" i="1"/>
  <c r="E155" i="1"/>
  <c r="F155" i="1"/>
  <c r="G155" i="1"/>
  <c r="H155" i="1"/>
  <c r="I155" i="1"/>
  <c r="J155" i="1"/>
  <c r="B156" i="1"/>
  <c r="C156" i="1"/>
  <c r="D156" i="1"/>
  <c r="E156" i="1"/>
  <c r="F156" i="1"/>
  <c r="G156" i="1"/>
  <c r="H156" i="1"/>
  <c r="I156" i="1"/>
  <c r="J156" i="1"/>
  <c r="B157" i="1"/>
  <c r="C157" i="1"/>
  <c r="D157" i="1"/>
  <c r="E157" i="1"/>
  <c r="F157" i="1"/>
  <c r="G157" i="1"/>
  <c r="H157" i="1"/>
  <c r="I157" i="1"/>
  <c r="J157" i="1"/>
  <c r="B158" i="1"/>
  <c r="C158" i="1"/>
  <c r="D158" i="1"/>
  <c r="E158" i="1"/>
  <c r="F158" i="1"/>
  <c r="G158" i="1"/>
  <c r="H158" i="1"/>
  <c r="I158" i="1"/>
  <c r="J158" i="1"/>
  <c r="B159" i="1"/>
  <c r="C159" i="1"/>
  <c r="D159" i="1"/>
  <c r="E159" i="1"/>
  <c r="F159" i="1"/>
  <c r="G159" i="1"/>
  <c r="H159" i="1"/>
  <c r="I159" i="1"/>
  <c r="J159" i="1"/>
  <c r="B160" i="1"/>
  <c r="C160" i="1"/>
  <c r="D160" i="1"/>
  <c r="E160" i="1"/>
  <c r="F160" i="1"/>
  <c r="G160" i="1"/>
  <c r="H160" i="1"/>
  <c r="I160" i="1"/>
  <c r="J160" i="1"/>
  <c r="B161" i="1"/>
  <c r="C161" i="1"/>
  <c r="D161" i="1"/>
  <c r="E161" i="1"/>
  <c r="F161" i="1"/>
  <c r="G161" i="1"/>
  <c r="H161" i="1"/>
  <c r="I161" i="1"/>
  <c r="J161" i="1"/>
  <c r="B162" i="1"/>
  <c r="C162" i="1"/>
  <c r="D162" i="1"/>
  <c r="E162" i="1"/>
  <c r="F162" i="1"/>
  <c r="G162" i="1"/>
  <c r="H162" i="1"/>
  <c r="I162" i="1"/>
  <c r="J162" i="1"/>
  <c r="B163" i="1"/>
  <c r="C163" i="1"/>
  <c r="D163" i="1"/>
  <c r="E163" i="1"/>
  <c r="F163" i="1"/>
  <c r="G163" i="1"/>
  <c r="H163" i="1"/>
  <c r="I163" i="1"/>
  <c r="J163" i="1"/>
  <c r="B164" i="1"/>
  <c r="C164" i="1"/>
  <c r="D164" i="1"/>
  <c r="E164" i="1"/>
  <c r="F164" i="1"/>
  <c r="G164" i="1"/>
  <c r="H164" i="1"/>
  <c r="I164" i="1"/>
  <c r="J164" i="1"/>
  <c r="B165" i="1"/>
  <c r="C165" i="1"/>
  <c r="D165" i="1"/>
  <c r="E165" i="1"/>
  <c r="F165" i="1"/>
  <c r="G165" i="1"/>
  <c r="H165" i="1"/>
  <c r="I165" i="1"/>
  <c r="J165" i="1"/>
  <c r="B166" i="1"/>
  <c r="C166" i="1"/>
  <c r="D166" i="1"/>
  <c r="E166" i="1"/>
  <c r="F166" i="1"/>
  <c r="G166" i="1"/>
  <c r="H166" i="1"/>
  <c r="I166" i="1"/>
  <c r="J166" i="1"/>
  <c r="B167" i="1"/>
  <c r="C167" i="1"/>
  <c r="D167" i="1"/>
  <c r="E167" i="1"/>
  <c r="F167" i="1"/>
  <c r="G167" i="1"/>
  <c r="H167" i="1"/>
  <c r="I167" i="1"/>
  <c r="J167" i="1"/>
  <c r="B168" i="1"/>
  <c r="C168" i="1"/>
  <c r="D168" i="1"/>
  <c r="E168" i="1"/>
  <c r="F168" i="1"/>
  <c r="G168" i="1"/>
  <c r="H168" i="1"/>
  <c r="I168" i="1"/>
  <c r="J168" i="1"/>
  <c r="B169" i="1"/>
  <c r="C169" i="1"/>
  <c r="D169" i="1"/>
  <c r="E169" i="1"/>
  <c r="F169" i="1"/>
  <c r="G169" i="1"/>
  <c r="H169" i="1"/>
  <c r="I169" i="1"/>
  <c r="J169" i="1"/>
  <c r="B170" i="1"/>
  <c r="C170" i="1"/>
  <c r="D170" i="1"/>
  <c r="E170" i="1"/>
  <c r="F170" i="1"/>
  <c r="G170" i="1"/>
  <c r="H170" i="1"/>
  <c r="I170" i="1"/>
  <c r="J170" i="1"/>
  <c r="B171" i="1"/>
  <c r="C171" i="1"/>
  <c r="D171" i="1"/>
  <c r="E171" i="1"/>
  <c r="F171" i="1"/>
  <c r="G171" i="1"/>
  <c r="H171" i="1"/>
  <c r="I171" i="1"/>
  <c r="J171" i="1"/>
  <c r="B172" i="1"/>
  <c r="C172" i="1"/>
  <c r="D172" i="1"/>
  <c r="E172" i="1"/>
  <c r="F172" i="1"/>
  <c r="G172" i="1"/>
  <c r="H172" i="1"/>
  <c r="I172" i="1"/>
  <c r="J172" i="1"/>
  <c r="B173" i="1"/>
  <c r="C173" i="1"/>
  <c r="D173" i="1"/>
  <c r="E173" i="1"/>
  <c r="F173" i="1"/>
  <c r="G173" i="1"/>
  <c r="H173" i="1"/>
  <c r="I173" i="1"/>
  <c r="J173" i="1"/>
  <c r="B174" i="1"/>
  <c r="C174" i="1"/>
  <c r="D174" i="1"/>
  <c r="E174" i="1"/>
  <c r="F174" i="1"/>
  <c r="G174" i="1"/>
  <c r="H174" i="1"/>
  <c r="I174" i="1"/>
  <c r="J174" i="1"/>
  <c r="B175" i="1"/>
  <c r="C175" i="1"/>
  <c r="D175" i="1"/>
  <c r="E175" i="1"/>
  <c r="F175" i="1"/>
  <c r="G175" i="1"/>
  <c r="H175" i="1"/>
  <c r="I175" i="1"/>
  <c r="J175" i="1"/>
  <c r="B176" i="1"/>
  <c r="C176" i="1"/>
  <c r="D176" i="1"/>
  <c r="E176" i="1"/>
  <c r="F176" i="1"/>
  <c r="G176" i="1"/>
  <c r="H176" i="1"/>
  <c r="I176" i="1"/>
  <c r="J176" i="1"/>
  <c r="B177" i="1"/>
  <c r="C177" i="1"/>
  <c r="D177" i="1"/>
  <c r="E177" i="1"/>
  <c r="F177" i="1"/>
  <c r="G177" i="1"/>
  <c r="H177" i="1"/>
  <c r="I177" i="1"/>
  <c r="J177" i="1"/>
  <c r="B178" i="1"/>
  <c r="C178" i="1"/>
  <c r="D178" i="1"/>
  <c r="E178" i="1"/>
  <c r="F178" i="1"/>
  <c r="G178" i="1"/>
  <c r="H178" i="1"/>
  <c r="I178" i="1"/>
  <c r="J178" i="1"/>
  <c r="B179" i="1"/>
  <c r="C179" i="1"/>
  <c r="D179" i="1"/>
  <c r="E179" i="1"/>
  <c r="F179" i="1"/>
  <c r="G179" i="1"/>
  <c r="H179" i="1"/>
  <c r="I179" i="1"/>
  <c r="J179" i="1"/>
  <c r="B180" i="1"/>
  <c r="C180" i="1"/>
  <c r="D180" i="1"/>
  <c r="E180" i="1"/>
  <c r="F180" i="1"/>
  <c r="G180" i="1"/>
  <c r="H180" i="1"/>
  <c r="I180" i="1"/>
  <c r="J180" i="1"/>
  <c r="B181" i="1"/>
  <c r="C181" i="1"/>
  <c r="D181" i="1"/>
  <c r="E181" i="1"/>
  <c r="F181" i="1"/>
  <c r="G181" i="1"/>
  <c r="H181" i="1"/>
  <c r="I181" i="1"/>
  <c r="J181" i="1"/>
  <c r="B182" i="1"/>
  <c r="C182" i="1"/>
  <c r="D182" i="1"/>
  <c r="E182" i="1"/>
  <c r="F182" i="1"/>
  <c r="G182" i="1"/>
  <c r="H182" i="1"/>
  <c r="I182" i="1"/>
  <c r="J182" i="1"/>
  <c r="B183" i="1"/>
  <c r="C183" i="1"/>
  <c r="D183" i="1"/>
  <c r="E183" i="1"/>
  <c r="F183" i="1"/>
  <c r="G183" i="1"/>
  <c r="H183" i="1"/>
  <c r="I183" i="1"/>
  <c r="J183" i="1"/>
  <c r="B184" i="1"/>
  <c r="C184" i="1"/>
  <c r="D184" i="1"/>
  <c r="E184" i="1"/>
  <c r="F184" i="1"/>
  <c r="G184" i="1"/>
  <c r="H184" i="1"/>
  <c r="I184" i="1"/>
  <c r="J184" i="1"/>
  <c r="B185" i="1"/>
  <c r="C185" i="1"/>
  <c r="D185" i="1"/>
  <c r="E185" i="1"/>
  <c r="F185" i="1"/>
  <c r="G185" i="1"/>
  <c r="H185" i="1"/>
  <c r="I185" i="1"/>
  <c r="J185" i="1"/>
  <c r="B186" i="1"/>
  <c r="C186" i="1"/>
  <c r="D186" i="1"/>
  <c r="E186" i="1"/>
  <c r="F186" i="1"/>
  <c r="G186" i="1"/>
  <c r="H186" i="1"/>
  <c r="I186" i="1"/>
  <c r="J186" i="1"/>
  <c r="B187" i="1"/>
  <c r="C187" i="1"/>
  <c r="D187" i="1"/>
  <c r="E187" i="1"/>
  <c r="F187" i="1"/>
  <c r="G187" i="1"/>
  <c r="H187" i="1"/>
  <c r="I187" i="1"/>
  <c r="J187" i="1"/>
  <c r="B188" i="1"/>
  <c r="C188" i="1"/>
  <c r="D188" i="1"/>
  <c r="E188" i="1"/>
  <c r="F188" i="1"/>
  <c r="G188" i="1"/>
  <c r="H188" i="1"/>
  <c r="I188" i="1"/>
  <c r="J188" i="1"/>
  <c r="B189" i="1"/>
  <c r="C189" i="1"/>
  <c r="D189" i="1"/>
  <c r="E189" i="1"/>
  <c r="F189" i="1"/>
  <c r="G189" i="1"/>
  <c r="H189" i="1"/>
  <c r="I189" i="1"/>
  <c r="J189" i="1"/>
  <c r="B190" i="1"/>
  <c r="C190" i="1"/>
  <c r="D190" i="1"/>
  <c r="E190" i="1"/>
  <c r="F190" i="1"/>
  <c r="G190" i="1"/>
  <c r="H190" i="1"/>
  <c r="I190" i="1"/>
  <c r="J190" i="1"/>
  <c r="B191" i="1"/>
  <c r="C191" i="1"/>
  <c r="D191" i="1"/>
  <c r="E191" i="1"/>
  <c r="F191" i="1"/>
  <c r="G191" i="1"/>
  <c r="H191" i="1"/>
  <c r="I191" i="1"/>
  <c r="J191" i="1"/>
  <c r="B192" i="1"/>
  <c r="C192" i="1"/>
  <c r="D192" i="1"/>
  <c r="E192" i="1"/>
  <c r="F192" i="1"/>
  <c r="G192" i="1"/>
  <c r="H192" i="1"/>
  <c r="I192" i="1"/>
  <c r="J192" i="1"/>
  <c r="B193" i="1"/>
  <c r="C193" i="1"/>
  <c r="D193" i="1"/>
  <c r="E193" i="1"/>
  <c r="F193" i="1"/>
  <c r="G193" i="1"/>
  <c r="H193" i="1"/>
  <c r="I193" i="1"/>
  <c r="J193" i="1"/>
  <c r="B194" i="1"/>
  <c r="C194" i="1"/>
  <c r="D194" i="1"/>
  <c r="E194" i="1"/>
  <c r="F194" i="1"/>
  <c r="G194" i="1"/>
  <c r="H194" i="1"/>
  <c r="I194" i="1"/>
  <c r="J194" i="1"/>
  <c r="B195" i="1"/>
  <c r="C195" i="1"/>
  <c r="D195" i="1"/>
  <c r="E195" i="1"/>
  <c r="F195" i="1"/>
  <c r="G195" i="1"/>
  <c r="H195" i="1"/>
  <c r="I195" i="1"/>
  <c r="J195" i="1"/>
  <c r="B196" i="1"/>
  <c r="C196" i="1"/>
  <c r="D196" i="1"/>
  <c r="E196" i="1"/>
  <c r="F196" i="1"/>
  <c r="G196" i="1"/>
  <c r="H196" i="1"/>
  <c r="I196" i="1"/>
  <c r="J196" i="1"/>
  <c r="B197" i="1"/>
  <c r="C197" i="1"/>
  <c r="D197" i="1"/>
  <c r="E197" i="1"/>
  <c r="F197" i="1"/>
  <c r="G197" i="1"/>
  <c r="H197" i="1"/>
  <c r="I197" i="1"/>
  <c r="J197" i="1"/>
  <c r="B198" i="1"/>
  <c r="C198" i="1"/>
  <c r="D198" i="1"/>
  <c r="E198" i="1"/>
  <c r="F198" i="1"/>
  <c r="G198" i="1"/>
  <c r="H198" i="1"/>
  <c r="I198" i="1"/>
  <c r="J198" i="1"/>
  <c r="B199" i="1"/>
  <c r="C199" i="1"/>
  <c r="D199" i="1"/>
  <c r="E199" i="1"/>
  <c r="F199" i="1"/>
  <c r="G199" i="1"/>
  <c r="H199" i="1"/>
  <c r="I199" i="1"/>
  <c r="J199" i="1"/>
  <c r="B200" i="1"/>
  <c r="C200" i="1"/>
  <c r="D200" i="1"/>
  <c r="E200" i="1"/>
  <c r="F200" i="1"/>
  <c r="G200" i="1"/>
  <c r="H200" i="1"/>
  <c r="I200" i="1"/>
  <c r="J200" i="1"/>
  <c r="B201" i="1"/>
  <c r="C201" i="1"/>
  <c r="D201" i="1"/>
  <c r="E201" i="1"/>
  <c r="F201" i="1"/>
  <c r="G201" i="1"/>
  <c r="H201" i="1"/>
  <c r="I201" i="1"/>
  <c r="J201" i="1"/>
  <c r="B202" i="1"/>
  <c r="C202" i="1"/>
  <c r="D202" i="1"/>
  <c r="E202" i="1"/>
  <c r="F202" i="1"/>
  <c r="G202" i="1"/>
  <c r="H202" i="1"/>
  <c r="I202" i="1"/>
  <c r="J202" i="1"/>
  <c r="B203" i="1"/>
  <c r="C203" i="1"/>
  <c r="D203" i="1"/>
  <c r="E203" i="1"/>
  <c r="F203" i="1"/>
  <c r="G203" i="1"/>
  <c r="H203" i="1"/>
  <c r="I203" i="1"/>
  <c r="J203" i="1"/>
  <c r="B204" i="1"/>
  <c r="C204" i="1"/>
  <c r="D204" i="1"/>
  <c r="E204" i="1"/>
  <c r="F204" i="1"/>
  <c r="G204" i="1"/>
  <c r="H204" i="1"/>
  <c r="I204" i="1"/>
  <c r="J204" i="1"/>
  <c r="B205" i="1"/>
  <c r="C205" i="1"/>
  <c r="D205" i="1"/>
  <c r="E205" i="1"/>
  <c r="F205" i="1"/>
  <c r="G205" i="1"/>
  <c r="H205" i="1"/>
  <c r="I205" i="1"/>
  <c r="J205" i="1"/>
  <c r="B206" i="1"/>
  <c r="C206" i="1"/>
  <c r="D206" i="1"/>
  <c r="E206" i="1"/>
  <c r="F206" i="1"/>
  <c r="G206" i="1"/>
  <c r="H206" i="1"/>
  <c r="I206" i="1"/>
  <c r="J206" i="1"/>
  <c r="B207" i="1"/>
  <c r="C207" i="1"/>
  <c r="D207" i="1"/>
  <c r="E207" i="1"/>
  <c r="F207" i="1"/>
  <c r="G207" i="1"/>
  <c r="H207" i="1"/>
  <c r="I207" i="1"/>
  <c r="J207" i="1"/>
  <c r="B208" i="1"/>
  <c r="C208" i="1"/>
  <c r="D208" i="1"/>
  <c r="E208" i="1"/>
  <c r="F208" i="1"/>
  <c r="G208" i="1"/>
  <c r="H208" i="1"/>
  <c r="I208" i="1"/>
  <c r="J208" i="1"/>
  <c r="B209" i="1"/>
  <c r="C209" i="1"/>
  <c r="D209" i="1"/>
  <c r="E209" i="1"/>
  <c r="F209" i="1"/>
  <c r="G209" i="1"/>
  <c r="H209" i="1"/>
  <c r="I209" i="1"/>
  <c r="J209" i="1"/>
  <c r="B210" i="1"/>
  <c r="C210" i="1"/>
  <c r="D210" i="1"/>
  <c r="E210" i="1"/>
  <c r="F210" i="1"/>
  <c r="G210" i="1"/>
  <c r="H210" i="1"/>
  <c r="I210" i="1"/>
  <c r="J210" i="1"/>
  <c r="B211" i="1"/>
  <c r="C211" i="1"/>
  <c r="D211" i="1"/>
  <c r="E211" i="1"/>
  <c r="F211" i="1"/>
  <c r="G211" i="1"/>
  <c r="H211" i="1"/>
  <c r="I211" i="1"/>
  <c r="J211" i="1"/>
  <c r="B212" i="1"/>
  <c r="C212" i="1"/>
  <c r="D212" i="1"/>
  <c r="E212" i="1"/>
  <c r="F212" i="1"/>
  <c r="G212" i="1"/>
  <c r="H212" i="1"/>
  <c r="I212" i="1"/>
  <c r="J212" i="1"/>
  <c r="B213" i="1"/>
  <c r="C213" i="1"/>
  <c r="D213" i="1"/>
  <c r="E213" i="1"/>
  <c r="F213" i="1"/>
  <c r="G213" i="1"/>
  <c r="H213" i="1"/>
  <c r="I213" i="1"/>
  <c r="J213" i="1"/>
  <c r="B214" i="1"/>
  <c r="C214" i="1"/>
  <c r="D214" i="1"/>
  <c r="E214" i="1"/>
  <c r="F214" i="1"/>
  <c r="G214" i="1"/>
  <c r="H214" i="1"/>
  <c r="I214" i="1"/>
  <c r="J214" i="1"/>
  <c r="B215" i="1"/>
  <c r="C215" i="1"/>
  <c r="D215" i="1"/>
  <c r="E215" i="1"/>
  <c r="F215" i="1"/>
  <c r="G215" i="1"/>
  <c r="H215" i="1"/>
  <c r="I215" i="1"/>
  <c r="J215" i="1"/>
  <c r="B216" i="1"/>
  <c r="C216" i="1"/>
  <c r="D216" i="1"/>
  <c r="E216" i="1"/>
  <c r="F216" i="1"/>
  <c r="G216" i="1"/>
  <c r="H216" i="1"/>
  <c r="I216" i="1"/>
  <c r="J216" i="1"/>
  <c r="B217" i="1"/>
  <c r="C217" i="1"/>
  <c r="D217" i="1"/>
  <c r="E217" i="1"/>
  <c r="F217" i="1"/>
  <c r="G217" i="1"/>
  <c r="H217" i="1"/>
  <c r="I217" i="1"/>
  <c r="J217" i="1"/>
  <c r="B218" i="1"/>
  <c r="C218" i="1"/>
  <c r="D218" i="1"/>
  <c r="E218" i="1"/>
  <c r="F218" i="1"/>
  <c r="G218" i="1"/>
  <c r="H218" i="1"/>
  <c r="I218" i="1"/>
  <c r="J218" i="1"/>
  <c r="B219" i="1"/>
  <c r="C219" i="1"/>
  <c r="D219" i="1"/>
  <c r="E219" i="1"/>
  <c r="F219" i="1"/>
  <c r="G219" i="1"/>
  <c r="H219" i="1"/>
  <c r="I219" i="1"/>
  <c r="J219" i="1"/>
  <c r="B220" i="1"/>
  <c r="C220" i="1"/>
  <c r="D220" i="1"/>
  <c r="E220" i="1"/>
  <c r="F220" i="1"/>
  <c r="G220" i="1"/>
  <c r="H220" i="1"/>
  <c r="I220" i="1"/>
  <c r="J220" i="1"/>
  <c r="B221" i="1"/>
  <c r="C221" i="1"/>
  <c r="D221" i="1"/>
  <c r="E221" i="1"/>
  <c r="F221" i="1"/>
  <c r="G221" i="1"/>
  <c r="H221" i="1"/>
  <c r="I221" i="1"/>
  <c r="J221" i="1"/>
  <c r="B222" i="1"/>
  <c r="C222" i="1"/>
  <c r="D222" i="1"/>
  <c r="E222" i="1"/>
  <c r="F222" i="1"/>
  <c r="G222" i="1"/>
  <c r="H222" i="1"/>
  <c r="I222" i="1"/>
  <c r="J222" i="1"/>
  <c r="B223" i="1"/>
  <c r="C223" i="1"/>
  <c r="D223" i="1"/>
  <c r="E223" i="1"/>
  <c r="F223" i="1"/>
  <c r="G223" i="1"/>
  <c r="H223" i="1"/>
  <c r="I223" i="1"/>
  <c r="J223" i="1"/>
  <c r="B224" i="1"/>
  <c r="C224" i="1"/>
  <c r="D224" i="1"/>
  <c r="E224" i="1"/>
  <c r="F224" i="1"/>
  <c r="G224" i="1"/>
  <c r="H224" i="1"/>
  <c r="I224" i="1"/>
  <c r="J224" i="1"/>
  <c r="B225" i="1"/>
  <c r="C225" i="1"/>
  <c r="D225" i="1"/>
  <c r="E225" i="1"/>
  <c r="F225" i="1"/>
  <c r="G225" i="1"/>
  <c r="H225" i="1"/>
  <c r="I225" i="1"/>
  <c r="J225" i="1"/>
  <c r="B226" i="1"/>
  <c r="C226" i="1"/>
  <c r="D226" i="1"/>
  <c r="E226" i="1"/>
  <c r="F226" i="1"/>
  <c r="G226" i="1"/>
  <c r="H226" i="1"/>
  <c r="I226" i="1"/>
  <c r="J226" i="1"/>
  <c r="B227" i="1"/>
  <c r="C227" i="1"/>
  <c r="D227" i="1"/>
  <c r="E227" i="1"/>
  <c r="F227" i="1"/>
  <c r="G227" i="1"/>
  <c r="H227" i="1"/>
  <c r="I227" i="1"/>
  <c r="J227" i="1"/>
  <c r="B228" i="1"/>
  <c r="C228" i="1"/>
  <c r="D228" i="1"/>
  <c r="E228" i="1"/>
  <c r="F228" i="1"/>
  <c r="G228" i="1"/>
  <c r="H228" i="1"/>
  <c r="I228" i="1"/>
  <c r="J228" i="1"/>
  <c r="B229" i="1"/>
  <c r="C229" i="1"/>
  <c r="D229" i="1"/>
  <c r="E229" i="1"/>
  <c r="F229" i="1"/>
  <c r="G229" i="1"/>
  <c r="H229" i="1"/>
  <c r="I229" i="1"/>
  <c r="J229" i="1"/>
  <c r="B230" i="1"/>
  <c r="C230" i="1"/>
  <c r="D230" i="1"/>
  <c r="E230" i="1"/>
  <c r="F230" i="1"/>
  <c r="G230" i="1"/>
  <c r="H230" i="1"/>
  <c r="I230" i="1"/>
  <c r="J230" i="1"/>
  <c r="B231" i="1"/>
  <c r="C231" i="1"/>
  <c r="D231" i="1"/>
  <c r="E231" i="1"/>
  <c r="F231" i="1"/>
  <c r="G231" i="1"/>
  <c r="H231" i="1"/>
  <c r="I231" i="1"/>
  <c r="J231" i="1"/>
  <c r="B232" i="1"/>
  <c r="C232" i="1"/>
  <c r="D232" i="1"/>
  <c r="E232" i="1"/>
  <c r="F232" i="1"/>
  <c r="G232" i="1"/>
  <c r="H232" i="1"/>
  <c r="I232" i="1"/>
  <c r="J232" i="1"/>
  <c r="B233" i="1"/>
  <c r="C233" i="1"/>
  <c r="D233" i="1"/>
  <c r="E233" i="1"/>
  <c r="F233" i="1"/>
  <c r="G233" i="1"/>
  <c r="H233" i="1"/>
  <c r="I233" i="1"/>
  <c r="J233" i="1"/>
  <c r="B234" i="1"/>
  <c r="C234" i="1"/>
  <c r="D234" i="1"/>
  <c r="E234" i="1"/>
  <c r="F234" i="1"/>
  <c r="G234" i="1"/>
  <c r="H234" i="1"/>
  <c r="I234" i="1"/>
  <c r="J234" i="1"/>
  <c r="B235" i="1"/>
  <c r="C235" i="1"/>
  <c r="D235" i="1"/>
  <c r="E235" i="1"/>
  <c r="F235" i="1"/>
  <c r="G235" i="1"/>
  <c r="H235" i="1"/>
  <c r="I235" i="1"/>
  <c r="J235" i="1"/>
  <c r="B236" i="1"/>
  <c r="C236" i="1"/>
  <c r="D236" i="1"/>
  <c r="E236" i="1"/>
  <c r="F236" i="1"/>
  <c r="G236" i="1"/>
  <c r="H236" i="1"/>
  <c r="I236" i="1"/>
  <c r="J236" i="1"/>
  <c r="B237" i="1"/>
  <c r="C237" i="1"/>
  <c r="D237" i="1"/>
  <c r="E237" i="1"/>
  <c r="F237" i="1"/>
  <c r="G237" i="1"/>
  <c r="H237" i="1"/>
  <c r="I237" i="1"/>
  <c r="J237" i="1"/>
  <c r="B238" i="1"/>
  <c r="C238" i="1"/>
  <c r="D238" i="1"/>
  <c r="E238" i="1"/>
  <c r="F238" i="1"/>
  <c r="G238" i="1"/>
  <c r="H238" i="1"/>
  <c r="I238" i="1"/>
  <c r="J238" i="1"/>
  <c r="B239" i="1"/>
  <c r="C239" i="1"/>
  <c r="D239" i="1"/>
  <c r="E239" i="1"/>
  <c r="F239" i="1"/>
  <c r="G239" i="1"/>
  <c r="H239" i="1"/>
  <c r="I239" i="1"/>
  <c r="J239" i="1"/>
  <c r="B240" i="1"/>
  <c r="C240" i="1"/>
  <c r="D240" i="1"/>
  <c r="E240" i="1"/>
  <c r="F240" i="1"/>
  <c r="G240" i="1"/>
  <c r="H240" i="1"/>
  <c r="I240" i="1"/>
  <c r="J240" i="1"/>
  <c r="B241" i="1"/>
  <c r="C241" i="1"/>
  <c r="D241" i="1"/>
  <c r="E241" i="1"/>
  <c r="F241" i="1"/>
  <c r="G241" i="1"/>
  <c r="H241" i="1"/>
  <c r="I241" i="1"/>
  <c r="J241" i="1"/>
  <c r="B242" i="1"/>
  <c r="C242" i="1"/>
  <c r="D242" i="1"/>
  <c r="E242" i="1"/>
  <c r="F242" i="1"/>
  <c r="G242" i="1"/>
  <c r="H242" i="1"/>
  <c r="I242" i="1"/>
  <c r="J242" i="1"/>
  <c r="B243" i="1"/>
  <c r="C243" i="1"/>
  <c r="D243" i="1"/>
  <c r="E243" i="1"/>
  <c r="F243" i="1"/>
  <c r="G243" i="1"/>
  <c r="H243" i="1"/>
  <c r="I243" i="1"/>
  <c r="J243" i="1"/>
  <c r="B244" i="1"/>
  <c r="C244" i="1"/>
  <c r="D244" i="1"/>
  <c r="E244" i="1"/>
  <c r="F244" i="1"/>
  <c r="G244" i="1"/>
  <c r="H244" i="1"/>
  <c r="I244" i="1"/>
  <c r="J244" i="1"/>
  <c r="B245" i="1"/>
  <c r="C245" i="1"/>
  <c r="D245" i="1"/>
  <c r="E245" i="1"/>
  <c r="F245" i="1"/>
  <c r="G245" i="1"/>
  <c r="H245" i="1"/>
  <c r="I245" i="1"/>
  <c r="J245" i="1"/>
  <c r="B246" i="1"/>
  <c r="C246" i="1"/>
  <c r="D246" i="1"/>
  <c r="E246" i="1"/>
  <c r="F246" i="1"/>
  <c r="G246" i="1"/>
  <c r="H246" i="1"/>
  <c r="I246" i="1"/>
  <c r="J246" i="1"/>
  <c r="B247" i="1"/>
  <c r="C247" i="1"/>
  <c r="D247" i="1"/>
  <c r="E247" i="1"/>
  <c r="F247" i="1"/>
  <c r="G247" i="1"/>
  <c r="H247" i="1"/>
  <c r="I247" i="1"/>
  <c r="J247" i="1"/>
  <c r="B248" i="1"/>
  <c r="C248" i="1"/>
  <c r="D248" i="1"/>
  <c r="E248" i="1"/>
  <c r="F248" i="1"/>
  <c r="G248" i="1"/>
  <c r="H248" i="1"/>
  <c r="I248" i="1"/>
  <c r="J248" i="1"/>
  <c r="B249" i="1"/>
  <c r="C249" i="1"/>
  <c r="D249" i="1"/>
  <c r="E249" i="1"/>
  <c r="F249" i="1"/>
  <c r="G249" i="1"/>
  <c r="H249" i="1"/>
  <c r="I249" i="1"/>
  <c r="J249" i="1"/>
  <c r="B250" i="1"/>
  <c r="C250" i="1"/>
  <c r="D250" i="1"/>
  <c r="E250" i="1"/>
  <c r="F250" i="1"/>
  <c r="G250" i="1"/>
  <c r="H250" i="1"/>
  <c r="I250" i="1"/>
  <c r="J250" i="1"/>
  <c r="B251" i="1"/>
  <c r="C251" i="1"/>
  <c r="D251" i="1"/>
  <c r="E251" i="1"/>
  <c r="F251" i="1"/>
  <c r="G251" i="1"/>
  <c r="H251" i="1"/>
  <c r="I251" i="1"/>
  <c r="J251" i="1"/>
  <c r="B252" i="1"/>
  <c r="C252" i="1"/>
  <c r="D252" i="1"/>
  <c r="E252" i="1"/>
  <c r="F252" i="1"/>
  <c r="G252" i="1"/>
  <c r="H252" i="1"/>
  <c r="I252" i="1"/>
  <c r="J252" i="1"/>
  <c r="B253" i="1"/>
  <c r="C253" i="1"/>
  <c r="D253" i="1"/>
  <c r="E253" i="1"/>
  <c r="F253" i="1"/>
  <c r="G253" i="1"/>
  <c r="H253" i="1"/>
  <c r="I253" i="1"/>
  <c r="J253" i="1"/>
  <c r="B254" i="1"/>
  <c r="C254" i="1"/>
  <c r="D254" i="1"/>
  <c r="E254" i="1"/>
  <c r="F254" i="1"/>
  <c r="G254" i="1"/>
  <c r="H254" i="1"/>
  <c r="I254" i="1"/>
  <c r="J254" i="1"/>
  <c r="B255" i="1"/>
  <c r="C255" i="1"/>
  <c r="D255" i="1"/>
  <c r="E255" i="1"/>
  <c r="F255" i="1"/>
  <c r="G255" i="1"/>
  <c r="H255" i="1"/>
  <c r="I255" i="1"/>
  <c r="J255" i="1"/>
  <c r="B256" i="1"/>
  <c r="C256" i="1"/>
  <c r="D256" i="1"/>
  <c r="E256" i="1"/>
  <c r="F256" i="1"/>
  <c r="G256" i="1"/>
  <c r="H256" i="1"/>
  <c r="I256" i="1"/>
  <c r="J256" i="1"/>
  <c r="B257" i="1"/>
  <c r="C257" i="1"/>
  <c r="D257" i="1"/>
  <c r="E257" i="1"/>
  <c r="F257" i="1"/>
  <c r="G257" i="1"/>
  <c r="H257" i="1"/>
  <c r="I257" i="1"/>
  <c r="J257" i="1"/>
  <c r="B258" i="1"/>
  <c r="C258" i="1"/>
  <c r="D258" i="1"/>
  <c r="E258" i="1"/>
  <c r="F258" i="1"/>
  <c r="G258" i="1"/>
  <c r="H258" i="1"/>
  <c r="I258" i="1"/>
  <c r="J258" i="1"/>
  <c r="B259" i="1"/>
  <c r="C259" i="1"/>
  <c r="D259" i="1"/>
  <c r="E259" i="1"/>
  <c r="F259" i="1"/>
  <c r="G259" i="1"/>
  <c r="H259" i="1"/>
  <c r="I259" i="1"/>
  <c r="J259" i="1"/>
  <c r="B260" i="1"/>
  <c r="C260" i="1"/>
  <c r="D260" i="1"/>
  <c r="E260" i="1"/>
  <c r="F260" i="1"/>
  <c r="G260" i="1"/>
  <c r="H260" i="1"/>
  <c r="I260" i="1"/>
  <c r="J260" i="1"/>
  <c r="B261" i="1"/>
  <c r="C261" i="1"/>
  <c r="D261" i="1"/>
  <c r="E261" i="1"/>
  <c r="F261" i="1"/>
  <c r="G261" i="1"/>
  <c r="H261" i="1"/>
  <c r="I261" i="1"/>
  <c r="J261" i="1"/>
  <c r="B262" i="1"/>
  <c r="C262" i="1"/>
  <c r="D262" i="1"/>
  <c r="E262" i="1"/>
  <c r="F262" i="1"/>
  <c r="G262" i="1"/>
  <c r="H262" i="1"/>
  <c r="I262" i="1"/>
  <c r="J262" i="1"/>
  <c r="B263" i="1"/>
  <c r="C263" i="1"/>
  <c r="D263" i="1"/>
  <c r="E263" i="1"/>
  <c r="F263" i="1"/>
  <c r="G263" i="1"/>
  <c r="H263" i="1"/>
  <c r="I263" i="1"/>
  <c r="J263" i="1"/>
  <c r="B264" i="1"/>
  <c r="C264" i="1"/>
  <c r="D264" i="1"/>
  <c r="E264" i="1"/>
  <c r="F264" i="1"/>
  <c r="G264" i="1"/>
  <c r="H264" i="1"/>
  <c r="I264" i="1"/>
  <c r="J264" i="1"/>
  <c r="B265" i="1"/>
  <c r="C265" i="1"/>
  <c r="D265" i="1"/>
  <c r="E265" i="1"/>
  <c r="F265" i="1"/>
  <c r="G265" i="1"/>
  <c r="H265" i="1"/>
  <c r="I265" i="1"/>
  <c r="J265" i="1"/>
  <c r="B266" i="1"/>
  <c r="C266" i="1"/>
  <c r="D266" i="1"/>
  <c r="E266" i="1"/>
  <c r="F266" i="1"/>
  <c r="G266" i="1"/>
  <c r="H266" i="1"/>
  <c r="I266" i="1"/>
  <c r="J266" i="1"/>
  <c r="B267" i="1"/>
  <c r="C267" i="1"/>
  <c r="D267" i="1"/>
  <c r="E267" i="1"/>
  <c r="F267" i="1"/>
  <c r="G267" i="1"/>
  <c r="H267" i="1"/>
  <c r="I267" i="1"/>
  <c r="J267" i="1"/>
  <c r="B268" i="1"/>
  <c r="C268" i="1"/>
  <c r="D268" i="1"/>
  <c r="E268" i="1"/>
  <c r="F268" i="1"/>
  <c r="G268" i="1"/>
  <c r="H268" i="1"/>
  <c r="I268" i="1"/>
  <c r="J268" i="1"/>
  <c r="B269" i="1"/>
  <c r="C269" i="1"/>
  <c r="D269" i="1"/>
  <c r="E269" i="1"/>
  <c r="F269" i="1"/>
  <c r="G269" i="1"/>
  <c r="H269" i="1"/>
  <c r="I269" i="1"/>
  <c r="J269" i="1"/>
  <c r="B270" i="1"/>
  <c r="C270" i="1"/>
  <c r="D270" i="1"/>
  <c r="E270" i="1"/>
  <c r="F270" i="1"/>
  <c r="G270" i="1"/>
  <c r="H270" i="1"/>
  <c r="I270" i="1"/>
  <c r="J270" i="1"/>
  <c r="B271" i="1"/>
  <c r="C271" i="1"/>
  <c r="D271" i="1"/>
  <c r="E271" i="1"/>
  <c r="F271" i="1"/>
  <c r="G271" i="1"/>
  <c r="H271" i="1"/>
  <c r="I271" i="1"/>
  <c r="J271" i="1"/>
  <c r="B272" i="1"/>
  <c r="C272" i="1"/>
  <c r="D272" i="1"/>
  <c r="E272" i="1"/>
  <c r="F272" i="1"/>
  <c r="G272" i="1"/>
  <c r="H272" i="1"/>
  <c r="I272" i="1"/>
  <c r="J272" i="1"/>
  <c r="B273" i="1"/>
  <c r="C273" i="1"/>
  <c r="D273" i="1"/>
  <c r="E273" i="1"/>
  <c r="F273" i="1"/>
  <c r="G273" i="1"/>
  <c r="H273" i="1"/>
  <c r="I273" i="1"/>
  <c r="J273" i="1"/>
  <c r="B274" i="1"/>
  <c r="C274" i="1"/>
  <c r="D274" i="1"/>
  <c r="E274" i="1"/>
  <c r="F274" i="1"/>
  <c r="G274" i="1"/>
  <c r="H274" i="1"/>
  <c r="I274" i="1"/>
  <c r="J274" i="1"/>
  <c r="B275" i="1"/>
  <c r="C275" i="1"/>
  <c r="D275" i="1"/>
  <c r="E275" i="1"/>
  <c r="F275" i="1"/>
  <c r="G275" i="1"/>
  <c r="H275" i="1"/>
  <c r="I275" i="1"/>
  <c r="J275" i="1"/>
  <c r="B276" i="1"/>
  <c r="C276" i="1"/>
  <c r="D276" i="1"/>
  <c r="E276" i="1"/>
  <c r="F276" i="1"/>
  <c r="G276" i="1"/>
  <c r="H276" i="1"/>
  <c r="I276" i="1"/>
  <c r="J276" i="1"/>
  <c r="B277" i="1"/>
  <c r="C277" i="1"/>
  <c r="D277" i="1"/>
  <c r="E277" i="1"/>
  <c r="F277" i="1"/>
  <c r="G277" i="1"/>
  <c r="H277" i="1"/>
  <c r="I277" i="1"/>
  <c r="J277" i="1"/>
  <c r="B278" i="1"/>
  <c r="C278" i="1"/>
  <c r="D278" i="1"/>
  <c r="E278" i="1"/>
  <c r="F278" i="1"/>
  <c r="G278" i="1"/>
  <c r="H278" i="1"/>
  <c r="I278" i="1"/>
  <c r="J278" i="1"/>
  <c r="B279" i="1"/>
  <c r="C279" i="1"/>
  <c r="D279" i="1"/>
  <c r="E279" i="1"/>
  <c r="F279" i="1"/>
  <c r="G279" i="1"/>
  <c r="H279" i="1"/>
  <c r="I279" i="1"/>
  <c r="J279" i="1"/>
  <c r="B280" i="1"/>
  <c r="C280" i="1"/>
  <c r="D280" i="1"/>
  <c r="E280" i="1"/>
  <c r="F280" i="1"/>
  <c r="G280" i="1"/>
  <c r="H280" i="1"/>
  <c r="I280" i="1"/>
  <c r="J280" i="1"/>
  <c r="B281" i="1"/>
  <c r="C281" i="1"/>
  <c r="D281" i="1"/>
  <c r="E281" i="1"/>
  <c r="F281" i="1"/>
  <c r="G281" i="1"/>
  <c r="H281" i="1"/>
  <c r="I281" i="1"/>
  <c r="J281" i="1"/>
  <c r="B282" i="1"/>
  <c r="C282" i="1"/>
  <c r="D282" i="1"/>
  <c r="E282" i="1"/>
  <c r="F282" i="1"/>
  <c r="G282" i="1"/>
  <c r="H282" i="1"/>
  <c r="I282" i="1"/>
  <c r="J282" i="1"/>
  <c r="B283" i="1"/>
  <c r="C283" i="1"/>
  <c r="D283" i="1"/>
  <c r="E283" i="1"/>
  <c r="F283" i="1"/>
  <c r="G283" i="1"/>
  <c r="H283" i="1"/>
  <c r="I283" i="1"/>
  <c r="J283" i="1"/>
  <c r="B284" i="1"/>
  <c r="C284" i="1"/>
  <c r="D284" i="1"/>
  <c r="E284" i="1"/>
  <c r="F284" i="1"/>
  <c r="G284" i="1"/>
  <c r="H284" i="1"/>
  <c r="I284" i="1"/>
  <c r="J284" i="1"/>
  <c r="B285" i="1"/>
  <c r="C285" i="1"/>
  <c r="D285" i="1"/>
  <c r="E285" i="1"/>
  <c r="F285" i="1"/>
  <c r="G285" i="1"/>
  <c r="H285" i="1"/>
  <c r="I285" i="1"/>
  <c r="J285" i="1"/>
  <c r="B286" i="1"/>
  <c r="C286" i="1"/>
  <c r="D286" i="1"/>
  <c r="E286" i="1"/>
  <c r="F286" i="1"/>
  <c r="G286" i="1"/>
  <c r="H286" i="1"/>
  <c r="I286" i="1"/>
  <c r="J286" i="1"/>
  <c r="B287" i="1"/>
  <c r="C287" i="1"/>
  <c r="D287" i="1"/>
  <c r="E287" i="1"/>
  <c r="F287" i="1"/>
  <c r="G287" i="1"/>
  <c r="H287" i="1"/>
  <c r="I287" i="1"/>
  <c r="J287" i="1"/>
  <c r="B288" i="1"/>
  <c r="C288" i="1"/>
  <c r="D288" i="1"/>
  <c r="E288" i="1"/>
  <c r="F288" i="1"/>
  <c r="G288" i="1"/>
  <c r="H288" i="1"/>
  <c r="I288" i="1"/>
  <c r="J288" i="1"/>
  <c r="B289" i="1"/>
  <c r="C289" i="1"/>
  <c r="D289" i="1"/>
  <c r="E289" i="1"/>
  <c r="F289" i="1"/>
  <c r="G289" i="1"/>
  <c r="H289" i="1"/>
  <c r="I289" i="1"/>
  <c r="J289" i="1"/>
  <c r="B290" i="1"/>
  <c r="C290" i="1"/>
  <c r="D290" i="1"/>
  <c r="E290" i="1"/>
  <c r="F290" i="1"/>
  <c r="G290" i="1"/>
  <c r="H290" i="1"/>
  <c r="I290" i="1"/>
  <c r="J290" i="1"/>
  <c r="B291" i="1"/>
  <c r="C291" i="1"/>
  <c r="D291" i="1"/>
  <c r="E291" i="1"/>
  <c r="F291" i="1"/>
  <c r="G291" i="1"/>
  <c r="H291" i="1"/>
  <c r="I291" i="1"/>
  <c r="J291" i="1"/>
  <c r="B292" i="1"/>
  <c r="C292" i="1"/>
  <c r="D292" i="1"/>
  <c r="E292" i="1"/>
  <c r="F292" i="1"/>
  <c r="G292" i="1"/>
  <c r="H292" i="1"/>
  <c r="I292" i="1"/>
  <c r="J292" i="1"/>
  <c r="B293" i="1"/>
  <c r="C293" i="1"/>
  <c r="D293" i="1"/>
  <c r="E293" i="1"/>
  <c r="F293" i="1"/>
  <c r="G293" i="1"/>
  <c r="H293" i="1"/>
  <c r="I293" i="1"/>
  <c r="J293" i="1"/>
  <c r="B294" i="1"/>
  <c r="C294" i="1"/>
  <c r="D294" i="1"/>
  <c r="E294" i="1"/>
  <c r="F294" i="1"/>
  <c r="G294" i="1"/>
  <c r="H294" i="1"/>
  <c r="I294" i="1"/>
  <c r="J294" i="1"/>
  <c r="B295" i="1"/>
  <c r="C295" i="1"/>
  <c r="D295" i="1"/>
  <c r="E295" i="1"/>
  <c r="F295" i="1"/>
  <c r="G295" i="1"/>
  <c r="H295" i="1"/>
  <c r="I295" i="1"/>
  <c r="J295" i="1"/>
  <c r="B296" i="1"/>
  <c r="C296" i="1"/>
  <c r="D296" i="1"/>
  <c r="E296" i="1"/>
  <c r="F296" i="1"/>
  <c r="G296" i="1"/>
  <c r="H296" i="1"/>
  <c r="I296" i="1"/>
  <c r="J296" i="1"/>
  <c r="B297" i="1"/>
  <c r="C297" i="1"/>
  <c r="D297" i="1"/>
  <c r="E297" i="1"/>
  <c r="F297" i="1"/>
  <c r="G297" i="1"/>
  <c r="H297" i="1"/>
  <c r="I297" i="1"/>
  <c r="J297" i="1"/>
  <c r="B298" i="1"/>
  <c r="C298" i="1"/>
  <c r="D298" i="1"/>
  <c r="E298" i="1"/>
  <c r="F298" i="1"/>
  <c r="G298" i="1"/>
  <c r="H298" i="1"/>
  <c r="I298" i="1"/>
  <c r="J298" i="1"/>
  <c r="B299" i="1"/>
  <c r="C299" i="1"/>
  <c r="D299" i="1"/>
  <c r="E299" i="1"/>
  <c r="F299" i="1"/>
  <c r="G299" i="1"/>
  <c r="H299" i="1"/>
  <c r="I299" i="1"/>
  <c r="J299" i="1"/>
  <c r="B300" i="1"/>
  <c r="C300" i="1"/>
  <c r="D300" i="1"/>
  <c r="E300" i="1"/>
  <c r="F300" i="1"/>
  <c r="G300" i="1"/>
  <c r="H300" i="1"/>
  <c r="I300" i="1"/>
  <c r="J300" i="1"/>
  <c r="B301" i="1"/>
  <c r="C301" i="1"/>
  <c r="D301" i="1"/>
  <c r="E301" i="1"/>
  <c r="F301" i="1"/>
  <c r="G301" i="1"/>
  <c r="H301" i="1"/>
  <c r="I301" i="1"/>
  <c r="J301" i="1"/>
  <c r="B302" i="1"/>
  <c r="C302" i="1"/>
  <c r="D302" i="1"/>
  <c r="E302" i="1"/>
  <c r="F302" i="1"/>
  <c r="G302" i="1"/>
  <c r="H302" i="1"/>
  <c r="I302" i="1"/>
  <c r="J302" i="1"/>
  <c r="B303" i="1"/>
  <c r="C303" i="1"/>
  <c r="D303" i="1"/>
  <c r="E303" i="1"/>
  <c r="F303" i="1"/>
  <c r="G303" i="1"/>
  <c r="H303" i="1"/>
  <c r="I303" i="1"/>
  <c r="J303" i="1"/>
  <c r="B304" i="1"/>
  <c r="C304" i="1"/>
  <c r="D304" i="1"/>
  <c r="E304" i="1"/>
  <c r="F304" i="1"/>
  <c r="G304" i="1"/>
  <c r="H304" i="1"/>
  <c r="I304" i="1"/>
  <c r="J304" i="1"/>
  <c r="B305" i="1"/>
  <c r="C305" i="1"/>
  <c r="D305" i="1"/>
  <c r="E305" i="1"/>
  <c r="F305" i="1"/>
  <c r="G305" i="1"/>
  <c r="H305" i="1"/>
  <c r="I305" i="1"/>
  <c r="J305" i="1"/>
  <c r="B306" i="1"/>
  <c r="C306" i="1"/>
  <c r="D306" i="1"/>
  <c r="E306" i="1"/>
  <c r="F306" i="1"/>
  <c r="G306" i="1"/>
  <c r="H306" i="1"/>
  <c r="I306" i="1"/>
  <c r="J306" i="1"/>
  <c r="B307" i="1"/>
  <c r="C307" i="1"/>
  <c r="D307" i="1"/>
  <c r="E307" i="1"/>
  <c r="F307" i="1"/>
  <c r="G307" i="1"/>
  <c r="H307" i="1"/>
  <c r="I307" i="1"/>
  <c r="J307" i="1"/>
  <c r="B308" i="1"/>
  <c r="C308" i="1"/>
  <c r="D308" i="1"/>
  <c r="E308" i="1"/>
  <c r="F308" i="1"/>
  <c r="G308" i="1"/>
  <c r="H308" i="1"/>
  <c r="I308" i="1"/>
  <c r="J308" i="1"/>
  <c r="B309" i="1"/>
  <c r="C309" i="1"/>
  <c r="D309" i="1"/>
  <c r="E309" i="1"/>
  <c r="F309" i="1"/>
  <c r="G309" i="1"/>
  <c r="H309" i="1"/>
  <c r="I309" i="1"/>
  <c r="J309" i="1"/>
  <c r="B310" i="1"/>
  <c r="C310" i="1"/>
  <c r="D310" i="1"/>
  <c r="E310" i="1"/>
  <c r="F310" i="1"/>
  <c r="G310" i="1"/>
  <c r="H310" i="1"/>
  <c r="I310" i="1"/>
  <c r="J310" i="1"/>
  <c r="B311" i="1"/>
  <c r="C311" i="1"/>
  <c r="D311" i="1"/>
  <c r="E311" i="1"/>
  <c r="F311" i="1"/>
  <c r="G311" i="1"/>
  <c r="H311" i="1"/>
  <c r="I311" i="1"/>
  <c r="J311" i="1"/>
  <c r="B312" i="1"/>
  <c r="C312" i="1"/>
  <c r="D312" i="1"/>
  <c r="E312" i="1"/>
  <c r="F312" i="1"/>
  <c r="G312" i="1"/>
  <c r="H312" i="1"/>
  <c r="I312" i="1"/>
  <c r="J312" i="1"/>
  <c r="B313" i="1"/>
  <c r="C313" i="1"/>
  <c r="D313" i="1"/>
  <c r="E313" i="1"/>
  <c r="F313" i="1"/>
  <c r="G313" i="1"/>
  <c r="H313" i="1"/>
  <c r="I313" i="1"/>
  <c r="J313" i="1"/>
  <c r="B314" i="1"/>
  <c r="C314" i="1"/>
  <c r="D314" i="1"/>
  <c r="E314" i="1"/>
  <c r="F314" i="1"/>
  <c r="G314" i="1"/>
  <c r="H314" i="1"/>
  <c r="I314" i="1"/>
  <c r="J314" i="1"/>
  <c r="B315" i="1"/>
  <c r="C315" i="1"/>
  <c r="D315" i="1"/>
  <c r="E315" i="1"/>
  <c r="F315" i="1"/>
  <c r="G315" i="1"/>
  <c r="H315" i="1"/>
  <c r="I315" i="1"/>
  <c r="J315" i="1"/>
  <c r="B316" i="1"/>
  <c r="C316" i="1"/>
  <c r="D316" i="1"/>
  <c r="E316" i="1"/>
  <c r="F316" i="1"/>
  <c r="G316" i="1"/>
  <c r="H316" i="1"/>
  <c r="I316" i="1"/>
  <c r="J316" i="1"/>
  <c r="B317" i="1"/>
  <c r="C317" i="1"/>
  <c r="D317" i="1"/>
  <c r="E317" i="1"/>
  <c r="F317" i="1"/>
  <c r="G317" i="1"/>
  <c r="H317" i="1"/>
  <c r="I317" i="1"/>
  <c r="J317" i="1"/>
  <c r="B318" i="1"/>
  <c r="C318" i="1"/>
  <c r="D318" i="1"/>
  <c r="E318" i="1"/>
  <c r="F318" i="1"/>
  <c r="G318" i="1"/>
  <c r="H318" i="1"/>
  <c r="I318" i="1"/>
  <c r="J318" i="1"/>
  <c r="B319" i="1"/>
  <c r="C319" i="1"/>
  <c r="D319" i="1"/>
  <c r="E319" i="1"/>
  <c r="F319" i="1"/>
  <c r="G319" i="1"/>
  <c r="H319" i="1"/>
  <c r="I319" i="1"/>
  <c r="J319" i="1"/>
  <c r="B320" i="1"/>
  <c r="C320" i="1"/>
  <c r="D320" i="1"/>
  <c r="E320" i="1"/>
  <c r="F320" i="1"/>
  <c r="G320" i="1"/>
  <c r="H320" i="1"/>
  <c r="I320" i="1"/>
  <c r="J320" i="1"/>
  <c r="B321" i="1"/>
  <c r="C321" i="1"/>
  <c r="D321" i="1"/>
  <c r="E321" i="1"/>
  <c r="F321" i="1"/>
  <c r="G321" i="1"/>
  <c r="H321" i="1"/>
  <c r="I321" i="1"/>
  <c r="J321" i="1"/>
  <c r="B322" i="1"/>
  <c r="C322" i="1"/>
  <c r="D322" i="1"/>
  <c r="E322" i="1"/>
  <c r="F322" i="1"/>
  <c r="G322" i="1"/>
  <c r="H322" i="1"/>
  <c r="I322" i="1"/>
  <c r="J322" i="1"/>
  <c r="B323" i="1"/>
  <c r="C323" i="1"/>
  <c r="D323" i="1"/>
  <c r="E323" i="1"/>
  <c r="F323" i="1"/>
  <c r="G323" i="1"/>
  <c r="H323" i="1"/>
  <c r="I323" i="1"/>
  <c r="J323" i="1"/>
  <c r="B324" i="1"/>
  <c r="C324" i="1"/>
  <c r="D324" i="1"/>
  <c r="E324" i="1"/>
  <c r="F324" i="1"/>
  <c r="G324" i="1"/>
  <c r="H324" i="1"/>
  <c r="I324" i="1"/>
  <c r="J324" i="1"/>
  <c r="B325" i="1"/>
  <c r="C325" i="1"/>
  <c r="D325" i="1"/>
  <c r="E325" i="1"/>
  <c r="F325" i="1"/>
  <c r="G325" i="1"/>
  <c r="H325" i="1"/>
  <c r="I325" i="1"/>
  <c r="J325" i="1"/>
  <c r="B326" i="1"/>
  <c r="C326" i="1"/>
  <c r="D326" i="1"/>
  <c r="E326" i="1"/>
  <c r="F326" i="1"/>
  <c r="G326" i="1"/>
  <c r="H326" i="1"/>
  <c r="I326" i="1"/>
  <c r="J326" i="1"/>
  <c r="B327" i="1"/>
  <c r="C327" i="1"/>
  <c r="D327" i="1"/>
  <c r="E327" i="1"/>
  <c r="F327" i="1"/>
  <c r="G327" i="1"/>
  <c r="H327" i="1"/>
  <c r="I327" i="1"/>
  <c r="J327" i="1"/>
  <c r="B328" i="1"/>
  <c r="C328" i="1"/>
  <c r="D328" i="1"/>
  <c r="E328" i="1"/>
  <c r="F328" i="1"/>
  <c r="G328" i="1"/>
  <c r="H328" i="1"/>
  <c r="I328" i="1"/>
  <c r="J328" i="1"/>
  <c r="B329" i="1"/>
  <c r="C329" i="1"/>
  <c r="D329" i="1"/>
  <c r="E329" i="1"/>
  <c r="F329" i="1"/>
  <c r="G329" i="1"/>
  <c r="H329" i="1"/>
  <c r="I329" i="1"/>
  <c r="J329" i="1"/>
  <c r="B330" i="1"/>
  <c r="C330" i="1"/>
  <c r="D330" i="1"/>
  <c r="E330" i="1"/>
  <c r="F330" i="1"/>
  <c r="G330" i="1"/>
  <c r="H330" i="1"/>
  <c r="I330" i="1"/>
  <c r="J330" i="1"/>
  <c r="B331" i="1"/>
  <c r="C331" i="1"/>
  <c r="D331" i="1"/>
  <c r="E331" i="1"/>
  <c r="F331" i="1"/>
  <c r="G331" i="1"/>
  <c r="H331" i="1"/>
  <c r="I331" i="1"/>
  <c r="J331" i="1"/>
  <c r="B332" i="1"/>
  <c r="C332" i="1"/>
  <c r="D332" i="1"/>
  <c r="E332" i="1"/>
  <c r="F332" i="1"/>
  <c r="G332" i="1"/>
  <c r="H332" i="1"/>
  <c r="I332" i="1"/>
  <c r="J332" i="1"/>
  <c r="B333" i="1"/>
  <c r="C333" i="1"/>
  <c r="D333" i="1"/>
  <c r="E333" i="1"/>
  <c r="F333" i="1"/>
  <c r="G333" i="1"/>
  <c r="H333" i="1"/>
  <c r="I333" i="1"/>
  <c r="J333" i="1"/>
  <c r="B334" i="1"/>
  <c r="C334" i="1"/>
  <c r="D334" i="1"/>
  <c r="E334" i="1"/>
  <c r="F334" i="1"/>
  <c r="G334" i="1"/>
  <c r="H334" i="1"/>
  <c r="I334" i="1"/>
  <c r="J334" i="1"/>
  <c r="B335" i="1"/>
  <c r="C335" i="1"/>
  <c r="D335" i="1"/>
  <c r="E335" i="1"/>
  <c r="F335" i="1"/>
  <c r="G335" i="1"/>
  <c r="H335" i="1"/>
  <c r="I335" i="1"/>
  <c r="J335" i="1"/>
  <c r="B336" i="1"/>
  <c r="C336" i="1"/>
  <c r="D336" i="1"/>
  <c r="E336" i="1"/>
  <c r="F336" i="1"/>
  <c r="G336" i="1"/>
  <c r="H336" i="1"/>
  <c r="I336" i="1"/>
  <c r="J336" i="1"/>
  <c r="B337" i="1"/>
  <c r="C337" i="1"/>
  <c r="D337" i="1"/>
  <c r="E337" i="1"/>
  <c r="F337" i="1"/>
  <c r="G337" i="1"/>
  <c r="H337" i="1"/>
  <c r="I337" i="1"/>
  <c r="J337" i="1"/>
  <c r="B338" i="1"/>
  <c r="C338" i="1"/>
  <c r="D338" i="1"/>
  <c r="E338" i="1"/>
  <c r="F338" i="1"/>
  <c r="G338" i="1"/>
  <c r="H338" i="1"/>
  <c r="I338" i="1"/>
  <c r="J338" i="1"/>
  <c r="B339" i="1"/>
  <c r="C339" i="1"/>
  <c r="D339" i="1"/>
  <c r="E339" i="1"/>
  <c r="F339" i="1"/>
  <c r="G339" i="1"/>
  <c r="H339" i="1"/>
  <c r="I339" i="1"/>
  <c r="J339" i="1"/>
  <c r="B340" i="1"/>
  <c r="C340" i="1"/>
  <c r="D340" i="1"/>
  <c r="E340" i="1"/>
  <c r="F340" i="1"/>
  <c r="G340" i="1"/>
  <c r="H340" i="1"/>
  <c r="I340" i="1"/>
  <c r="J340" i="1"/>
  <c r="B341" i="1"/>
  <c r="C341" i="1"/>
  <c r="D341" i="1"/>
  <c r="E341" i="1"/>
  <c r="F341" i="1"/>
  <c r="G341" i="1"/>
  <c r="H341" i="1"/>
  <c r="I341" i="1"/>
  <c r="J341" i="1"/>
  <c r="B342" i="1"/>
  <c r="C342" i="1"/>
  <c r="D342" i="1"/>
  <c r="E342" i="1"/>
  <c r="F342" i="1"/>
  <c r="G342" i="1"/>
  <c r="H342" i="1"/>
  <c r="I342" i="1"/>
  <c r="J342" i="1"/>
  <c r="B343" i="1"/>
  <c r="C343" i="1"/>
  <c r="D343" i="1"/>
  <c r="E343" i="1"/>
  <c r="F343" i="1"/>
  <c r="G343" i="1"/>
  <c r="H343" i="1"/>
  <c r="I343" i="1"/>
  <c r="J343" i="1"/>
  <c r="B344" i="1"/>
  <c r="C344" i="1"/>
  <c r="D344" i="1"/>
  <c r="E344" i="1"/>
  <c r="F344" i="1"/>
  <c r="G344" i="1"/>
  <c r="H344" i="1"/>
  <c r="I344" i="1"/>
  <c r="J344" i="1"/>
  <c r="B345" i="1"/>
  <c r="C345" i="1"/>
  <c r="D345" i="1"/>
  <c r="E345" i="1"/>
  <c r="F345" i="1"/>
  <c r="G345" i="1"/>
  <c r="H345" i="1"/>
  <c r="I345" i="1"/>
  <c r="J345" i="1"/>
  <c r="B346" i="1"/>
  <c r="C346" i="1"/>
  <c r="D346" i="1"/>
  <c r="E346" i="1"/>
  <c r="F346" i="1"/>
  <c r="G346" i="1"/>
  <c r="H346" i="1"/>
  <c r="I346" i="1"/>
  <c r="J346" i="1"/>
  <c r="B347" i="1"/>
  <c r="C347" i="1"/>
  <c r="D347" i="1"/>
  <c r="E347" i="1"/>
  <c r="F347" i="1"/>
  <c r="G347" i="1"/>
  <c r="H347" i="1"/>
  <c r="I347" i="1"/>
  <c r="J347" i="1"/>
  <c r="B348" i="1"/>
  <c r="C348" i="1"/>
  <c r="D348" i="1"/>
  <c r="E348" i="1"/>
  <c r="F348" i="1"/>
  <c r="G348" i="1"/>
  <c r="H348" i="1"/>
  <c r="I348" i="1"/>
  <c r="J348" i="1"/>
  <c r="B349" i="1"/>
  <c r="C349" i="1"/>
  <c r="D349" i="1"/>
  <c r="E349" i="1"/>
  <c r="F349" i="1"/>
  <c r="G349" i="1"/>
  <c r="H349" i="1"/>
  <c r="I349" i="1"/>
  <c r="J349" i="1"/>
  <c r="B350" i="1"/>
  <c r="C350" i="1"/>
  <c r="D350" i="1"/>
  <c r="E350" i="1"/>
  <c r="F350" i="1"/>
  <c r="G350" i="1"/>
  <c r="H350" i="1"/>
  <c r="I350" i="1"/>
  <c r="J350" i="1"/>
  <c r="B351" i="1"/>
  <c r="C351" i="1"/>
  <c r="D351" i="1"/>
  <c r="E351" i="1"/>
  <c r="F351" i="1"/>
  <c r="G351" i="1"/>
  <c r="H351" i="1"/>
  <c r="I351" i="1"/>
  <c r="J351" i="1"/>
  <c r="B352" i="1"/>
  <c r="C352" i="1"/>
  <c r="D352" i="1"/>
  <c r="E352" i="1"/>
  <c r="F352" i="1"/>
  <c r="G352" i="1"/>
  <c r="H352" i="1"/>
  <c r="I352" i="1"/>
  <c r="J352" i="1"/>
  <c r="B353" i="1"/>
  <c r="C353" i="1"/>
  <c r="D353" i="1"/>
  <c r="E353" i="1"/>
  <c r="F353" i="1"/>
  <c r="G353" i="1"/>
  <c r="H353" i="1"/>
  <c r="I353" i="1"/>
  <c r="J353" i="1"/>
  <c r="B354" i="1"/>
  <c r="C354" i="1"/>
  <c r="D354" i="1"/>
  <c r="E354" i="1"/>
  <c r="F354" i="1"/>
  <c r="G354" i="1"/>
  <c r="H354" i="1"/>
  <c r="I354" i="1"/>
  <c r="J354" i="1"/>
  <c r="B355" i="1"/>
  <c r="C355" i="1"/>
  <c r="D355" i="1"/>
  <c r="E355" i="1"/>
  <c r="F355" i="1"/>
  <c r="G355" i="1"/>
  <c r="H355" i="1"/>
  <c r="I355" i="1"/>
  <c r="J355" i="1"/>
  <c r="B356" i="1"/>
  <c r="C356" i="1"/>
  <c r="D356" i="1"/>
  <c r="E356" i="1"/>
  <c r="F356" i="1"/>
  <c r="G356" i="1"/>
  <c r="H356" i="1"/>
  <c r="I356" i="1"/>
  <c r="J356" i="1"/>
  <c r="B357" i="1"/>
  <c r="C357" i="1"/>
  <c r="D357" i="1"/>
  <c r="E357" i="1"/>
  <c r="F357" i="1"/>
  <c r="G357" i="1"/>
  <c r="H357" i="1"/>
  <c r="I357" i="1"/>
  <c r="J357" i="1"/>
  <c r="B358" i="1"/>
  <c r="C358" i="1"/>
  <c r="D358" i="1"/>
  <c r="E358" i="1"/>
  <c r="F358" i="1"/>
  <c r="G358" i="1"/>
  <c r="H358" i="1"/>
  <c r="I358" i="1"/>
  <c r="J358" i="1"/>
  <c r="B359" i="1"/>
  <c r="C359" i="1"/>
  <c r="D359" i="1"/>
  <c r="E359" i="1"/>
  <c r="F359" i="1"/>
  <c r="G359" i="1"/>
  <c r="H359" i="1"/>
  <c r="I359" i="1"/>
  <c r="J359" i="1"/>
  <c r="B360" i="1"/>
  <c r="C360" i="1"/>
  <c r="D360" i="1"/>
  <c r="E360" i="1"/>
  <c r="F360" i="1"/>
  <c r="G360" i="1"/>
  <c r="H360" i="1"/>
  <c r="I360" i="1"/>
  <c r="J360" i="1"/>
  <c r="B361" i="1"/>
  <c r="C361" i="1"/>
  <c r="D361" i="1"/>
  <c r="E361" i="1"/>
  <c r="F361" i="1"/>
  <c r="G361" i="1"/>
  <c r="H361" i="1"/>
  <c r="I361" i="1"/>
  <c r="J361" i="1"/>
  <c r="B362" i="1"/>
  <c r="C362" i="1"/>
  <c r="D362" i="1"/>
  <c r="E362" i="1"/>
  <c r="F362" i="1"/>
  <c r="G362" i="1"/>
  <c r="H362" i="1"/>
  <c r="I362" i="1"/>
  <c r="J362" i="1"/>
  <c r="B363" i="1"/>
  <c r="C363" i="1"/>
  <c r="D363" i="1"/>
  <c r="E363" i="1"/>
  <c r="F363" i="1"/>
  <c r="G363" i="1"/>
  <c r="H363" i="1"/>
  <c r="I363" i="1"/>
  <c r="J363" i="1"/>
  <c r="B364" i="1"/>
  <c r="C364" i="1"/>
  <c r="D364" i="1"/>
  <c r="E364" i="1"/>
  <c r="F364" i="1"/>
  <c r="G364" i="1"/>
  <c r="H364" i="1"/>
  <c r="I364" i="1"/>
  <c r="J364" i="1"/>
  <c r="B365" i="1"/>
  <c r="C365" i="1"/>
  <c r="D365" i="1"/>
  <c r="E365" i="1"/>
  <c r="F365" i="1"/>
  <c r="G365" i="1"/>
  <c r="H365" i="1"/>
  <c r="I365" i="1"/>
  <c r="J365" i="1"/>
  <c r="B366" i="1"/>
  <c r="C366" i="1"/>
  <c r="D366" i="1"/>
  <c r="E366" i="1"/>
  <c r="F366" i="1"/>
  <c r="G366" i="1"/>
  <c r="H366" i="1"/>
  <c r="I366" i="1"/>
  <c r="J366" i="1"/>
  <c r="B367" i="1"/>
  <c r="C367" i="1"/>
  <c r="D367" i="1"/>
  <c r="E367" i="1"/>
  <c r="F367" i="1"/>
  <c r="G367" i="1"/>
  <c r="H367" i="1"/>
  <c r="I367" i="1"/>
  <c r="J367" i="1"/>
  <c r="B368" i="1"/>
  <c r="C368" i="1"/>
  <c r="D368" i="1"/>
  <c r="E368" i="1"/>
  <c r="F368" i="1"/>
  <c r="G368" i="1"/>
  <c r="H368" i="1"/>
  <c r="I368" i="1"/>
  <c r="J368" i="1"/>
  <c r="B369" i="1"/>
  <c r="C369" i="1"/>
  <c r="D369" i="1"/>
  <c r="E369" i="1"/>
  <c r="F369" i="1"/>
  <c r="G369" i="1"/>
  <c r="H369" i="1"/>
  <c r="I369" i="1"/>
  <c r="J369" i="1"/>
  <c r="B370" i="1"/>
  <c r="C370" i="1"/>
  <c r="D370" i="1"/>
  <c r="E370" i="1"/>
  <c r="F370" i="1"/>
  <c r="G370" i="1"/>
  <c r="H370" i="1"/>
  <c r="I370" i="1"/>
  <c r="J370" i="1"/>
  <c r="B371" i="1"/>
  <c r="C371" i="1"/>
  <c r="D371" i="1"/>
  <c r="E371" i="1"/>
  <c r="F371" i="1"/>
  <c r="G371" i="1"/>
  <c r="H371" i="1"/>
  <c r="I371" i="1"/>
  <c r="J371" i="1"/>
  <c r="B372" i="1"/>
  <c r="C372" i="1"/>
  <c r="D372" i="1"/>
  <c r="E372" i="1"/>
  <c r="F372" i="1"/>
  <c r="G372" i="1"/>
  <c r="H372" i="1"/>
  <c r="I372" i="1"/>
  <c r="J372" i="1"/>
  <c r="B373" i="1"/>
  <c r="C373" i="1"/>
  <c r="D373" i="1"/>
  <c r="E373" i="1"/>
  <c r="F373" i="1"/>
  <c r="G373" i="1"/>
  <c r="H373" i="1"/>
  <c r="I373" i="1"/>
  <c r="J373" i="1"/>
  <c r="B374" i="1"/>
  <c r="C374" i="1"/>
  <c r="D374" i="1"/>
  <c r="E374" i="1"/>
  <c r="F374" i="1"/>
  <c r="G374" i="1"/>
  <c r="H374" i="1"/>
  <c r="I374" i="1"/>
  <c r="J374" i="1"/>
  <c r="B375" i="1"/>
  <c r="C375" i="1"/>
  <c r="D375" i="1"/>
  <c r="E375" i="1"/>
  <c r="F375" i="1"/>
  <c r="G375" i="1"/>
  <c r="H375" i="1"/>
  <c r="I375" i="1"/>
  <c r="J375" i="1"/>
  <c r="B376" i="1"/>
  <c r="C376" i="1"/>
  <c r="D376" i="1"/>
  <c r="E376" i="1"/>
  <c r="F376" i="1"/>
  <c r="G376" i="1"/>
  <c r="H376" i="1"/>
  <c r="I376" i="1"/>
  <c r="J376" i="1"/>
  <c r="B377" i="1"/>
  <c r="C377" i="1"/>
  <c r="D377" i="1"/>
  <c r="E377" i="1"/>
  <c r="F377" i="1"/>
  <c r="G377" i="1"/>
  <c r="H377" i="1"/>
  <c r="I377" i="1"/>
  <c r="J377" i="1"/>
  <c r="B378" i="1"/>
  <c r="C378" i="1"/>
  <c r="D378" i="1"/>
  <c r="E378" i="1"/>
  <c r="F378" i="1"/>
  <c r="G378" i="1"/>
  <c r="H378" i="1"/>
  <c r="I378" i="1"/>
  <c r="J378" i="1"/>
  <c r="B379" i="1"/>
  <c r="C379" i="1"/>
  <c r="D379" i="1"/>
  <c r="E379" i="1"/>
  <c r="F379" i="1"/>
  <c r="G379" i="1"/>
  <c r="H379" i="1"/>
  <c r="I379" i="1"/>
  <c r="J379" i="1"/>
  <c r="B380" i="1"/>
  <c r="C380" i="1"/>
  <c r="D380" i="1"/>
  <c r="E380" i="1"/>
  <c r="F380" i="1"/>
  <c r="G380" i="1"/>
  <c r="H380" i="1"/>
  <c r="I380" i="1"/>
  <c r="J380" i="1"/>
  <c r="B381" i="1"/>
  <c r="C381" i="1"/>
  <c r="D381" i="1"/>
  <c r="E381" i="1"/>
  <c r="F381" i="1"/>
  <c r="G381" i="1"/>
  <c r="H381" i="1"/>
  <c r="I381" i="1"/>
  <c r="J381" i="1"/>
  <c r="B382" i="1"/>
  <c r="C382" i="1"/>
  <c r="D382" i="1"/>
  <c r="E382" i="1"/>
  <c r="F382" i="1"/>
  <c r="G382" i="1"/>
  <c r="H382" i="1"/>
  <c r="I382" i="1"/>
  <c r="J382" i="1"/>
  <c r="B383" i="1"/>
  <c r="C383" i="1"/>
  <c r="D383" i="1"/>
  <c r="E383" i="1"/>
  <c r="F383" i="1"/>
  <c r="G383" i="1"/>
  <c r="H383" i="1"/>
  <c r="I383" i="1"/>
  <c r="J383" i="1"/>
  <c r="B384" i="1"/>
  <c r="C384" i="1"/>
  <c r="D384" i="1"/>
  <c r="E384" i="1"/>
  <c r="F384" i="1"/>
  <c r="G384" i="1"/>
  <c r="H384" i="1"/>
  <c r="I384" i="1"/>
  <c r="J384" i="1"/>
  <c r="B385" i="1"/>
  <c r="C385" i="1"/>
  <c r="D385" i="1"/>
  <c r="E385" i="1"/>
  <c r="F385" i="1"/>
  <c r="G385" i="1"/>
  <c r="H385" i="1"/>
  <c r="I385" i="1"/>
  <c r="J385" i="1"/>
  <c r="B386" i="1"/>
  <c r="C386" i="1"/>
  <c r="D386" i="1"/>
  <c r="E386" i="1"/>
  <c r="F386" i="1"/>
  <c r="G386" i="1"/>
  <c r="H386" i="1"/>
  <c r="I386" i="1"/>
  <c r="J386" i="1"/>
  <c r="B387" i="1"/>
  <c r="C387" i="1"/>
  <c r="D387" i="1"/>
  <c r="E387" i="1"/>
  <c r="F387" i="1"/>
  <c r="G387" i="1"/>
  <c r="H387" i="1"/>
  <c r="I387" i="1"/>
  <c r="J387" i="1"/>
  <c r="B388" i="1"/>
  <c r="C388" i="1"/>
  <c r="D388" i="1"/>
  <c r="E388" i="1"/>
  <c r="F388" i="1"/>
  <c r="G388" i="1"/>
  <c r="H388" i="1"/>
  <c r="I388" i="1"/>
  <c r="J388" i="1"/>
  <c r="B389" i="1"/>
  <c r="C389" i="1"/>
  <c r="D389" i="1"/>
  <c r="E389" i="1"/>
  <c r="F389" i="1"/>
  <c r="G389" i="1"/>
  <c r="H389" i="1"/>
  <c r="I389" i="1"/>
  <c r="J389" i="1"/>
  <c r="B390" i="1"/>
  <c r="C390" i="1"/>
  <c r="D390" i="1"/>
  <c r="E390" i="1"/>
  <c r="F390" i="1"/>
  <c r="G390" i="1"/>
  <c r="H390" i="1"/>
  <c r="I390" i="1"/>
  <c r="J390" i="1"/>
  <c r="B391" i="1"/>
  <c r="C391" i="1"/>
  <c r="D391" i="1"/>
  <c r="E391" i="1"/>
  <c r="F391" i="1"/>
  <c r="G391" i="1"/>
  <c r="H391" i="1"/>
  <c r="I391" i="1"/>
  <c r="J391" i="1"/>
  <c r="B392" i="1"/>
  <c r="C392" i="1"/>
  <c r="D392" i="1"/>
  <c r="E392" i="1"/>
  <c r="F392" i="1"/>
  <c r="G392" i="1"/>
  <c r="H392" i="1"/>
  <c r="I392" i="1"/>
  <c r="J392" i="1"/>
  <c r="B393" i="1"/>
  <c r="C393" i="1"/>
  <c r="D393" i="1"/>
  <c r="E393" i="1"/>
  <c r="F393" i="1"/>
  <c r="G393" i="1"/>
  <c r="H393" i="1"/>
  <c r="I393" i="1"/>
  <c r="J393" i="1"/>
  <c r="B394" i="1"/>
  <c r="C394" i="1"/>
  <c r="D394" i="1"/>
  <c r="E394" i="1"/>
  <c r="F394" i="1"/>
  <c r="G394" i="1"/>
  <c r="H394" i="1"/>
  <c r="I394" i="1"/>
  <c r="J394" i="1"/>
  <c r="B395" i="1"/>
  <c r="C395" i="1"/>
  <c r="D395" i="1"/>
  <c r="E395" i="1"/>
  <c r="F395" i="1"/>
  <c r="G395" i="1"/>
  <c r="H395" i="1"/>
  <c r="I395" i="1"/>
  <c r="J395" i="1"/>
  <c r="B396" i="1"/>
  <c r="C396" i="1"/>
  <c r="D396" i="1"/>
  <c r="E396" i="1"/>
  <c r="F396" i="1"/>
  <c r="G396" i="1"/>
  <c r="H396" i="1"/>
  <c r="I396" i="1"/>
  <c r="J396" i="1"/>
  <c r="B397" i="1"/>
  <c r="C397" i="1"/>
  <c r="D397" i="1"/>
  <c r="E397" i="1"/>
  <c r="F397" i="1"/>
  <c r="G397" i="1"/>
  <c r="H397" i="1"/>
  <c r="I397" i="1"/>
  <c r="J397" i="1"/>
  <c r="B398" i="1"/>
  <c r="C398" i="1"/>
  <c r="D398" i="1"/>
  <c r="E398" i="1"/>
  <c r="F398" i="1"/>
  <c r="G398" i="1"/>
  <c r="H398" i="1"/>
  <c r="I398" i="1"/>
  <c r="J398" i="1"/>
  <c r="B399" i="1"/>
  <c r="C399" i="1"/>
  <c r="D399" i="1"/>
  <c r="E399" i="1"/>
  <c r="F399" i="1"/>
  <c r="G399" i="1"/>
  <c r="H399" i="1"/>
  <c r="I399" i="1"/>
  <c r="J399" i="1"/>
  <c r="B400" i="1"/>
  <c r="C400" i="1"/>
  <c r="D400" i="1"/>
  <c r="E400" i="1"/>
  <c r="F400" i="1"/>
  <c r="G400" i="1"/>
  <c r="H400" i="1"/>
  <c r="I400" i="1"/>
  <c r="J400" i="1"/>
  <c r="B401" i="1"/>
  <c r="C401" i="1"/>
  <c r="D401" i="1"/>
  <c r="E401" i="1"/>
  <c r="F401" i="1"/>
  <c r="G401" i="1"/>
  <c r="H401" i="1"/>
  <c r="I401" i="1"/>
  <c r="J401" i="1"/>
  <c r="B402" i="1"/>
  <c r="C402" i="1"/>
  <c r="D402" i="1"/>
  <c r="E402" i="1"/>
  <c r="F402" i="1"/>
  <c r="G402" i="1"/>
  <c r="H402" i="1"/>
  <c r="I402" i="1"/>
  <c r="J402" i="1"/>
  <c r="B403" i="1"/>
  <c r="C403" i="1"/>
  <c r="D403" i="1"/>
  <c r="E403" i="1"/>
  <c r="F403" i="1"/>
  <c r="G403" i="1"/>
  <c r="H403" i="1"/>
  <c r="I403" i="1"/>
  <c r="J403" i="1"/>
  <c r="B404" i="1"/>
  <c r="C404" i="1"/>
  <c r="D404" i="1"/>
  <c r="E404" i="1"/>
  <c r="F404" i="1"/>
  <c r="G404" i="1"/>
  <c r="H404" i="1"/>
  <c r="I404" i="1"/>
  <c r="J404" i="1"/>
  <c r="B405" i="1"/>
  <c r="C405" i="1"/>
  <c r="D405" i="1"/>
  <c r="E405" i="1"/>
  <c r="F405" i="1"/>
  <c r="G405" i="1"/>
  <c r="H405" i="1"/>
  <c r="I405" i="1"/>
  <c r="J405" i="1"/>
  <c r="B406" i="1"/>
  <c r="C406" i="1"/>
  <c r="D406" i="1"/>
  <c r="E406" i="1"/>
  <c r="F406" i="1"/>
  <c r="G406" i="1"/>
  <c r="H406" i="1"/>
  <c r="I406" i="1"/>
  <c r="J406" i="1"/>
  <c r="B407" i="1"/>
  <c r="C407" i="1"/>
  <c r="D407" i="1"/>
  <c r="E407" i="1"/>
  <c r="F407" i="1"/>
  <c r="G407" i="1"/>
  <c r="H407" i="1"/>
  <c r="I407" i="1"/>
  <c r="J407" i="1"/>
  <c r="B408" i="1"/>
  <c r="C408" i="1"/>
  <c r="D408" i="1"/>
  <c r="E408" i="1"/>
  <c r="F408" i="1"/>
  <c r="G408" i="1"/>
  <c r="H408" i="1"/>
  <c r="I408" i="1"/>
  <c r="J408" i="1"/>
  <c r="B409" i="1"/>
  <c r="C409" i="1"/>
  <c r="D409" i="1"/>
  <c r="E409" i="1"/>
  <c r="F409" i="1"/>
  <c r="G409" i="1"/>
  <c r="H409" i="1"/>
  <c r="I409" i="1"/>
  <c r="J409" i="1"/>
  <c r="B410" i="1"/>
  <c r="C410" i="1"/>
  <c r="D410" i="1"/>
  <c r="E410" i="1"/>
  <c r="F410" i="1"/>
  <c r="G410" i="1"/>
  <c r="H410" i="1"/>
  <c r="I410" i="1"/>
  <c r="J410" i="1"/>
  <c r="B411" i="1"/>
  <c r="C411" i="1"/>
  <c r="D411" i="1"/>
  <c r="E411" i="1"/>
  <c r="F411" i="1"/>
  <c r="G411" i="1"/>
  <c r="H411" i="1"/>
  <c r="I411" i="1"/>
  <c r="J411" i="1"/>
  <c r="B412" i="1"/>
  <c r="C412" i="1"/>
  <c r="D412" i="1"/>
  <c r="E412" i="1"/>
  <c r="F412" i="1"/>
  <c r="G412" i="1"/>
  <c r="H412" i="1"/>
  <c r="I412" i="1"/>
  <c r="J412" i="1"/>
  <c r="B413" i="1"/>
  <c r="C413" i="1"/>
  <c r="D413" i="1"/>
  <c r="E413" i="1"/>
  <c r="F413" i="1"/>
  <c r="G413" i="1"/>
  <c r="H413" i="1"/>
  <c r="I413" i="1"/>
  <c r="J413" i="1"/>
  <c r="B414" i="1"/>
  <c r="C414" i="1"/>
  <c r="D414" i="1"/>
  <c r="E414" i="1"/>
  <c r="F414" i="1"/>
  <c r="G414" i="1"/>
  <c r="H414" i="1"/>
  <c r="I414" i="1"/>
  <c r="J414" i="1"/>
  <c r="B415" i="1"/>
  <c r="C415" i="1"/>
  <c r="D415" i="1"/>
  <c r="E415" i="1"/>
  <c r="F415" i="1"/>
  <c r="G415" i="1"/>
  <c r="H415" i="1"/>
  <c r="I415" i="1"/>
  <c r="J415" i="1"/>
  <c r="B416" i="1"/>
  <c r="C416" i="1"/>
  <c r="D416" i="1"/>
  <c r="E416" i="1"/>
  <c r="F416" i="1"/>
  <c r="G416" i="1"/>
  <c r="H416" i="1"/>
  <c r="I416" i="1"/>
  <c r="J416" i="1"/>
  <c r="B417" i="1"/>
  <c r="C417" i="1"/>
  <c r="D417" i="1"/>
  <c r="E417" i="1"/>
  <c r="F417" i="1"/>
  <c r="G417" i="1"/>
  <c r="H417" i="1"/>
  <c r="I417" i="1"/>
  <c r="J417" i="1"/>
  <c r="B418" i="1"/>
  <c r="C418" i="1"/>
  <c r="D418" i="1"/>
  <c r="E418" i="1"/>
  <c r="F418" i="1"/>
  <c r="G418" i="1"/>
  <c r="H418" i="1"/>
  <c r="I418" i="1"/>
  <c r="J418" i="1"/>
  <c r="B419" i="1"/>
  <c r="C419" i="1"/>
  <c r="D419" i="1"/>
  <c r="E419" i="1"/>
  <c r="F419" i="1"/>
  <c r="G419" i="1"/>
  <c r="H419" i="1"/>
  <c r="I419" i="1"/>
  <c r="J419" i="1"/>
  <c r="B420" i="1"/>
  <c r="C420" i="1"/>
  <c r="D420" i="1"/>
  <c r="E420" i="1"/>
  <c r="F420" i="1"/>
  <c r="G420" i="1"/>
  <c r="H420" i="1"/>
  <c r="I420" i="1"/>
  <c r="J420" i="1"/>
  <c r="B421" i="1"/>
  <c r="C421" i="1"/>
  <c r="D421" i="1"/>
  <c r="E421" i="1"/>
  <c r="F421" i="1"/>
  <c r="G421" i="1"/>
  <c r="H421" i="1"/>
  <c r="I421" i="1"/>
  <c r="J421" i="1"/>
  <c r="B422" i="1"/>
  <c r="C422" i="1"/>
  <c r="D422" i="1"/>
  <c r="E422" i="1"/>
  <c r="F422" i="1"/>
  <c r="G422" i="1"/>
  <c r="H422" i="1"/>
  <c r="I422" i="1"/>
  <c r="J422" i="1"/>
  <c r="B423" i="1"/>
  <c r="C423" i="1"/>
  <c r="D423" i="1"/>
  <c r="E423" i="1"/>
  <c r="F423" i="1"/>
  <c r="G423" i="1"/>
  <c r="H423" i="1"/>
  <c r="I423" i="1"/>
  <c r="J423" i="1"/>
  <c r="B424" i="1"/>
  <c r="C424" i="1"/>
  <c r="D424" i="1"/>
  <c r="E424" i="1"/>
  <c r="F424" i="1"/>
  <c r="G424" i="1"/>
  <c r="H424" i="1"/>
  <c r="I424" i="1"/>
  <c r="J424" i="1"/>
  <c r="B425" i="1"/>
  <c r="C425" i="1"/>
  <c r="D425" i="1"/>
  <c r="E425" i="1"/>
  <c r="F425" i="1"/>
  <c r="G425" i="1"/>
  <c r="H425" i="1"/>
  <c r="I425" i="1"/>
  <c r="J425" i="1"/>
  <c r="B426" i="1"/>
  <c r="C426" i="1"/>
  <c r="D426" i="1"/>
  <c r="E426" i="1"/>
  <c r="F426" i="1"/>
  <c r="G426" i="1"/>
  <c r="H426" i="1"/>
  <c r="I426" i="1"/>
  <c r="J426" i="1"/>
  <c r="B427" i="1"/>
  <c r="C427" i="1"/>
  <c r="D427" i="1"/>
  <c r="E427" i="1"/>
  <c r="F427" i="1"/>
  <c r="G427" i="1"/>
  <c r="H427" i="1"/>
  <c r="I427" i="1"/>
  <c r="J427" i="1"/>
  <c r="B428" i="1"/>
  <c r="C428" i="1"/>
  <c r="D428" i="1"/>
  <c r="E428" i="1"/>
  <c r="F428" i="1"/>
  <c r="G428" i="1"/>
  <c r="H428" i="1"/>
  <c r="I428" i="1"/>
  <c r="J428" i="1"/>
  <c r="B429" i="1"/>
  <c r="C429" i="1"/>
  <c r="D429" i="1"/>
  <c r="E429" i="1"/>
  <c r="F429" i="1"/>
  <c r="G429" i="1"/>
  <c r="H429" i="1"/>
  <c r="I429" i="1"/>
  <c r="J429" i="1"/>
  <c r="B430" i="1"/>
  <c r="C430" i="1"/>
  <c r="D430" i="1"/>
  <c r="E430" i="1"/>
  <c r="F430" i="1"/>
  <c r="G430" i="1"/>
  <c r="H430" i="1"/>
  <c r="I430" i="1"/>
  <c r="J430" i="1"/>
  <c r="B431" i="1"/>
  <c r="C431" i="1"/>
  <c r="D431" i="1"/>
  <c r="E431" i="1"/>
  <c r="F431" i="1"/>
  <c r="G431" i="1"/>
  <c r="H431" i="1"/>
  <c r="I431" i="1"/>
  <c r="J431" i="1"/>
  <c r="B432" i="1"/>
  <c r="C432" i="1"/>
  <c r="D432" i="1"/>
  <c r="E432" i="1"/>
  <c r="F432" i="1"/>
  <c r="G432" i="1"/>
  <c r="H432" i="1"/>
  <c r="I432" i="1"/>
  <c r="J432" i="1"/>
  <c r="B433" i="1"/>
  <c r="C433" i="1"/>
  <c r="D433" i="1"/>
  <c r="E433" i="1"/>
  <c r="F433" i="1"/>
  <c r="G433" i="1"/>
  <c r="H433" i="1"/>
  <c r="I433" i="1"/>
  <c r="J433" i="1"/>
  <c r="B434" i="1"/>
  <c r="C434" i="1"/>
  <c r="D434" i="1"/>
  <c r="E434" i="1"/>
  <c r="F434" i="1"/>
  <c r="G434" i="1"/>
  <c r="H434" i="1"/>
  <c r="I434" i="1"/>
  <c r="J434" i="1"/>
  <c r="B435" i="1"/>
  <c r="C435" i="1"/>
  <c r="D435" i="1"/>
  <c r="E435" i="1"/>
  <c r="F435" i="1"/>
  <c r="G435" i="1"/>
  <c r="H435" i="1"/>
  <c r="I435" i="1"/>
  <c r="J435" i="1"/>
  <c r="B436" i="1"/>
  <c r="C436" i="1"/>
  <c r="D436" i="1"/>
  <c r="E436" i="1"/>
  <c r="F436" i="1"/>
  <c r="G436" i="1"/>
  <c r="H436" i="1"/>
  <c r="I436" i="1"/>
  <c r="J436" i="1"/>
  <c r="B437" i="1"/>
  <c r="C437" i="1"/>
  <c r="D437" i="1"/>
  <c r="E437" i="1"/>
  <c r="F437" i="1"/>
  <c r="G437" i="1"/>
  <c r="H437" i="1"/>
  <c r="I437" i="1"/>
  <c r="J437" i="1"/>
  <c r="B438" i="1"/>
  <c r="C438" i="1"/>
  <c r="D438" i="1"/>
  <c r="E438" i="1"/>
  <c r="F438" i="1"/>
  <c r="G438" i="1"/>
  <c r="H438" i="1"/>
  <c r="I438" i="1"/>
  <c r="J438" i="1"/>
  <c r="B439" i="1"/>
  <c r="C439" i="1"/>
  <c r="D439" i="1"/>
  <c r="E439" i="1"/>
  <c r="F439" i="1"/>
  <c r="G439" i="1"/>
  <c r="H439" i="1"/>
  <c r="I439" i="1"/>
  <c r="J439" i="1"/>
  <c r="B440" i="1"/>
  <c r="C440" i="1"/>
  <c r="D440" i="1"/>
  <c r="E440" i="1"/>
  <c r="F440" i="1"/>
  <c r="G440" i="1"/>
  <c r="H440" i="1"/>
  <c r="I440" i="1"/>
  <c r="J440" i="1"/>
  <c r="B441" i="1"/>
  <c r="C441" i="1"/>
  <c r="D441" i="1"/>
  <c r="E441" i="1"/>
  <c r="F441" i="1"/>
  <c r="G441" i="1"/>
  <c r="H441" i="1"/>
  <c r="I441" i="1"/>
  <c r="J441" i="1"/>
  <c r="B442" i="1"/>
  <c r="C442" i="1"/>
  <c r="D442" i="1"/>
  <c r="E442" i="1"/>
  <c r="F442" i="1"/>
  <c r="G442" i="1"/>
  <c r="H442" i="1"/>
  <c r="I442" i="1"/>
  <c r="J442" i="1"/>
  <c r="B443" i="1"/>
  <c r="C443" i="1"/>
  <c r="D443" i="1"/>
  <c r="E443" i="1"/>
  <c r="F443" i="1"/>
  <c r="G443" i="1"/>
  <c r="H443" i="1"/>
  <c r="I443" i="1"/>
  <c r="J443" i="1"/>
  <c r="B444" i="1"/>
  <c r="C444" i="1"/>
  <c r="D444" i="1"/>
  <c r="E444" i="1"/>
  <c r="F444" i="1"/>
  <c r="G444" i="1"/>
  <c r="H444" i="1"/>
  <c r="I444" i="1"/>
  <c r="J444" i="1"/>
  <c r="B445" i="1"/>
  <c r="C445" i="1"/>
  <c r="D445" i="1"/>
  <c r="E445" i="1"/>
  <c r="F445" i="1"/>
  <c r="G445" i="1"/>
  <c r="H445" i="1"/>
  <c r="I445" i="1"/>
  <c r="J445" i="1"/>
  <c r="B446" i="1"/>
  <c r="C446" i="1"/>
  <c r="D446" i="1"/>
  <c r="E446" i="1"/>
  <c r="F446" i="1"/>
  <c r="G446" i="1"/>
  <c r="H446" i="1"/>
  <c r="I446" i="1"/>
  <c r="J446" i="1"/>
  <c r="B447" i="1"/>
  <c r="C447" i="1"/>
  <c r="D447" i="1"/>
  <c r="E447" i="1"/>
  <c r="F447" i="1"/>
  <c r="G447" i="1"/>
  <c r="H447" i="1"/>
  <c r="I447" i="1"/>
  <c r="J447" i="1"/>
  <c r="B448" i="1"/>
  <c r="C448" i="1"/>
  <c r="D448" i="1"/>
  <c r="E448" i="1"/>
  <c r="F448" i="1"/>
  <c r="G448" i="1"/>
  <c r="H448" i="1"/>
  <c r="I448" i="1"/>
  <c r="J448" i="1"/>
  <c r="B449" i="1"/>
  <c r="C449" i="1"/>
  <c r="D449" i="1"/>
  <c r="E449" i="1"/>
  <c r="F449" i="1"/>
  <c r="G449" i="1"/>
  <c r="H449" i="1"/>
  <c r="I449" i="1"/>
  <c r="J449" i="1"/>
  <c r="B450" i="1"/>
  <c r="C450" i="1"/>
  <c r="D450" i="1"/>
  <c r="E450" i="1"/>
  <c r="F450" i="1"/>
  <c r="G450" i="1"/>
  <c r="H450" i="1"/>
  <c r="I450" i="1"/>
  <c r="J450" i="1"/>
  <c r="B451" i="1"/>
  <c r="C451" i="1"/>
  <c r="D451" i="1"/>
  <c r="E451" i="1"/>
  <c r="F451" i="1"/>
  <c r="G451" i="1"/>
  <c r="H451" i="1"/>
  <c r="I451" i="1"/>
  <c r="J451" i="1"/>
  <c r="B452" i="1"/>
  <c r="C452" i="1"/>
  <c r="D452" i="1"/>
  <c r="E452" i="1"/>
  <c r="F452" i="1"/>
  <c r="G452" i="1"/>
  <c r="H452" i="1"/>
  <c r="I452" i="1"/>
  <c r="J452" i="1"/>
  <c r="B453" i="1"/>
  <c r="C453" i="1"/>
  <c r="D453" i="1"/>
  <c r="E453" i="1"/>
  <c r="F453" i="1"/>
  <c r="G453" i="1"/>
  <c r="H453" i="1"/>
  <c r="I453" i="1"/>
  <c r="J453" i="1"/>
  <c r="B454" i="1"/>
  <c r="C454" i="1"/>
  <c r="D454" i="1"/>
  <c r="E454" i="1"/>
  <c r="F454" i="1"/>
  <c r="G454" i="1"/>
  <c r="H454" i="1"/>
  <c r="I454" i="1"/>
  <c r="J454" i="1"/>
  <c r="B455" i="1"/>
  <c r="C455" i="1"/>
  <c r="D455" i="1"/>
  <c r="E455" i="1"/>
  <c r="F455" i="1"/>
  <c r="G455" i="1"/>
  <c r="H455" i="1"/>
  <c r="I455" i="1"/>
  <c r="J455" i="1"/>
  <c r="B456" i="1"/>
  <c r="C456" i="1"/>
  <c r="D456" i="1"/>
  <c r="E456" i="1"/>
  <c r="F456" i="1"/>
  <c r="G456" i="1"/>
  <c r="H456" i="1"/>
  <c r="I456" i="1"/>
  <c r="J456" i="1"/>
  <c r="B457" i="1"/>
  <c r="C457" i="1"/>
  <c r="D457" i="1"/>
  <c r="E457" i="1"/>
  <c r="F457" i="1"/>
  <c r="G457" i="1"/>
  <c r="H457" i="1"/>
  <c r="I457" i="1"/>
  <c r="J457" i="1"/>
  <c r="B458" i="1"/>
  <c r="C458" i="1"/>
  <c r="D458" i="1"/>
  <c r="E458" i="1"/>
  <c r="F458" i="1"/>
  <c r="G458" i="1"/>
  <c r="H458" i="1"/>
  <c r="I458" i="1"/>
  <c r="J458" i="1"/>
  <c r="B459" i="1"/>
  <c r="C459" i="1"/>
  <c r="D459" i="1"/>
  <c r="E459" i="1"/>
  <c r="F459" i="1"/>
  <c r="G459" i="1"/>
  <c r="H459" i="1"/>
  <c r="I459" i="1"/>
  <c r="J459" i="1"/>
  <c r="B460" i="1"/>
  <c r="C460" i="1"/>
  <c r="D460" i="1"/>
  <c r="E460" i="1"/>
  <c r="F460" i="1"/>
  <c r="G460" i="1"/>
  <c r="H460" i="1"/>
  <c r="I460" i="1"/>
  <c r="J460" i="1"/>
  <c r="B461" i="1"/>
  <c r="C461" i="1"/>
  <c r="D461" i="1"/>
  <c r="E461" i="1"/>
  <c r="F461" i="1"/>
  <c r="G461" i="1"/>
  <c r="H461" i="1"/>
  <c r="I461" i="1"/>
  <c r="J461" i="1"/>
  <c r="B462" i="1"/>
  <c r="C462" i="1"/>
  <c r="D462" i="1"/>
  <c r="E462" i="1"/>
  <c r="F462" i="1"/>
  <c r="G462" i="1"/>
  <c r="H462" i="1"/>
  <c r="I462" i="1"/>
  <c r="J462" i="1"/>
  <c r="B463" i="1"/>
  <c r="C463" i="1"/>
  <c r="D463" i="1"/>
  <c r="E463" i="1"/>
  <c r="F463" i="1"/>
  <c r="G463" i="1"/>
  <c r="H463" i="1"/>
  <c r="I463" i="1"/>
  <c r="J463" i="1"/>
  <c r="B464" i="1"/>
  <c r="C464" i="1"/>
  <c r="D464" i="1"/>
  <c r="E464" i="1"/>
  <c r="F464" i="1"/>
  <c r="G464" i="1"/>
  <c r="H464" i="1"/>
  <c r="I464" i="1"/>
  <c r="J464" i="1"/>
  <c r="B465" i="1"/>
  <c r="C465" i="1"/>
  <c r="D465" i="1"/>
  <c r="E465" i="1"/>
  <c r="F465" i="1"/>
  <c r="G465" i="1"/>
  <c r="H465" i="1"/>
  <c r="I465" i="1"/>
  <c r="J465" i="1"/>
  <c r="B466" i="1"/>
  <c r="C466" i="1"/>
  <c r="D466" i="1"/>
  <c r="E466" i="1"/>
  <c r="F466" i="1"/>
  <c r="G466" i="1"/>
  <c r="H466" i="1"/>
  <c r="I466" i="1"/>
  <c r="J466" i="1"/>
  <c r="B467" i="1"/>
  <c r="C467" i="1"/>
  <c r="D467" i="1"/>
  <c r="E467" i="1"/>
  <c r="F467" i="1"/>
  <c r="G467" i="1"/>
  <c r="H467" i="1"/>
  <c r="I467" i="1"/>
  <c r="J467" i="1"/>
  <c r="B468" i="1"/>
  <c r="C468" i="1"/>
  <c r="D468" i="1"/>
  <c r="E468" i="1"/>
  <c r="F468" i="1"/>
  <c r="G468" i="1"/>
  <c r="H468" i="1"/>
  <c r="I468" i="1"/>
  <c r="J468" i="1"/>
  <c r="B469" i="1"/>
  <c r="C469" i="1"/>
  <c r="D469" i="1"/>
  <c r="E469" i="1"/>
  <c r="F469" i="1"/>
  <c r="G469" i="1"/>
  <c r="H469" i="1"/>
  <c r="I469" i="1"/>
  <c r="J469" i="1"/>
  <c r="B470" i="1"/>
  <c r="C470" i="1"/>
  <c r="D470" i="1"/>
  <c r="E470" i="1"/>
  <c r="F470" i="1"/>
  <c r="G470" i="1"/>
  <c r="H470" i="1"/>
  <c r="I470" i="1"/>
  <c r="J470" i="1"/>
  <c r="B471" i="1"/>
  <c r="C471" i="1"/>
  <c r="D471" i="1"/>
  <c r="E471" i="1"/>
  <c r="F471" i="1"/>
  <c r="G471" i="1"/>
  <c r="H471" i="1"/>
  <c r="I471" i="1"/>
  <c r="J471" i="1"/>
  <c r="B472" i="1"/>
  <c r="C472" i="1"/>
  <c r="D472" i="1"/>
  <c r="E472" i="1"/>
  <c r="F472" i="1"/>
  <c r="G472" i="1"/>
  <c r="H472" i="1"/>
  <c r="I472" i="1"/>
  <c r="J472" i="1"/>
  <c r="B473" i="1"/>
  <c r="C473" i="1"/>
  <c r="D473" i="1"/>
  <c r="E473" i="1"/>
  <c r="F473" i="1"/>
  <c r="G473" i="1"/>
  <c r="H473" i="1"/>
  <c r="I473" i="1"/>
  <c r="J473" i="1"/>
  <c r="B474" i="1"/>
  <c r="C474" i="1"/>
  <c r="D474" i="1"/>
  <c r="E474" i="1"/>
  <c r="F474" i="1"/>
  <c r="G474" i="1"/>
  <c r="H474" i="1"/>
  <c r="I474" i="1"/>
  <c r="J474" i="1"/>
  <c r="B475" i="1"/>
  <c r="C475" i="1"/>
  <c r="D475" i="1"/>
  <c r="E475" i="1"/>
  <c r="F475" i="1"/>
  <c r="G475" i="1"/>
  <c r="H475" i="1"/>
  <c r="I475" i="1"/>
  <c r="J475" i="1"/>
  <c r="B476" i="1"/>
  <c r="C476" i="1"/>
  <c r="D476" i="1"/>
  <c r="E476" i="1"/>
  <c r="F476" i="1"/>
  <c r="G476" i="1"/>
  <c r="H476" i="1"/>
  <c r="I476" i="1"/>
  <c r="J476" i="1"/>
  <c r="B477" i="1"/>
  <c r="C477" i="1"/>
  <c r="D477" i="1"/>
  <c r="E477" i="1"/>
  <c r="F477" i="1"/>
  <c r="G477" i="1"/>
  <c r="H477" i="1"/>
  <c r="I477" i="1"/>
  <c r="J477" i="1"/>
  <c r="B478" i="1"/>
  <c r="C478" i="1"/>
  <c r="D478" i="1"/>
  <c r="E478" i="1"/>
  <c r="F478" i="1"/>
  <c r="G478" i="1"/>
  <c r="H478" i="1"/>
  <c r="I478" i="1"/>
  <c r="J478" i="1"/>
  <c r="B479" i="1"/>
  <c r="C479" i="1"/>
  <c r="D479" i="1"/>
  <c r="E479" i="1"/>
  <c r="F479" i="1"/>
  <c r="G479" i="1"/>
  <c r="H479" i="1"/>
  <c r="I479" i="1"/>
  <c r="J479" i="1"/>
  <c r="B480" i="1"/>
  <c r="C480" i="1"/>
  <c r="D480" i="1"/>
  <c r="E480" i="1"/>
  <c r="F480" i="1"/>
  <c r="G480" i="1"/>
  <c r="H480" i="1"/>
  <c r="I480" i="1"/>
  <c r="J480" i="1"/>
  <c r="B481" i="1"/>
  <c r="C481" i="1"/>
  <c r="D481" i="1"/>
  <c r="E481" i="1"/>
  <c r="F481" i="1"/>
  <c r="G481" i="1"/>
  <c r="H481" i="1"/>
  <c r="I481" i="1"/>
  <c r="J481" i="1"/>
  <c r="B482" i="1"/>
  <c r="C482" i="1"/>
  <c r="D482" i="1"/>
  <c r="E482" i="1"/>
  <c r="F482" i="1"/>
  <c r="G482" i="1"/>
  <c r="H482" i="1"/>
  <c r="I482" i="1"/>
  <c r="J482" i="1"/>
  <c r="B483" i="1"/>
  <c r="C483" i="1"/>
  <c r="D483" i="1"/>
  <c r="E483" i="1"/>
  <c r="F483" i="1"/>
  <c r="G483" i="1"/>
  <c r="H483" i="1"/>
  <c r="I483" i="1"/>
  <c r="J483" i="1"/>
  <c r="B484" i="1"/>
  <c r="C484" i="1"/>
  <c r="D484" i="1"/>
  <c r="E484" i="1"/>
  <c r="F484" i="1"/>
  <c r="G484" i="1"/>
  <c r="H484" i="1"/>
  <c r="I484" i="1"/>
  <c r="J484" i="1"/>
  <c r="B485" i="1"/>
  <c r="C485" i="1"/>
  <c r="D485" i="1"/>
  <c r="E485" i="1"/>
  <c r="F485" i="1"/>
  <c r="G485" i="1"/>
  <c r="H485" i="1"/>
  <c r="I485" i="1"/>
  <c r="J485" i="1"/>
  <c r="B486" i="1"/>
  <c r="C486" i="1"/>
  <c r="D486" i="1"/>
  <c r="E486" i="1"/>
  <c r="F486" i="1"/>
  <c r="G486" i="1"/>
  <c r="H486" i="1"/>
  <c r="I486" i="1"/>
  <c r="J486" i="1"/>
  <c r="B487" i="1"/>
  <c r="C487" i="1"/>
  <c r="D487" i="1"/>
  <c r="E487" i="1"/>
  <c r="F487" i="1"/>
  <c r="G487" i="1"/>
  <c r="H487" i="1"/>
  <c r="I487" i="1"/>
  <c r="J487" i="1"/>
  <c r="B488" i="1"/>
  <c r="C488" i="1"/>
  <c r="D488" i="1"/>
  <c r="E488" i="1"/>
  <c r="F488" i="1"/>
  <c r="G488" i="1"/>
  <c r="H488" i="1"/>
  <c r="I488" i="1"/>
  <c r="J488" i="1"/>
  <c r="B489" i="1"/>
  <c r="C489" i="1"/>
  <c r="D489" i="1"/>
  <c r="E489" i="1"/>
  <c r="F489" i="1"/>
  <c r="G489" i="1"/>
  <c r="H489" i="1"/>
  <c r="I489" i="1"/>
  <c r="J489" i="1"/>
  <c r="B490" i="1"/>
  <c r="C490" i="1"/>
  <c r="D490" i="1"/>
  <c r="E490" i="1"/>
  <c r="F490" i="1"/>
  <c r="G490" i="1"/>
  <c r="H490" i="1"/>
  <c r="I490" i="1"/>
  <c r="J490" i="1"/>
  <c r="B491" i="1"/>
  <c r="C491" i="1"/>
  <c r="D491" i="1"/>
  <c r="E491" i="1"/>
  <c r="F491" i="1"/>
  <c r="G491" i="1"/>
  <c r="H491" i="1"/>
  <c r="I491" i="1"/>
  <c r="J491" i="1"/>
  <c r="B492" i="1"/>
  <c r="C492" i="1"/>
  <c r="D492" i="1"/>
  <c r="E492" i="1"/>
  <c r="F492" i="1"/>
  <c r="G492" i="1"/>
  <c r="H492" i="1"/>
  <c r="I492" i="1"/>
  <c r="J492" i="1"/>
  <c r="B493" i="1"/>
  <c r="C493" i="1"/>
  <c r="D493" i="1"/>
  <c r="E493" i="1"/>
  <c r="F493" i="1"/>
  <c r="G493" i="1"/>
  <c r="H493" i="1"/>
  <c r="I493" i="1"/>
  <c r="J493" i="1"/>
  <c r="B494" i="1"/>
  <c r="C494" i="1"/>
  <c r="D494" i="1"/>
  <c r="E494" i="1"/>
  <c r="F494" i="1"/>
  <c r="G494" i="1"/>
  <c r="H494" i="1"/>
  <c r="I494" i="1"/>
  <c r="J494" i="1"/>
  <c r="B495" i="1"/>
  <c r="C495" i="1"/>
  <c r="D495" i="1"/>
  <c r="E495" i="1"/>
  <c r="F495" i="1"/>
  <c r="G495" i="1"/>
  <c r="H495" i="1"/>
  <c r="I495" i="1"/>
  <c r="J495" i="1"/>
  <c r="B496" i="1"/>
  <c r="C496" i="1"/>
  <c r="D496" i="1"/>
  <c r="E496" i="1"/>
  <c r="F496" i="1"/>
  <c r="G496" i="1"/>
  <c r="H496" i="1"/>
  <c r="I496" i="1"/>
  <c r="J496" i="1"/>
  <c r="B497" i="1"/>
  <c r="C497" i="1"/>
  <c r="D497" i="1"/>
  <c r="E497" i="1"/>
  <c r="F497" i="1"/>
  <c r="G497" i="1"/>
  <c r="H497" i="1"/>
  <c r="I497" i="1"/>
  <c r="J497" i="1"/>
  <c r="B498" i="1"/>
  <c r="C498" i="1"/>
  <c r="D498" i="1"/>
  <c r="E498" i="1"/>
  <c r="F498" i="1"/>
  <c r="G498" i="1"/>
  <c r="H498" i="1"/>
  <c r="I498" i="1"/>
  <c r="J498" i="1"/>
  <c r="B499" i="1"/>
  <c r="C499" i="1"/>
  <c r="D499" i="1"/>
  <c r="E499" i="1"/>
  <c r="F499" i="1"/>
  <c r="G499" i="1"/>
  <c r="H499" i="1"/>
  <c r="I499" i="1"/>
  <c r="J499" i="1"/>
  <c r="B500" i="1"/>
  <c r="C500" i="1"/>
  <c r="D500" i="1"/>
  <c r="E500" i="1"/>
  <c r="F500" i="1"/>
  <c r="G500" i="1"/>
  <c r="H500" i="1"/>
  <c r="I500" i="1"/>
  <c r="J500" i="1"/>
  <c r="B501" i="1"/>
  <c r="C501" i="1"/>
  <c r="D501" i="1"/>
  <c r="E501" i="1"/>
  <c r="F501" i="1"/>
  <c r="G501" i="1"/>
  <c r="H501" i="1"/>
  <c r="I501" i="1"/>
  <c r="J501" i="1"/>
  <c r="B502" i="1"/>
  <c r="C502" i="1"/>
  <c r="D502" i="1"/>
  <c r="E502" i="1"/>
  <c r="F502" i="1"/>
  <c r="G502" i="1"/>
  <c r="H502" i="1"/>
  <c r="I502" i="1"/>
  <c r="J502" i="1"/>
  <c r="B503" i="1"/>
  <c r="C503" i="1"/>
  <c r="D503" i="1"/>
  <c r="E503" i="1"/>
  <c r="F503" i="1"/>
  <c r="G503" i="1"/>
  <c r="H503" i="1"/>
  <c r="I503" i="1"/>
  <c r="J503" i="1"/>
  <c r="B504" i="1"/>
  <c r="C504" i="1"/>
  <c r="D504" i="1"/>
  <c r="E504" i="1"/>
  <c r="F504" i="1"/>
  <c r="G504" i="1"/>
  <c r="H504" i="1"/>
  <c r="I504" i="1"/>
  <c r="J504" i="1"/>
  <c r="B505" i="1"/>
  <c r="C505" i="1"/>
  <c r="D505" i="1"/>
  <c r="E505" i="1"/>
  <c r="F505" i="1"/>
  <c r="G505" i="1"/>
  <c r="H505" i="1"/>
  <c r="I505" i="1"/>
  <c r="J505" i="1"/>
  <c r="B506" i="1"/>
  <c r="C506" i="1"/>
  <c r="D506" i="1"/>
  <c r="E506" i="1"/>
  <c r="F506" i="1"/>
  <c r="G506" i="1"/>
  <c r="H506" i="1"/>
  <c r="I506" i="1"/>
  <c r="J506" i="1"/>
  <c r="B507" i="1"/>
  <c r="C507" i="1"/>
  <c r="D507" i="1"/>
  <c r="E507" i="1"/>
  <c r="F507" i="1"/>
  <c r="G507" i="1"/>
  <c r="H507" i="1"/>
  <c r="I507" i="1"/>
  <c r="J507" i="1"/>
  <c r="B508" i="1"/>
  <c r="C508" i="1"/>
  <c r="D508" i="1"/>
  <c r="E508" i="1"/>
  <c r="F508" i="1"/>
  <c r="G508" i="1"/>
  <c r="H508" i="1"/>
  <c r="I508" i="1"/>
  <c r="J508" i="1"/>
  <c r="B509" i="1"/>
  <c r="C509" i="1"/>
  <c r="D509" i="1"/>
  <c r="E509" i="1"/>
  <c r="F509" i="1"/>
  <c r="G509" i="1"/>
  <c r="H509" i="1"/>
  <c r="I509" i="1"/>
  <c r="J509" i="1"/>
  <c r="B510" i="1"/>
  <c r="C510" i="1"/>
  <c r="D510" i="1"/>
  <c r="E510" i="1"/>
  <c r="F510" i="1"/>
  <c r="G510" i="1"/>
  <c r="H510" i="1"/>
  <c r="I510" i="1"/>
  <c r="J510" i="1"/>
  <c r="B511" i="1"/>
  <c r="C511" i="1"/>
  <c r="D511" i="1"/>
  <c r="E511" i="1"/>
  <c r="F511" i="1"/>
  <c r="G511" i="1"/>
  <c r="H511" i="1"/>
  <c r="I511" i="1"/>
  <c r="J511" i="1"/>
  <c r="B512" i="1"/>
  <c r="C512" i="1"/>
  <c r="D512" i="1"/>
  <c r="E512" i="1"/>
  <c r="F512" i="1"/>
  <c r="G512" i="1"/>
  <c r="H512" i="1"/>
  <c r="I512" i="1"/>
  <c r="J512" i="1"/>
  <c r="B513" i="1"/>
  <c r="C513" i="1"/>
  <c r="D513" i="1"/>
  <c r="E513" i="1"/>
  <c r="F513" i="1"/>
  <c r="G513" i="1"/>
  <c r="H513" i="1"/>
  <c r="I513" i="1"/>
  <c r="J513" i="1"/>
  <c r="B514" i="1"/>
  <c r="C514" i="1"/>
  <c r="D514" i="1"/>
  <c r="E514" i="1"/>
  <c r="F514" i="1"/>
  <c r="G514" i="1"/>
  <c r="H514" i="1"/>
  <c r="I514" i="1"/>
  <c r="J514" i="1"/>
  <c r="B515" i="1"/>
  <c r="C515" i="1"/>
  <c r="D515" i="1"/>
  <c r="E515" i="1"/>
  <c r="F515" i="1"/>
  <c r="G515" i="1"/>
  <c r="H515" i="1"/>
  <c r="I515" i="1"/>
  <c r="J515" i="1"/>
  <c r="B516" i="1"/>
  <c r="C516" i="1"/>
  <c r="D516" i="1"/>
  <c r="E516" i="1"/>
  <c r="F516" i="1"/>
  <c r="G516" i="1"/>
  <c r="H516" i="1"/>
  <c r="I516" i="1"/>
  <c r="J516" i="1"/>
  <c r="B517" i="1"/>
  <c r="C517" i="1"/>
  <c r="D517" i="1"/>
  <c r="E517" i="1"/>
  <c r="F517" i="1"/>
  <c r="G517" i="1"/>
  <c r="H517" i="1"/>
  <c r="I517" i="1"/>
  <c r="J517" i="1"/>
  <c r="B518" i="1"/>
  <c r="C518" i="1"/>
  <c r="D518" i="1"/>
  <c r="E518" i="1"/>
  <c r="F518" i="1"/>
  <c r="G518" i="1"/>
  <c r="H518" i="1"/>
  <c r="I518" i="1"/>
  <c r="J518" i="1"/>
  <c r="B519" i="1"/>
  <c r="C519" i="1"/>
  <c r="D519" i="1"/>
  <c r="E519" i="1"/>
  <c r="F519" i="1"/>
  <c r="G519" i="1"/>
  <c r="H519" i="1"/>
  <c r="I519" i="1"/>
  <c r="J519" i="1"/>
  <c r="B520" i="1"/>
  <c r="C520" i="1"/>
  <c r="D520" i="1"/>
  <c r="E520" i="1"/>
  <c r="F520" i="1"/>
  <c r="G520" i="1"/>
  <c r="H520" i="1"/>
  <c r="I520" i="1"/>
  <c r="J520" i="1"/>
  <c r="B521" i="1"/>
  <c r="C521" i="1"/>
  <c r="D521" i="1"/>
  <c r="E521" i="1"/>
  <c r="F521" i="1"/>
  <c r="G521" i="1"/>
  <c r="H521" i="1"/>
  <c r="I521" i="1"/>
  <c r="J521" i="1"/>
  <c r="B522" i="1"/>
  <c r="C522" i="1"/>
  <c r="D522" i="1"/>
  <c r="E522" i="1"/>
  <c r="F522" i="1"/>
  <c r="G522" i="1"/>
  <c r="H522" i="1"/>
  <c r="I522" i="1"/>
  <c r="J522" i="1"/>
  <c r="B523" i="1"/>
  <c r="C523" i="1"/>
  <c r="D523" i="1"/>
  <c r="E523" i="1"/>
  <c r="F523" i="1"/>
  <c r="G523" i="1"/>
  <c r="H523" i="1"/>
  <c r="I523" i="1"/>
  <c r="J523" i="1"/>
  <c r="B524" i="1"/>
  <c r="C524" i="1"/>
  <c r="D524" i="1"/>
  <c r="E524" i="1"/>
  <c r="F524" i="1"/>
  <c r="G524" i="1"/>
  <c r="H524" i="1"/>
  <c r="I524" i="1"/>
  <c r="J524" i="1"/>
  <c r="B525" i="1"/>
  <c r="C525" i="1"/>
  <c r="D525" i="1"/>
  <c r="E525" i="1"/>
  <c r="F525" i="1"/>
  <c r="G525" i="1"/>
  <c r="H525" i="1"/>
  <c r="I525" i="1"/>
  <c r="J525" i="1"/>
  <c r="B526" i="1"/>
  <c r="C526" i="1"/>
  <c r="D526" i="1"/>
  <c r="E526" i="1"/>
  <c r="F526" i="1"/>
  <c r="G526" i="1"/>
  <c r="H526" i="1"/>
  <c r="I526" i="1"/>
  <c r="J526" i="1"/>
  <c r="B527" i="1"/>
  <c r="C527" i="1"/>
  <c r="D527" i="1"/>
  <c r="E527" i="1"/>
  <c r="F527" i="1"/>
  <c r="G527" i="1"/>
  <c r="H527" i="1"/>
  <c r="I527" i="1"/>
  <c r="J527" i="1"/>
  <c r="B528" i="1"/>
  <c r="C528" i="1"/>
  <c r="D528" i="1"/>
  <c r="E528" i="1"/>
  <c r="F528" i="1"/>
  <c r="G528" i="1"/>
  <c r="H528" i="1"/>
  <c r="I528" i="1"/>
  <c r="J528" i="1"/>
  <c r="B529" i="1"/>
  <c r="C529" i="1"/>
  <c r="D529" i="1"/>
  <c r="E529" i="1"/>
  <c r="F529" i="1"/>
  <c r="G529" i="1"/>
  <c r="H529" i="1"/>
  <c r="I529" i="1"/>
  <c r="J529" i="1"/>
  <c r="B530" i="1"/>
  <c r="C530" i="1"/>
  <c r="D530" i="1"/>
  <c r="E530" i="1"/>
  <c r="F530" i="1"/>
  <c r="G530" i="1"/>
  <c r="H530" i="1"/>
  <c r="I530" i="1"/>
  <c r="J530" i="1"/>
  <c r="B531" i="1"/>
  <c r="C531" i="1"/>
  <c r="D531" i="1"/>
  <c r="E531" i="1"/>
  <c r="F531" i="1"/>
  <c r="G531" i="1"/>
  <c r="H531" i="1"/>
  <c r="I531" i="1"/>
  <c r="J531" i="1"/>
  <c r="B532" i="1"/>
  <c r="C532" i="1"/>
  <c r="D532" i="1"/>
  <c r="E532" i="1"/>
  <c r="F532" i="1"/>
  <c r="G532" i="1"/>
  <c r="H532" i="1"/>
  <c r="I532" i="1"/>
  <c r="J532" i="1"/>
  <c r="B533" i="1"/>
  <c r="C533" i="1"/>
  <c r="D533" i="1"/>
  <c r="E533" i="1"/>
  <c r="F533" i="1"/>
  <c r="G533" i="1"/>
  <c r="H533" i="1"/>
  <c r="I533" i="1"/>
  <c r="J533" i="1"/>
  <c r="B534" i="1"/>
  <c r="C534" i="1"/>
  <c r="D534" i="1"/>
  <c r="E534" i="1"/>
  <c r="F534" i="1"/>
  <c r="G534" i="1"/>
  <c r="H534" i="1"/>
  <c r="I534" i="1"/>
  <c r="J534" i="1"/>
  <c r="B535" i="1"/>
  <c r="C535" i="1"/>
  <c r="D535" i="1"/>
  <c r="E535" i="1"/>
  <c r="F535" i="1"/>
  <c r="G535" i="1"/>
  <c r="H535" i="1"/>
  <c r="I535" i="1"/>
  <c r="J535" i="1"/>
  <c r="B536" i="1"/>
  <c r="C536" i="1"/>
  <c r="D536" i="1"/>
  <c r="E536" i="1"/>
  <c r="F536" i="1"/>
  <c r="G536" i="1"/>
  <c r="H536" i="1"/>
  <c r="I536" i="1"/>
  <c r="J536" i="1"/>
  <c r="B537" i="1"/>
  <c r="C537" i="1"/>
  <c r="D537" i="1"/>
  <c r="E537" i="1"/>
  <c r="F537" i="1"/>
  <c r="G537" i="1"/>
  <c r="H537" i="1"/>
  <c r="I537" i="1"/>
  <c r="J537" i="1"/>
  <c r="B538" i="1"/>
  <c r="C538" i="1"/>
  <c r="D538" i="1"/>
  <c r="E538" i="1"/>
  <c r="F538" i="1"/>
  <c r="G538" i="1"/>
  <c r="H538" i="1"/>
  <c r="I538" i="1"/>
  <c r="J538" i="1"/>
  <c r="B539" i="1"/>
  <c r="C539" i="1"/>
  <c r="D539" i="1"/>
  <c r="E539" i="1"/>
  <c r="F539" i="1"/>
  <c r="G539" i="1"/>
  <c r="H539" i="1"/>
  <c r="I539" i="1"/>
  <c r="J539" i="1"/>
  <c r="B540" i="1"/>
  <c r="C540" i="1"/>
  <c r="D540" i="1"/>
  <c r="E540" i="1"/>
  <c r="F540" i="1"/>
  <c r="G540" i="1"/>
  <c r="H540" i="1"/>
  <c r="I540" i="1"/>
  <c r="J540" i="1"/>
  <c r="B541" i="1"/>
  <c r="C541" i="1"/>
  <c r="D541" i="1"/>
  <c r="E541" i="1"/>
  <c r="F541" i="1"/>
  <c r="G541" i="1"/>
  <c r="H541" i="1"/>
  <c r="I541" i="1"/>
  <c r="J541" i="1"/>
  <c r="B542" i="1"/>
  <c r="C542" i="1"/>
  <c r="D542" i="1"/>
  <c r="E542" i="1"/>
  <c r="F542" i="1"/>
  <c r="G542" i="1"/>
  <c r="H542" i="1"/>
  <c r="I542" i="1"/>
  <c r="J542" i="1"/>
  <c r="B543" i="1"/>
  <c r="C543" i="1"/>
  <c r="D543" i="1"/>
  <c r="E543" i="1"/>
  <c r="F543" i="1"/>
  <c r="G543" i="1"/>
  <c r="H543" i="1"/>
  <c r="I543" i="1"/>
  <c r="J543" i="1"/>
  <c r="B544" i="1"/>
  <c r="C544" i="1"/>
  <c r="D544" i="1"/>
  <c r="E544" i="1"/>
  <c r="F544" i="1"/>
  <c r="G544" i="1"/>
  <c r="H544" i="1"/>
  <c r="I544" i="1"/>
  <c r="J544" i="1"/>
  <c r="B545" i="1"/>
  <c r="C545" i="1"/>
  <c r="D545" i="1"/>
  <c r="E545" i="1"/>
  <c r="F545" i="1"/>
  <c r="G545" i="1"/>
  <c r="H545" i="1"/>
  <c r="I545" i="1"/>
  <c r="J545" i="1"/>
  <c r="B546" i="1"/>
  <c r="C546" i="1"/>
  <c r="D546" i="1"/>
  <c r="E546" i="1"/>
  <c r="F546" i="1"/>
  <c r="G546" i="1"/>
  <c r="H546" i="1"/>
  <c r="I546" i="1"/>
  <c r="J546" i="1"/>
  <c r="B547" i="1"/>
  <c r="C547" i="1"/>
  <c r="D547" i="1"/>
  <c r="E547" i="1"/>
  <c r="F547" i="1"/>
  <c r="G547" i="1"/>
  <c r="H547" i="1"/>
  <c r="I547" i="1"/>
  <c r="J547" i="1"/>
  <c r="B548" i="1"/>
  <c r="C548" i="1"/>
  <c r="D548" i="1"/>
  <c r="E548" i="1"/>
  <c r="F548" i="1"/>
  <c r="G548" i="1"/>
  <c r="H548" i="1"/>
  <c r="I548" i="1"/>
  <c r="J548" i="1"/>
  <c r="B549" i="1"/>
  <c r="C549" i="1"/>
  <c r="D549" i="1"/>
  <c r="E549" i="1"/>
  <c r="F549" i="1"/>
  <c r="G549" i="1"/>
  <c r="H549" i="1"/>
  <c r="I549" i="1"/>
  <c r="J549" i="1"/>
  <c r="B550" i="1"/>
  <c r="C550" i="1"/>
  <c r="D550" i="1"/>
  <c r="E550" i="1"/>
  <c r="F550" i="1"/>
  <c r="G550" i="1"/>
  <c r="H550" i="1"/>
  <c r="I550" i="1"/>
  <c r="J550" i="1"/>
  <c r="B551" i="1"/>
  <c r="C551" i="1"/>
  <c r="D551" i="1"/>
  <c r="E551" i="1"/>
  <c r="F551" i="1"/>
  <c r="G551" i="1"/>
  <c r="H551" i="1"/>
  <c r="I551" i="1"/>
  <c r="J551" i="1"/>
  <c r="B552" i="1"/>
  <c r="C552" i="1"/>
  <c r="D552" i="1"/>
  <c r="E552" i="1"/>
  <c r="F552" i="1"/>
  <c r="G552" i="1"/>
  <c r="H552" i="1"/>
  <c r="I552" i="1"/>
  <c r="J552" i="1"/>
  <c r="B553" i="1"/>
  <c r="C553" i="1"/>
  <c r="D553" i="1"/>
  <c r="E553" i="1"/>
  <c r="F553" i="1"/>
  <c r="G553" i="1"/>
  <c r="H553" i="1"/>
  <c r="I553" i="1"/>
  <c r="J553" i="1"/>
  <c r="B554" i="1"/>
  <c r="C554" i="1"/>
  <c r="D554" i="1"/>
  <c r="E554" i="1"/>
  <c r="F554" i="1"/>
  <c r="G554" i="1"/>
  <c r="H554" i="1"/>
  <c r="I554" i="1"/>
  <c r="J554" i="1"/>
  <c r="B555" i="1"/>
  <c r="C555" i="1"/>
  <c r="D555" i="1"/>
  <c r="E555" i="1"/>
  <c r="F555" i="1"/>
  <c r="G555" i="1"/>
  <c r="H555" i="1"/>
  <c r="I555" i="1"/>
  <c r="J555" i="1"/>
  <c r="B556" i="1"/>
  <c r="C556" i="1"/>
  <c r="D556" i="1"/>
  <c r="E556" i="1"/>
  <c r="F556" i="1"/>
  <c r="G556" i="1"/>
  <c r="H556" i="1"/>
  <c r="I556" i="1"/>
  <c r="J556" i="1"/>
  <c r="B557" i="1"/>
  <c r="C557" i="1"/>
  <c r="D557" i="1"/>
  <c r="E557" i="1"/>
  <c r="F557" i="1"/>
  <c r="G557" i="1"/>
  <c r="H557" i="1"/>
  <c r="I557" i="1"/>
  <c r="J557" i="1"/>
  <c r="B558" i="1"/>
  <c r="C558" i="1"/>
  <c r="D558" i="1"/>
  <c r="E558" i="1"/>
  <c r="F558" i="1"/>
  <c r="G558" i="1"/>
  <c r="H558" i="1"/>
  <c r="I558" i="1"/>
  <c r="J558" i="1"/>
  <c r="B559" i="1"/>
  <c r="C559" i="1"/>
  <c r="D559" i="1"/>
  <c r="E559" i="1"/>
  <c r="F559" i="1"/>
  <c r="G559" i="1"/>
  <c r="H559" i="1"/>
  <c r="I559" i="1"/>
  <c r="J559" i="1"/>
  <c r="B560" i="1"/>
  <c r="C560" i="1"/>
  <c r="D560" i="1"/>
  <c r="E560" i="1"/>
  <c r="F560" i="1"/>
  <c r="G560" i="1"/>
  <c r="H560" i="1"/>
  <c r="I560" i="1"/>
  <c r="J560" i="1"/>
  <c r="B561" i="1"/>
  <c r="C561" i="1"/>
  <c r="D561" i="1"/>
  <c r="E561" i="1"/>
  <c r="F561" i="1"/>
  <c r="G561" i="1"/>
  <c r="H561" i="1"/>
  <c r="I561" i="1"/>
  <c r="J561" i="1"/>
  <c r="B562" i="1"/>
  <c r="C562" i="1"/>
  <c r="D562" i="1"/>
  <c r="E562" i="1"/>
  <c r="F562" i="1"/>
  <c r="G562" i="1"/>
  <c r="H562" i="1"/>
  <c r="I562" i="1"/>
  <c r="J562" i="1"/>
  <c r="B563" i="1"/>
  <c r="C563" i="1"/>
  <c r="D563" i="1"/>
  <c r="E563" i="1"/>
  <c r="F563" i="1"/>
  <c r="G563" i="1"/>
  <c r="H563" i="1"/>
  <c r="I563" i="1"/>
  <c r="J563" i="1"/>
  <c r="B564" i="1"/>
  <c r="C564" i="1"/>
  <c r="D564" i="1"/>
  <c r="E564" i="1"/>
  <c r="F564" i="1"/>
  <c r="G564" i="1"/>
  <c r="H564" i="1"/>
  <c r="I564" i="1"/>
  <c r="J564" i="1"/>
  <c r="B565" i="1"/>
  <c r="C565" i="1"/>
  <c r="D565" i="1"/>
  <c r="E565" i="1"/>
  <c r="F565" i="1"/>
  <c r="G565" i="1"/>
  <c r="H565" i="1"/>
  <c r="I565" i="1"/>
  <c r="J565" i="1"/>
  <c r="B566" i="1"/>
  <c r="C566" i="1"/>
  <c r="D566" i="1"/>
  <c r="E566" i="1"/>
  <c r="F566" i="1"/>
  <c r="G566" i="1"/>
  <c r="H566" i="1"/>
  <c r="I566" i="1"/>
  <c r="J566" i="1"/>
  <c r="B567" i="1"/>
  <c r="C567" i="1"/>
  <c r="D567" i="1"/>
  <c r="E567" i="1"/>
  <c r="F567" i="1"/>
  <c r="G567" i="1"/>
  <c r="H567" i="1"/>
  <c r="I567" i="1"/>
  <c r="J567" i="1"/>
  <c r="B568" i="1"/>
  <c r="C568" i="1"/>
  <c r="D568" i="1"/>
  <c r="E568" i="1"/>
  <c r="F568" i="1"/>
  <c r="G568" i="1"/>
  <c r="H568" i="1"/>
  <c r="I568" i="1"/>
  <c r="J568" i="1"/>
  <c r="B569" i="1"/>
  <c r="C569" i="1"/>
  <c r="D569" i="1"/>
  <c r="E569" i="1"/>
  <c r="F569" i="1"/>
  <c r="G569" i="1"/>
  <c r="H569" i="1"/>
  <c r="I569" i="1"/>
  <c r="J569" i="1"/>
  <c r="B570" i="1"/>
  <c r="C570" i="1"/>
  <c r="D570" i="1"/>
  <c r="E570" i="1"/>
  <c r="F570" i="1"/>
  <c r="G570" i="1"/>
  <c r="H570" i="1"/>
  <c r="I570" i="1"/>
  <c r="J570" i="1"/>
  <c r="B571" i="1"/>
  <c r="C571" i="1"/>
  <c r="D571" i="1"/>
  <c r="E571" i="1"/>
  <c r="F571" i="1"/>
  <c r="G571" i="1"/>
  <c r="H571" i="1"/>
  <c r="I571" i="1"/>
  <c r="J571" i="1"/>
  <c r="B572" i="1"/>
  <c r="C572" i="1"/>
  <c r="D572" i="1"/>
  <c r="E572" i="1"/>
  <c r="F572" i="1"/>
  <c r="G572" i="1"/>
  <c r="H572" i="1"/>
  <c r="I572" i="1"/>
  <c r="J572" i="1"/>
  <c r="B573" i="1"/>
  <c r="C573" i="1"/>
  <c r="D573" i="1"/>
  <c r="E573" i="1"/>
  <c r="F573" i="1"/>
  <c r="G573" i="1"/>
  <c r="H573" i="1"/>
  <c r="I573" i="1"/>
  <c r="J573" i="1"/>
  <c r="B574" i="1"/>
  <c r="C574" i="1"/>
  <c r="D574" i="1"/>
  <c r="E574" i="1"/>
  <c r="F574" i="1"/>
  <c r="G574" i="1"/>
  <c r="H574" i="1"/>
  <c r="I574" i="1"/>
  <c r="J574" i="1"/>
  <c r="B575" i="1"/>
  <c r="C575" i="1"/>
  <c r="D575" i="1"/>
  <c r="E575" i="1"/>
  <c r="F575" i="1"/>
  <c r="G575" i="1"/>
  <c r="H575" i="1"/>
  <c r="I575" i="1"/>
  <c r="J575" i="1"/>
  <c r="B576" i="1"/>
  <c r="C576" i="1"/>
  <c r="D576" i="1"/>
  <c r="E576" i="1"/>
  <c r="F576" i="1"/>
  <c r="G576" i="1"/>
  <c r="H576" i="1"/>
  <c r="I576" i="1"/>
  <c r="J576" i="1"/>
  <c r="B577" i="1"/>
  <c r="C577" i="1"/>
  <c r="D577" i="1"/>
  <c r="E577" i="1"/>
  <c r="F577" i="1"/>
  <c r="G577" i="1"/>
  <c r="H577" i="1"/>
  <c r="I577" i="1"/>
  <c r="J577" i="1"/>
  <c r="B578" i="1"/>
  <c r="C578" i="1"/>
  <c r="D578" i="1"/>
  <c r="E578" i="1"/>
  <c r="F578" i="1"/>
  <c r="G578" i="1"/>
  <c r="H578" i="1"/>
  <c r="I578" i="1"/>
  <c r="J578" i="1"/>
  <c r="B579" i="1"/>
  <c r="C579" i="1"/>
  <c r="D579" i="1"/>
  <c r="E579" i="1"/>
  <c r="F579" i="1"/>
  <c r="G579" i="1"/>
  <c r="H579" i="1"/>
  <c r="I579" i="1"/>
  <c r="J579" i="1"/>
  <c r="B580" i="1"/>
  <c r="C580" i="1"/>
  <c r="D580" i="1"/>
  <c r="E580" i="1"/>
  <c r="F580" i="1"/>
  <c r="G580" i="1"/>
  <c r="H580" i="1"/>
  <c r="I580" i="1"/>
  <c r="J580" i="1"/>
  <c r="B581" i="1"/>
  <c r="C581" i="1"/>
  <c r="D581" i="1"/>
  <c r="E581" i="1"/>
  <c r="F581" i="1"/>
  <c r="G581" i="1"/>
  <c r="H581" i="1"/>
  <c r="I581" i="1"/>
  <c r="J581" i="1"/>
  <c r="B582" i="1"/>
  <c r="C582" i="1"/>
  <c r="D582" i="1"/>
  <c r="E582" i="1"/>
  <c r="F582" i="1"/>
  <c r="G582" i="1"/>
  <c r="H582" i="1"/>
  <c r="I582" i="1"/>
  <c r="J582" i="1"/>
  <c r="B583" i="1"/>
  <c r="C583" i="1"/>
  <c r="D583" i="1"/>
  <c r="E583" i="1"/>
  <c r="F583" i="1"/>
  <c r="G583" i="1"/>
  <c r="H583" i="1"/>
  <c r="I583" i="1"/>
  <c r="J583" i="1"/>
  <c r="B584" i="1"/>
  <c r="C584" i="1"/>
  <c r="D584" i="1"/>
  <c r="E584" i="1"/>
  <c r="F584" i="1"/>
  <c r="G584" i="1"/>
  <c r="H584" i="1"/>
  <c r="I584" i="1"/>
  <c r="J584" i="1"/>
  <c r="B585" i="1"/>
  <c r="C585" i="1"/>
  <c r="D585" i="1"/>
  <c r="E585" i="1"/>
  <c r="F585" i="1"/>
  <c r="G585" i="1"/>
  <c r="H585" i="1"/>
  <c r="I585" i="1"/>
  <c r="J585" i="1"/>
  <c r="B586" i="1"/>
  <c r="C586" i="1"/>
  <c r="D586" i="1"/>
  <c r="E586" i="1"/>
  <c r="F586" i="1"/>
  <c r="G586" i="1"/>
  <c r="H586" i="1"/>
  <c r="I586" i="1"/>
  <c r="J586" i="1"/>
  <c r="B587" i="1"/>
  <c r="C587" i="1"/>
  <c r="D587" i="1"/>
  <c r="E587" i="1"/>
  <c r="F587" i="1"/>
  <c r="G587" i="1"/>
  <c r="H587" i="1"/>
  <c r="I587" i="1"/>
  <c r="J587" i="1"/>
  <c r="B588" i="1"/>
  <c r="C588" i="1"/>
  <c r="D588" i="1"/>
  <c r="E588" i="1"/>
  <c r="F588" i="1"/>
  <c r="G588" i="1"/>
  <c r="H588" i="1"/>
  <c r="I588" i="1"/>
  <c r="J588" i="1"/>
  <c r="B589" i="1"/>
  <c r="C589" i="1"/>
  <c r="D589" i="1"/>
  <c r="E589" i="1"/>
  <c r="F589" i="1"/>
  <c r="G589" i="1"/>
  <c r="H589" i="1"/>
  <c r="I589" i="1"/>
  <c r="J589" i="1"/>
  <c r="B590" i="1"/>
  <c r="C590" i="1"/>
  <c r="D590" i="1"/>
  <c r="E590" i="1"/>
  <c r="F590" i="1"/>
  <c r="G590" i="1"/>
  <c r="H590" i="1"/>
  <c r="I590" i="1"/>
  <c r="J590" i="1"/>
  <c r="B591" i="1"/>
  <c r="C591" i="1"/>
  <c r="D591" i="1"/>
  <c r="E591" i="1"/>
  <c r="F591" i="1"/>
  <c r="G591" i="1"/>
  <c r="H591" i="1"/>
  <c r="I591" i="1"/>
  <c r="J591" i="1"/>
  <c r="B592" i="1"/>
  <c r="C592" i="1"/>
  <c r="D592" i="1"/>
  <c r="E592" i="1"/>
  <c r="F592" i="1"/>
  <c r="G592" i="1"/>
  <c r="H592" i="1"/>
  <c r="I592" i="1"/>
  <c r="J592" i="1"/>
  <c r="B593" i="1"/>
  <c r="C593" i="1"/>
  <c r="D593" i="1"/>
  <c r="E593" i="1"/>
  <c r="F593" i="1"/>
  <c r="G593" i="1"/>
  <c r="H593" i="1"/>
  <c r="I593" i="1"/>
  <c r="J593" i="1"/>
  <c r="B594" i="1"/>
  <c r="C594" i="1"/>
  <c r="D594" i="1"/>
  <c r="E594" i="1"/>
  <c r="F594" i="1"/>
  <c r="G594" i="1"/>
  <c r="H594" i="1"/>
  <c r="I594" i="1"/>
  <c r="J594" i="1"/>
  <c r="B595" i="1"/>
  <c r="C595" i="1"/>
  <c r="D595" i="1"/>
  <c r="E595" i="1"/>
  <c r="F595" i="1"/>
  <c r="G595" i="1"/>
  <c r="H595" i="1"/>
  <c r="I595" i="1"/>
  <c r="J595" i="1"/>
  <c r="B596" i="1"/>
  <c r="C596" i="1"/>
  <c r="D596" i="1"/>
  <c r="E596" i="1"/>
  <c r="F596" i="1"/>
  <c r="G596" i="1"/>
  <c r="H596" i="1"/>
  <c r="I596" i="1"/>
  <c r="J596" i="1"/>
  <c r="B597" i="1"/>
  <c r="C597" i="1"/>
  <c r="D597" i="1"/>
  <c r="E597" i="1"/>
  <c r="F597" i="1"/>
  <c r="G597" i="1"/>
  <c r="H597" i="1"/>
  <c r="I597" i="1"/>
  <c r="J597" i="1"/>
  <c r="B598" i="1"/>
  <c r="C598" i="1"/>
  <c r="D598" i="1"/>
  <c r="E598" i="1"/>
  <c r="F598" i="1"/>
  <c r="G598" i="1"/>
  <c r="H598" i="1"/>
  <c r="I598" i="1"/>
  <c r="J598" i="1"/>
  <c r="B599" i="1"/>
  <c r="C599" i="1"/>
  <c r="D599" i="1"/>
  <c r="E599" i="1"/>
  <c r="F599" i="1"/>
  <c r="G599" i="1"/>
  <c r="H599" i="1"/>
  <c r="I599" i="1"/>
  <c r="J599" i="1"/>
  <c r="B600" i="1"/>
  <c r="C600" i="1"/>
  <c r="D600" i="1"/>
  <c r="E600" i="1"/>
  <c r="F600" i="1"/>
  <c r="G600" i="1"/>
  <c r="H600" i="1"/>
  <c r="I600" i="1"/>
  <c r="J600" i="1"/>
  <c r="B601" i="1"/>
  <c r="C601" i="1"/>
  <c r="D601" i="1"/>
  <c r="E601" i="1"/>
  <c r="F601" i="1"/>
  <c r="G601" i="1"/>
  <c r="H601" i="1"/>
  <c r="I601" i="1"/>
  <c r="J601" i="1"/>
  <c r="B602" i="1"/>
  <c r="C602" i="1"/>
  <c r="D602" i="1"/>
  <c r="E602" i="1"/>
  <c r="F602" i="1"/>
  <c r="G602" i="1"/>
  <c r="H602" i="1"/>
  <c r="I602" i="1"/>
  <c r="J602" i="1"/>
  <c r="B603" i="1"/>
  <c r="C603" i="1"/>
  <c r="D603" i="1"/>
  <c r="E603" i="1"/>
  <c r="F603" i="1"/>
  <c r="G603" i="1"/>
  <c r="H603" i="1"/>
  <c r="I603" i="1"/>
  <c r="J603" i="1"/>
  <c r="B604" i="1"/>
  <c r="C604" i="1"/>
  <c r="D604" i="1"/>
  <c r="E604" i="1"/>
  <c r="F604" i="1"/>
  <c r="G604" i="1"/>
  <c r="H604" i="1"/>
  <c r="I604" i="1"/>
  <c r="J604" i="1"/>
  <c r="B605" i="1"/>
  <c r="C605" i="1"/>
  <c r="D605" i="1"/>
  <c r="E605" i="1"/>
  <c r="F605" i="1"/>
  <c r="G605" i="1"/>
  <c r="H605" i="1"/>
  <c r="I605" i="1"/>
  <c r="J605" i="1"/>
  <c r="B606" i="1"/>
  <c r="C606" i="1"/>
  <c r="D606" i="1"/>
  <c r="E606" i="1"/>
  <c r="F606" i="1"/>
  <c r="G606" i="1"/>
  <c r="H606" i="1"/>
  <c r="I606" i="1"/>
  <c r="J606" i="1"/>
  <c r="B607" i="1"/>
  <c r="C607" i="1"/>
  <c r="D607" i="1"/>
  <c r="E607" i="1"/>
  <c r="F607" i="1"/>
  <c r="G607" i="1"/>
  <c r="H607" i="1"/>
  <c r="I607" i="1"/>
  <c r="J607" i="1"/>
  <c r="B608" i="1"/>
  <c r="C608" i="1"/>
  <c r="D608" i="1"/>
  <c r="E608" i="1"/>
  <c r="F608" i="1"/>
  <c r="G608" i="1"/>
  <c r="H608" i="1"/>
  <c r="I608" i="1"/>
  <c r="J608" i="1"/>
  <c r="B609" i="1"/>
  <c r="C609" i="1"/>
  <c r="D609" i="1"/>
  <c r="E609" i="1"/>
  <c r="F609" i="1"/>
  <c r="G609" i="1"/>
  <c r="H609" i="1"/>
  <c r="I609" i="1"/>
  <c r="J609" i="1"/>
  <c r="B610" i="1"/>
  <c r="C610" i="1"/>
  <c r="D610" i="1"/>
  <c r="E610" i="1"/>
  <c r="F610" i="1"/>
  <c r="G610" i="1"/>
  <c r="H610" i="1"/>
  <c r="I610" i="1"/>
  <c r="J610" i="1"/>
  <c r="B611" i="1"/>
  <c r="C611" i="1"/>
  <c r="D611" i="1"/>
  <c r="E611" i="1"/>
  <c r="F611" i="1"/>
  <c r="G611" i="1"/>
  <c r="H611" i="1"/>
  <c r="I611" i="1"/>
  <c r="J611" i="1"/>
  <c r="B612" i="1"/>
  <c r="C612" i="1"/>
  <c r="D612" i="1"/>
  <c r="E612" i="1"/>
  <c r="F612" i="1"/>
  <c r="G612" i="1"/>
  <c r="H612" i="1"/>
  <c r="I612" i="1"/>
  <c r="J612" i="1"/>
  <c r="B613" i="1"/>
  <c r="C613" i="1"/>
  <c r="D613" i="1"/>
  <c r="E613" i="1"/>
  <c r="F613" i="1"/>
  <c r="G613" i="1"/>
  <c r="H613" i="1"/>
  <c r="I613" i="1"/>
  <c r="J613" i="1"/>
  <c r="B614" i="1"/>
  <c r="C614" i="1"/>
  <c r="D614" i="1"/>
  <c r="E614" i="1"/>
  <c r="F614" i="1"/>
  <c r="G614" i="1"/>
  <c r="H614" i="1"/>
  <c r="I614" i="1"/>
  <c r="J614" i="1"/>
  <c r="B615" i="1"/>
  <c r="C615" i="1"/>
  <c r="D615" i="1"/>
  <c r="E615" i="1"/>
  <c r="F615" i="1"/>
  <c r="G615" i="1"/>
  <c r="H615" i="1"/>
  <c r="I615" i="1"/>
  <c r="J615" i="1"/>
  <c r="B616" i="1"/>
  <c r="C616" i="1"/>
  <c r="D616" i="1"/>
  <c r="E616" i="1"/>
  <c r="F616" i="1"/>
  <c r="G616" i="1"/>
  <c r="H616" i="1"/>
  <c r="I616" i="1"/>
  <c r="J616" i="1"/>
  <c r="B617" i="1"/>
  <c r="C617" i="1"/>
  <c r="D617" i="1"/>
  <c r="E617" i="1"/>
  <c r="F617" i="1"/>
  <c r="G617" i="1"/>
  <c r="H617" i="1"/>
  <c r="I617" i="1"/>
  <c r="J617" i="1"/>
  <c r="B618" i="1"/>
  <c r="C618" i="1"/>
  <c r="D618" i="1"/>
  <c r="E618" i="1"/>
  <c r="F618" i="1"/>
  <c r="G618" i="1"/>
  <c r="H618" i="1"/>
  <c r="I618" i="1"/>
  <c r="J618" i="1"/>
  <c r="B619" i="1"/>
  <c r="C619" i="1"/>
  <c r="D619" i="1"/>
  <c r="E619" i="1"/>
  <c r="F619" i="1"/>
  <c r="G619" i="1"/>
  <c r="H619" i="1"/>
  <c r="I619" i="1"/>
  <c r="J619" i="1"/>
  <c r="B620" i="1"/>
  <c r="C620" i="1"/>
  <c r="D620" i="1"/>
  <c r="E620" i="1"/>
  <c r="F620" i="1"/>
  <c r="G620" i="1"/>
  <c r="H620" i="1"/>
  <c r="I620" i="1"/>
  <c r="J620" i="1"/>
  <c r="B621" i="1"/>
  <c r="C621" i="1"/>
  <c r="D621" i="1"/>
  <c r="E621" i="1"/>
  <c r="F621" i="1"/>
  <c r="G621" i="1"/>
  <c r="H621" i="1"/>
  <c r="I621" i="1"/>
  <c r="J621" i="1"/>
  <c r="B622" i="1"/>
  <c r="C622" i="1"/>
  <c r="D622" i="1"/>
  <c r="E622" i="1"/>
  <c r="F622" i="1"/>
  <c r="G622" i="1"/>
  <c r="H622" i="1"/>
  <c r="I622" i="1"/>
  <c r="J622" i="1"/>
  <c r="B623" i="1"/>
  <c r="C623" i="1"/>
  <c r="D623" i="1"/>
  <c r="E623" i="1"/>
  <c r="F623" i="1"/>
  <c r="G623" i="1"/>
  <c r="H623" i="1"/>
  <c r="I623" i="1"/>
  <c r="J623" i="1"/>
  <c r="B624" i="1"/>
  <c r="C624" i="1"/>
  <c r="D624" i="1"/>
  <c r="E624" i="1"/>
  <c r="F624" i="1"/>
  <c r="G624" i="1"/>
  <c r="H624" i="1"/>
  <c r="I624" i="1"/>
  <c r="J624" i="1"/>
  <c r="B625" i="1"/>
  <c r="C625" i="1"/>
  <c r="D625" i="1"/>
  <c r="E625" i="1"/>
  <c r="F625" i="1"/>
  <c r="G625" i="1"/>
  <c r="H625" i="1"/>
  <c r="I625" i="1"/>
  <c r="J625" i="1"/>
  <c r="B626" i="1"/>
  <c r="C626" i="1"/>
  <c r="D626" i="1"/>
  <c r="E626" i="1"/>
  <c r="F626" i="1"/>
  <c r="G626" i="1"/>
  <c r="H626" i="1"/>
  <c r="I626" i="1"/>
  <c r="J626" i="1"/>
  <c r="B627" i="1"/>
  <c r="C627" i="1"/>
  <c r="D627" i="1"/>
  <c r="E627" i="1"/>
  <c r="F627" i="1"/>
  <c r="G627" i="1"/>
  <c r="H627" i="1"/>
  <c r="I627" i="1"/>
  <c r="J627" i="1"/>
  <c r="B628" i="1"/>
  <c r="C628" i="1"/>
  <c r="D628" i="1"/>
  <c r="E628" i="1"/>
  <c r="F628" i="1"/>
  <c r="G628" i="1"/>
  <c r="H628" i="1"/>
  <c r="I628" i="1"/>
  <c r="J628" i="1"/>
  <c r="B629" i="1"/>
  <c r="C629" i="1"/>
  <c r="D629" i="1"/>
  <c r="E629" i="1"/>
  <c r="F629" i="1"/>
  <c r="G629" i="1"/>
  <c r="H629" i="1"/>
  <c r="I629" i="1"/>
  <c r="J629" i="1"/>
  <c r="B630" i="1"/>
  <c r="C630" i="1"/>
  <c r="D630" i="1"/>
  <c r="E630" i="1"/>
  <c r="F630" i="1"/>
  <c r="G630" i="1"/>
  <c r="H630" i="1"/>
  <c r="I630" i="1"/>
  <c r="J630" i="1"/>
  <c r="B631" i="1"/>
  <c r="C631" i="1"/>
  <c r="D631" i="1"/>
  <c r="E631" i="1"/>
  <c r="F631" i="1"/>
  <c r="G631" i="1"/>
  <c r="H631" i="1"/>
  <c r="I631" i="1"/>
  <c r="J631" i="1"/>
  <c r="B632" i="1"/>
  <c r="C632" i="1"/>
  <c r="D632" i="1"/>
  <c r="E632" i="1"/>
  <c r="F632" i="1"/>
  <c r="G632" i="1"/>
  <c r="H632" i="1"/>
  <c r="I632" i="1"/>
  <c r="J632" i="1"/>
  <c r="B633" i="1"/>
  <c r="C633" i="1"/>
  <c r="D633" i="1"/>
  <c r="E633" i="1"/>
  <c r="F633" i="1"/>
  <c r="G633" i="1"/>
  <c r="H633" i="1"/>
  <c r="I633" i="1"/>
  <c r="J633" i="1"/>
  <c r="B634" i="1"/>
  <c r="C634" i="1"/>
  <c r="D634" i="1"/>
  <c r="E634" i="1"/>
  <c r="F634" i="1"/>
  <c r="G634" i="1"/>
  <c r="H634" i="1"/>
  <c r="I634" i="1"/>
  <c r="J634" i="1"/>
  <c r="B635" i="1"/>
  <c r="C635" i="1"/>
  <c r="D635" i="1"/>
  <c r="E635" i="1"/>
  <c r="F635" i="1"/>
  <c r="G635" i="1"/>
  <c r="H635" i="1"/>
  <c r="I635" i="1"/>
  <c r="J635" i="1"/>
  <c r="B636" i="1"/>
  <c r="C636" i="1"/>
  <c r="D636" i="1"/>
  <c r="E636" i="1"/>
  <c r="F636" i="1"/>
  <c r="G636" i="1"/>
  <c r="H636" i="1"/>
  <c r="I636" i="1"/>
  <c r="J636" i="1"/>
  <c r="B637" i="1"/>
  <c r="C637" i="1"/>
  <c r="D637" i="1"/>
  <c r="E637" i="1"/>
  <c r="F637" i="1"/>
  <c r="G637" i="1"/>
  <c r="H637" i="1"/>
  <c r="I637" i="1"/>
  <c r="J637" i="1"/>
  <c r="B638" i="1"/>
  <c r="C638" i="1"/>
  <c r="D638" i="1"/>
  <c r="E638" i="1"/>
  <c r="F638" i="1"/>
  <c r="G638" i="1"/>
  <c r="H638" i="1"/>
  <c r="I638" i="1"/>
  <c r="J638" i="1"/>
  <c r="B639" i="1"/>
  <c r="C639" i="1"/>
  <c r="D639" i="1"/>
  <c r="E639" i="1"/>
  <c r="F639" i="1"/>
  <c r="G639" i="1"/>
  <c r="H639" i="1"/>
  <c r="I639" i="1"/>
  <c r="J639" i="1"/>
  <c r="B640" i="1"/>
  <c r="C640" i="1"/>
  <c r="D640" i="1"/>
  <c r="E640" i="1"/>
  <c r="F640" i="1"/>
  <c r="G640" i="1"/>
  <c r="H640" i="1"/>
  <c r="I640" i="1"/>
  <c r="J640" i="1"/>
  <c r="B641" i="1"/>
  <c r="C641" i="1"/>
  <c r="D641" i="1"/>
  <c r="E641" i="1"/>
  <c r="F641" i="1"/>
  <c r="G641" i="1"/>
  <c r="H641" i="1"/>
  <c r="I641" i="1"/>
  <c r="J641" i="1"/>
  <c r="B642" i="1"/>
  <c r="C642" i="1"/>
  <c r="D642" i="1"/>
  <c r="E642" i="1"/>
  <c r="F642" i="1"/>
  <c r="G642" i="1"/>
  <c r="H642" i="1"/>
  <c r="I642" i="1"/>
  <c r="J642" i="1"/>
  <c r="B643" i="1"/>
  <c r="C643" i="1"/>
  <c r="D643" i="1"/>
  <c r="E643" i="1"/>
  <c r="F643" i="1"/>
  <c r="G643" i="1"/>
  <c r="H643" i="1"/>
  <c r="I643" i="1"/>
  <c r="J643" i="1"/>
  <c r="B644" i="1"/>
  <c r="C644" i="1"/>
  <c r="D644" i="1"/>
  <c r="E644" i="1"/>
  <c r="F644" i="1"/>
  <c r="G644" i="1"/>
  <c r="H644" i="1"/>
  <c r="I644" i="1"/>
  <c r="J644" i="1"/>
  <c r="B645" i="1"/>
  <c r="C645" i="1"/>
  <c r="D645" i="1"/>
  <c r="E645" i="1"/>
  <c r="F645" i="1"/>
  <c r="G645" i="1"/>
  <c r="H645" i="1"/>
  <c r="I645" i="1"/>
  <c r="J645" i="1"/>
  <c r="B646" i="1"/>
  <c r="C646" i="1"/>
  <c r="D646" i="1"/>
  <c r="E646" i="1"/>
  <c r="F646" i="1"/>
  <c r="G646" i="1"/>
  <c r="H646" i="1"/>
  <c r="I646" i="1"/>
  <c r="J646" i="1"/>
  <c r="B647" i="1"/>
  <c r="C647" i="1"/>
  <c r="D647" i="1"/>
  <c r="E647" i="1"/>
  <c r="F647" i="1"/>
  <c r="G647" i="1"/>
  <c r="H647" i="1"/>
  <c r="I647" i="1"/>
  <c r="J647" i="1"/>
  <c r="B648" i="1"/>
  <c r="C648" i="1"/>
  <c r="D648" i="1"/>
  <c r="E648" i="1"/>
  <c r="F648" i="1"/>
  <c r="G648" i="1"/>
  <c r="H648" i="1"/>
  <c r="I648" i="1"/>
  <c r="J648" i="1"/>
  <c r="B649" i="1"/>
  <c r="C649" i="1"/>
  <c r="D649" i="1"/>
  <c r="E649" i="1"/>
  <c r="F649" i="1"/>
  <c r="G649" i="1"/>
  <c r="H649" i="1"/>
  <c r="I649" i="1"/>
  <c r="J649" i="1"/>
  <c r="B650" i="1"/>
  <c r="C650" i="1"/>
  <c r="D650" i="1"/>
  <c r="E650" i="1"/>
  <c r="F650" i="1"/>
  <c r="G650" i="1"/>
  <c r="H650" i="1"/>
  <c r="I650" i="1"/>
  <c r="J650" i="1"/>
  <c r="B651" i="1"/>
  <c r="C651" i="1"/>
  <c r="D651" i="1"/>
  <c r="E651" i="1"/>
  <c r="F651" i="1"/>
  <c r="G651" i="1"/>
  <c r="H651" i="1"/>
  <c r="I651" i="1"/>
  <c r="J651" i="1"/>
  <c r="B652" i="1"/>
  <c r="C652" i="1"/>
  <c r="D652" i="1"/>
  <c r="E652" i="1"/>
  <c r="F652" i="1"/>
  <c r="G652" i="1"/>
  <c r="H652" i="1"/>
  <c r="I652" i="1"/>
  <c r="J652" i="1"/>
  <c r="B653" i="1"/>
  <c r="C653" i="1"/>
  <c r="D653" i="1"/>
  <c r="E653" i="1"/>
  <c r="F653" i="1"/>
  <c r="G653" i="1"/>
  <c r="H653" i="1"/>
  <c r="I653" i="1"/>
  <c r="J653" i="1"/>
  <c r="B654" i="1"/>
  <c r="C654" i="1"/>
  <c r="D654" i="1"/>
  <c r="E654" i="1"/>
  <c r="F654" i="1"/>
  <c r="G654" i="1"/>
  <c r="H654" i="1"/>
  <c r="I654" i="1"/>
  <c r="J654" i="1"/>
  <c r="B655" i="1"/>
  <c r="C655" i="1"/>
  <c r="D655" i="1"/>
  <c r="E655" i="1"/>
  <c r="F655" i="1"/>
  <c r="G655" i="1"/>
  <c r="H655" i="1"/>
  <c r="I655" i="1"/>
  <c r="J655" i="1"/>
  <c r="B656" i="1"/>
  <c r="C656" i="1"/>
  <c r="D656" i="1"/>
  <c r="E656" i="1"/>
  <c r="F656" i="1"/>
  <c r="G656" i="1"/>
  <c r="H656" i="1"/>
  <c r="I656" i="1"/>
  <c r="J656" i="1"/>
  <c r="B657" i="1"/>
  <c r="C657" i="1"/>
  <c r="D657" i="1"/>
  <c r="E657" i="1"/>
  <c r="F657" i="1"/>
  <c r="G657" i="1"/>
  <c r="H657" i="1"/>
  <c r="I657" i="1"/>
  <c r="J657" i="1"/>
  <c r="B658" i="1"/>
  <c r="C658" i="1"/>
  <c r="D658" i="1"/>
  <c r="E658" i="1"/>
  <c r="F658" i="1"/>
  <c r="G658" i="1"/>
  <c r="H658" i="1"/>
  <c r="I658" i="1"/>
  <c r="J658" i="1"/>
  <c r="B659" i="1"/>
  <c r="C659" i="1"/>
  <c r="D659" i="1"/>
  <c r="E659" i="1"/>
  <c r="F659" i="1"/>
  <c r="G659" i="1"/>
  <c r="H659" i="1"/>
  <c r="I659" i="1"/>
  <c r="J659" i="1"/>
  <c r="B660" i="1"/>
  <c r="C660" i="1"/>
  <c r="D660" i="1"/>
  <c r="E660" i="1"/>
  <c r="F660" i="1"/>
  <c r="G660" i="1"/>
  <c r="H660" i="1"/>
  <c r="I660" i="1"/>
  <c r="J660" i="1"/>
  <c r="B661" i="1"/>
  <c r="C661" i="1"/>
  <c r="D661" i="1"/>
  <c r="E661" i="1"/>
  <c r="F661" i="1"/>
  <c r="G661" i="1"/>
  <c r="H661" i="1"/>
  <c r="I661" i="1"/>
  <c r="J661" i="1"/>
  <c r="B662" i="1"/>
  <c r="C662" i="1"/>
  <c r="D662" i="1"/>
  <c r="E662" i="1"/>
  <c r="F662" i="1"/>
  <c r="G662" i="1"/>
  <c r="H662" i="1"/>
  <c r="I662" i="1"/>
  <c r="J662" i="1"/>
  <c r="B663" i="1"/>
  <c r="C663" i="1"/>
  <c r="D663" i="1"/>
  <c r="E663" i="1"/>
  <c r="F663" i="1"/>
  <c r="G663" i="1"/>
  <c r="H663" i="1"/>
  <c r="I663" i="1"/>
  <c r="J663" i="1"/>
  <c r="B664" i="1"/>
  <c r="C664" i="1"/>
  <c r="D664" i="1"/>
  <c r="E664" i="1"/>
  <c r="F664" i="1"/>
  <c r="G664" i="1"/>
  <c r="H664" i="1"/>
  <c r="I664" i="1"/>
  <c r="J664" i="1"/>
  <c r="B665" i="1"/>
  <c r="C665" i="1"/>
  <c r="D665" i="1"/>
  <c r="E665" i="1"/>
  <c r="F665" i="1"/>
  <c r="G665" i="1"/>
  <c r="H665" i="1"/>
  <c r="I665" i="1"/>
  <c r="J665" i="1"/>
  <c r="B666" i="1"/>
  <c r="C666" i="1"/>
  <c r="D666" i="1"/>
  <c r="E666" i="1"/>
  <c r="F666" i="1"/>
  <c r="G666" i="1"/>
  <c r="H666" i="1"/>
  <c r="I666" i="1"/>
  <c r="J666" i="1"/>
  <c r="B667" i="1"/>
  <c r="C667" i="1"/>
  <c r="D667" i="1"/>
  <c r="E667" i="1"/>
  <c r="F667" i="1"/>
  <c r="G667" i="1"/>
  <c r="H667" i="1"/>
  <c r="I667" i="1"/>
  <c r="J667" i="1"/>
  <c r="B668" i="1"/>
  <c r="C668" i="1"/>
  <c r="D668" i="1"/>
  <c r="E668" i="1"/>
  <c r="F668" i="1"/>
  <c r="G668" i="1"/>
  <c r="H668" i="1"/>
  <c r="I668" i="1"/>
  <c r="J668" i="1"/>
  <c r="B669" i="1"/>
  <c r="C669" i="1"/>
  <c r="D669" i="1"/>
  <c r="E669" i="1"/>
  <c r="F669" i="1"/>
  <c r="G669" i="1"/>
  <c r="H669" i="1"/>
  <c r="I669" i="1"/>
  <c r="J669" i="1"/>
  <c r="B670" i="1"/>
  <c r="C670" i="1"/>
  <c r="D670" i="1"/>
  <c r="E670" i="1"/>
  <c r="F670" i="1"/>
  <c r="G670" i="1"/>
  <c r="H670" i="1"/>
  <c r="I670" i="1"/>
  <c r="J670" i="1"/>
  <c r="B671" i="1"/>
  <c r="C671" i="1"/>
  <c r="D671" i="1"/>
  <c r="E671" i="1"/>
  <c r="F671" i="1"/>
  <c r="G671" i="1"/>
  <c r="H671" i="1"/>
  <c r="I671" i="1"/>
  <c r="J671" i="1"/>
  <c r="B672" i="1"/>
  <c r="C672" i="1"/>
  <c r="D672" i="1"/>
  <c r="E672" i="1"/>
  <c r="F672" i="1"/>
  <c r="G672" i="1"/>
  <c r="H672" i="1"/>
  <c r="I672" i="1"/>
  <c r="J672" i="1"/>
  <c r="B673" i="1"/>
  <c r="C673" i="1"/>
  <c r="D673" i="1"/>
  <c r="E673" i="1"/>
  <c r="F673" i="1"/>
  <c r="G673" i="1"/>
  <c r="H673" i="1"/>
  <c r="I673" i="1"/>
  <c r="J673" i="1"/>
  <c r="B674" i="1"/>
  <c r="C674" i="1"/>
  <c r="D674" i="1"/>
  <c r="E674" i="1"/>
  <c r="F674" i="1"/>
  <c r="G674" i="1"/>
  <c r="H674" i="1"/>
  <c r="I674" i="1"/>
  <c r="J674" i="1"/>
  <c r="B675" i="1"/>
  <c r="C675" i="1"/>
  <c r="D675" i="1"/>
  <c r="E675" i="1"/>
  <c r="F675" i="1"/>
  <c r="G675" i="1"/>
  <c r="H675" i="1"/>
  <c r="I675" i="1"/>
  <c r="J675" i="1"/>
  <c r="B676" i="1"/>
  <c r="C676" i="1"/>
  <c r="D676" i="1"/>
  <c r="E676" i="1"/>
  <c r="F676" i="1"/>
  <c r="G676" i="1"/>
  <c r="H676" i="1"/>
  <c r="I676" i="1"/>
  <c r="J676" i="1"/>
  <c r="B677" i="1"/>
  <c r="C677" i="1"/>
  <c r="D677" i="1"/>
  <c r="E677" i="1"/>
  <c r="F677" i="1"/>
  <c r="G677" i="1"/>
  <c r="H677" i="1"/>
  <c r="I677" i="1"/>
  <c r="J677" i="1"/>
  <c r="B678" i="1"/>
  <c r="C678" i="1"/>
  <c r="D678" i="1"/>
  <c r="E678" i="1"/>
  <c r="F678" i="1"/>
  <c r="G678" i="1"/>
  <c r="H678" i="1"/>
  <c r="I678" i="1"/>
  <c r="J678" i="1"/>
  <c r="B679" i="1"/>
  <c r="C679" i="1"/>
  <c r="D679" i="1"/>
  <c r="E679" i="1"/>
  <c r="F679" i="1"/>
  <c r="G679" i="1"/>
  <c r="H679" i="1"/>
  <c r="I679" i="1"/>
  <c r="J679" i="1"/>
  <c r="B680" i="1"/>
  <c r="C680" i="1"/>
  <c r="D680" i="1"/>
  <c r="E680" i="1"/>
  <c r="F680" i="1"/>
  <c r="G680" i="1"/>
  <c r="H680" i="1"/>
  <c r="I680" i="1"/>
  <c r="J680" i="1"/>
  <c r="B681" i="1"/>
  <c r="C681" i="1"/>
  <c r="D681" i="1"/>
  <c r="E681" i="1"/>
  <c r="F681" i="1"/>
  <c r="G681" i="1"/>
  <c r="H681" i="1"/>
  <c r="I681" i="1"/>
  <c r="J681" i="1"/>
  <c r="B682" i="1"/>
  <c r="C682" i="1"/>
  <c r="D682" i="1"/>
  <c r="E682" i="1"/>
  <c r="F682" i="1"/>
  <c r="G682" i="1"/>
  <c r="H682" i="1"/>
  <c r="I682" i="1"/>
  <c r="J682" i="1"/>
  <c r="B683" i="1"/>
  <c r="C683" i="1"/>
  <c r="D683" i="1"/>
  <c r="E683" i="1"/>
  <c r="F683" i="1"/>
  <c r="G683" i="1"/>
  <c r="H683" i="1"/>
  <c r="I683" i="1"/>
  <c r="J683" i="1"/>
  <c r="B684" i="1"/>
  <c r="C684" i="1"/>
  <c r="D684" i="1"/>
  <c r="E684" i="1"/>
  <c r="F684" i="1"/>
  <c r="G684" i="1"/>
  <c r="H684" i="1"/>
  <c r="I684" i="1"/>
  <c r="J684" i="1"/>
  <c r="B685" i="1"/>
  <c r="C685" i="1"/>
  <c r="D685" i="1"/>
  <c r="E685" i="1"/>
  <c r="F685" i="1"/>
  <c r="G685" i="1"/>
  <c r="H685" i="1"/>
  <c r="I685" i="1"/>
  <c r="J685" i="1"/>
  <c r="B686" i="1"/>
  <c r="C686" i="1"/>
  <c r="D686" i="1"/>
  <c r="E686" i="1"/>
  <c r="F686" i="1"/>
  <c r="G686" i="1"/>
  <c r="H686" i="1"/>
  <c r="I686" i="1"/>
  <c r="J686" i="1"/>
  <c r="B687" i="1"/>
  <c r="C687" i="1"/>
  <c r="D687" i="1"/>
  <c r="E687" i="1"/>
  <c r="F687" i="1"/>
  <c r="G687" i="1"/>
  <c r="H687" i="1"/>
  <c r="I687" i="1"/>
  <c r="J687" i="1"/>
  <c r="B688" i="1"/>
  <c r="C688" i="1"/>
  <c r="D688" i="1"/>
  <c r="E688" i="1"/>
  <c r="F688" i="1"/>
  <c r="G688" i="1"/>
  <c r="H688" i="1"/>
  <c r="I688" i="1"/>
  <c r="J688" i="1"/>
  <c r="B689" i="1"/>
  <c r="C689" i="1"/>
  <c r="D689" i="1"/>
  <c r="E689" i="1"/>
  <c r="F689" i="1"/>
  <c r="G689" i="1"/>
  <c r="H689" i="1"/>
  <c r="I689" i="1"/>
  <c r="J689" i="1"/>
  <c r="B690" i="1"/>
  <c r="C690" i="1"/>
  <c r="D690" i="1"/>
  <c r="E690" i="1"/>
  <c r="F690" i="1"/>
  <c r="G690" i="1"/>
  <c r="H690" i="1"/>
  <c r="I690" i="1"/>
  <c r="J690" i="1"/>
  <c r="B691" i="1"/>
  <c r="C691" i="1"/>
  <c r="D691" i="1"/>
  <c r="E691" i="1"/>
  <c r="F691" i="1"/>
  <c r="G691" i="1"/>
  <c r="H691" i="1"/>
  <c r="I691" i="1"/>
  <c r="J691" i="1"/>
  <c r="B692" i="1"/>
  <c r="C692" i="1"/>
  <c r="D692" i="1"/>
  <c r="E692" i="1"/>
  <c r="F692" i="1"/>
  <c r="G692" i="1"/>
  <c r="H692" i="1"/>
  <c r="I692" i="1"/>
  <c r="J692" i="1"/>
  <c r="B693" i="1"/>
  <c r="C693" i="1"/>
  <c r="D693" i="1"/>
  <c r="E693" i="1"/>
  <c r="F693" i="1"/>
  <c r="G693" i="1"/>
  <c r="H693" i="1"/>
  <c r="I693" i="1"/>
  <c r="J693" i="1"/>
  <c r="B694" i="1"/>
  <c r="C694" i="1"/>
  <c r="D694" i="1"/>
  <c r="E694" i="1"/>
  <c r="F694" i="1"/>
  <c r="G694" i="1"/>
  <c r="H694" i="1"/>
  <c r="I694" i="1"/>
  <c r="J694" i="1"/>
  <c r="B695" i="1"/>
  <c r="C695" i="1"/>
  <c r="D695" i="1"/>
  <c r="E695" i="1"/>
  <c r="F695" i="1"/>
  <c r="G695" i="1"/>
  <c r="H695" i="1"/>
  <c r="I695" i="1"/>
  <c r="J695" i="1"/>
  <c r="B696" i="1"/>
  <c r="C696" i="1"/>
  <c r="D696" i="1"/>
  <c r="E696" i="1"/>
  <c r="F696" i="1"/>
  <c r="G696" i="1"/>
  <c r="H696" i="1"/>
  <c r="I696" i="1"/>
  <c r="J696" i="1"/>
  <c r="B697" i="1"/>
  <c r="C697" i="1"/>
  <c r="D697" i="1"/>
  <c r="E697" i="1"/>
  <c r="F697" i="1"/>
  <c r="G697" i="1"/>
  <c r="H697" i="1"/>
  <c r="I697" i="1"/>
  <c r="J697" i="1"/>
  <c r="B698" i="1"/>
  <c r="C698" i="1"/>
  <c r="D698" i="1"/>
  <c r="E698" i="1"/>
  <c r="F698" i="1"/>
  <c r="G698" i="1"/>
  <c r="H698" i="1"/>
  <c r="I698" i="1"/>
  <c r="J698" i="1"/>
  <c r="B699" i="1"/>
  <c r="C699" i="1"/>
  <c r="D699" i="1"/>
  <c r="E699" i="1"/>
  <c r="F699" i="1"/>
  <c r="G699" i="1"/>
  <c r="H699" i="1"/>
  <c r="I699" i="1"/>
  <c r="J699" i="1"/>
  <c r="B700" i="1"/>
  <c r="C700" i="1"/>
  <c r="D700" i="1"/>
  <c r="E700" i="1"/>
  <c r="F700" i="1"/>
  <c r="G700" i="1"/>
  <c r="H700" i="1"/>
  <c r="I700" i="1"/>
  <c r="J700" i="1"/>
  <c r="B701" i="1"/>
  <c r="C701" i="1"/>
  <c r="D701" i="1"/>
  <c r="E701" i="1"/>
  <c r="F701" i="1"/>
  <c r="G701" i="1"/>
  <c r="H701" i="1"/>
  <c r="I701" i="1"/>
  <c r="J701" i="1"/>
  <c r="B702" i="1"/>
  <c r="C702" i="1"/>
  <c r="D702" i="1"/>
  <c r="E702" i="1"/>
  <c r="F702" i="1"/>
  <c r="G702" i="1"/>
  <c r="H702" i="1"/>
  <c r="I702" i="1"/>
  <c r="J702" i="1"/>
  <c r="B703" i="1"/>
  <c r="C703" i="1"/>
  <c r="D703" i="1"/>
  <c r="E703" i="1"/>
  <c r="F703" i="1"/>
  <c r="G703" i="1"/>
  <c r="H703" i="1"/>
  <c r="I703" i="1"/>
  <c r="J703" i="1"/>
  <c r="B704" i="1"/>
  <c r="C704" i="1"/>
  <c r="D704" i="1"/>
  <c r="E704" i="1"/>
  <c r="F704" i="1"/>
  <c r="G704" i="1"/>
  <c r="H704" i="1"/>
  <c r="I704" i="1"/>
  <c r="J704" i="1"/>
  <c r="B705" i="1"/>
  <c r="C705" i="1"/>
  <c r="D705" i="1"/>
  <c r="E705" i="1"/>
  <c r="F705" i="1"/>
  <c r="G705" i="1"/>
  <c r="H705" i="1"/>
  <c r="I705" i="1"/>
  <c r="J705" i="1"/>
  <c r="B706" i="1"/>
  <c r="C706" i="1"/>
  <c r="D706" i="1"/>
  <c r="E706" i="1"/>
  <c r="F706" i="1"/>
  <c r="G706" i="1"/>
  <c r="H706" i="1"/>
  <c r="I706" i="1"/>
  <c r="J706" i="1"/>
  <c r="B707" i="1"/>
  <c r="C707" i="1"/>
  <c r="D707" i="1"/>
  <c r="E707" i="1"/>
  <c r="F707" i="1"/>
  <c r="G707" i="1"/>
  <c r="H707" i="1"/>
  <c r="I707" i="1"/>
  <c r="J707" i="1"/>
  <c r="B708" i="1"/>
  <c r="C708" i="1"/>
  <c r="D708" i="1"/>
  <c r="E708" i="1"/>
  <c r="F708" i="1"/>
  <c r="G708" i="1"/>
  <c r="H708" i="1"/>
  <c r="I708" i="1"/>
  <c r="J708" i="1"/>
  <c r="B709" i="1"/>
  <c r="C709" i="1"/>
  <c r="D709" i="1"/>
  <c r="E709" i="1"/>
  <c r="F709" i="1"/>
  <c r="G709" i="1"/>
  <c r="H709" i="1"/>
  <c r="I709" i="1"/>
  <c r="J709" i="1"/>
  <c r="B710" i="1"/>
  <c r="C710" i="1"/>
  <c r="D710" i="1"/>
  <c r="E710" i="1"/>
  <c r="F710" i="1"/>
  <c r="G710" i="1"/>
  <c r="H710" i="1"/>
  <c r="I710" i="1"/>
  <c r="J710" i="1"/>
  <c r="B711" i="1"/>
  <c r="C711" i="1"/>
  <c r="D711" i="1"/>
  <c r="E711" i="1"/>
  <c r="F711" i="1"/>
  <c r="G711" i="1"/>
  <c r="H711" i="1"/>
  <c r="I711" i="1"/>
  <c r="J711" i="1"/>
  <c r="B712" i="1"/>
  <c r="C712" i="1"/>
  <c r="D712" i="1"/>
  <c r="E712" i="1"/>
  <c r="F712" i="1"/>
  <c r="G712" i="1"/>
  <c r="H712" i="1"/>
  <c r="I712" i="1"/>
  <c r="J712" i="1"/>
  <c r="B713" i="1"/>
  <c r="C713" i="1"/>
  <c r="D713" i="1"/>
  <c r="E713" i="1"/>
  <c r="F713" i="1"/>
  <c r="G713" i="1"/>
  <c r="H713" i="1"/>
  <c r="I713" i="1"/>
  <c r="J713" i="1"/>
  <c r="B714" i="1"/>
  <c r="C714" i="1"/>
  <c r="D714" i="1"/>
  <c r="E714" i="1"/>
  <c r="F714" i="1"/>
  <c r="G714" i="1"/>
  <c r="H714" i="1"/>
  <c r="I714" i="1"/>
  <c r="J714" i="1"/>
  <c r="B715" i="1"/>
  <c r="C715" i="1"/>
  <c r="D715" i="1"/>
  <c r="E715" i="1"/>
  <c r="F715" i="1"/>
  <c r="G715" i="1"/>
  <c r="H715" i="1"/>
  <c r="I715" i="1"/>
  <c r="J715" i="1"/>
  <c r="B716" i="1"/>
  <c r="C716" i="1"/>
  <c r="D716" i="1"/>
  <c r="E716" i="1"/>
  <c r="F716" i="1"/>
  <c r="G716" i="1"/>
  <c r="H716" i="1"/>
  <c r="I716" i="1"/>
  <c r="J716" i="1"/>
  <c r="B717" i="1"/>
  <c r="C717" i="1"/>
  <c r="D717" i="1"/>
  <c r="E717" i="1"/>
  <c r="F717" i="1"/>
  <c r="G717" i="1"/>
  <c r="H717" i="1"/>
  <c r="I717" i="1"/>
  <c r="J717" i="1"/>
  <c r="B718" i="1"/>
  <c r="C718" i="1"/>
  <c r="D718" i="1"/>
  <c r="E718" i="1"/>
  <c r="F718" i="1"/>
  <c r="G718" i="1"/>
  <c r="H718" i="1"/>
  <c r="I718" i="1"/>
  <c r="J718" i="1"/>
  <c r="B719" i="1"/>
  <c r="C719" i="1"/>
  <c r="D719" i="1"/>
  <c r="E719" i="1"/>
  <c r="F719" i="1"/>
  <c r="G719" i="1"/>
  <c r="H719" i="1"/>
  <c r="I719" i="1"/>
  <c r="J719" i="1"/>
  <c r="B720" i="1"/>
  <c r="C720" i="1"/>
  <c r="D720" i="1"/>
  <c r="E720" i="1"/>
  <c r="F720" i="1"/>
  <c r="G720" i="1"/>
  <c r="H720" i="1"/>
  <c r="I720" i="1"/>
  <c r="J720" i="1"/>
  <c r="B721" i="1"/>
  <c r="C721" i="1"/>
  <c r="D721" i="1"/>
  <c r="E721" i="1"/>
  <c r="F721" i="1"/>
  <c r="G721" i="1"/>
  <c r="H721" i="1"/>
  <c r="I721" i="1"/>
  <c r="J721" i="1"/>
  <c r="B722" i="1"/>
  <c r="C722" i="1"/>
  <c r="D722" i="1"/>
  <c r="E722" i="1"/>
  <c r="F722" i="1"/>
  <c r="G722" i="1"/>
  <c r="H722" i="1"/>
  <c r="I722" i="1"/>
  <c r="J722" i="1"/>
  <c r="B723" i="1"/>
  <c r="C723" i="1"/>
  <c r="D723" i="1"/>
  <c r="E723" i="1"/>
  <c r="F723" i="1"/>
  <c r="G723" i="1"/>
  <c r="H723" i="1"/>
  <c r="I723" i="1"/>
  <c r="J723" i="1"/>
  <c r="B724" i="1"/>
  <c r="C724" i="1"/>
  <c r="D724" i="1"/>
  <c r="E724" i="1"/>
  <c r="F724" i="1"/>
  <c r="G724" i="1"/>
  <c r="H724" i="1"/>
  <c r="I724" i="1"/>
  <c r="J724" i="1"/>
  <c r="B725" i="1"/>
  <c r="C725" i="1"/>
  <c r="D725" i="1"/>
  <c r="E725" i="1"/>
  <c r="F725" i="1"/>
  <c r="G725" i="1"/>
  <c r="H725" i="1"/>
  <c r="I725" i="1"/>
  <c r="J725" i="1"/>
  <c r="B726" i="1"/>
  <c r="C726" i="1"/>
  <c r="D726" i="1"/>
  <c r="E726" i="1"/>
  <c r="F726" i="1"/>
  <c r="G726" i="1"/>
  <c r="H726" i="1"/>
  <c r="I726" i="1"/>
  <c r="J726" i="1"/>
  <c r="B727" i="1"/>
  <c r="C727" i="1"/>
  <c r="D727" i="1"/>
  <c r="E727" i="1"/>
  <c r="F727" i="1"/>
  <c r="G727" i="1"/>
  <c r="H727" i="1"/>
  <c r="I727" i="1"/>
  <c r="J727" i="1"/>
  <c r="B728" i="1"/>
  <c r="C728" i="1"/>
  <c r="D728" i="1"/>
  <c r="E728" i="1"/>
  <c r="F728" i="1"/>
  <c r="G728" i="1"/>
  <c r="H728" i="1"/>
  <c r="I728" i="1"/>
  <c r="J728" i="1"/>
  <c r="B729" i="1"/>
  <c r="C729" i="1"/>
  <c r="D729" i="1"/>
  <c r="E729" i="1"/>
  <c r="F729" i="1"/>
  <c r="G729" i="1"/>
  <c r="H729" i="1"/>
  <c r="I729" i="1"/>
  <c r="J729" i="1"/>
  <c r="B730" i="1"/>
  <c r="C730" i="1"/>
  <c r="D730" i="1"/>
  <c r="E730" i="1"/>
  <c r="F730" i="1"/>
  <c r="G730" i="1"/>
  <c r="H730" i="1"/>
  <c r="I730" i="1"/>
  <c r="J730" i="1"/>
  <c r="B731" i="1"/>
  <c r="C731" i="1"/>
  <c r="D731" i="1"/>
  <c r="E731" i="1"/>
  <c r="F731" i="1"/>
  <c r="G731" i="1"/>
  <c r="H731" i="1"/>
  <c r="I731" i="1"/>
  <c r="J731" i="1"/>
  <c r="B732" i="1"/>
  <c r="C732" i="1"/>
  <c r="D732" i="1"/>
  <c r="E732" i="1"/>
  <c r="F732" i="1"/>
  <c r="G732" i="1"/>
  <c r="H732" i="1"/>
  <c r="I732" i="1"/>
  <c r="J732" i="1"/>
  <c r="B733" i="1"/>
  <c r="C733" i="1"/>
  <c r="D733" i="1"/>
  <c r="E733" i="1"/>
  <c r="F733" i="1"/>
  <c r="G733" i="1"/>
  <c r="H733" i="1"/>
  <c r="I733" i="1"/>
  <c r="J733" i="1"/>
  <c r="B734" i="1"/>
  <c r="C734" i="1"/>
  <c r="D734" i="1"/>
  <c r="E734" i="1"/>
  <c r="F734" i="1"/>
  <c r="G734" i="1"/>
  <c r="H734" i="1"/>
  <c r="I734" i="1"/>
  <c r="J734" i="1"/>
  <c r="B735" i="1"/>
  <c r="C735" i="1"/>
  <c r="D735" i="1"/>
  <c r="E735" i="1"/>
  <c r="F735" i="1"/>
  <c r="G735" i="1"/>
  <c r="H735" i="1"/>
  <c r="I735" i="1"/>
  <c r="J735" i="1"/>
  <c r="B736" i="1"/>
  <c r="C736" i="1"/>
  <c r="D736" i="1"/>
  <c r="E736" i="1"/>
  <c r="F736" i="1"/>
  <c r="G736" i="1"/>
  <c r="H736" i="1"/>
  <c r="I736" i="1"/>
  <c r="J736" i="1"/>
  <c r="B737" i="1"/>
  <c r="C737" i="1"/>
  <c r="D737" i="1"/>
  <c r="E737" i="1"/>
  <c r="F737" i="1"/>
  <c r="G737" i="1"/>
  <c r="H737" i="1"/>
  <c r="I737" i="1"/>
  <c r="J737" i="1"/>
  <c r="B738" i="1"/>
  <c r="C738" i="1"/>
  <c r="D738" i="1"/>
  <c r="E738" i="1"/>
  <c r="F738" i="1"/>
  <c r="G738" i="1"/>
  <c r="H738" i="1"/>
  <c r="I738" i="1"/>
  <c r="J738" i="1"/>
  <c r="B739" i="1"/>
  <c r="C739" i="1"/>
  <c r="D739" i="1"/>
  <c r="E739" i="1"/>
  <c r="F739" i="1"/>
  <c r="G739" i="1"/>
  <c r="H739" i="1"/>
  <c r="I739" i="1"/>
  <c r="J739" i="1"/>
  <c r="B740" i="1"/>
  <c r="C740" i="1"/>
  <c r="D740" i="1"/>
  <c r="E740" i="1"/>
  <c r="F740" i="1"/>
  <c r="G740" i="1"/>
  <c r="H740" i="1"/>
  <c r="I740" i="1"/>
  <c r="J740" i="1"/>
  <c r="B741" i="1"/>
  <c r="C741" i="1"/>
  <c r="D741" i="1"/>
  <c r="E741" i="1"/>
  <c r="F741" i="1"/>
  <c r="G741" i="1"/>
  <c r="H741" i="1"/>
  <c r="I741" i="1"/>
  <c r="J741" i="1"/>
  <c r="B742" i="1"/>
  <c r="C742" i="1"/>
  <c r="D742" i="1"/>
  <c r="E742" i="1"/>
  <c r="F742" i="1"/>
  <c r="G742" i="1"/>
  <c r="H742" i="1"/>
  <c r="I742" i="1"/>
  <c r="J742" i="1"/>
  <c r="B743" i="1"/>
  <c r="C743" i="1"/>
  <c r="D743" i="1"/>
  <c r="E743" i="1"/>
  <c r="F743" i="1"/>
  <c r="G743" i="1"/>
  <c r="H743" i="1"/>
  <c r="I743" i="1"/>
  <c r="J743" i="1"/>
  <c r="B744" i="1"/>
  <c r="C744" i="1"/>
  <c r="D744" i="1"/>
  <c r="E744" i="1"/>
  <c r="F744" i="1"/>
  <c r="G744" i="1"/>
  <c r="H744" i="1"/>
  <c r="I744" i="1"/>
  <c r="J744" i="1"/>
  <c r="B745" i="1"/>
  <c r="C745" i="1"/>
  <c r="D745" i="1"/>
  <c r="E745" i="1"/>
  <c r="F745" i="1"/>
  <c r="G745" i="1"/>
  <c r="H745" i="1"/>
  <c r="I745" i="1"/>
  <c r="J745" i="1"/>
  <c r="B746" i="1"/>
  <c r="C746" i="1"/>
  <c r="D746" i="1"/>
  <c r="E746" i="1"/>
  <c r="F746" i="1"/>
  <c r="G746" i="1"/>
  <c r="H746" i="1"/>
  <c r="I746" i="1"/>
  <c r="J746" i="1"/>
  <c r="B747" i="1"/>
  <c r="C747" i="1"/>
  <c r="D747" i="1"/>
  <c r="E747" i="1"/>
  <c r="F747" i="1"/>
  <c r="G747" i="1"/>
  <c r="H747" i="1"/>
  <c r="I747" i="1"/>
  <c r="J747" i="1"/>
  <c r="B748" i="1"/>
  <c r="C748" i="1"/>
  <c r="D748" i="1"/>
  <c r="E748" i="1"/>
  <c r="F748" i="1"/>
  <c r="G748" i="1"/>
  <c r="H748" i="1"/>
  <c r="I748" i="1"/>
  <c r="J748" i="1"/>
  <c r="B749" i="1"/>
  <c r="C749" i="1"/>
  <c r="D749" i="1"/>
  <c r="E749" i="1"/>
  <c r="F749" i="1"/>
  <c r="G749" i="1"/>
  <c r="H749" i="1"/>
  <c r="I749" i="1"/>
  <c r="J749" i="1"/>
  <c r="B750" i="1"/>
  <c r="C750" i="1"/>
  <c r="D750" i="1"/>
  <c r="E750" i="1"/>
  <c r="F750" i="1"/>
  <c r="G750" i="1"/>
  <c r="H750" i="1"/>
  <c r="I750" i="1"/>
  <c r="J750" i="1"/>
  <c r="B751" i="1"/>
  <c r="C751" i="1"/>
  <c r="D751" i="1"/>
  <c r="E751" i="1"/>
  <c r="F751" i="1"/>
  <c r="G751" i="1"/>
  <c r="H751" i="1"/>
  <c r="I751" i="1"/>
  <c r="J751" i="1"/>
  <c r="B752" i="1"/>
  <c r="C752" i="1"/>
  <c r="D752" i="1"/>
  <c r="E752" i="1"/>
  <c r="F752" i="1"/>
  <c r="G752" i="1"/>
  <c r="H752" i="1"/>
  <c r="I752" i="1"/>
  <c r="J752" i="1"/>
  <c r="B753" i="1"/>
  <c r="C753" i="1"/>
  <c r="D753" i="1"/>
  <c r="E753" i="1"/>
  <c r="F753" i="1"/>
  <c r="G753" i="1"/>
  <c r="H753" i="1"/>
  <c r="I753" i="1"/>
  <c r="J753" i="1"/>
  <c r="B754" i="1"/>
  <c r="C754" i="1"/>
  <c r="D754" i="1"/>
  <c r="E754" i="1"/>
  <c r="F754" i="1"/>
  <c r="G754" i="1"/>
  <c r="H754" i="1"/>
  <c r="I754" i="1"/>
  <c r="J754" i="1"/>
  <c r="B755" i="1"/>
  <c r="C755" i="1"/>
  <c r="D755" i="1"/>
  <c r="E755" i="1"/>
  <c r="F755" i="1"/>
  <c r="G755" i="1"/>
  <c r="H755" i="1"/>
  <c r="I755" i="1"/>
  <c r="J755" i="1"/>
  <c r="B756" i="1"/>
  <c r="C756" i="1"/>
  <c r="D756" i="1"/>
  <c r="E756" i="1"/>
  <c r="F756" i="1"/>
  <c r="G756" i="1"/>
  <c r="H756" i="1"/>
  <c r="I756" i="1"/>
  <c r="J756" i="1"/>
  <c r="B757" i="1"/>
  <c r="C757" i="1"/>
  <c r="D757" i="1"/>
  <c r="E757" i="1"/>
  <c r="F757" i="1"/>
  <c r="G757" i="1"/>
  <c r="H757" i="1"/>
  <c r="I757" i="1"/>
  <c r="J757" i="1"/>
  <c r="B758" i="1"/>
  <c r="C758" i="1"/>
  <c r="D758" i="1"/>
  <c r="E758" i="1"/>
  <c r="F758" i="1"/>
  <c r="G758" i="1"/>
  <c r="H758" i="1"/>
  <c r="I758" i="1"/>
  <c r="J758" i="1"/>
  <c r="B759" i="1"/>
  <c r="C759" i="1"/>
  <c r="D759" i="1"/>
  <c r="E759" i="1"/>
  <c r="F759" i="1"/>
  <c r="G759" i="1"/>
  <c r="H759" i="1"/>
  <c r="I759" i="1"/>
  <c r="J759" i="1"/>
  <c r="B760" i="1"/>
  <c r="C760" i="1"/>
  <c r="D760" i="1"/>
  <c r="E760" i="1"/>
  <c r="F760" i="1"/>
  <c r="G760" i="1"/>
  <c r="H760" i="1"/>
  <c r="I760" i="1"/>
  <c r="J760" i="1"/>
  <c r="B761" i="1"/>
  <c r="C761" i="1"/>
  <c r="D761" i="1"/>
  <c r="E761" i="1"/>
  <c r="F761" i="1"/>
  <c r="G761" i="1"/>
  <c r="H761" i="1"/>
  <c r="I761" i="1"/>
  <c r="J761" i="1"/>
  <c r="B762" i="1"/>
  <c r="C762" i="1"/>
  <c r="D762" i="1"/>
  <c r="E762" i="1"/>
  <c r="F762" i="1"/>
  <c r="G762" i="1"/>
  <c r="H762" i="1"/>
  <c r="I762" i="1"/>
  <c r="J762" i="1"/>
  <c r="B763" i="1"/>
  <c r="C763" i="1"/>
  <c r="D763" i="1"/>
  <c r="E763" i="1"/>
  <c r="F763" i="1"/>
  <c r="G763" i="1"/>
  <c r="H763" i="1"/>
  <c r="I763" i="1"/>
  <c r="J763" i="1"/>
  <c r="B764" i="1"/>
  <c r="C764" i="1"/>
  <c r="D764" i="1"/>
  <c r="E764" i="1"/>
  <c r="F764" i="1"/>
  <c r="G764" i="1"/>
  <c r="H764" i="1"/>
  <c r="I764" i="1"/>
  <c r="J764" i="1"/>
  <c r="B765" i="1"/>
  <c r="C765" i="1"/>
  <c r="D765" i="1"/>
  <c r="E765" i="1"/>
  <c r="F765" i="1"/>
  <c r="G765" i="1"/>
  <c r="H765" i="1"/>
  <c r="I765" i="1"/>
  <c r="J765" i="1"/>
  <c r="B766" i="1"/>
  <c r="C766" i="1"/>
  <c r="D766" i="1"/>
  <c r="E766" i="1"/>
  <c r="F766" i="1"/>
  <c r="G766" i="1"/>
  <c r="H766" i="1"/>
  <c r="I766" i="1"/>
  <c r="J766" i="1"/>
  <c r="B767" i="1"/>
  <c r="C767" i="1"/>
  <c r="D767" i="1"/>
  <c r="E767" i="1"/>
  <c r="F767" i="1"/>
  <c r="G767" i="1"/>
  <c r="H767" i="1"/>
  <c r="I767" i="1"/>
  <c r="J767" i="1"/>
  <c r="B768" i="1"/>
  <c r="C768" i="1"/>
  <c r="D768" i="1"/>
  <c r="E768" i="1"/>
  <c r="F768" i="1"/>
  <c r="G768" i="1"/>
  <c r="H768" i="1"/>
  <c r="I768" i="1"/>
  <c r="J768" i="1"/>
  <c r="B769" i="1"/>
  <c r="C769" i="1"/>
  <c r="D769" i="1"/>
  <c r="E769" i="1"/>
  <c r="F769" i="1"/>
  <c r="G769" i="1"/>
  <c r="H769" i="1"/>
  <c r="I769" i="1"/>
  <c r="J769" i="1"/>
  <c r="B770" i="1"/>
  <c r="C770" i="1"/>
  <c r="D770" i="1"/>
  <c r="E770" i="1"/>
  <c r="F770" i="1"/>
  <c r="G770" i="1"/>
  <c r="H770" i="1"/>
  <c r="I770" i="1"/>
  <c r="J770" i="1"/>
  <c r="B771" i="1"/>
  <c r="C771" i="1"/>
  <c r="D771" i="1"/>
  <c r="E771" i="1"/>
  <c r="F771" i="1"/>
  <c r="G771" i="1"/>
  <c r="H771" i="1"/>
  <c r="I771" i="1"/>
  <c r="J771" i="1"/>
  <c r="B772" i="1"/>
  <c r="C772" i="1"/>
  <c r="D772" i="1"/>
  <c r="E772" i="1"/>
  <c r="F772" i="1"/>
  <c r="G772" i="1"/>
  <c r="H772" i="1"/>
  <c r="I772" i="1"/>
  <c r="J772" i="1"/>
  <c r="B773" i="1"/>
  <c r="C773" i="1"/>
  <c r="D773" i="1"/>
  <c r="E773" i="1"/>
  <c r="F773" i="1"/>
  <c r="G773" i="1"/>
  <c r="H773" i="1"/>
  <c r="I773" i="1"/>
  <c r="J773" i="1"/>
  <c r="B774" i="1"/>
  <c r="C774" i="1"/>
  <c r="D774" i="1"/>
  <c r="E774" i="1"/>
  <c r="F774" i="1"/>
  <c r="G774" i="1"/>
  <c r="H774" i="1"/>
  <c r="I774" i="1"/>
  <c r="J774" i="1"/>
  <c r="B775" i="1"/>
  <c r="C775" i="1"/>
  <c r="D775" i="1"/>
  <c r="E775" i="1"/>
  <c r="F775" i="1"/>
  <c r="G775" i="1"/>
  <c r="H775" i="1"/>
  <c r="I775" i="1"/>
  <c r="J775" i="1"/>
  <c r="B776" i="1"/>
  <c r="C776" i="1"/>
  <c r="D776" i="1"/>
  <c r="E776" i="1"/>
  <c r="F776" i="1"/>
  <c r="G776" i="1"/>
  <c r="H776" i="1"/>
  <c r="I776" i="1"/>
  <c r="J776" i="1"/>
  <c r="B777" i="1"/>
  <c r="C777" i="1"/>
  <c r="D777" i="1"/>
  <c r="E777" i="1"/>
  <c r="F777" i="1"/>
  <c r="G777" i="1"/>
  <c r="H777" i="1"/>
  <c r="I777" i="1"/>
  <c r="J777" i="1"/>
  <c r="B778" i="1"/>
  <c r="C778" i="1"/>
  <c r="D778" i="1"/>
  <c r="E778" i="1"/>
  <c r="F778" i="1"/>
  <c r="G778" i="1"/>
  <c r="H778" i="1"/>
  <c r="I778" i="1"/>
  <c r="J778" i="1"/>
  <c r="B779" i="1"/>
  <c r="C779" i="1"/>
  <c r="D779" i="1"/>
  <c r="E779" i="1"/>
  <c r="F779" i="1"/>
  <c r="G779" i="1"/>
  <c r="H779" i="1"/>
  <c r="I779" i="1"/>
  <c r="J779" i="1"/>
  <c r="B780" i="1"/>
  <c r="C780" i="1"/>
  <c r="D780" i="1"/>
  <c r="E780" i="1"/>
  <c r="F780" i="1"/>
  <c r="G780" i="1"/>
  <c r="H780" i="1"/>
  <c r="I780" i="1"/>
  <c r="J780" i="1"/>
  <c r="B781" i="1"/>
  <c r="C781" i="1"/>
  <c r="D781" i="1"/>
  <c r="E781" i="1"/>
  <c r="F781" i="1"/>
  <c r="G781" i="1"/>
  <c r="H781" i="1"/>
  <c r="I781" i="1"/>
  <c r="J781" i="1"/>
  <c r="B782" i="1"/>
  <c r="C782" i="1"/>
  <c r="D782" i="1"/>
  <c r="E782" i="1"/>
  <c r="F782" i="1"/>
  <c r="G782" i="1"/>
  <c r="H782" i="1"/>
  <c r="I782" i="1"/>
  <c r="J782" i="1"/>
  <c r="B783" i="1"/>
  <c r="C783" i="1"/>
  <c r="D783" i="1"/>
  <c r="E783" i="1"/>
  <c r="F783" i="1"/>
  <c r="G783" i="1"/>
  <c r="H783" i="1"/>
  <c r="I783" i="1"/>
  <c r="J783" i="1"/>
  <c r="B784" i="1"/>
  <c r="C784" i="1"/>
  <c r="D784" i="1"/>
  <c r="E784" i="1"/>
  <c r="F784" i="1"/>
  <c r="G784" i="1"/>
  <c r="H784" i="1"/>
  <c r="I784" i="1"/>
  <c r="J784" i="1"/>
  <c r="B785" i="1"/>
  <c r="C785" i="1"/>
  <c r="D785" i="1"/>
  <c r="E785" i="1"/>
  <c r="F785" i="1"/>
  <c r="G785" i="1"/>
  <c r="H785" i="1"/>
  <c r="I785" i="1"/>
  <c r="J785" i="1"/>
  <c r="B786" i="1"/>
  <c r="C786" i="1"/>
  <c r="D786" i="1"/>
  <c r="E786" i="1"/>
  <c r="F786" i="1"/>
  <c r="G786" i="1"/>
  <c r="H786" i="1"/>
  <c r="I786" i="1"/>
  <c r="J786" i="1"/>
  <c r="B787" i="1"/>
  <c r="C787" i="1"/>
  <c r="D787" i="1"/>
  <c r="E787" i="1"/>
  <c r="F787" i="1"/>
  <c r="G787" i="1"/>
  <c r="H787" i="1"/>
  <c r="I787" i="1"/>
  <c r="J787" i="1"/>
  <c r="B788" i="1"/>
  <c r="C788" i="1"/>
  <c r="D788" i="1"/>
  <c r="E788" i="1"/>
  <c r="F788" i="1"/>
  <c r="G788" i="1"/>
  <c r="H788" i="1"/>
  <c r="I788" i="1"/>
  <c r="J788" i="1"/>
  <c r="B789" i="1"/>
  <c r="C789" i="1"/>
  <c r="D789" i="1"/>
  <c r="E789" i="1"/>
  <c r="F789" i="1"/>
  <c r="G789" i="1"/>
  <c r="H789" i="1"/>
  <c r="I789" i="1"/>
  <c r="J789" i="1"/>
  <c r="B790" i="1"/>
  <c r="C790" i="1"/>
  <c r="D790" i="1"/>
  <c r="E790" i="1"/>
  <c r="F790" i="1"/>
  <c r="G790" i="1"/>
  <c r="H790" i="1"/>
  <c r="I790" i="1"/>
  <c r="J790" i="1"/>
  <c r="B791" i="1"/>
  <c r="C791" i="1"/>
  <c r="D791" i="1"/>
  <c r="E791" i="1"/>
  <c r="F791" i="1"/>
  <c r="G791" i="1"/>
  <c r="H791" i="1"/>
  <c r="I791" i="1"/>
  <c r="J791" i="1"/>
  <c r="B792" i="1"/>
  <c r="C792" i="1"/>
  <c r="D792" i="1"/>
  <c r="E792" i="1"/>
  <c r="F792" i="1"/>
  <c r="G792" i="1"/>
  <c r="H792" i="1"/>
  <c r="I792" i="1"/>
  <c r="J792" i="1"/>
  <c r="B793" i="1"/>
  <c r="C793" i="1"/>
  <c r="D793" i="1"/>
  <c r="E793" i="1"/>
  <c r="F793" i="1"/>
  <c r="G793" i="1"/>
  <c r="H793" i="1"/>
  <c r="I793" i="1"/>
  <c r="J793" i="1"/>
  <c r="B794" i="1"/>
  <c r="C794" i="1"/>
  <c r="D794" i="1"/>
  <c r="E794" i="1"/>
  <c r="F794" i="1"/>
  <c r="G794" i="1"/>
  <c r="H794" i="1"/>
  <c r="I794" i="1"/>
  <c r="J794" i="1"/>
  <c r="B795" i="1"/>
  <c r="C795" i="1"/>
  <c r="D795" i="1"/>
  <c r="E795" i="1"/>
  <c r="F795" i="1"/>
  <c r="G795" i="1"/>
  <c r="H795" i="1"/>
  <c r="I795" i="1"/>
  <c r="J795" i="1"/>
  <c r="B796" i="1"/>
  <c r="C796" i="1"/>
  <c r="D796" i="1"/>
  <c r="E796" i="1"/>
  <c r="F796" i="1"/>
  <c r="G796" i="1"/>
  <c r="H796" i="1"/>
  <c r="I796" i="1"/>
  <c r="J796" i="1"/>
  <c r="B797" i="1"/>
  <c r="C797" i="1"/>
  <c r="D797" i="1"/>
  <c r="E797" i="1"/>
  <c r="F797" i="1"/>
  <c r="G797" i="1"/>
  <c r="H797" i="1"/>
  <c r="I797" i="1"/>
  <c r="J797" i="1"/>
  <c r="B798" i="1"/>
  <c r="C798" i="1"/>
  <c r="D798" i="1"/>
  <c r="E798" i="1"/>
  <c r="F798" i="1"/>
  <c r="G798" i="1"/>
  <c r="H798" i="1"/>
  <c r="I798" i="1"/>
  <c r="J798" i="1"/>
  <c r="B799" i="1"/>
  <c r="C799" i="1"/>
  <c r="D799" i="1"/>
  <c r="E799" i="1"/>
  <c r="F799" i="1"/>
  <c r="G799" i="1"/>
  <c r="H799" i="1"/>
  <c r="I799" i="1"/>
  <c r="J799" i="1"/>
  <c r="B800" i="1"/>
  <c r="C800" i="1"/>
  <c r="D800" i="1"/>
  <c r="E800" i="1"/>
  <c r="F800" i="1"/>
  <c r="G800" i="1"/>
  <c r="H800" i="1"/>
  <c r="I800" i="1"/>
  <c r="J800" i="1"/>
  <c r="B801" i="1"/>
  <c r="C801" i="1"/>
  <c r="D801" i="1"/>
  <c r="E801" i="1"/>
  <c r="F801" i="1"/>
  <c r="G801" i="1"/>
  <c r="H801" i="1"/>
  <c r="I801" i="1"/>
  <c r="J801" i="1"/>
  <c r="B802" i="1"/>
  <c r="C802" i="1"/>
  <c r="D802" i="1"/>
  <c r="E802" i="1"/>
  <c r="F802" i="1"/>
  <c r="G802" i="1"/>
  <c r="H802" i="1"/>
  <c r="I802" i="1"/>
  <c r="J802" i="1"/>
  <c r="B803" i="1"/>
  <c r="C803" i="1"/>
  <c r="D803" i="1"/>
  <c r="E803" i="1"/>
  <c r="F803" i="1"/>
  <c r="G803" i="1"/>
  <c r="H803" i="1"/>
  <c r="I803" i="1"/>
  <c r="J803" i="1"/>
  <c r="B804" i="1"/>
  <c r="C804" i="1"/>
  <c r="D804" i="1"/>
  <c r="E804" i="1"/>
  <c r="F804" i="1"/>
  <c r="G804" i="1"/>
  <c r="H804" i="1"/>
  <c r="I804" i="1"/>
  <c r="J804" i="1"/>
  <c r="B805" i="1"/>
  <c r="C805" i="1"/>
  <c r="D805" i="1"/>
  <c r="E805" i="1"/>
  <c r="F805" i="1"/>
  <c r="G805" i="1"/>
  <c r="H805" i="1"/>
  <c r="I805" i="1"/>
  <c r="J805" i="1"/>
  <c r="B806" i="1"/>
  <c r="C806" i="1"/>
  <c r="D806" i="1"/>
  <c r="E806" i="1"/>
  <c r="F806" i="1"/>
  <c r="G806" i="1"/>
  <c r="H806" i="1"/>
  <c r="I806" i="1"/>
  <c r="J806" i="1"/>
  <c r="B807" i="1"/>
  <c r="C807" i="1"/>
  <c r="D807" i="1"/>
  <c r="E807" i="1"/>
  <c r="F807" i="1"/>
  <c r="G807" i="1"/>
  <c r="H807" i="1"/>
  <c r="I807" i="1"/>
  <c r="J807" i="1"/>
  <c r="B808" i="1"/>
  <c r="C808" i="1"/>
  <c r="D808" i="1"/>
  <c r="E808" i="1"/>
  <c r="F808" i="1"/>
  <c r="G808" i="1"/>
  <c r="H808" i="1"/>
  <c r="I808" i="1"/>
  <c r="J808" i="1"/>
  <c r="B809" i="1"/>
  <c r="C809" i="1"/>
  <c r="D809" i="1"/>
  <c r="E809" i="1"/>
  <c r="F809" i="1"/>
  <c r="G809" i="1"/>
  <c r="H809" i="1"/>
  <c r="I809" i="1"/>
  <c r="J809" i="1"/>
  <c r="B810" i="1"/>
  <c r="C810" i="1"/>
  <c r="D810" i="1"/>
  <c r="E810" i="1"/>
  <c r="F810" i="1"/>
  <c r="G810" i="1"/>
  <c r="H810" i="1"/>
  <c r="I810" i="1"/>
  <c r="J810" i="1"/>
  <c r="B811" i="1"/>
  <c r="C811" i="1"/>
  <c r="D811" i="1"/>
  <c r="E811" i="1"/>
  <c r="F811" i="1"/>
  <c r="G811" i="1"/>
  <c r="H811" i="1"/>
  <c r="I811" i="1"/>
  <c r="J811" i="1"/>
  <c r="B812" i="1"/>
  <c r="C812" i="1"/>
  <c r="D812" i="1"/>
  <c r="E812" i="1"/>
  <c r="F812" i="1"/>
  <c r="G812" i="1"/>
  <c r="H812" i="1"/>
  <c r="I812" i="1"/>
  <c r="J812" i="1"/>
  <c r="B813" i="1"/>
  <c r="C813" i="1"/>
  <c r="D813" i="1"/>
  <c r="E813" i="1"/>
  <c r="F813" i="1"/>
  <c r="G813" i="1"/>
  <c r="H813" i="1"/>
  <c r="I813" i="1"/>
  <c r="J813" i="1"/>
  <c r="B814" i="1"/>
  <c r="C814" i="1"/>
  <c r="D814" i="1"/>
  <c r="E814" i="1"/>
  <c r="F814" i="1"/>
  <c r="G814" i="1"/>
  <c r="H814" i="1"/>
  <c r="I814" i="1"/>
  <c r="J814" i="1"/>
  <c r="B815" i="1"/>
  <c r="C815" i="1"/>
  <c r="D815" i="1"/>
  <c r="E815" i="1"/>
  <c r="F815" i="1"/>
  <c r="G815" i="1"/>
  <c r="H815" i="1"/>
  <c r="I815" i="1"/>
  <c r="J815" i="1"/>
  <c r="B816" i="1"/>
  <c r="C816" i="1"/>
  <c r="D816" i="1"/>
  <c r="E816" i="1"/>
  <c r="F816" i="1"/>
  <c r="G816" i="1"/>
  <c r="H816" i="1"/>
  <c r="I816" i="1"/>
  <c r="J816" i="1"/>
  <c r="B817" i="1"/>
  <c r="C817" i="1"/>
  <c r="D817" i="1"/>
  <c r="E817" i="1"/>
  <c r="F817" i="1"/>
  <c r="G817" i="1"/>
  <c r="H817" i="1"/>
  <c r="I817" i="1"/>
  <c r="J817" i="1"/>
  <c r="B818" i="1"/>
  <c r="C818" i="1"/>
  <c r="D818" i="1"/>
  <c r="E818" i="1"/>
  <c r="F818" i="1"/>
  <c r="G818" i="1"/>
  <c r="H818" i="1"/>
  <c r="I818" i="1"/>
  <c r="J818" i="1"/>
  <c r="B819" i="1"/>
  <c r="C819" i="1"/>
  <c r="D819" i="1"/>
  <c r="E819" i="1"/>
  <c r="F819" i="1"/>
  <c r="G819" i="1"/>
  <c r="H819" i="1"/>
  <c r="I819" i="1"/>
  <c r="J819" i="1"/>
  <c r="B820" i="1"/>
  <c r="C820" i="1"/>
  <c r="D820" i="1"/>
  <c r="E820" i="1"/>
  <c r="F820" i="1"/>
  <c r="G820" i="1"/>
  <c r="H820" i="1"/>
  <c r="I820" i="1"/>
  <c r="J820" i="1"/>
  <c r="B821" i="1"/>
  <c r="C821" i="1"/>
  <c r="D821" i="1"/>
  <c r="E821" i="1"/>
  <c r="F821" i="1"/>
  <c r="G821" i="1"/>
  <c r="H821" i="1"/>
  <c r="I821" i="1"/>
  <c r="J821" i="1"/>
  <c r="B822" i="1"/>
  <c r="C822" i="1"/>
  <c r="D822" i="1"/>
  <c r="E822" i="1"/>
  <c r="F822" i="1"/>
  <c r="G822" i="1"/>
  <c r="H822" i="1"/>
  <c r="I822" i="1"/>
  <c r="J822" i="1"/>
  <c r="B823" i="1"/>
  <c r="C823" i="1"/>
  <c r="D823" i="1"/>
  <c r="E823" i="1"/>
  <c r="F823" i="1"/>
  <c r="G823" i="1"/>
  <c r="H823" i="1"/>
  <c r="I823" i="1"/>
  <c r="J823" i="1"/>
  <c r="B824" i="1"/>
  <c r="C824" i="1"/>
  <c r="D824" i="1"/>
  <c r="E824" i="1"/>
  <c r="F824" i="1"/>
  <c r="G824" i="1"/>
  <c r="H824" i="1"/>
  <c r="I824" i="1"/>
  <c r="J824" i="1"/>
  <c r="B825" i="1"/>
  <c r="C825" i="1"/>
  <c r="D825" i="1"/>
  <c r="E825" i="1"/>
  <c r="F825" i="1"/>
  <c r="G825" i="1"/>
  <c r="H825" i="1"/>
  <c r="I825" i="1"/>
  <c r="J825" i="1"/>
  <c r="B826" i="1"/>
  <c r="C826" i="1"/>
  <c r="D826" i="1"/>
  <c r="E826" i="1"/>
  <c r="F826" i="1"/>
  <c r="G826" i="1"/>
  <c r="H826" i="1"/>
  <c r="I826" i="1"/>
  <c r="J826" i="1"/>
  <c r="B827" i="1"/>
  <c r="C827" i="1"/>
  <c r="D827" i="1"/>
  <c r="E827" i="1"/>
  <c r="F827" i="1"/>
  <c r="G827" i="1"/>
  <c r="H827" i="1"/>
  <c r="I827" i="1"/>
  <c r="J827" i="1"/>
  <c r="B828" i="1"/>
  <c r="C828" i="1"/>
  <c r="D828" i="1"/>
  <c r="E828" i="1"/>
  <c r="F828" i="1"/>
  <c r="G828" i="1"/>
  <c r="H828" i="1"/>
  <c r="I828" i="1"/>
  <c r="J828" i="1"/>
  <c r="B829" i="1"/>
  <c r="C829" i="1"/>
  <c r="D829" i="1"/>
  <c r="E829" i="1"/>
  <c r="F829" i="1"/>
  <c r="G829" i="1"/>
  <c r="H829" i="1"/>
  <c r="I829" i="1"/>
  <c r="J829" i="1"/>
  <c r="B830" i="1"/>
  <c r="C830" i="1"/>
  <c r="D830" i="1"/>
  <c r="E830" i="1"/>
  <c r="F830" i="1"/>
  <c r="G830" i="1"/>
  <c r="H830" i="1"/>
  <c r="I830" i="1"/>
  <c r="J830" i="1"/>
  <c r="B831" i="1"/>
  <c r="C831" i="1"/>
  <c r="D831" i="1"/>
  <c r="E831" i="1"/>
  <c r="F831" i="1"/>
  <c r="G831" i="1"/>
  <c r="H831" i="1"/>
  <c r="I831" i="1"/>
  <c r="J831" i="1"/>
  <c r="B832" i="1"/>
  <c r="C832" i="1"/>
  <c r="D832" i="1"/>
  <c r="E832" i="1"/>
  <c r="F832" i="1"/>
  <c r="G832" i="1"/>
  <c r="H832" i="1"/>
  <c r="I832" i="1"/>
  <c r="J832" i="1"/>
  <c r="B833" i="1"/>
  <c r="C833" i="1"/>
  <c r="D833" i="1"/>
  <c r="E833" i="1"/>
  <c r="F833" i="1"/>
  <c r="G833" i="1"/>
  <c r="H833" i="1"/>
  <c r="I833" i="1"/>
  <c r="J833" i="1"/>
  <c r="B834" i="1"/>
  <c r="C834" i="1"/>
  <c r="D834" i="1"/>
  <c r="E834" i="1"/>
  <c r="F834" i="1"/>
  <c r="G834" i="1"/>
  <c r="H834" i="1"/>
  <c r="I834" i="1"/>
  <c r="J834" i="1"/>
  <c r="B835" i="1"/>
  <c r="C835" i="1"/>
  <c r="D835" i="1"/>
  <c r="E835" i="1"/>
  <c r="F835" i="1"/>
  <c r="G835" i="1"/>
  <c r="H835" i="1"/>
  <c r="I835" i="1"/>
  <c r="J835" i="1"/>
  <c r="B836" i="1"/>
  <c r="C836" i="1"/>
  <c r="D836" i="1"/>
  <c r="E836" i="1"/>
  <c r="F836" i="1"/>
  <c r="G836" i="1"/>
  <c r="H836" i="1"/>
  <c r="I836" i="1"/>
  <c r="J836" i="1"/>
  <c r="B837" i="1"/>
  <c r="C837" i="1"/>
  <c r="D837" i="1"/>
  <c r="E837" i="1"/>
  <c r="F837" i="1"/>
  <c r="G837" i="1"/>
  <c r="H837" i="1"/>
  <c r="I837" i="1"/>
  <c r="J837" i="1"/>
  <c r="B838" i="1"/>
  <c r="C838" i="1"/>
  <c r="D838" i="1"/>
  <c r="E838" i="1"/>
  <c r="F838" i="1"/>
  <c r="G838" i="1"/>
  <c r="H838" i="1"/>
  <c r="I838" i="1"/>
  <c r="J838" i="1"/>
  <c r="B839" i="1"/>
  <c r="C839" i="1"/>
  <c r="D839" i="1"/>
  <c r="E839" i="1"/>
  <c r="F839" i="1"/>
  <c r="G839" i="1"/>
  <c r="H839" i="1"/>
  <c r="I839" i="1"/>
  <c r="J839" i="1"/>
  <c r="B840" i="1"/>
  <c r="C840" i="1"/>
  <c r="D840" i="1"/>
  <c r="E840" i="1"/>
  <c r="F840" i="1"/>
  <c r="G840" i="1"/>
  <c r="H840" i="1"/>
  <c r="I840" i="1"/>
  <c r="J840" i="1"/>
  <c r="B841" i="1"/>
  <c r="C841" i="1"/>
  <c r="D841" i="1"/>
  <c r="E841" i="1"/>
  <c r="F841" i="1"/>
  <c r="G841" i="1"/>
  <c r="H841" i="1"/>
  <c r="I841" i="1"/>
  <c r="J841" i="1"/>
  <c r="B842" i="1"/>
  <c r="C842" i="1"/>
  <c r="D842" i="1"/>
  <c r="E842" i="1"/>
  <c r="F842" i="1"/>
  <c r="G842" i="1"/>
  <c r="H842" i="1"/>
  <c r="I842" i="1"/>
  <c r="J842" i="1"/>
  <c r="B843" i="1"/>
  <c r="C843" i="1"/>
  <c r="D843" i="1"/>
  <c r="E843" i="1"/>
  <c r="F843" i="1"/>
  <c r="G843" i="1"/>
  <c r="H843" i="1"/>
  <c r="I843" i="1"/>
  <c r="J843" i="1"/>
  <c r="B844" i="1"/>
  <c r="C844" i="1"/>
  <c r="D844" i="1"/>
  <c r="E844" i="1"/>
  <c r="F844" i="1"/>
  <c r="G844" i="1"/>
  <c r="H844" i="1"/>
  <c r="I844" i="1"/>
  <c r="J844" i="1"/>
  <c r="B845" i="1"/>
  <c r="C845" i="1"/>
  <c r="D845" i="1"/>
  <c r="E845" i="1"/>
  <c r="F845" i="1"/>
  <c r="G845" i="1"/>
  <c r="H845" i="1"/>
  <c r="I845" i="1"/>
  <c r="J845" i="1"/>
  <c r="B846" i="1"/>
  <c r="C846" i="1"/>
  <c r="D846" i="1"/>
  <c r="E846" i="1"/>
  <c r="F846" i="1"/>
  <c r="G846" i="1"/>
  <c r="H846" i="1"/>
  <c r="I846" i="1"/>
  <c r="J846" i="1"/>
  <c r="B847" i="1"/>
  <c r="C847" i="1"/>
  <c r="D847" i="1"/>
  <c r="E847" i="1"/>
  <c r="F847" i="1"/>
  <c r="G847" i="1"/>
  <c r="H847" i="1"/>
  <c r="I847" i="1"/>
  <c r="J847" i="1"/>
  <c r="B848" i="1"/>
  <c r="C848" i="1"/>
  <c r="D848" i="1"/>
  <c r="E848" i="1"/>
  <c r="F848" i="1"/>
  <c r="G848" i="1"/>
  <c r="H848" i="1"/>
  <c r="I848" i="1"/>
  <c r="J848" i="1"/>
  <c r="B849" i="1"/>
  <c r="C849" i="1"/>
  <c r="D849" i="1"/>
  <c r="E849" i="1"/>
  <c r="F849" i="1"/>
  <c r="G849" i="1"/>
  <c r="H849" i="1"/>
  <c r="I849" i="1"/>
  <c r="J849" i="1"/>
  <c r="B850" i="1"/>
  <c r="C850" i="1"/>
  <c r="D850" i="1"/>
  <c r="E850" i="1"/>
  <c r="F850" i="1"/>
  <c r="G850" i="1"/>
  <c r="H850" i="1"/>
  <c r="I850" i="1"/>
  <c r="J850" i="1"/>
  <c r="B851" i="1"/>
  <c r="C851" i="1"/>
  <c r="D851" i="1"/>
  <c r="E851" i="1"/>
  <c r="F851" i="1"/>
  <c r="G851" i="1"/>
  <c r="H851" i="1"/>
  <c r="I851" i="1"/>
  <c r="J851" i="1"/>
  <c r="B852" i="1"/>
  <c r="C852" i="1"/>
  <c r="D852" i="1"/>
  <c r="E852" i="1"/>
  <c r="F852" i="1"/>
  <c r="G852" i="1"/>
  <c r="H852" i="1"/>
  <c r="I852" i="1"/>
  <c r="J852" i="1"/>
  <c r="B853" i="1"/>
  <c r="C853" i="1"/>
  <c r="D853" i="1"/>
  <c r="E853" i="1"/>
  <c r="F853" i="1"/>
  <c r="G853" i="1"/>
  <c r="H853" i="1"/>
  <c r="I853" i="1"/>
  <c r="J853" i="1"/>
  <c r="B854" i="1"/>
  <c r="C854" i="1"/>
  <c r="D854" i="1"/>
  <c r="E854" i="1"/>
  <c r="F854" i="1"/>
  <c r="G854" i="1"/>
  <c r="H854" i="1"/>
  <c r="I854" i="1"/>
  <c r="J854" i="1"/>
  <c r="B855" i="1"/>
  <c r="C855" i="1"/>
  <c r="D855" i="1"/>
  <c r="E855" i="1"/>
  <c r="F855" i="1"/>
  <c r="G855" i="1"/>
  <c r="H855" i="1"/>
  <c r="I855" i="1"/>
  <c r="J855" i="1"/>
  <c r="B856" i="1"/>
  <c r="C856" i="1"/>
  <c r="D856" i="1"/>
  <c r="E856" i="1"/>
  <c r="F856" i="1"/>
  <c r="G856" i="1"/>
  <c r="H856" i="1"/>
  <c r="I856" i="1"/>
  <c r="J856" i="1"/>
  <c r="B857" i="1"/>
  <c r="C857" i="1"/>
  <c r="D857" i="1"/>
  <c r="E857" i="1"/>
  <c r="F857" i="1"/>
  <c r="G857" i="1"/>
  <c r="H857" i="1"/>
  <c r="I857" i="1"/>
  <c r="J857" i="1"/>
  <c r="B858" i="1"/>
  <c r="C858" i="1"/>
  <c r="D858" i="1"/>
  <c r="E858" i="1"/>
  <c r="F858" i="1"/>
  <c r="G858" i="1"/>
  <c r="H858" i="1"/>
  <c r="I858" i="1"/>
  <c r="J858" i="1"/>
  <c r="B859" i="1"/>
  <c r="C859" i="1"/>
  <c r="D859" i="1"/>
  <c r="E859" i="1"/>
  <c r="F859" i="1"/>
  <c r="G859" i="1"/>
  <c r="H859" i="1"/>
  <c r="I859" i="1"/>
  <c r="J859" i="1"/>
  <c r="B860" i="1"/>
  <c r="C860" i="1"/>
  <c r="D860" i="1"/>
  <c r="E860" i="1"/>
  <c r="F860" i="1"/>
  <c r="G860" i="1"/>
  <c r="H860" i="1"/>
  <c r="I860" i="1"/>
  <c r="J860" i="1"/>
  <c r="B861" i="1"/>
  <c r="C861" i="1"/>
  <c r="D861" i="1"/>
  <c r="E861" i="1"/>
  <c r="F861" i="1"/>
  <c r="G861" i="1"/>
  <c r="H861" i="1"/>
  <c r="I861" i="1"/>
  <c r="J861" i="1"/>
  <c r="B862" i="1"/>
  <c r="C862" i="1"/>
  <c r="D862" i="1"/>
  <c r="E862" i="1"/>
  <c r="F862" i="1"/>
  <c r="G862" i="1"/>
  <c r="H862" i="1"/>
  <c r="I862" i="1"/>
  <c r="J862" i="1"/>
  <c r="B863" i="1"/>
  <c r="C863" i="1"/>
  <c r="D863" i="1"/>
  <c r="E863" i="1"/>
  <c r="F863" i="1"/>
  <c r="G863" i="1"/>
  <c r="H863" i="1"/>
  <c r="I863" i="1"/>
  <c r="J863" i="1"/>
  <c r="B864" i="1"/>
  <c r="C864" i="1"/>
  <c r="D864" i="1"/>
  <c r="E864" i="1"/>
  <c r="F864" i="1"/>
  <c r="G864" i="1"/>
  <c r="H864" i="1"/>
  <c r="I864" i="1"/>
  <c r="J864" i="1"/>
  <c r="B865" i="1"/>
  <c r="C865" i="1"/>
  <c r="D865" i="1"/>
  <c r="E865" i="1"/>
  <c r="F865" i="1"/>
  <c r="G865" i="1"/>
  <c r="H865" i="1"/>
  <c r="I865" i="1"/>
  <c r="J865" i="1"/>
  <c r="B866" i="1"/>
  <c r="C866" i="1"/>
  <c r="D866" i="1"/>
  <c r="E866" i="1"/>
  <c r="F866" i="1"/>
  <c r="G866" i="1"/>
  <c r="H866" i="1"/>
  <c r="I866" i="1"/>
  <c r="J866" i="1"/>
  <c r="B867" i="1"/>
  <c r="C867" i="1"/>
  <c r="D867" i="1"/>
  <c r="E867" i="1"/>
  <c r="F867" i="1"/>
  <c r="G867" i="1"/>
  <c r="H867" i="1"/>
  <c r="I867" i="1"/>
  <c r="J867" i="1"/>
  <c r="B868" i="1"/>
  <c r="C868" i="1"/>
  <c r="D868" i="1"/>
  <c r="E868" i="1"/>
  <c r="F868" i="1"/>
  <c r="G868" i="1"/>
  <c r="H868" i="1"/>
  <c r="I868" i="1"/>
  <c r="J868" i="1"/>
  <c r="B869" i="1"/>
  <c r="C869" i="1"/>
  <c r="D869" i="1"/>
  <c r="E869" i="1"/>
  <c r="F869" i="1"/>
  <c r="G869" i="1"/>
  <c r="H869" i="1"/>
  <c r="I869" i="1"/>
  <c r="J869" i="1"/>
  <c r="B870" i="1"/>
  <c r="C870" i="1"/>
  <c r="D870" i="1"/>
  <c r="E870" i="1"/>
  <c r="F870" i="1"/>
  <c r="G870" i="1"/>
  <c r="H870" i="1"/>
  <c r="I870" i="1"/>
  <c r="J870" i="1"/>
  <c r="B871" i="1"/>
  <c r="C871" i="1"/>
  <c r="D871" i="1"/>
  <c r="E871" i="1"/>
  <c r="F871" i="1"/>
  <c r="G871" i="1"/>
  <c r="H871" i="1"/>
  <c r="I871" i="1"/>
  <c r="J871" i="1"/>
  <c r="B872" i="1"/>
  <c r="C872" i="1"/>
  <c r="D872" i="1"/>
  <c r="E872" i="1"/>
  <c r="F872" i="1"/>
  <c r="G872" i="1"/>
  <c r="H872" i="1"/>
  <c r="I872" i="1"/>
  <c r="J872" i="1"/>
  <c r="B873" i="1"/>
  <c r="C873" i="1"/>
  <c r="D873" i="1"/>
  <c r="E873" i="1"/>
  <c r="F873" i="1"/>
  <c r="G873" i="1"/>
  <c r="H873" i="1"/>
  <c r="I873" i="1"/>
  <c r="J873" i="1"/>
  <c r="B874" i="1"/>
  <c r="C874" i="1"/>
  <c r="D874" i="1"/>
  <c r="E874" i="1"/>
  <c r="F874" i="1"/>
  <c r="G874" i="1"/>
  <c r="H874" i="1"/>
  <c r="I874" i="1"/>
  <c r="J874" i="1"/>
  <c r="B875" i="1"/>
  <c r="C875" i="1"/>
  <c r="D875" i="1"/>
  <c r="E875" i="1"/>
  <c r="F875" i="1"/>
  <c r="G875" i="1"/>
  <c r="H875" i="1"/>
  <c r="I875" i="1"/>
  <c r="J875" i="1"/>
  <c r="B876" i="1"/>
  <c r="C876" i="1"/>
  <c r="D876" i="1"/>
  <c r="E876" i="1"/>
  <c r="F876" i="1"/>
  <c r="G876" i="1"/>
  <c r="H876" i="1"/>
  <c r="I876" i="1"/>
  <c r="J876" i="1"/>
  <c r="B877" i="1"/>
  <c r="C877" i="1"/>
  <c r="D877" i="1"/>
  <c r="E877" i="1"/>
  <c r="F877" i="1"/>
  <c r="G877" i="1"/>
  <c r="H877" i="1"/>
  <c r="I877" i="1"/>
  <c r="J877" i="1"/>
  <c r="B878" i="1"/>
  <c r="C878" i="1"/>
  <c r="D878" i="1"/>
  <c r="E878" i="1"/>
  <c r="F878" i="1"/>
  <c r="G878" i="1"/>
  <c r="H878" i="1"/>
  <c r="I878" i="1"/>
  <c r="J878" i="1"/>
  <c r="B879" i="1"/>
  <c r="C879" i="1"/>
  <c r="D879" i="1"/>
  <c r="E879" i="1"/>
  <c r="F879" i="1"/>
  <c r="G879" i="1"/>
  <c r="H879" i="1"/>
  <c r="I879" i="1"/>
  <c r="J879" i="1"/>
  <c r="B880" i="1"/>
  <c r="C880" i="1"/>
  <c r="D880" i="1"/>
  <c r="E880" i="1"/>
  <c r="F880" i="1"/>
  <c r="G880" i="1"/>
  <c r="H880" i="1"/>
  <c r="I880" i="1"/>
  <c r="J880" i="1"/>
  <c r="B881" i="1"/>
  <c r="C881" i="1"/>
  <c r="D881" i="1"/>
  <c r="E881" i="1"/>
  <c r="F881" i="1"/>
  <c r="G881" i="1"/>
  <c r="H881" i="1"/>
  <c r="I881" i="1"/>
  <c r="J881" i="1"/>
  <c r="B882" i="1"/>
  <c r="C882" i="1"/>
  <c r="D882" i="1"/>
  <c r="E882" i="1"/>
  <c r="F882" i="1"/>
  <c r="G882" i="1"/>
  <c r="H882" i="1"/>
  <c r="I882" i="1"/>
  <c r="J882" i="1"/>
  <c r="B883" i="1"/>
  <c r="C883" i="1"/>
  <c r="D883" i="1"/>
  <c r="E883" i="1"/>
  <c r="F883" i="1"/>
  <c r="G883" i="1"/>
  <c r="H883" i="1"/>
  <c r="I883" i="1"/>
  <c r="J883" i="1"/>
  <c r="B884" i="1"/>
  <c r="C884" i="1"/>
  <c r="D884" i="1"/>
  <c r="E884" i="1"/>
  <c r="F884" i="1"/>
  <c r="G884" i="1"/>
  <c r="H884" i="1"/>
  <c r="I884" i="1"/>
  <c r="J884" i="1"/>
  <c r="B885" i="1"/>
  <c r="C885" i="1"/>
  <c r="D885" i="1"/>
  <c r="E885" i="1"/>
  <c r="F885" i="1"/>
  <c r="G885" i="1"/>
  <c r="H885" i="1"/>
  <c r="I885" i="1"/>
  <c r="J885" i="1"/>
  <c r="B886" i="1"/>
  <c r="C886" i="1"/>
  <c r="D886" i="1"/>
  <c r="E886" i="1"/>
  <c r="F886" i="1"/>
  <c r="G886" i="1"/>
  <c r="H886" i="1"/>
  <c r="I886" i="1"/>
  <c r="J886" i="1"/>
  <c r="B887" i="1"/>
  <c r="C887" i="1"/>
  <c r="D887" i="1"/>
  <c r="E887" i="1"/>
  <c r="F887" i="1"/>
  <c r="G887" i="1"/>
  <c r="H887" i="1"/>
  <c r="I887" i="1"/>
  <c r="J887" i="1"/>
  <c r="B888" i="1"/>
  <c r="C888" i="1"/>
  <c r="D888" i="1"/>
  <c r="E888" i="1"/>
  <c r="F888" i="1"/>
  <c r="G888" i="1"/>
  <c r="H888" i="1"/>
  <c r="I888" i="1"/>
  <c r="J888" i="1"/>
  <c r="B889" i="1"/>
  <c r="C889" i="1"/>
  <c r="D889" i="1"/>
  <c r="E889" i="1"/>
  <c r="F889" i="1"/>
  <c r="G889" i="1"/>
  <c r="H889" i="1"/>
  <c r="I889" i="1"/>
  <c r="J889" i="1"/>
  <c r="B890" i="1"/>
  <c r="C890" i="1"/>
  <c r="D890" i="1"/>
  <c r="E890" i="1"/>
  <c r="F890" i="1"/>
  <c r="G890" i="1"/>
  <c r="H890" i="1"/>
  <c r="I890" i="1"/>
  <c r="J890" i="1"/>
  <c r="B891" i="1"/>
  <c r="C891" i="1"/>
  <c r="D891" i="1"/>
  <c r="E891" i="1"/>
  <c r="F891" i="1"/>
  <c r="G891" i="1"/>
  <c r="H891" i="1"/>
  <c r="I891" i="1"/>
  <c r="J891" i="1"/>
  <c r="B892" i="1"/>
  <c r="C892" i="1"/>
  <c r="D892" i="1"/>
  <c r="E892" i="1"/>
  <c r="F892" i="1"/>
  <c r="G892" i="1"/>
  <c r="H892" i="1"/>
  <c r="I892" i="1"/>
  <c r="J892" i="1"/>
  <c r="B893" i="1"/>
  <c r="C893" i="1"/>
  <c r="D893" i="1"/>
  <c r="E893" i="1"/>
  <c r="F893" i="1"/>
  <c r="G893" i="1"/>
  <c r="H893" i="1"/>
  <c r="I893" i="1"/>
  <c r="J893" i="1"/>
  <c r="B894" i="1"/>
  <c r="C894" i="1"/>
  <c r="D894" i="1"/>
  <c r="E894" i="1"/>
  <c r="F894" i="1"/>
  <c r="G894" i="1"/>
  <c r="H894" i="1"/>
  <c r="I894" i="1"/>
  <c r="J894" i="1"/>
  <c r="B895" i="1"/>
  <c r="C895" i="1"/>
  <c r="D895" i="1"/>
  <c r="E895" i="1"/>
  <c r="F895" i="1"/>
  <c r="G895" i="1"/>
  <c r="H895" i="1"/>
  <c r="I895" i="1"/>
  <c r="J895" i="1"/>
  <c r="B896" i="1"/>
  <c r="C896" i="1"/>
  <c r="D896" i="1"/>
  <c r="E896" i="1"/>
  <c r="F896" i="1"/>
  <c r="G896" i="1"/>
  <c r="H896" i="1"/>
  <c r="I896" i="1"/>
  <c r="J896" i="1"/>
  <c r="B897" i="1"/>
  <c r="C897" i="1"/>
  <c r="D897" i="1"/>
  <c r="E897" i="1"/>
  <c r="F897" i="1"/>
  <c r="G897" i="1"/>
  <c r="H897" i="1"/>
  <c r="I897" i="1"/>
  <c r="J897" i="1"/>
  <c r="B898" i="1"/>
  <c r="C898" i="1"/>
  <c r="D898" i="1"/>
  <c r="E898" i="1"/>
  <c r="F898" i="1"/>
  <c r="G898" i="1"/>
  <c r="H898" i="1"/>
  <c r="I898" i="1"/>
  <c r="J898" i="1"/>
  <c r="B899" i="1"/>
  <c r="C899" i="1"/>
  <c r="D899" i="1"/>
  <c r="E899" i="1"/>
  <c r="F899" i="1"/>
  <c r="G899" i="1"/>
  <c r="H899" i="1"/>
  <c r="I899" i="1"/>
  <c r="J899" i="1"/>
  <c r="B900" i="1"/>
  <c r="C900" i="1"/>
  <c r="D900" i="1"/>
  <c r="E900" i="1"/>
  <c r="F900" i="1"/>
  <c r="G900" i="1"/>
  <c r="H900" i="1"/>
  <c r="I900" i="1"/>
  <c r="J900" i="1"/>
  <c r="B901" i="1"/>
  <c r="C901" i="1"/>
  <c r="D901" i="1"/>
  <c r="E901" i="1"/>
  <c r="F901" i="1"/>
  <c r="G901" i="1"/>
  <c r="H901" i="1"/>
  <c r="I901" i="1"/>
  <c r="J901" i="1"/>
  <c r="B902" i="1"/>
  <c r="C902" i="1"/>
  <c r="D902" i="1"/>
  <c r="E902" i="1"/>
  <c r="F902" i="1"/>
  <c r="G902" i="1"/>
  <c r="H902" i="1"/>
  <c r="I902" i="1"/>
  <c r="J902" i="1"/>
  <c r="B903" i="1"/>
  <c r="C903" i="1"/>
  <c r="D903" i="1"/>
  <c r="E903" i="1"/>
  <c r="F903" i="1"/>
  <c r="G903" i="1"/>
  <c r="H903" i="1"/>
  <c r="I903" i="1"/>
  <c r="J903" i="1"/>
  <c r="B904" i="1"/>
  <c r="C904" i="1"/>
  <c r="D904" i="1"/>
  <c r="E904" i="1"/>
  <c r="F904" i="1"/>
  <c r="G904" i="1"/>
  <c r="H904" i="1"/>
  <c r="I904" i="1"/>
  <c r="J904" i="1"/>
  <c r="B905" i="1"/>
  <c r="C905" i="1"/>
  <c r="D905" i="1"/>
  <c r="E905" i="1"/>
  <c r="F905" i="1"/>
  <c r="G905" i="1"/>
  <c r="H905" i="1"/>
  <c r="I905" i="1"/>
  <c r="J905" i="1"/>
  <c r="B906" i="1"/>
  <c r="C906" i="1"/>
  <c r="D906" i="1"/>
  <c r="E906" i="1"/>
  <c r="F906" i="1"/>
  <c r="G906" i="1"/>
  <c r="H906" i="1"/>
  <c r="I906" i="1"/>
  <c r="J906" i="1"/>
  <c r="B907" i="1"/>
  <c r="C907" i="1"/>
  <c r="D907" i="1"/>
  <c r="E907" i="1"/>
  <c r="F907" i="1"/>
  <c r="G907" i="1"/>
  <c r="H907" i="1"/>
  <c r="I907" i="1"/>
  <c r="J907" i="1"/>
  <c r="B908" i="1"/>
  <c r="C908" i="1"/>
  <c r="D908" i="1"/>
  <c r="E908" i="1"/>
  <c r="F908" i="1"/>
  <c r="G908" i="1"/>
  <c r="H908" i="1"/>
  <c r="I908" i="1"/>
  <c r="J908" i="1"/>
  <c r="B909" i="1"/>
  <c r="C909" i="1"/>
  <c r="D909" i="1"/>
  <c r="E909" i="1"/>
  <c r="F909" i="1"/>
  <c r="G909" i="1"/>
  <c r="H909" i="1"/>
  <c r="I909" i="1"/>
  <c r="J909" i="1"/>
  <c r="B910" i="1"/>
  <c r="C910" i="1"/>
  <c r="D910" i="1"/>
  <c r="E910" i="1"/>
  <c r="F910" i="1"/>
  <c r="G910" i="1"/>
  <c r="H910" i="1"/>
  <c r="I910" i="1"/>
  <c r="J910" i="1"/>
  <c r="B911" i="1"/>
  <c r="C911" i="1"/>
  <c r="D911" i="1"/>
  <c r="E911" i="1"/>
  <c r="F911" i="1"/>
  <c r="G911" i="1"/>
  <c r="H911" i="1"/>
  <c r="I911" i="1"/>
  <c r="J911" i="1"/>
  <c r="B912" i="1"/>
  <c r="C912" i="1"/>
  <c r="D912" i="1"/>
  <c r="E912" i="1"/>
  <c r="F912" i="1"/>
  <c r="G912" i="1"/>
  <c r="H912" i="1"/>
  <c r="I912" i="1"/>
  <c r="J912" i="1"/>
  <c r="B913" i="1"/>
  <c r="C913" i="1"/>
  <c r="D913" i="1"/>
  <c r="E913" i="1"/>
  <c r="F913" i="1"/>
  <c r="G913" i="1"/>
  <c r="H913" i="1"/>
  <c r="I913" i="1"/>
  <c r="J913" i="1"/>
  <c r="B914" i="1"/>
  <c r="C914" i="1"/>
  <c r="D914" i="1"/>
  <c r="E914" i="1"/>
  <c r="F914" i="1"/>
  <c r="G914" i="1"/>
  <c r="H914" i="1"/>
  <c r="I914" i="1"/>
  <c r="J914" i="1"/>
  <c r="B915" i="1"/>
  <c r="C915" i="1"/>
  <c r="D915" i="1"/>
  <c r="E915" i="1"/>
  <c r="F915" i="1"/>
  <c r="G915" i="1"/>
  <c r="H915" i="1"/>
  <c r="I915" i="1"/>
  <c r="J915" i="1"/>
  <c r="B916" i="1"/>
  <c r="C916" i="1"/>
  <c r="D916" i="1"/>
  <c r="E916" i="1"/>
  <c r="F916" i="1"/>
  <c r="G916" i="1"/>
  <c r="H916" i="1"/>
  <c r="I916" i="1"/>
  <c r="J916" i="1"/>
  <c r="B917" i="1"/>
  <c r="C917" i="1"/>
  <c r="D917" i="1"/>
  <c r="E917" i="1"/>
  <c r="F917" i="1"/>
  <c r="G917" i="1"/>
  <c r="H917" i="1"/>
  <c r="I917" i="1"/>
  <c r="J917" i="1"/>
  <c r="B918" i="1"/>
  <c r="C918" i="1"/>
  <c r="D918" i="1"/>
  <c r="E918" i="1"/>
  <c r="F918" i="1"/>
  <c r="G918" i="1"/>
  <c r="H918" i="1"/>
  <c r="I918" i="1"/>
  <c r="J918" i="1"/>
  <c r="B919" i="1"/>
  <c r="C919" i="1"/>
  <c r="D919" i="1"/>
  <c r="E919" i="1"/>
  <c r="F919" i="1"/>
  <c r="G919" i="1"/>
  <c r="H919" i="1"/>
  <c r="I919" i="1"/>
  <c r="J919" i="1"/>
  <c r="B920" i="1"/>
  <c r="C920" i="1"/>
  <c r="D920" i="1"/>
  <c r="E920" i="1"/>
  <c r="F920" i="1"/>
  <c r="G920" i="1"/>
  <c r="H920" i="1"/>
  <c r="I920" i="1"/>
  <c r="J920" i="1"/>
  <c r="B921" i="1"/>
  <c r="C921" i="1"/>
  <c r="D921" i="1"/>
  <c r="E921" i="1"/>
  <c r="F921" i="1"/>
  <c r="G921" i="1"/>
  <c r="H921" i="1"/>
  <c r="I921" i="1"/>
  <c r="J921" i="1"/>
  <c r="B922" i="1"/>
  <c r="C922" i="1"/>
  <c r="D922" i="1"/>
  <c r="E922" i="1"/>
  <c r="F922" i="1"/>
  <c r="G922" i="1"/>
  <c r="H922" i="1"/>
  <c r="I922" i="1"/>
  <c r="J922" i="1"/>
  <c r="B923" i="1"/>
  <c r="C923" i="1"/>
  <c r="D923" i="1"/>
  <c r="E923" i="1"/>
  <c r="F923" i="1"/>
  <c r="G923" i="1"/>
  <c r="H923" i="1"/>
  <c r="I923" i="1"/>
  <c r="J923" i="1"/>
  <c r="B924" i="1"/>
  <c r="C924" i="1"/>
  <c r="D924" i="1"/>
  <c r="E924" i="1"/>
  <c r="F924" i="1"/>
  <c r="G924" i="1"/>
  <c r="H924" i="1"/>
  <c r="I924" i="1"/>
  <c r="J924" i="1"/>
  <c r="B925" i="1"/>
  <c r="C925" i="1"/>
  <c r="D925" i="1"/>
  <c r="E925" i="1"/>
  <c r="F925" i="1"/>
  <c r="G925" i="1"/>
  <c r="H925" i="1"/>
  <c r="I925" i="1"/>
  <c r="J925" i="1"/>
  <c r="B926" i="1"/>
  <c r="C926" i="1"/>
  <c r="D926" i="1"/>
  <c r="E926" i="1"/>
  <c r="F926" i="1"/>
  <c r="G926" i="1"/>
  <c r="H926" i="1"/>
  <c r="I926" i="1"/>
  <c r="J926" i="1"/>
  <c r="B927" i="1"/>
  <c r="C927" i="1"/>
  <c r="D927" i="1"/>
  <c r="E927" i="1"/>
  <c r="F927" i="1"/>
  <c r="G927" i="1"/>
  <c r="H927" i="1"/>
  <c r="I927" i="1"/>
  <c r="J927" i="1"/>
  <c r="B928" i="1"/>
  <c r="C928" i="1"/>
  <c r="D928" i="1"/>
  <c r="E928" i="1"/>
  <c r="F928" i="1"/>
  <c r="G928" i="1"/>
  <c r="H928" i="1"/>
  <c r="I928" i="1"/>
  <c r="J928" i="1"/>
  <c r="B929" i="1"/>
  <c r="C929" i="1"/>
  <c r="D929" i="1"/>
  <c r="E929" i="1"/>
  <c r="F929" i="1"/>
  <c r="G929" i="1"/>
  <c r="H929" i="1"/>
  <c r="I929" i="1"/>
  <c r="J929" i="1"/>
  <c r="B930" i="1"/>
  <c r="C930" i="1"/>
  <c r="D930" i="1"/>
  <c r="E930" i="1"/>
  <c r="F930" i="1"/>
  <c r="G930" i="1"/>
  <c r="H930" i="1"/>
  <c r="I930" i="1"/>
  <c r="J930" i="1"/>
  <c r="B931" i="1"/>
  <c r="C931" i="1"/>
  <c r="D931" i="1"/>
  <c r="E931" i="1"/>
  <c r="F931" i="1"/>
  <c r="G931" i="1"/>
  <c r="H931" i="1"/>
  <c r="I931" i="1"/>
  <c r="J931" i="1"/>
  <c r="B932" i="1"/>
  <c r="C932" i="1"/>
  <c r="D932" i="1"/>
  <c r="E932" i="1"/>
  <c r="F932" i="1"/>
  <c r="G932" i="1"/>
  <c r="H932" i="1"/>
  <c r="I932" i="1"/>
  <c r="J932" i="1"/>
  <c r="B933" i="1"/>
  <c r="C933" i="1"/>
  <c r="D933" i="1"/>
  <c r="E933" i="1"/>
  <c r="F933" i="1"/>
  <c r="G933" i="1"/>
  <c r="H933" i="1"/>
  <c r="I933" i="1"/>
  <c r="J933" i="1"/>
  <c r="B934" i="1"/>
  <c r="C934" i="1"/>
  <c r="D934" i="1"/>
  <c r="E934" i="1"/>
  <c r="F934" i="1"/>
  <c r="G934" i="1"/>
  <c r="H934" i="1"/>
  <c r="I934" i="1"/>
  <c r="J934" i="1"/>
  <c r="B935" i="1"/>
  <c r="C935" i="1"/>
  <c r="D935" i="1"/>
  <c r="E935" i="1"/>
  <c r="F935" i="1"/>
  <c r="G935" i="1"/>
  <c r="H935" i="1"/>
  <c r="I935" i="1"/>
  <c r="J935" i="1"/>
  <c r="B936" i="1"/>
  <c r="C936" i="1"/>
  <c r="D936" i="1"/>
  <c r="E936" i="1"/>
  <c r="F936" i="1"/>
  <c r="G936" i="1"/>
  <c r="H936" i="1"/>
  <c r="I936" i="1"/>
  <c r="J936" i="1"/>
  <c r="B937" i="1"/>
  <c r="C937" i="1"/>
  <c r="D937" i="1"/>
  <c r="E937" i="1"/>
  <c r="F937" i="1"/>
  <c r="G937" i="1"/>
  <c r="H937" i="1"/>
  <c r="I937" i="1"/>
  <c r="J937" i="1"/>
  <c r="B938" i="1"/>
  <c r="C938" i="1"/>
  <c r="D938" i="1"/>
  <c r="E938" i="1"/>
  <c r="F938" i="1"/>
  <c r="G938" i="1"/>
  <c r="H938" i="1"/>
  <c r="I938" i="1"/>
  <c r="J938" i="1"/>
  <c r="B939" i="1"/>
  <c r="C939" i="1"/>
  <c r="D939" i="1"/>
  <c r="E939" i="1"/>
  <c r="F939" i="1"/>
  <c r="G939" i="1"/>
  <c r="H939" i="1"/>
  <c r="I939" i="1"/>
  <c r="J939" i="1"/>
  <c r="B940" i="1"/>
  <c r="C940" i="1"/>
  <c r="D940" i="1"/>
  <c r="E940" i="1"/>
  <c r="F940" i="1"/>
  <c r="G940" i="1"/>
  <c r="H940" i="1"/>
  <c r="I940" i="1"/>
  <c r="J940" i="1"/>
  <c r="B941" i="1"/>
  <c r="C941" i="1"/>
  <c r="D941" i="1"/>
  <c r="E941" i="1"/>
  <c r="F941" i="1"/>
  <c r="G941" i="1"/>
  <c r="H941" i="1"/>
  <c r="I941" i="1"/>
  <c r="J941" i="1"/>
  <c r="B942" i="1"/>
  <c r="C942" i="1"/>
  <c r="D942" i="1"/>
  <c r="E942" i="1"/>
  <c r="F942" i="1"/>
  <c r="G942" i="1"/>
  <c r="H942" i="1"/>
  <c r="I942" i="1"/>
  <c r="J942" i="1"/>
  <c r="B943" i="1"/>
  <c r="C943" i="1"/>
  <c r="D943" i="1"/>
  <c r="E943" i="1"/>
  <c r="F943" i="1"/>
  <c r="G943" i="1"/>
  <c r="H943" i="1"/>
  <c r="I943" i="1"/>
  <c r="J943" i="1"/>
  <c r="B944" i="1"/>
  <c r="C944" i="1"/>
  <c r="D944" i="1"/>
  <c r="E944" i="1"/>
  <c r="F944" i="1"/>
  <c r="G944" i="1"/>
  <c r="H944" i="1"/>
  <c r="I944" i="1"/>
  <c r="J944" i="1"/>
  <c r="B945" i="1"/>
  <c r="C945" i="1"/>
  <c r="D945" i="1"/>
  <c r="E945" i="1"/>
  <c r="F945" i="1"/>
  <c r="G945" i="1"/>
  <c r="H945" i="1"/>
  <c r="I945" i="1"/>
  <c r="J945" i="1"/>
  <c r="B946" i="1"/>
  <c r="C946" i="1"/>
  <c r="D946" i="1"/>
  <c r="E946" i="1"/>
  <c r="F946" i="1"/>
  <c r="G946" i="1"/>
  <c r="H946" i="1"/>
  <c r="I946" i="1"/>
  <c r="J946" i="1"/>
  <c r="B947" i="1"/>
  <c r="C947" i="1"/>
  <c r="D947" i="1"/>
  <c r="E947" i="1"/>
  <c r="F947" i="1"/>
  <c r="G947" i="1"/>
  <c r="H947" i="1"/>
  <c r="I947" i="1"/>
  <c r="J947" i="1"/>
  <c r="B948" i="1"/>
  <c r="C948" i="1"/>
  <c r="D948" i="1"/>
  <c r="E948" i="1"/>
  <c r="F948" i="1"/>
  <c r="G948" i="1"/>
  <c r="H948" i="1"/>
  <c r="I948" i="1"/>
  <c r="J948" i="1"/>
  <c r="B949" i="1"/>
  <c r="C949" i="1"/>
  <c r="D949" i="1"/>
  <c r="E949" i="1"/>
  <c r="F949" i="1"/>
  <c r="G949" i="1"/>
  <c r="H949" i="1"/>
  <c r="I949" i="1"/>
  <c r="J949" i="1"/>
  <c r="B950" i="1"/>
  <c r="C950" i="1"/>
  <c r="D950" i="1"/>
  <c r="E950" i="1"/>
  <c r="F950" i="1"/>
  <c r="G950" i="1"/>
  <c r="H950" i="1"/>
  <c r="I950" i="1"/>
  <c r="J950" i="1"/>
  <c r="B951" i="1"/>
  <c r="C951" i="1"/>
  <c r="D951" i="1"/>
  <c r="E951" i="1"/>
  <c r="F951" i="1"/>
  <c r="G951" i="1"/>
  <c r="H951" i="1"/>
  <c r="I951" i="1"/>
  <c r="J951" i="1"/>
  <c r="B952" i="1"/>
  <c r="C952" i="1"/>
  <c r="D952" i="1"/>
  <c r="E952" i="1"/>
  <c r="F952" i="1"/>
  <c r="G952" i="1"/>
  <c r="H952" i="1"/>
  <c r="I952" i="1"/>
  <c r="J952" i="1"/>
  <c r="B953" i="1"/>
  <c r="C953" i="1"/>
  <c r="D953" i="1"/>
  <c r="E953" i="1"/>
  <c r="F953" i="1"/>
  <c r="G953" i="1"/>
  <c r="H953" i="1"/>
  <c r="I953" i="1"/>
  <c r="J953" i="1"/>
  <c r="B954" i="1"/>
  <c r="C954" i="1"/>
  <c r="D954" i="1"/>
  <c r="E954" i="1"/>
  <c r="F954" i="1"/>
  <c r="G954" i="1"/>
  <c r="H954" i="1"/>
  <c r="I954" i="1"/>
  <c r="J954" i="1"/>
  <c r="B955" i="1"/>
  <c r="C955" i="1"/>
  <c r="D955" i="1"/>
  <c r="E955" i="1"/>
  <c r="F955" i="1"/>
  <c r="G955" i="1"/>
  <c r="H955" i="1"/>
  <c r="I955" i="1"/>
  <c r="J955" i="1"/>
  <c r="B956" i="1"/>
  <c r="C956" i="1"/>
  <c r="D956" i="1"/>
  <c r="E956" i="1"/>
  <c r="F956" i="1"/>
  <c r="G956" i="1"/>
  <c r="H956" i="1"/>
  <c r="I956" i="1"/>
  <c r="J956" i="1"/>
  <c r="B957" i="1"/>
  <c r="C957" i="1"/>
  <c r="D957" i="1"/>
  <c r="E957" i="1"/>
  <c r="F957" i="1"/>
  <c r="G957" i="1"/>
  <c r="H957" i="1"/>
  <c r="I957" i="1"/>
  <c r="J957" i="1"/>
  <c r="B958" i="1"/>
  <c r="C958" i="1"/>
  <c r="D958" i="1"/>
  <c r="E958" i="1"/>
  <c r="F958" i="1"/>
  <c r="G958" i="1"/>
  <c r="H958" i="1"/>
  <c r="I958" i="1"/>
  <c r="J958" i="1"/>
  <c r="B959" i="1"/>
  <c r="C959" i="1"/>
  <c r="D959" i="1"/>
  <c r="E959" i="1"/>
  <c r="F959" i="1"/>
  <c r="G959" i="1"/>
  <c r="H959" i="1"/>
  <c r="I959" i="1"/>
  <c r="J959" i="1"/>
  <c r="B960" i="1"/>
  <c r="C960" i="1"/>
  <c r="D960" i="1"/>
  <c r="E960" i="1"/>
  <c r="F960" i="1"/>
  <c r="G960" i="1"/>
  <c r="H960" i="1"/>
  <c r="I960" i="1"/>
  <c r="J960" i="1"/>
  <c r="B961" i="1"/>
  <c r="C961" i="1"/>
  <c r="D961" i="1"/>
  <c r="E961" i="1"/>
  <c r="F961" i="1"/>
  <c r="G961" i="1"/>
  <c r="H961" i="1"/>
  <c r="I961" i="1"/>
  <c r="J961" i="1"/>
  <c r="B962" i="1"/>
  <c r="C962" i="1"/>
  <c r="D962" i="1"/>
  <c r="E962" i="1"/>
  <c r="F962" i="1"/>
  <c r="G962" i="1"/>
  <c r="H962" i="1"/>
  <c r="I962" i="1"/>
  <c r="J962" i="1"/>
  <c r="B963" i="1"/>
  <c r="C963" i="1"/>
  <c r="D963" i="1"/>
  <c r="E963" i="1"/>
  <c r="F963" i="1"/>
  <c r="G963" i="1"/>
  <c r="H963" i="1"/>
  <c r="I963" i="1"/>
  <c r="J963" i="1"/>
  <c r="B964" i="1"/>
  <c r="C964" i="1"/>
  <c r="D964" i="1"/>
  <c r="E964" i="1"/>
  <c r="F964" i="1"/>
  <c r="G964" i="1"/>
  <c r="H964" i="1"/>
  <c r="I964" i="1"/>
  <c r="J964" i="1"/>
  <c r="B965" i="1"/>
  <c r="C965" i="1"/>
  <c r="D965" i="1"/>
  <c r="E965" i="1"/>
  <c r="F965" i="1"/>
  <c r="G965" i="1"/>
  <c r="H965" i="1"/>
  <c r="I965" i="1"/>
  <c r="J965" i="1"/>
  <c r="B966" i="1"/>
  <c r="C966" i="1"/>
  <c r="D966" i="1"/>
  <c r="E966" i="1"/>
  <c r="F966" i="1"/>
  <c r="G966" i="1"/>
  <c r="H966" i="1"/>
  <c r="I966" i="1"/>
  <c r="J966" i="1"/>
  <c r="B967" i="1"/>
  <c r="C967" i="1"/>
  <c r="D967" i="1"/>
  <c r="E967" i="1"/>
  <c r="F967" i="1"/>
  <c r="G967" i="1"/>
  <c r="H967" i="1"/>
  <c r="I967" i="1"/>
  <c r="J967" i="1"/>
  <c r="B968" i="1"/>
  <c r="C968" i="1"/>
  <c r="D968" i="1"/>
  <c r="E968" i="1"/>
  <c r="F968" i="1"/>
  <c r="G968" i="1"/>
  <c r="H968" i="1"/>
  <c r="I968" i="1"/>
  <c r="J968" i="1"/>
  <c r="B969" i="1"/>
  <c r="C969" i="1"/>
  <c r="D969" i="1"/>
  <c r="E969" i="1"/>
  <c r="F969" i="1"/>
  <c r="G969" i="1"/>
  <c r="H969" i="1"/>
  <c r="I969" i="1"/>
  <c r="J969" i="1"/>
  <c r="B970" i="1"/>
  <c r="C970" i="1"/>
  <c r="D970" i="1"/>
  <c r="E970" i="1"/>
  <c r="F970" i="1"/>
  <c r="G970" i="1"/>
  <c r="H970" i="1"/>
  <c r="I970" i="1"/>
  <c r="J970" i="1"/>
  <c r="B971" i="1"/>
  <c r="C971" i="1"/>
  <c r="D971" i="1"/>
  <c r="E971" i="1"/>
  <c r="F971" i="1"/>
  <c r="G971" i="1"/>
  <c r="H971" i="1"/>
  <c r="I971" i="1"/>
  <c r="J971" i="1"/>
  <c r="B972" i="1"/>
  <c r="C972" i="1"/>
  <c r="D972" i="1"/>
  <c r="E972" i="1"/>
  <c r="F972" i="1"/>
  <c r="G972" i="1"/>
  <c r="H972" i="1"/>
  <c r="I972" i="1"/>
  <c r="J972" i="1"/>
  <c r="B973" i="1"/>
  <c r="C973" i="1"/>
  <c r="D973" i="1"/>
  <c r="E973" i="1"/>
  <c r="F973" i="1"/>
  <c r="G973" i="1"/>
  <c r="H973" i="1"/>
  <c r="I973" i="1"/>
  <c r="J973" i="1"/>
  <c r="B974" i="1"/>
  <c r="C974" i="1"/>
  <c r="D974" i="1"/>
  <c r="E974" i="1"/>
  <c r="F974" i="1"/>
  <c r="G974" i="1"/>
  <c r="H974" i="1"/>
  <c r="I974" i="1"/>
  <c r="J974" i="1"/>
  <c r="B975" i="1"/>
  <c r="C975" i="1"/>
  <c r="D975" i="1"/>
  <c r="E975" i="1"/>
  <c r="F975" i="1"/>
  <c r="G975" i="1"/>
  <c r="H975" i="1"/>
  <c r="I975" i="1"/>
  <c r="J975" i="1"/>
  <c r="B976" i="1"/>
  <c r="C976" i="1"/>
  <c r="D976" i="1"/>
  <c r="E976" i="1"/>
  <c r="F976" i="1"/>
  <c r="G976" i="1"/>
  <c r="H976" i="1"/>
  <c r="I976" i="1"/>
  <c r="J976" i="1"/>
  <c r="B977" i="1"/>
  <c r="C977" i="1"/>
  <c r="D977" i="1"/>
  <c r="E977" i="1"/>
  <c r="F977" i="1"/>
  <c r="G977" i="1"/>
  <c r="H977" i="1"/>
  <c r="I977" i="1"/>
  <c r="J977" i="1"/>
  <c r="B978" i="1"/>
  <c r="C978" i="1"/>
  <c r="D978" i="1"/>
  <c r="E978" i="1"/>
  <c r="F978" i="1"/>
  <c r="G978" i="1"/>
  <c r="H978" i="1"/>
  <c r="I978" i="1"/>
  <c r="J978" i="1"/>
  <c r="B979" i="1"/>
  <c r="C979" i="1"/>
  <c r="D979" i="1"/>
  <c r="E979" i="1"/>
  <c r="F979" i="1"/>
  <c r="G979" i="1"/>
  <c r="H979" i="1"/>
  <c r="I979" i="1"/>
  <c r="J979" i="1"/>
  <c r="B980" i="1"/>
  <c r="C980" i="1"/>
  <c r="D980" i="1"/>
  <c r="E980" i="1"/>
  <c r="F980" i="1"/>
  <c r="G980" i="1"/>
  <c r="H980" i="1"/>
  <c r="I980" i="1"/>
  <c r="J980" i="1"/>
  <c r="B981" i="1"/>
  <c r="C981" i="1"/>
  <c r="D981" i="1"/>
  <c r="E981" i="1"/>
  <c r="F981" i="1"/>
  <c r="G981" i="1"/>
  <c r="H981" i="1"/>
  <c r="I981" i="1"/>
  <c r="J981" i="1"/>
  <c r="B982" i="1"/>
  <c r="C982" i="1"/>
  <c r="D982" i="1"/>
  <c r="E982" i="1"/>
  <c r="F982" i="1"/>
  <c r="G982" i="1"/>
  <c r="H982" i="1"/>
  <c r="I982" i="1"/>
  <c r="J982" i="1"/>
  <c r="B983" i="1"/>
  <c r="C983" i="1"/>
  <c r="D983" i="1"/>
  <c r="E983" i="1"/>
  <c r="F983" i="1"/>
  <c r="G983" i="1"/>
  <c r="H983" i="1"/>
  <c r="I983" i="1"/>
  <c r="J983" i="1"/>
  <c r="B984" i="1"/>
  <c r="C984" i="1"/>
  <c r="D984" i="1"/>
  <c r="E984" i="1"/>
  <c r="F984" i="1"/>
  <c r="G984" i="1"/>
  <c r="H984" i="1"/>
  <c r="I984" i="1"/>
  <c r="J984" i="1"/>
  <c r="B985" i="1"/>
  <c r="C985" i="1"/>
  <c r="D985" i="1"/>
  <c r="E985" i="1"/>
  <c r="F985" i="1"/>
  <c r="G985" i="1"/>
  <c r="H985" i="1"/>
  <c r="I985" i="1"/>
  <c r="J985" i="1"/>
  <c r="B986" i="1"/>
  <c r="C986" i="1"/>
  <c r="D986" i="1"/>
  <c r="E986" i="1"/>
  <c r="F986" i="1"/>
  <c r="G986" i="1"/>
  <c r="H986" i="1"/>
  <c r="I986" i="1"/>
  <c r="J986" i="1"/>
  <c r="B987" i="1"/>
  <c r="C987" i="1"/>
  <c r="D987" i="1"/>
  <c r="E987" i="1"/>
  <c r="F987" i="1"/>
  <c r="G987" i="1"/>
  <c r="H987" i="1"/>
  <c r="I987" i="1"/>
  <c r="J987" i="1"/>
  <c r="B988" i="1"/>
  <c r="C988" i="1"/>
  <c r="D988" i="1"/>
  <c r="E988" i="1"/>
  <c r="F988" i="1"/>
  <c r="G988" i="1"/>
  <c r="H988" i="1"/>
  <c r="I988" i="1"/>
  <c r="J988" i="1"/>
  <c r="B989" i="1"/>
  <c r="C989" i="1"/>
  <c r="D989" i="1"/>
  <c r="E989" i="1"/>
  <c r="F989" i="1"/>
  <c r="G989" i="1"/>
  <c r="H989" i="1"/>
  <c r="I989" i="1"/>
  <c r="J989" i="1"/>
  <c r="B990" i="1"/>
  <c r="C990" i="1"/>
  <c r="D990" i="1"/>
  <c r="E990" i="1"/>
  <c r="F990" i="1"/>
  <c r="G990" i="1"/>
  <c r="H990" i="1"/>
  <c r="I990" i="1"/>
  <c r="J990" i="1"/>
  <c r="B991" i="1"/>
  <c r="C991" i="1"/>
  <c r="D991" i="1"/>
  <c r="E991" i="1"/>
  <c r="F991" i="1"/>
  <c r="G991" i="1"/>
  <c r="H991" i="1"/>
  <c r="I991" i="1"/>
  <c r="J991" i="1"/>
  <c r="B992" i="1"/>
  <c r="C992" i="1"/>
  <c r="D992" i="1"/>
  <c r="E992" i="1"/>
  <c r="F992" i="1"/>
  <c r="G992" i="1"/>
  <c r="H992" i="1"/>
  <c r="I992" i="1"/>
  <c r="J992" i="1"/>
  <c r="B993" i="1"/>
  <c r="C993" i="1"/>
  <c r="D993" i="1"/>
  <c r="E993" i="1"/>
  <c r="F993" i="1"/>
  <c r="G993" i="1"/>
  <c r="H993" i="1"/>
  <c r="I993" i="1"/>
  <c r="J993" i="1"/>
  <c r="B994" i="1"/>
  <c r="C994" i="1"/>
  <c r="D994" i="1"/>
  <c r="E994" i="1"/>
  <c r="F994" i="1"/>
  <c r="G994" i="1"/>
  <c r="H994" i="1"/>
  <c r="I994" i="1"/>
  <c r="J994" i="1"/>
  <c r="B995" i="1"/>
  <c r="C995" i="1"/>
  <c r="D995" i="1"/>
  <c r="E995" i="1"/>
  <c r="F995" i="1"/>
  <c r="G995" i="1"/>
  <c r="H995" i="1"/>
  <c r="I995" i="1"/>
  <c r="J995" i="1"/>
  <c r="B996" i="1"/>
  <c r="C996" i="1"/>
  <c r="D996" i="1"/>
  <c r="E996" i="1"/>
  <c r="F996" i="1"/>
  <c r="G996" i="1"/>
  <c r="H996" i="1"/>
  <c r="I996" i="1"/>
  <c r="J996" i="1"/>
  <c r="B997" i="1"/>
  <c r="C997" i="1"/>
  <c r="D997" i="1"/>
  <c r="E997" i="1"/>
  <c r="F997" i="1"/>
  <c r="G997" i="1"/>
  <c r="H997" i="1"/>
  <c r="I997" i="1"/>
  <c r="J997" i="1"/>
  <c r="B998" i="1"/>
  <c r="C998" i="1"/>
  <c r="D998" i="1"/>
  <c r="E998" i="1"/>
  <c r="F998" i="1"/>
  <c r="G998" i="1"/>
  <c r="H998" i="1"/>
  <c r="I998" i="1"/>
  <c r="J998" i="1"/>
  <c r="B999" i="1"/>
  <c r="C999" i="1"/>
  <c r="D999" i="1"/>
  <c r="E999" i="1"/>
  <c r="F999" i="1"/>
  <c r="G999" i="1"/>
  <c r="H999" i="1"/>
  <c r="I999" i="1"/>
  <c r="J999" i="1"/>
  <c r="B1000" i="1"/>
  <c r="C1000" i="1"/>
  <c r="D1000" i="1"/>
  <c r="E1000" i="1"/>
  <c r="F1000" i="1"/>
  <c r="G1000" i="1"/>
  <c r="H1000" i="1"/>
  <c r="I1000" i="1"/>
  <c r="J1000" i="1"/>
  <c r="B1001" i="1"/>
  <c r="C1001" i="1"/>
  <c r="D1001" i="1"/>
  <c r="E1001" i="1"/>
  <c r="F1001" i="1"/>
  <c r="G1001" i="1"/>
  <c r="H1001" i="1"/>
  <c r="I1001" i="1"/>
  <c r="J1001" i="1"/>
  <c r="B1002" i="1"/>
  <c r="C1002" i="1"/>
  <c r="D1002" i="1"/>
  <c r="E1002" i="1"/>
  <c r="F1002" i="1"/>
  <c r="G1002" i="1"/>
  <c r="H1002" i="1"/>
  <c r="I1002" i="1"/>
  <c r="J1002" i="1"/>
  <c r="B1003" i="1"/>
  <c r="C1003" i="1"/>
  <c r="D1003" i="1"/>
  <c r="E1003" i="1"/>
  <c r="F1003" i="1"/>
  <c r="G1003" i="1"/>
  <c r="H1003" i="1"/>
  <c r="I1003" i="1"/>
  <c r="J1003" i="1"/>
  <c r="B1004" i="1"/>
  <c r="C1004" i="1"/>
  <c r="D1004" i="1"/>
  <c r="E1004" i="1"/>
  <c r="F1004" i="1"/>
  <c r="G1004" i="1"/>
  <c r="H1004" i="1"/>
  <c r="I1004" i="1"/>
  <c r="J1004" i="1"/>
  <c r="B1005" i="1"/>
  <c r="C1005" i="1"/>
  <c r="D1005" i="1"/>
  <c r="E1005" i="1"/>
  <c r="F1005" i="1"/>
  <c r="G1005" i="1"/>
  <c r="H1005" i="1"/>
  <c r="I1005" i="1"/>
  <c r="J1005" i="1"/>
  <c r="B1006" i="1"/>
  <c r="C1006" i="1"/>
  <c r="D1006" i="1"/>
  <c r="E1006" i="1"/>
  <c r="F1006" i="1"/>
  <c r="G1006" i="1"/>
  <c r="H1006" i="1"/>
  <c r="I1006" i="1"/>
  <c r="J1006" i="1"/>
  <c r="B1007" i="1"/>
  <c r="C1007" i="1"/>
  <c r="D1007" i="1"/>
  <c r="E1007" i="1"/>
  <c r="F1007" i="1"/>
  <c r="G1007" i="1"/>
  <c r="H1007" i="1"/>
  <c r="I1007" i="1"/>
  <c r="J1007" i="1"/>
  <c r="B1008" i="1"/>
  <c r="C1008" i="1"/>
  <c r="D1008" i="1"/>
  <c r="E1008" i="1"/>
  <c r="F1008" i="1"/>
  <c r="G1008" i="1"/>
  <c r="H1008" i="1"/>
  <c r="I1008" i="1"/>
  <c r="J1008" i="1"/>
  <c r="B1009" i="1"/>
  <c r="C1009" i="1"/>
  <c r="D1009" i="1"/>
  <c r="E1009" i="1"/>
  <c r="F1009" i="1"/>
  <c r="G1009" i="1"/>
  <c r="H1009" i="1"/>
  <c r="I1009" i="1"/>
  <c r="J1009" i="1"/>
  <c r="B1010" i="1"/>
  <c r="C1010" i="1"/>
  <c r="D1010" i="1"/>
  <c r="E1010" i="1"/>
  <c r="F1010" i="1"/>
  <c r="G1010" i="1"/>
  <c r="H1010" i="1"/>
  <c r="I1010" i="1"/>
  <c r="J1010" i="1"/>
  <c r="B1011" i="1"/>
  <c r="C1011" i="1"/>
  <c r="D1011" i="1"/>
  <c r="E1011" i="1"/>
  <c r="F1011" i="1"/>
  <c r="G1011" i="1"/>
  <c r="H1011" i="1"/>
  <c r="I1011" i="1"/>
  <c r="J1011" i="1"/>
  <c r="B1012" i="1"/>
  <c r="C1012" i="1"/>
  <c r="D1012" i="1"/>
  <c r="E1012" i="1"/>
  <c r="F1012" i="1"/>
  <c r="G1012" i="1"/>
  <c r="H1012" i="1"/>
  <c r="I1012" i="1"/>
  <c r="J1012" i="1"/>
  <c r="B1013" i="1"/>
  <c r="C1013" i="1"/>
  <c r="D1013" i="1"/>
  <c r="E1013" i="1"/>
  <c r="F1013" i="1"/>
  <c r="G1013" i="1"/>
  <c r="H1013" i="1"/>
  <c r="I1013" i="1"/>
  <c r="J1013" i="1"/>
  <c r="B1014" i="1"/>
  <c r="C1014" i="1"/>
  <c r="D1014" i="1"/>
  <c r="E1014" i="1"/>
  <c r="F1014" i="1"/>
  <c r="G1014" i="1"/>
  <c r="H1014" i="1"/>
  <c r="I1014" i="1"/>
  <c r="J1014" i="1"/>
  <c r="B1015" i="1"/>
  <c r="C1015" i="1"/>
  <c r="D1015" i="1"/>
  <c r="E1015" i="1"/>
  <c r="F1015" i="1"/>
  <c r="G1015" i="1"/>
  <c r="H1015" i="1"/>
  <c r="I1015" i="1"/>
  <c r="J1015" i="1"/>
  <c r="B1016" i="1"/>
  <c r="C1016" i="1"/>
  <c r="D1016" i="1"/>
  <c r="E1016" i="1"/>
  <c r="F1016" i="1"/>
  <c r="G1016" i="1"/>
  <c r="H1016" i="1"/>
  <c r="I1016" i="1"/>
  <c r="J1016" i="1"/>
  <c r="B1017" i="1"/>
  <c r="C1017" i="1"/>
  <c r="D1017" i="1"/>
  <c r="E1017" i="1"/>
  <c r="F1017" i="1"/>
  <c r="G1017" i="1"/>
  <c r="H1017" i="1"/>
  <c r="I1017" i="1"/>
  <c r="J1017" i="1"/>
  <c r="B1018" i="1"/>
  <c r="C1018" i="1"/>
  <c r="D1018" i="1"/>
  <c r="E1018" i="1"/>
  <c r="F1018" i="1"/>
  <c r="G1018" i="1"/>
  <c r="H1018" i="1"/>
  <c r="I1018" i="1"/>
  <c r="J1018" i="1"/>
  <c r="B1019" i="1"/>
  <c r="C1019" i="1"/>
  <c r="D1019" i="1"/>
  <c r="E1019" i="1"/>
  <c r="F1019" i="1"/>
  <c r="G1019" i="1"/>
  <c r="H1019" i="1"/>
  <c r="I1019" i="1"/>
  <c r="J1019" i="1"/>
  <c r="B1020" i="1"/>
  <c r="C1020" i="1"/>
  <c r="D1020" i="1"/>
  <c r="E1020" i="1"/>
  <c r="F1020" i="1"/>
  <c r="G1020" i="1"/>
  <c r="H1020" i="1"/>
  <c r="I1020" i="1"/>
  <c r="J1020" i="1"/>
  <c r="B1021" i="1"/>
  <c r="C1021" i="1"/>
  <c r="D1021" i="1"/>
  <c r="E1021" i="1"/>
  <c r="F1021" i="1"/>
  <c r="G1021" i="1"/>
  <c r="H1021" i="1"/>
  <c r="I1021" i="1"/>
  <c r="J1021" i="1"/>
  <c r="B1022" i="1"/>
  <c r="C1022" i="1"/>
  <c r="D1022" i="1"/>
  <c r="E1022" i="1"/>
  <c r="F1022" i="1"/>
  <c r="G1022" i="1"/>
  <c r="H1022" i="1"/>
  <c r="I1022" i="1"/>
  <c r="J1022" i="1"/>
  <c r="B1023" i="1"/>
  <c r="C1023" i="1"/>
  <c r="D1023" i="1"/>
  <c r="E1023" i="1"/>
  <c r="F1023" i="1"/>
  <c r="G1023" i="1"/>
  <c r="H1023" i="1"/>
  <c r="I1023" i="1"/>
  <c r="J1023" i="1"/>
  <c r="B1024" i="1"/>
  <c r="C1024" i="1"/>
  <c r="D1024" i="1"/>
  <c r="E1024" i="1"/>
  <c r="F1024" i="1"/>
  <c r="G1024" i="1"/>
  <c r="H1024" i="1"/>
  <c r="I1024" i="1"/>
  <c r="J1024" i="1"/>
  <c r="B1025" i="1"/>
  <c r="C1025" i="1"/>
  <c r="D1025" i="1"/>
  <c r="E1025" i="1"/>
  <c r="F1025" i="1"/>
  <c r="G1025" i="1"/>
  <c r="H1025" i="1"/>
  <c r="I1025" i="1"/>
  <c r="J1025" i="1"/>
  <c r="B1026" i="1"/>
  <c r="C1026" i="1"/>
  <c r="D1026" i="1"/>
  <c r="E1026" i="1"/>
  <c r="F1026" i="1"/>
  <c r="G1026" i="1"/>
  <c r="H1026" i="1"/>
  <c r="I1026" i="1"/>
  <c r="J1026" i="1"/>
  <c r="B1027" i="1"/>
  <c r="C1027" i="1"/>
  <c r="D1027" i="1"/>
  <c r="E1027" i="1"/>
  <c r="F1027" i="1"/>
  <c r="G1027" i="1"/>
  <c r="H1027" i="1"/>
  <c r="I1027" i="1"/>
  <c r="J1027" i="1"/>
  <c r="B1028" i="1"/>
  <c r="C1028" i="1"/>
  <c r="D1028" i="1"/>
  <c r="E1028" i="1"/>
  <c r="F1028" i="1"/>
  <c r="G1028" i="1"/>
  <c r="H1028" i="1"/>
  <c r="I1028" i="1"/>
  <c r="J1028" i="1"/>
  <c r="B1029" i="1"/>
  <c r="C1029" i="1"/>
  <c r="D1029" i="1"/>
  <c r="E1029" i="1"/>
  <c r="F1029" i="1"/>
  <c r="G1029" i="1"/>
  <c r="H1029" i="1"/>
  <c r="I1029" i="1"/>
  <c r="J1029" i="1"/>
  <c r="B1030" i="1"/>
  <c r="C1030" i="1"/>
  <c r="D1030" i="1"/>
  <c r="E1030" i="1"/>
  <c r="F1030" i="1"/>
  <c r="G1030" i="1"/>
  <c r="H1030" i="1"/>
  <c r="I1030" i="1"/>
  <c r="J1030" i="1"/>
  <c r="B1031" i="1"/>
  <c r="C1031" i="1"/>
  <c r="D1031" i="1"/>
  <c r="E1031" i="1"/>
  <c r="F1031" i="1"/>
  <c r="G1031" i="1"/>
  <c r="H1031" i="1"/>
  <c r="I1031" i="1"/>
  <c r="J1031" i="1"/>
  <c r="B1032" i="1"/>
  <c r="C1032" i="1"/>
  <c r="D1032" i="1"/>
  <c r="E1032" i="1"/>
  <c r="F1032" i="1"/>
  <c r="G1032" i="1"/>
  <c r="H1032" i="1"/>
  <c r="I1032" i="1"/>
  <c r="J1032" i="1"/>
  <c r="B1033" i="1"/>
  <c r="C1033" i="1"/>
  <c r="D1033" i="1"/>
  <c r="E1033" i="1"/>
  <c r="F1033" i="1"/>
  <c r="G1033" i="1"/>
  <c r="H1033" i="1"/>
  <c r="I1033" i="1"/>
  <c r="J1033" i="1"/>
  <c r="B1034" i="1"/>
  <c r="C1034" i="1"/>
  <c r="D1034" i="1"/>
  <c r="E1034" i="1"/>
  <c r="F1034" i="1"/>
  <c r="G1034" i="1"/>
  <c r="H1034" i="1"/>
  <c r="I1034" i="1"/>
  <c r="J1034" i="1"/>
  <c r="B1035" i="1"/>
  <c r="C1035" i="1"/>
  <c r="D1035" i="1"/>
  <c r="E1035" i="1"/>
  <c r="F1035" i="1"/>
  <c r="G1035" i="1"/>
  <c r="H1035" i="1"/>
  <c r="I1035" i="1"/>
  <c r="J1035" i="1"/>
  <c r="B1036" i="1"/>
  <c r="C1036" i="1"/>
  <c r="D1036" i="1"/>
  <c r="E1036" i="1"/>
  <c r="F1036" i="1"/>
  <c r="G1036" i="1"/>
  <c r="H1036" i="1"/>
  <c r="I1036" i="1"/>
  <c r="J1036" i="1"/>
  <c r="L1038" i="1"/>
  <c r="M1038" i="1"/>
  <c r="N1038" i="1"/>
  <c r="O1038" i="1"/>
  <c r="P1038" i="1"/>
  <c r="L1039" i="1"/>
  <c r="M1039" i="1"/>
  <c r="N1039" i="1"/>
  <c r="O1039" i="1"/>
  <c r="P1039" i="1"/>
  <c r="Q1039" i="1"/>
  <c r="L1040" i="1"/>
  <c r="M1040" i="1"/>
  <c r="N1040" i="1"/>
  <c r="O1040" i="1"/>
  <c r="P1040" i="1"/>
  <c r="Q1040" i="1"/>
  <c r="L1041" i="1"/>
  <c r="M1041" i="1"/>
  <c r="N1041" i="1"/>
  <c r="O1041" i="1"/>
  <c r="P1041" i="1"/>
  <c r="Q1041" i="1"/>
  <c r="L1042" i="1"/>
  <c r="M1042" i="1"/>
  <c r="N1042" i="1"/>
  <c r="O1042" i="1"/>
  <c r="P1042" i="1"/>
  <c r="Q1042" i="1"/>
  <c r="L1043" i="1"/>
  <c r="M1043" i="1"/>
  <c r="N1043" i="1"/>
  <c r="O1043" i="1"/>
  <c r="P1043" i="1"/>
  <c r="Q1043" i="1"/>
  <c r="L1044" i="1"/>
  <c r="M1044" i="1"/>
  <c r="N1044" i="1"/>
  <c r="O1044" i="1"/>
  <c r="P1044" i="1"/>
  <c r="Q1044" i="1"/>
  <c r="L1045" i="1"/>
  <c r="M1045" i="1"/>
  <c r="N1045" i="1"/>
  <c r="O1045" i="1"/>
  <c r="P1045" i="1"/>
  <c r="Q1045" i="1"/>
  <c r="L1046" i="1"/>
  <c r="M1046" i="1"/>
  <c r="N1046" i="1"/>
  <c r="O1046" i="1"/>
  <c r="P1046" i="1"/>
  <c r="Q1046" i="1"/>
  <c r="L1047" i="1"/>
  <c r="M1047" i="1"/>
  <c r="N1047" i="1"/>
  <c r="O1047" i="1"/>
  <c r="P1047" i="1"/>
  <c r="Q1047" i="1"/>
  <c r="L1048" i="1"/>
  <c r="M1048" i="1"/>
  <c r="N1048" i="1"/>
  <c r="O1048" i="1"/>
  <c r="P1048" i="1"/>
  <c r="Q1048" i="1"/>
  <c r="L1049" i="1"/>
  <c r="M1049" i="1"/>
  <c r="N1049" i="1"/>
  <c r="O1049" i="1"/>
  <c r="P1049" i="1"/>
  <c r="Q1049" i="1"/>
  <c r="L1050" i="1"/>
  <c r="M1050" i="1"/>
  <c r="N1050" i="1"/>
  <c r="O1050" i="1"/>
  <c r="P1050" i="1"/>
  <c r="Q1050" i="1"/>
  <c r="L1051" i="1"/>
  <c r="M1051" i="1"/>
  <c r="N1051" i="1"/>
  <c r="O1051" i="1"/>
  <c r="P1051" i="1"/>
  <c r="Q1051" i="1"/>
  <c r="L1052" i="1"/>
  <c r="M1052" i="1"/>
  <c r="N1052" i="1"/>
  <c r="O1052" i="1"/>
  <c r="P1052" i="1"/>
  <c r="Q1052" i="1"/>
  <c r="L1053" i="1"/>
  <c r="M1053" i="1"/>
  <c r="N1053" i="1"/>
  <c r="O1053" i="1"/>
  <c r="P1053" i="1"/>
  <c r="Q1053" i="1"/>
  <c r="L1054" i="1"/>
  <c r="M1054" i="1"/>
  <c r="N1054" i="1"/>
  <c r="O1054" i="1"/>
  <c r="P1054" i="1"/>
  <c r="Q1054" i="1"/>
  <c r="L1055" i="1"/>
  <c r="M1055" i="1"/>
  <c r="N1055" i="1"/>
  <c r="O1055" i="1"/>
  <c r="P1055" i="1"/>
  <c r="Q1055" i="1"/>
  <c r="L1056" i="1"/>
  <c r="M1056" i="1"/>
  <c r="N1056" i="1"/>
  <c r="O1056" i="1"/>
  <c r="P1056" i="1"/>
  <c r="Q1056" i="1"/>
  <c r="L1057" i="1"/>
  <c r="M1057" i="1"/>
  <c r="N1057" i="1"/>
  <c r="O1057" i="1"/>
  <c r="P1057" i="1"/>
  <c r="Q1057" i="1"/>
  <c r="L1058" i="1"/>
  <c r="M1058" i="1"/>
  <c r="N1058" i="1"/>
  <c r="O1058" i="1"/>
  <c r="P1058" i="1"/>
  <c r="Q1058" i="1"/>
  <c r="L1059" i="1"/>
  <c r="M1059" i="1"/>
  <c r="N1059" i="1"/>
  <c r="O1059" i="1"/>
  <c r="P1059" i="1"/>
  <c r="Q1059" i="1"/>
  <c r="A1060" i="1"/>
  <c r="L1060" i="1"/>
  <c r="M1060" i="1"/>
  <c r="N1060" i="1"/>
  <c r="O1060" i="1"/>
  <c r="P1060" i="1"/>
  <c r="Q1060" i="1"/>
  <c r="A1061" i="1"/>
  <c r="L1061" i="1"/>
  <c r="M1061" i="1"/>
  <c r="N1061" i="1"/>
  <c r="O1061" i="1"/>
  <c r="P1061" i="1"/>
  <c r="Q1061" i="1"/>
  <c r="A1062" i="1"/>
  <c r="L1062" i="1"/>
  <c r="M1062" i="1"/>
  <c r="N1062" i="1"/>
  <c r="O1062" i="1"/>
  <c r="P1062" i="1"/>
  <c r="Q1062" i="1"/>
  <c r="A1063" i="1"/>
  <c r="L1063" i="1"/>
  <c r="M1063" i="1"/>
  <c r="N1063" i="1"/>
  <c r="O1063" i="1"/>
  <c r="P1063" i="1"/>
  <c r="Q1063" i="1"/>
  <c r="A1064" i="1"/>
  <c r="L1064" i="1"/>
  <c r="M1064" i="1"/>
  <c r="N1064" i="1"/>
  <c r="O1064" i="1"/>
  <c r="P1064" i="1"/>
  <c r="Q1064" i="1"/>
  <c r="A1065" i="1"/>
  <c r="L1065" i="1"/>
  <c r="M1065" i="1"/>
  <c r="N1065" i="1"/>
  <c r="O1065" i="1"/>
  <c r="P1065" i="1"/>
  <c r="Q1065" i="1"/>
  <c r="A1066" i="1"/>
  <c r="L1066" i="1"/>
  <c r="M1066" i="1"/>
  <c r="N1066" i="1"/>
  <c r="O1066" i="1"/>
  <c r="P1066" i="1"/>
  <c r="Q1066" i="1"/>
  <c r="A1067" i="1"/>
  <c r="L1067" i="1"/>
  <c r="M1067" i="1"/>
  <c r="N1067" i="1"/>
  <c r="O1067" i="1"/>
  <c r="P1067" i="1"/>
  <c r="Q1067" i="1"/>
  <c r="A1068" i="1"/>
  <c r="L1068" i="1"/>
  <c r="M1068" i="1"/>
  <c r="N1068" i="1"/>
  <c r="O1068" i="1"/>
  <c r="P1068" i="1"/>
  <c r="Q1068" i="1"/>
  <c r="A1069" i="1"/>
  <c r="L1069" i="1"/>
  <c r="M1069" i="1"/>
  <c r="N1069" i="1"/>
  <c r="O1069" i="1"/>
  <c r="P1069" i="1"/>
  <c r="Q1069" i="1"/>
  <c r="A1070" i="1"/>
  <c r="L1070" i="1"/>
  <c r="M1070" i="1"/>
  <c r="N1070" i="1"/>
  <c r="O1070" i="1"/>
  <c r="P1070" i="1"/>
  <c r="Q1070" i="1"/>
  <c r="A1071" i="1"/>
  <c r="L1071" i="1"/>
  <c r="M1071" i="1"/>
  <c r="N1071" i="1"/>
  <c r="O1071" i="1"/>
  <c r="P1071" i="1"/>
  <c r="Q1071" i="1"/>
  <c r="A1072" i="1"/>
  <c r="L1072" i="1"/>
  <c r="M1072" i="1"/>
  <c r="N1072" i="1"/>
  <c r="O1072" i="1"/>
  <c r="P1072" i="1"/>
  <c r="Q1072" i="1"/>
  <c r="A1073" i="1"/>
  <c r="L1073" i="1"/>
  <c r="M1073" i="1"/>
  <c r="N1073" i="1"/>
  <c r="O1073" i="1"/>
  <c r="P1073" i="1"/>
  <c r="Q1073" i="1"/>
  <c r="A1074" i="1"/>
  <c r="L1074" i="1"/>
  <c r="M1074" i="1"/>
  <c r="N1074" i="1"/>
  <c r="O1074" i="1"/>
  <c r="P1074" i="1"/>
  <c r="Q1074" i="1"/>
  <c r="A1075" i="1"/>
  <c r="L1075" i="1"/>
  <c r="M1075" i="1"/>
  <c r="N1075" i="1"/>
  <c r="O1075" i="1"/>
  <c r="P1075" i="1"/>
  <c r="Q1075" i="1"/>
  <c r="A1076" i="1"/>
  <c r="L1076" i="1"/>
  <c r="M1076" i="1"/>
  <c r="N1076" i="1"/>
  <c r="O1076" i="1"/>
  <c r="P1076" i="1"/>
  <c r="Q1076" i="1"/>
  <c r="A1077" i="1"/>
  <c r="L1077" i="1"/>
  <c r="M1077" i="1"/>
  <c r="N1077" i="1"/>
  <c r="O1077" i="1"/>
  <c r="P1077" i="1"/>
  <c r="Q1077" i="1"/>
  <c r="A1078" i="1"/>
  <c r="L1078" i="1"/>
  <c r="M1078" i="1"/>
  <c r="N1078" i="1"/>
  <c r="O1078" i="1"/>
  <c r="P1078" i="1"/>
  <c r="Q1078" i="1"/>
  <c r="A1079" i="1"/>
  <c r="L1079" i="1"/>
  <c r="M1079" i="1"/>
  <c r="N1079" i="1"/>
  <c r="O1079" i="1"/>
  <c r="P1079" i="1"/>
  <c r="Q1079" i="1"/>
  <c r="A1080" i="1"/>
  <c r="L1080" i="1"/>
  <c r="M1080" i="1"/>
  <c r="N1080" i="1"/>
  <c r="O1080" i="1"/>
  <c r="P1080" i="1"/>
  <c r="Q1080" i="1"/>
  <c r="A1081" i="1"/>
  <c r="L1081" i="1"/>
  <c r="M1081" i="1"/>
  <c r="N1081" i="1"/>
  <c r="O1081" i="1"/>
  <c r="P1081" i="1"/>
  <c r="Q1081" i="1"/>
  <c r="A1082" i="1"/>
  <c r="L1082" i="1"/>
  <c r="M1082" i="1"/>
  <c r="N1082" i="1"/>
  <c r="O1082" i="1"/>
  <c r="P1082" i="1"/>
  <c r="Q1082" i="1"/>
  <c r="A1083" i="1"/>
  <c r="L1083" i="1"/>
  <c r="M1083" i="1"/>
  <c r="N1083" i="1"/>
  <c r="O1083" i="1"/>
  <c r="P1083" i="1"/>
  <c r="Q1083" i="1"/>
  <c r="A1084" i="1"/>
  <c r="L1084" i="1"/>
  <c r="M1084" i="1"/>
  <c r="N1084" i="1"/>
  <c r="O1084" i="1"/>
  <c r="P1084" i="1"/>
  <c r="Q1084" i="1"/>
  <c r="A1085" i="1"/>
  <c r="L1085" i="1"/>
  <c r="M1085" i="1"/>
  <c r="N1085" i="1"/>
  <c r="O1085" i="1"/>
  <c r="P1085" i="1"/>
  <c r="Q1085" i="1"/>
  <c r="A1086" i="1"/>
  <c r="L1086" i="1"/>
  <c r="M1086" i="1"/>
  <c r="N1086" i="1"/>
  <c r="O1086" i="1"/>
  <c r="P1086" i="1"/>
  <c r="Q1086" i="1"/>
  <c r="A1087" i="1"/>
  <c r="L1087" i="1"/>
  <c r="M1087" i="1"/>
  <c r="N1087" i="1"/>
  <c r="O1087" i="1"/>
  <c r="P1087" i="1"/>
  <c r="Q1087" i="1"/>
  <c r="A1088" i="1"/>
  <c r="L1088" i="1"/>
  <c r="M1088" i="1"/>
  <c r="N1088" i="1"/>
  <c r="O1088" i="1"/>
  <c r="P1088" i="1"/>
  <c r="Q1088" i="1"/>
  <c r="A1089" i="1"/>
  <c r="L1089" i="1"/>
  <c r="M1089" i="1"/>
  <c r="N1089" i="1"/>
  <c r="O1089" i="1"/>
  <c r="P1089" i="1"/>
  <c r="Q1089" i="1"/>
  <c r="A1090" i="1"/>
  <c r="L1090" i="1"/>
  <c r="M1090" i="1"/>
  <c r="N1090" i="1"/>
  <c r="O1090" i="1"/>
  <c r="P1090" i="1"/>
  <c r="Q1090" i="1"/>
  <c r="A1091" i="1"/>
  <c r="L1091" i="1"/>
  <c r="M1091" i="1"/>
  <c r="N1091" i="1"/>
  <c r="O1091" i="1"/>
  <c r="P1091" i="1"/>
  <c r="Q1091" i="1"/>
  <c r="A1092" i="1"/>
  <c r="L1092" i="1"/>
  <c r="M1092" i="1"/>
  <c r="N1092" i="1"/>
  <c r="O1092" i="1"/>
  <c r="P1092" i="1"/>
  <c r="Q1092" i="1"/>
  <c r="A1093" i="1"/>
  <c r="L1093" i="1"/>
  <c r="M1093" i="1"/>
  <c r="N1093" i="1"/>
  <c r="O1093" i="1"/>
  <c r="P1093" i="1"/>
  <c r="Q1093" i="1"/>
  <c r="A1094" i="1"/>
  <c r="L1094" i="1"/>
  <c r="M1094" i="1"/>
  <c r="N1094" i="1"/>
  <c r="O1094" i="1"/>
  <c r="P1094" i="1"/>
  <c r="Q1094" i="1"/>
  <c r="A1095" i="1"/>
  <c r="L1095" i="1"/>
  <c r="M1095" i="1"/>
  <c r="N1095" i="1"/>
  <c r="O1095" i="1"/>
  <c r="P1095" i="1"/>
  <c r="Q1095" i="1"/>
  <c r="A1096" i="1"/>
  <c r="L1096" i="1"/>
  <c r="M1096" i="1"/>
  <c r="N1096" i="1"/>
  <c r="O1096" i="1"/>
  <c r="P1096" i="1"/>
  <c r="Q1096" i="1"/>
  <c r="A1097" i="1"/>
  <c r="L1097" i="1"/>
  <c r="M1097" i="1"/>
  <c r="N1097" i="1"/>
  <c r="O1097" i="1"/>
  <c r="P1097" i="1"/>
  <c r="Q1097" i="1"/>
  <c r="A1098" i="1"/>
  <c r="L1098" i="1"/>
  <c r="M1098" i="1"/>
  <c r="N1098" i="1"/>
  <c r="O1098" i="1"/>
  <c r="P1098" i="1"/>
  <c r="Q1098" i="1"/>
  <c r="A1099" i="1"/>
  <c r="L1099" i="1"/>
  <c r="M1099" i="1"/>
  <c r="N1099" i="1"/>
  <c r="O1099" i="1"/>
  <c r="P1099" i="1"/>
  <c r="Q1099" i="1"/>
  <c r="A1100" i="1"/>
  <c r="L1100" i="1"/>
  <c r="M1100" i="1"/>
  <c r="N1100" i="1"/>
  <c r="O1100" i="1"/>
  <c r="P1100" i="1"/>
  <c r="Q1100" i="1"/>
  <c r="A1101" i="1"/>
  <c r="L1101" i="1"/>
  <c r="M1101" i="1"/>
  <c r="N1101" i="1"/>
  <c r="O1101" i="1"/>
  <c r="P1101" i="1"/>
  <c r="Q1101" i="1"/>
  <c r="A1102" i="1"/>
  <c r="L1102" i="1"/>
  <c r="M1102" i="1"/>
  <c r="N1102" i="1"/>
  <c r="O1102" i="1"/>
  <c r="P1102" i="1"/>
  <c r="Q1102" i="1"/>
  <c r="A1103" i="1"/>
  <c r="L1103" i="1"/>
  <c r="M1103" i="1"/>
  <c r="N1103" i="1"/>
  <c r="O1103" i="1"/>
  <c r="P1103" i="1"/>
  <c r="Q1103" i="1"/>
  <c r="A1104" i="1"/>
  <c r="L1104" i="1"/>
  <c r="M1104" i="1"/>
  <c r="N1104" i="1"/>
  <c r="O1104" i="1"/>
  <c r="P1104" i="1"/>
  <c r="Q1104" i="1"/>
  <c r="A1105" i="1"/>
  <c r="L1105" i="1"/>
  <c r="M1105" i="1"/>
  <c r="N1105" i="1"/>
  <c r="O1105" i="1"/>
  <c r="P1105" i="1"/>
  <c r="Q1105" i="1"/>
  <c r="A1106" i="1"/>
  <c r="L1106" i="1"/>
  <c r="M1106" i="1"/>
  <c r="N1106" i="1"/>
  <c r="O1106" i="1"/>
  <c r="P1106" i="1"/>
  <c r="Q1106" i="1"/>
  <c r="A1107" i="1"/>
  <c r="L1107" i="1"/>
  <c r="M1107" i="1"/>
  <c r="N1107" i="1"/>
  <c r="O1107" i="1"/>
  <c r="P1107" i="1"/>
  <c r="Q1107" i="1"/>
  <c r="A1108" i="1"/>
  <c r="L1108" i="1"/>
  <c r="M1108" i="1"/>
  <c r="N1108" i="1"/>
  <c r="O1108" i="1"/>
  <c r="P1108" i="1"/>
  <c r="Q1108" i="1"/>
  <c r="A1109" i="1"/>
  <c r="L1109" i="1"/>
  <c r="M1109" i="1"/>
  <c r="N1109" i="1"/>
  <c r="O1109" i="1"/>
  <c r="P1109" i="1"/>
  <c r="Q1109" i="1"/>
  <c r="A1110" i="1"/>
  <c r="L1110" i="1"/>
  <c r="M1110" i="1"/>
  <c r="N1110" i="1"/>
  <c r="O1110" i="1"/>
  <c r="P1110" i="1"/>
  <c r="Q1110" i="1"/>
  <c r="A1111" i="1"/>
  <c r="L1111" i="1"/>
  <c r="M1111" i="1"/>
  <c r="N1111" i="1"/>
  <c r="O1111" i="1"/>
  <c r="P1111" i="1"/>
  <c r="Q1111" i="1"/>
  <c r="A1112" i="1"/>
  <c r="L1112" i="1"/>
  <c r="M1112" i="1"/>
  <c r="N1112" i="1"/>
  <c r="O1112" i="1"/>
  <c r="P1112" i="1"/>
  <c r="Q1112" i="1"/>
  <c r="A1113" i="1"/>
  <c r="L1113" i="1"/>
  <c r="M1113" i="1"/>
  <c r="N1113" i="1"/>
  <c r="O1113" i="1"/>
  <c r="P1113" i="1"/>
  <c r="Q1113" i="1"/>
  <c r="A1114" i="1"/>
  <c r="L1114" i="1"/>
  <c r="M1114" i="1"/>
  <c r="N1114" i="1"/>
  <c r="O1114" i="1"/>
  <c r="P1114" i="1"/>
  <c r="Q1114" i="1"/>
  <c r="A1115" i="1"/>
  <c r="L1115" i="1"/>
  <c r="M1115" i="1"/>
  <c r="N1115" i="1"/>
  <c r="O1115" i="1"/>
  <c r="P1115" i="1"/>
  <c r="Q1115" i="1"/>
  <c r="A1116" i="1"/>
  <c r="L1116" i="1"/>
  <c r="M1116" i="1"/>
  <c r="N1116" i="1"/>
  <c r="O1116" i="1"/>
  <c r="P1116" i="1"/>
  <c r="Q1116" i="1"/>
  <c r="A1117" i="1"/>
  <c r="L1117" i="1"/>
  <c r="M1117" i="1"/>
  <c r="N1117" i="1"/>
  <c r="O1117" i="1"/>
  <c r="P1117" i="1"/>
  <c r="Q1117" i="1"/>
  <c r="A1118" i="1"/>
  <c r="L1118" i="1"/>
  <c r="M1118" i="1"/>
  <c r="N1118" i="1"/>
  <c r="O1118" i="1"/>
  <c r="P1118" i="1"/>
  <c r="Q1118" i="1"/>
  <c r="A1119" i="1"/>
  <c r="L1119" i="1"/>
  <c r="M1119" i="1"/>
  <c r="N1119" i="1"/>
  <c r="O1119" i="1"/>
  <c r="P1119" i="1"/>
  <c r="Q1119" i="1"/>
  <c r="A1120" i="1"/>
  <c r="L1120" i="1"/>
  <c r="M1120" i="1"/>
  <c r="N1120" i="1"/>
  <c r="O1120" i="1"/>
  <c r="P1120" i="1"/>
  <c r="Q1120" i="1"/>
  <c r="A1121" i="1"/>
  <c r="L1121" i="1"/>
  <c r="M1121" i="1"/>
  <c r="N1121" i="1"/>
  <c r="O1121" i="1"/>
  <c r="P1121" i="1"/>
  <c r="Q1121" i="1"/>
  <c r="A1122" i="1"/>
  <c r="L1122" i="1"/>
  <c r="M1122" i="1"/>
  <c r="N1122" i="1"/>
  <c r="O1122" i="1"/>
  <c r="P1122" i="1"/>
  <c r="Q1122" i="1"/>
  <c r="B1063" i="1" l="1"/>
  <c r="G1062" i="1"/>
  <c r="B1061" i="1"/>
  <c r="G1060" i="1"/>
  <c r="B1059" i="1"/>
  <c r="E1058" i="1"/>
  <c r="G1058" i="1"/>
  <c r="C1055" i="1"/>
  <c r="D1055" i="1"/>
  <c r="E1054" i="1"/>
  <c r="B1047" i="1"/>
  <c r="C1053" i="3"/>
  <c r="B1072" i="3"/>
  <c r="B1069" i="3"/>
  <c r="B1063" i="3"/>
  <c r="B1055" i="3"/>
  <c r="B1052" i="3"/>
  <c r="B1047" i="3"/>
  <c r="B1044" i="3"/>
  <c r="B1039" i="3"/>
  <c r="D1047" i="3"/>
  <c r="H1119" i="4"/>
  <c r="H1103" i="4"/>
  <c r="D1098" i="4"/>
  <c r="D1085" i="4"/>
  <c r="B1083" i="4"/>
  <c r="H1064" i="4"/>
  <c r="B1063" i="4"/>
  <c r="J1062" i="4"/>
  <c r="D1062" i="4"/>
  <c r="B1061" i="4"/>
  <c r="D1061" i="4"/>
  <c r="F1060" i="4"/>
  <c r="F1059" i="4"/>
  <c r="H1058" i="4"/>
  <c r="D1058" i="4"/>
  <c r="F1056" i="4"/>
  <c r="H1056" i="4"/>
  <c r="J1055" i="4"/>
  <c r="H1054" i="4"/>
  <c r="J1054" i="4"/>
  <c r="B1054" i="4"/>
  <c r="B1053" i="4"/>
  <c r="D1052" i="4"/>
  <c r="J1051" i="4"/>
  <c r="B1050" i="4"/>
  <c r="D1048" i="4"/>
  <c r="F1045" i="4"/>
  <c r="H1043" i="4"/>
  <c r="I1053" i="1"/>
  <c r="D1040" i="1"/>
  <c r="F1039" i="1"/>
  <c r="H1071" i="1"/>
  <c r="H1061" i="1"/>
  <c r="J1046" i="1"/>
  <c r="B1054" i="1"/>
  <c r="G1114" i="1"/>
  <c r="F1098" i="1"/>
  <c r="C1047" i="1"/>
  <c r="G1075" i="1"/>
  <c r="G1067" i="1"/>
  <c r="G1063" i="1"/>
  <c r="F1061" i="1"/>
  <c r="F1060" i="1"/>
  <c r="G1059" i="1"/>
  <c r="C1056" i="1"/>
  <c r="C1054" i="1"/>
  <c r="D1053" i="1"/>
  <c r="I1052" i="1"/>
  <c r="G1051" i="1"/>
  <c r="C1048" i="1"/>
  <c r="E1046" i="1"/>
  <c r="C1046" i="1"/>
  <c r="J1045" i="1"/>
  <c r="C1044" i="1"/>
  <c r="G1043" i="1"/>
  <c r="F1041" i="1"/>
  <c r="F1121" i="1"/>
  <c r="G1120" i="1"/>
  <c r="F1119" i="1"/>
  <c r="G1118" i="1"/>
  <c r="B1108" i="1"/>
  <c r="F1105" i="1"/>
  <c r="B1092" i="1"/>
  <c r="F1089" i="1"/>
  <c r="G1088" i="1"/>
  <c r="J1063" i="1"/>
  <c r="F1063" i="1"/>
  <c r="B1062" i="1"/>
  <c r="B1060" i="1"/>
  <c r="J1059" i="1"/>
  <c r="F1059" i="1"/>
  <c r="F1055" i="1"/>
  <c r="B1053" i="1"/>
  <c r="H1052" i="1"/>
  <c r="F1051" i="1"/>
  <c r="I1050" i="1"/>
  <c r="F1049" i="1"/>
  <c r="F1047" i="1"/>
  <c r="D1045" i="1"/>
  <c r="I1044" i="1"/>
  <c r="F1043" i="1"/>
  <c r="H1111" i="1"/>
  <c r="H1101" i="1"/>
  <c r="H1095" i="1"/>
  <c r="H1085" i="1"/>
  <c r="H1079" i="1"/>
  <c r="H1049" i="1"/>
  <c r="H1043" i="1"/>
  <c r="J1061" i="1"/>
  <c r="J1091" i="1"/>
  <c r="F1082" i="1"/>
  <c r="F1062" i="1"/>
  <c r="I1058" i="1"/>
  <c r="D1057" i="1"/>
  <c r="E1057" i="1"/>
  <c r="E1056" i="1"/>
  <c r="G1056" i="1"/>
  <c r="J1055" i="1"/>
  <c r="J1053" i="1"/>
  <c r="B1051" i="1"/>
  <c r="E1050" i="1"/>
  <c r="F1050" i="1"/>
  <c r="G1050" i="1"/>
  <c r="E1049" i="1"/>
  <c r="G1048" i="1"/>
  <c r="D1047" i="1"/>
  <c r="B1045" i="1"/>
  <c r="H1044" i="1"/>
  <c r="E1042" i="1"/>
  <c r="I1042" i="1"/>
  <c r="D1041" i="1"/>
  <c r="E1041" i="1"/>
  <c r="E1040" i="1"/>
  <c r="G1040" i="1"/>
  <c r="H1038" i="1"/>
  <c r="C1040" i="1"/>
  <c r="J1121" i="1"/>
  <c r="H1075" i="1"/>
  <c r="H1063" i="1"/>
  <c r="G1061" i="1"/>
  <c r="H1059" i="1"/>
  <c r="I1046" i="1"/>
  <c r="G1104" i="1"/>
  <c r="H1067" i="1"/>
  <c r="D1056" i="1"/>
  <c r="H1053" i="1"/>
  <c r="B1122" i="1"/>
  <c r="F1112" i="1"/>
  <c r="J1107" i="1"/>
  <c r="J1039" i="1"/>
  <c r="G1044" i="1"/>
  <c r="J1043" i="1"/>
  <c r="D1039" i="1"/>
  <c r="J1038" i="1"/>
  <c r="B1038" i="1"/>
  <c r="H1062" i="1"/>
  <c r="H1060" i="1"/>
  <c r="F1058" i="1"/>
  <c r="B1055" i="1"/>
  <c r="J1047" i="1"/>
  <c r="F1042" i="1"/>
  <c r="B1039" i="1"/>
  <c r="G1121" i="1"/>
  <c r="F1120" i="1"/>
  <c r="B1118" i="1"/>
  <c r="J1117" i="1"/>
  <c r="H1117" i="1"/>
  <c r="F1115" i="1"/>
  <c r="H1115" i="1"/>
  <c r="F1114" i="1"/>
  <c r="J1113" i="1"/>
  <c r="G1111" i="1"/>
  <c r="F1110" i="1"/>
  <c r="G1110" i="1"/>
  <c r="F1108" i="1"/>
  <c r="J1105" i="1"/>
  <c r="G1105" i="1"/>
  <c r="F1104" i="1"/>
  <c r="J1103" i="1"/>
  <c r="G1102" i="1"/>
  <c r="B1102" i="1"/>
  <c r="J1101" i="1"/>
  <c r="G1100" i="1"/>
  <c r="F1099" i="1"/>
  <c r="G1098" i="1"/>
  <c r="J1097" i="1"/>
  <c r="F1096" i="1"/>
  <c r="G1095" i="1"/>
  <c r="F1094" i="1"/>
  <c r="G1094" i="1"/>
  <c r="F1092" i="1"/>
  <c r="J1089" i="1"/>
  <c r="G1089" i="1"/>
  <c r="F1088" i="1"/>
  <c r="J1087" i="1"/>
  <c r="F1086" i="1"/>
  <c r="G1086" i="1"/>
  <c r="B1086" i="1"/>
  <c r="J1085" i="1"/>
  <c r="G1084" i="1"/>
  <c r="F1083" i="1"/>
  <c r="G1082" i="1"/>
  <c r="J1081" i="1"/>
  <c r="F1080" i="1"/>
  <c r="J1079" i="1"/>
  <c r="G1079" i="1"/>
  <c r="F1078" i="1"/>
  <c r="J1077" i="1"/>
  <c r="F1076" i="1"/>
  <c r="J1075" i="1"/>
  <c r="F1074" i="1"/>
  <c r="J1073" i="1"/>
  <c r="F1072" i="1"/>
  <c r="J1071" i="1"/>
  <c r="G1071" i="1"/>
  <c r="F1070" i="1"/>
  <c r="J1069" i="1"/>
  <c r="F1068" i="1"/>
  <c r="J1067" i="1"/>
  <c r="F1066" i="1"/>
  <c r="J1065" i="1"/>
  <c r="F1064" i="1"/>
  <c r="G1052" i="1"/>
  <c r="C1052" i="1"/>
  <c r="J1051" i="1"/>
  <c r="E1051" i="1"/>
  <c r="H1051" i="1"/>
  <c r="D1049" i="1"/>
  <c r="I1048" i="1"/>
  <c r="D1048" i="1"/>
  <c r="E1048" i="1"/>
  <c r="E1047" i="1"/>
  <c r="B1046" i="1"/>
  <c r="E1045" i="1"/>
  <c r="H1045" i="1"/>
  <c r="I1045" i="1"/>
  <c r="B1043" i="1"/>
  <c r="E1043" i="1"/>
  <c r="G1042" i="1"/>
  <c r="H1041" i="1"/>
  <c r="I1040" i="1"/>
  <c r="I1039" i="1"/>
  <c r="C1039" i="1"/>
  <c r="E1039" i="1"/>
  <c r="D1038" i="1"/>
  <c r="E1120" i="4"/>
  <c r="E1119" i="4"/>
  <c r="E1116" i="4"/>
  <c r="E1111" i="4"/>
  <c r="E1108" i="4"/>
  <c r="E1105" i="4"/>
  <c r="E1103" i="4"/>
  <c r="E1095" i="4"/>
  <c r="E1094" i="4"/>
  <c r="E1091" i="4"/>
  <c r="E1088" i="4"/>
  <c r="E1086" i="4"/>
  <c r="C1080" i="4"/>
  <c r="E1076" i="4"/>
  <c r="E1074" i="4"/>
  <c r="E1073" i="4"/>
  <c r="E1071" i="4"/>
  <c r="E1070" i="4"/>
  <c r="E1068" i="4"/>
  <c r="E1067" i="4"/>
  <c r="C1066" i="4"/>
  <c r="I1065" i="4"/>
  <c r="E1062" i="4"/>
  <c r="K1060" i="4"/>
  <c r="E1059" i="4"/>
  <c r="C1055" i="4"/>
  <c r="E1054" i="4"/>
  <c r="C1050" i="4"/>
  <c r="K1048" i="4"/>
  <c r="G1046" i="4"/>
  <c r="I1119" i="1"/>
  <c r="G1064" i="4"/>
  <c r="E1122" i="4"/>
  <c r="C1119" i="4"/>
  <c r="E1117" i="4"/>
  <c r="E1114" i="4"/>
  <c r="E1101" i="4"/>
  <c r="E1100" i="4"/>
  <c r="E1096" i="4"/>
  <c r="K1091" i="4"/>
  <c r="E1084" i="4"/>
  <c r="E1083" i="4"/>
  <c r="E1079" i="4"/>
  <c r="C1071" i="4"/>
  <c r="I1068" i="4"/>
  <c r="I1062" i="4"/>
  <c r="C1061" i="4"/>
  <c r="E1058" i="4"/>
  <c r="E1057" i="4"/>
  <c r="E1056" i="4"/>
  <c r="K1055" i="4"/>
  <c r="K1052" i="4"/>
  <c r="E1049" i="4"/>
  <c r="E1048" i="4"/>
  <c r="E1047" i="4"/>
  <c r="K1045" i="4"/>
  <c r="C1042" i="4"/>
  <c r="C1077" i="4"/>
  <c r="B1121" i="1"/>
  <c r="B1119" i="1"/>
  <c r="B1117" i="1"/>
  <c r="B1115" i="1"/>
  <c r="B1113" i="1"/>
  <c r="B1111" i="1"/>
  <c r="B1109" i="1"/>
  <c r="B1107" i="1"/>
  <c r="B1105" i="1"/>
  <c r="B1103" i="1"/>
  <c r="B1101" i="1"/>
  <c r="B1099" i="1"/>
  <c r="B1097" i="1"/>
  <c r="B1095" i="1"/>
  <c r="B1093" i="1"/>
  <c r="E1121" i="4"/>
  <c r="E1115" i="4"/>
  <c r="E1110" i="4"/>
  <c r="E1106" i="4"/>
  <c r="K1100" i="4"/>
  <c r="E1099" i="4"/>
  <c r="E1097" i="4"/>
  <c r="E1092" i="4"/>
  <c r="E1089" i="4"/>
  <c r="E1085" i="4"/>
  <c r="E1082" i="4"/>
  <c r="E1078" i="4"/>
  <c r="E1075" i="4"/>
  <c r="E1072" i="4"/>
  <c r="E1069" i="4"/>
  <c r="E1063" i="4"/>
  <c r="I1061" i="4"/>
  <c r="I1059" i="4"/>
  <c r="K1056" i="4"/>
  <c r="E1055" i="4"/>
  <c r="C1054" i="4"/>
  <c r="E1053" i="4"/>
  <c r="I1049" i="4"/>
  <c r="I1047" i="4"/>
  <c r="E1046" i="4"/>
  <c r="E1044" i="4"/>
  <c r="E1043" i="4"/>
  <c r="E1042" i="4"/>
  <c r="E1041" i="4"/>
  <c r="E1040" i="4"/>
  <c r="E1039" i="4"/>
  <c r="K1038" i="4"/>
  <c r="K1077" i="4"/>
  <c r="E1122" i="1"/>
  <c r="E1120" i="1"/>
  <c r="E1118" i="1"/>
  <c r="G1117" i="1"/>
  <c r="E1116" i="1"/>
  <c r="E1114" i="1"/>
  <c r="I1113" i="1"/>
  <c r="F1111" i="1"/>
  <c r="I1109" i="1"/>
  <c r="G1107" i="1"/>
  <c r="I1107" i="1"/>
  <c r="E1106" i="1"/>
  <c r="I1105" i="1"/>
  <c r="E1104" i="1"/>
  <c r="F1103" i="1"/>
  <c r="F1101" i="1"/>
  <c r="I1101" i="1"/>
  <c r="H1099" i="1"/>
  <c r="E1098" i="1"/>
  <c r="I1097" i="1"/>
  <c r="I1095" i="1"/>
  <c r="G1093" i="1"/>
  <c r="E1092" i="1"/>
  <c r="I1091" i="1"/>
  <c r="E1090" i="1"/>
  <c r="I1089" i="1"/>
  <c r="B1088" i="1"/>
  <c r="I1087" i="1"/>
  <c r="F1085" i="1"/>
  <c r="I1085" i="1"/>
  <c r="E1084" i="1"/>
  <c r="G1083" i="1"/>
  <c r="H1083" i="1"/>
  <c r="I1083" i="1"/>
  <c r="B1082" i="1"/>
  <c r="E1082" i="1"/>
  <c r="H1081" i="1"/>
  <c r="I1081" i="1"/>
  <c r="B1080" i="1"/>
  <c r="E1080" i="1"/>
  <c r="F1079" i="1"/>
  <c r="I1079" i="1"/>
  <c r="B1078" i="1"/>
  <c r="E1078" i="1"/>
  <c r="F1077" i="1"/>
  <c r="I1077" i="1"/>
  <c r="B1076" i="1"/>
  <c r="E1076" i="1"/>
  <c r="F1075" i="1"/>
  <c r="I1075" i="1"/>
  <c r="B1074" i="1"/>
  <c r="E1074" i="1"/>
  <c r="F1073" i="1"/>
  <c r="I1073" i="1"/>
  <c r="B1072" i="1"/>
  <c r="E1072" i="1"/>
  <c r="F1071" i="1"/>
  <c r="I1071" i="1"/>
  <c r="B1070" i="1"/>
  <c r="E1070" i="1"/>
  <c r="F1069" i="1"/>
  <c r="I1069" i="1"/>
  <c r="B1068" i="1"/>
  <c r="E1068" i="1"/>
  <c r="F1067" i="1"/>
  <c r="I1067" i="1"/>
  <c r="B1066" i="1"/>
  <c r="E1066" i="1"/>
  <c r="F1065" i="1"/>
  <c r="G1065" i="1"/>
  <c r="H1065" i="1"/>
  <c r="I1065" i="1"/>
  <c r="B1064" i="1"/>
  <c r="E1118" i="4"/>
  <c r="E1113" i="4"/>
  <c r="E1112" i="4"/>
  <c r="E1109" i="4"/>
  <c r="E1107" i="4"/>
  <c r="E1104" i="4"/>
  <c r="E1102" i="4"/>
  <c r="C1101" i="4"/>
  <c r="E1098" i="4"/>
  <c r="E1093" i="4"/>
  <c r="E1090" i="4"/>
  <c r="C1089" i="4"/>
  <c r="E1087" i="4"/>
  <c r="E1081" i="4"/>
  <c r="E1080" i="4"/>
  <c r="E1066" i="4"/>
  <c r="E1065" i="4"/>
  <c r="E1064" i="4"/>
  <c r="E1061" i="4"/>
  <c r="E1060" i="4"/>
  <c r="E1052" i="4"/>
  <c r="E1051" i="4"/>
  <c r="E1050" i="4"/>
  <c r="C1047" i="4"/>
  <c r="C1046" i="4"/>
  <c r="E1045" i="4"/>
  <c r="C1040" i="4"/>
  <c r="I1039" i="4"/>
  <c r="G1038" i="4"/>
  <c r="E1077" i="4"/>
  <c r="E1038" i="4"/>
  <c r="I1121" i="1"/>
  <c r="I1117" i="1"/>
  <c r="I1115" i="1"/>
  <c r="B1114" i="1"/>
  <c r="E1112" i="1"/>
  <c r="I1111" i="1"/>
  <c r="E1110" i="1"/>
  <c r="G1109" i="1"/>
  <c r="E1108" i="1"/>
  <c r="H1107" i="1"/>
  <c r="B1106" i="1"/>
  <c r="B1104" i="1"/>
  <c r="I1103" i="1"/>
  <c r="E1102" i="1"/>
  <c r="G1101" i="1"/>
  <c r="E1100" i="1"/>
  <c r="I1099" i="1"/>
  <c r="B1098" i="1"/>
  <c r="H1097" i="1"/>
  <c r="E1096" i="1"/>
  <c r="F1095" i="1"/>
  <c r="E1094" i="1"/>
  <c r="I1093" i="1"/>
  <c r="G1091" i="1"/>
  <c r="H1091" i="1"/>
  <c r="B1090" i="1"/>
  <c r="E1088" i="1"/>
  <c r="F1087" i="1"/>
  <c r="E1086" i="1"/>
  <c r="G1085" i="1"/>
  <c r="F1122" i="1"/>
  <c r="G1122" i="1"/>
  <c r="H1121" i="1"/>
  <c r="B1120" i="1"/>
  <c r="J1119" i="1"/>
  <c r="G1119" i="1"/>
  <c r="H1119" i="1"/>
  <c r="F1118" i="1"/>
  <c r="F1117" i="1"/>
  <c r="F1116" i="1"/>
  <c r="G1116" i="1"/>
  <c r="B1116" i="1"/>
  <c r="J1115" i="1"/>
  <c r="G1115" i="1"/>
  <c r="F1113" i="1"/>
  <c r="G1113" i="1"/>
  <c r="H1113" i="1"/>
  <c r="G1112" i="1"/>
  <c r="B1112" i="1"/>
  <c r="J1111" i="1"/>
  <c r="B1110" i="1"/>
  <c r="J1109" i="1"/>
  <c r="F1109" i="1"/>
  <c r="H1109" i="1"/>
  <c r="G1108" i="1"/>
  <c r="F1107" i="1"/>
  <c r="F1106" i="1"/>
  <c r="G1106" i="1"/>
  <c r="H1105" i="1"/>
  <c r="G1103" i="1"/>
  <c r="H1103" i="1"/>
  <c r="F1102" i="1"/>
  <c r="F1100" i="1"/>
  <c r="B1100" i="1"/>
  <c r="J1099" i="1"/>
  <c r="G1099" i="1"/>
  <c r="F1097" i="1"/>
  <c r="G1097" i="1"/>
  <c r="G1096" i="1"/>
  <c r="B1096" i="1"/>
  <c r="J1095" i="1"/>
  <c r="B1094" i="1"/>
  <c r="J1093" i="1"/>
  <c r="F1093" i="1"/>
  <c r="H1093" i="1"/>
  <c r="G1092" i="1"/>
  <c r="F1091" i="1"/>
  <c r="F1090" i="1"/>
  <c r="G1090" i="1"/>
  <c r="H1089" i="1"/>
  <c r="G1087" i="1"/>
  <c r="H1087" i="1"/>
  <c r="F1084" i="1"/>
  <c r="B1084" i="1"/>
  <c r="J1083" i="1"/>
  <c r="F1081" i="1"/>
  <c r="G1081" i="1"/>
  <c r="G1080" i="1"/>
  <c r="G1077" i="1"/>
  <c r="H1077" i="1"/>
  <c r="G1073" i="1"/>
  <c r="H1073" i="1"/>
  <c r="G1069" i="1"/>
  <c r="H1069" i="1"/>
  <c r="E1085" i="3"/>
  <c r="A1086" i="3"/>
  <c r="C1085" i="3"/>
  <c r="B1085" i="3"/>
  <c r="D1085" i="3"/>
  <c r="H1122" i="1"/>
  <c r="H1120" i="1"/>
  <c r="H1118" i="1"/>
  <c r="H1116" i="1"/>
  <c r="H1114" i="1"/>
  <c r="H1112" i="1"/>
  <c r="H1110" i="1"/>
  <c r="H1108" i="1"/>
  <c r="H1106" i="1"/>
  <c r="H1104" i="1"/>
  <c r="H1102" i="1"/>
  <c r="H1100" i="1"/>
  <c r="H1098" i="1"/>
  <c r="H1096" i="1"/>
  <c r="H1094" i="1"/>
  <c r="H1092" i="1"/>
  <c r="H1090" i="1"/>
  <c r="H1088" i="1"/>
  <c r="H1086" i="1"/>
  <c r="H1084" i="1"/>
  <c r="H1082" i="1"/>
  <c r="H1080" i="1"/>
  <c r="H1078" i="1"/>
  <c r="H1076" i="1"/>
  <c r="H1074" i="1"/>
  <c r="H1072" i="1"/>
  <c r="H1070" i="1"/>
  <c r="H1068" i="1"/>
  <c r="H1066" i="1"/>
  <c r="H1064" i="1"/>
  <c r="G1122" i="4"/>
  <c r="G1121" i="4"/>
  <c r="G1120" i="4"/>
  <c r="G1119" i="4"/>
  <c r="G1118" i="4"/>
  <c r="G1117" i="4"/>
  <c r="G1116" i="4"/>
  <c r="G1115" i="4"/>
  <c r="G1114" i="4"/>
  <c r="G1113" i="4"/>
  <c r="G1112" i="4"/>
  <c r="G1111" i="4"/>
  <c r="G1110" i="4"/>
  <c r="G1109" i="4"/>
  <c r="G1108" i="4"/>
  <c r="G1107" i="4"/>
  <c r="G1106" i="4"/>
  <c r="G1105" i="4"/>
  <c r="G1104" i="4"/>
  <c r="G1103" i="4"/>
  <c r="G1102" i="4"/>
  <c r="G1101" i="4"/>
  <c r="G1100" i="4"/>
  <c r="G1099" i="4"/>
  <c r="G1098" i="4"/>
  <c r="G1097" i="4"/>
  <c r="G1096" i="4"/>
  <c r="G1095" i="4"/>
  <c r="G1094" i="4"/>
  <c r="G1093" i="4"/>
  <c r="G1092" i="4"/>
  <c r="G1091" i="4"/>
  <c r="G1090" i="4"/>
  <c r="G1089" i="4"/>
  <c r="G1088" i="4"/>
  <c r="G1087" i="4"/>
  <c r="G1086" i="4"/>
  <c r="G1085" i="4"/>
  <c r="G1084" i="4"/>
  <c r="G1083" i="4"/>
  <c r="G1082" i="4"/>
  <c r="G1081" i="4"/>
  <c r="G1080" i="4"/>
  <c r="G1079" i="4"/>
  <c r="G1078" i="4"/>
  <c r="G1076" i="4"/>
  <c r="G1075" i="4"/>
  <c r="G1074" i="4"/>
  <c r="G1073" i="4"/>
  <c r="G1072" i="4"/>
  <c r="G1071" i="4"/>
  <c r="G1070" i="4"/>
  <c r="G1069" i="4"/>
  <c r="G1068" i="4"/>
  <c r="G1067" i="4"/>
  <c r="G1066" i="4"/>
  <c r="G1065" i="4"/>
  <c r="G1063" i="4"/>
  <c r="G1062" i="4"/>
  <c r="G1061" i="4"/>
  <c r="G1056" i="4"/>
  <c r="G1053" i="4"/>
  <c r="G1049" i="4"/>
  <c r="H1122" i="4"/>
  <c r="D1122" i="4"/>
  <c r="B1121" i="4"/>
  <c r="F1120" i="4"/>
  <c r="B1120" i="4"/>
  <c r="B1119" i="4"/>
  <c r="H1118" i="4"/>
  <c r="D1118" i="4"/>
  <c r="J1117" i="4"/>
  <c r="D1116" i="4"/>
  <c r="H1115" i="4"/>
  <c r="B1115" i="4"/>
  <c r="H1114" i="4"/>
  <c r="D1114" i="4"/>
  <c r="H1113" i="4"/>
  <c r="D1113" i="4"/>
  <c r="H1112" i="4"/>
  <c r="D1112" i="4"/>
  <c r="H1111" i="4"/>
  <c r="D1111" i="4"/>
  <c r="H1110" i="4"/>
  <c r="D1110" i="4"/>
  <c r="F1109" i="4"/>
  <c r="B1109" i="4"/>
  <c r="H1108" i="4"/>
  <c r="D1108" i="4"/>
  <c r="J1107" i="4"/>
  <c r="H1106" i="4"/>
  <c r="D1106" i="4"/>
  <c r="J1105" i="4"/>
  <c r="F1104" i="4"/>
  <c r="B1104" i="4"/>
  <c r="J1103" i="4"/>
  <c r="F1102" i="4"/>
  <c r="B1102" i="4"/>
  <c r="H1101" i="4"/>
  <c r="D1101" i="4"/>
  <c r="J1100" i="4"/>
  <c r="H1099" i="4"/>
  <c r="B1099" i="4"/>
  <c r="B1098" i="4"/>
  <c r="H1097" i="4"/>
  <c r="B1097" i="4"/>
  <c r="H1096" i="4"/>
  <c r="D1096" i="4"/>
  <c r="B1095" i="4"/>
  <c r="H1094" i="4"/>
  <c r="D1094" i="4"/>
  <c r="J1093" i="4"/>
  <c r="F1092" i="4"/>
  <c r="J1092" i="4"/>
  <c r="F1091" i="4"/>
  <c r="J1091" i="4"/>
  <c r="H1090" i="4"/>
  <c r="D1090" i="4"/>
  <c r="H1089" i="4"/>
  <c r="D1089" i="4"/>
  <c r="H1088" i="4"/>
  <c r="D1088" i="4"/>
  <c r="F1087" i="4"/>
  <c r="B1087" i="4"/>
  <c r="J1086" i="4"/>
  <c r="F1085" i="4"/>
  <c r="B1085" i="4"/>
  <c r="F1084" i="4"/>
  <c r="B1084" i="4"/>
  <c r="F1083" i="4"/>
  <c r="D1083" i="4"/>
  <c r="B1082" i="4"/>
  <c r="J1081" i="4"/>
  <c r="H1080" i="4"/>
  <c r="D1080" i="4"/>
  <c r="F1079" i="4"/>
  <c r="B1079" i="4"/>
  <c r="F1078" i="4"/>
  <c r="B1078" i="4"/>
  <c r="H1076" i="4"/>
  <c r="D1076" i="4"/>
  <c r="H1075" i="4"/>
  <c r="D1075" i="4"/>
  <c r="F1074" i="4"/>
  <c r="B1074" i="4"/>
  <c r="F1073" i="4"/>
  <c r="B1073" i="4"/>
  <c r="H1072" i="4"/>
  <c r="D1072" i="4"/>
  <c r="F1071" i="4"/>
  <c r="B1071" i="4"/>
  <c r="J1070" i="4"/>
  <c r="F1069" i="4"/>
  <c r="J1069" i="4"/>
  <c r="B1068" i="4"/>
  <c r="C1122" i="1"/>
  <c r="I1120" i="1"/>
  <c r="D1120" i="1"/>
  <c r="I1118" i="1"/>
  <c r="D1118" i="1"/>
  <c r="J1116" i="1"/>
  <c r="E1115" i="1"/>
  <c r="I1114" i="1"/>
  <c r="J1114" i="1"/>
  <c r="C1114" i="1"/>
  <c r="D1114" i="1"/>
  <c r="E1113" i="1"/>
  <c r="I1112" i="1"/>
  <c r="J1112" i="1"/>
  <c r="C1112" i="1"/>
  <c r="D1112" i="1"/>
  <c r="E1111" i="1"/>
  <c r="I1110" i="1"/>
  <c r="J1110" i="1"/>
  <c r="C1110" i="1"/>
  <c r="D1110" i="1"/>
  <c r="E1109" i="1"/>
  <c r="I1108" i="1"/>
  <c r="J1108" i="1"/>
  <c r="C1108" i="1"/>
  <c r="D1108" i="1"/>
  <c r="E1107" i="1"/>
  <c r="I1106" i="1"/>
  <c r="J1106" i="1"/>
  <c r="C1106" i="1"/>
  <c r="D1106" i="1"/>
  <c r="E1105" i="1"/>
  <c r="I1104" i="1"/>
  <c r="J1104" i="1"/>
  <c r="C1104" i="1"/>
  <c r="D1104" i="1"/>
  <c r="E1103" i="1"/>
  <c r="I1102" i="1"/>
  <c r="J1102" i="1"/>
  <c r="C1102" i="1"/>
  <c r="D1102" i="1"/>
  <c r="E1101" i="1"/>
  <c r="I1100" i="1"/>
  <c r="J1100" i="1"/>
  <c r="C1100" i="1"/>
  <c r="D1100" i="1"/>
  <c r="E1099" i="1"/>
  <c r="I1098" i="1"/>
  <c r="J1098" i="1"/>
  <c r="C1098" i="1"/>
  <c r="D1098" i="1"/>
  <c r="E1097" i="1"/>
  <c r="I1096" i="1"/>
  <c r="J1096" i="1"/>
  <c r="C1096" i="1"/>
  <c r="D1096" i="1"/>
  <c r="E1095" i="1"/>
  <c r="I1094" i="1"/>
  <c r="J1094" i="1"/>
  <c r="C1094" i="1"/>
  <c r="D1094" i="1"/>
  <c r="E1093" i="1"/>
  <c r="I1092" i="1"/>
  <c r="J1092" i="1"/>
  <c r="C1092" i="1"/>
  <c r="D1092" i="1"/>
  <c r="B1091" i="1"/>
  <c r="E1091" i="1"/>
  <c r="I1090" i="1"/>
  <c r="J1090" i="1"/>
  <c r="C1090" i="1"/>
  <c r="D1090" i="1"/>
  <c r="B1089" i="1"/>
  <c r="E1089" i="1"/>
  <c r="I1088" i="1"/>
  <c r="J1088" i="1"/>
  <c r="C1088" i="1"/>
  <c r="D1088" i="1"/>
  <c r="B1087" i="1"/>
  <c r="E1087" i="1"/>
  <c r="I1086" i="1"/>
  <c r="J1086" i="1"/>
  <c r="C1086" i="1"/>
  <c r="D1086" i="1"/>
  <c r="B1085" i="1"/>
  <c r="E1085" i="1"/>
  <c r="I1084" i="1"/>
  <c r="J1084" i="1"/>
  <c r="C1084" i="1"/>
  <c r="D1084" i="1"/>
  <c r="B1083" i="1"/>
  <c r="E1083" i="1"/>
  <c r="I1082" i="1"/>
  <c r="J1082" i="1"/>
  <c r="C1082" i="1"/>
  <c r="D1082" i="1"/>
  <c r="B1081" i="1"/>
  <c r="E1081" i="1"/>
  <c r="I1080" i="1"/>
  <c r="J1080" i="1"/>
  <c r="C1080" i="1"/>
  <c r="D1080" i="1"/>
  <c r="B1079" i="1"/>
  <c r="E1079" i="1"/>
  <c r="G1078" i="1"/>
  <c r="I1078" i="1"/>
  <c r="J1078" i="1"/>
  <c r="C1078" i="1"/>
  <c r="D1078" i="1"/>
  <c r="B1077" i="1"/>
  <c r="E1077" i="1"/>
  <c r="G1076" i="1"/>
  <c r="I1076" i="1"/>
  <c r="J1076" i="1"/>
  <c r="C1076" i="1"/>
  <c r="D1076" i="1"/>
  <c r="B1075" i="1"/>
  <c r="E1075" i="1"/>
  <c r="G1074" i="1"/>
  <c r="I1074" i="1"/>
  <c r="J1074" i="1"/>
  <c r="C1074" i="1"/>
  <c r="D1074" i="1"/>
  <c r="B1073" i="1"/>
  <c r="E1073" i="1"/>
  <c r="G1072" i="1"/>
  <c r="I1072" i="1"/>
  <c r="J1072" i="1"/>
  <c r="C1072" i="1"/>
  <c r="D1072" i="1"/>
  <c r="B1071" i="1"/>
  <c r="E1071" i="1"/>
  <c r="G1070" i="1"/>
  <c r="I1070" i="1"/>
  <c r="J1070" i="1"/>
  <c r="C1070" i="1"/>
  <c r="D1070" i="1"/>
  <c r="B1069" i="1"/>
  <c r="E1069" i="1"/>
  <c r="G1068" i="1"/>
  <c r="I1068" i="1"/>
  <c r="J1068" i="1"/>
  <c r="C1068" i="1"/>
  <c r="D1068" i="1"/>
  <c r="B1067" i="1"/>
  <c r="E1067" i="1"/>
  <c r="G1066" i="1"/>
  <c r="I1066" i="1"/>
  <c r="J1066" i="1"/>
  <c r="C1066" i="1"/>
  <c r="D1066" i="1"/>
  <c r="B1065" i="1"/>
  <c r="E1065" i="1"/>
  <c r="G1064" i="1"/>
  <c r="I1064" i="1"/>
  <c r="J1064" i="1"/>
  <c r="C1064" i="1"/>
  <c r="D1064" i="1"/>
  <c r="E1063" i="1"/>
  <c r="I1062" i="1"/>
  <c r="J1062" i="1"/>
  <c r="C1062" i="1"/>
  <c r="D1062" i="1"/>
  <c r="E1061" i="1"/>
  <c r="I1060" i="1"/>
  <c r="J1060" i="1"/>
  <c r="C1060" i="1"/>
  <c r="D1060" i="1"/>
  <c r="E1059" i="1"/>
  <c r="J1058" i="1"/>
  <c r="B1058" i="1"/>
  <c r="C1058" i="1"/>
  <c r="D1058" i="1"/>
  <c r="F1057" i="1"/>
  <c r="G1057" i="1"/>
  <c r="H1057" i="1"/>
  <c r="I1056" i="1"/>
  <c r="J1056" i="1"/>
  <c r="B1056" i="1"/>
  <c r="E1055" i="1"/>
  <c r="G1055" i="1"/>
  <c r="H1055" i="1"/>
  <c r="I1054" i="1"/>
  <c r="J1054" i="1"/>
  <c r="D1054" i="1"/>
  <c r="E1053" i="1"/>
  <c r="F1053" i="1"/>
  <c r="G1053" i="1"/>
  <c r="B1084" i="3"/>
  <c r="C1084" i="3"/>
  <c r="D1084" i="3"/>
  <c r="E1084" i="3"/>
  <c r="K1122" i="4"/>
  <c r="I1110" i="4"/>
  <c r="C1108" i="4"/>
  <c r="J1122" i="4"/>
  <c r="F1121" i="4"/>
  <c r="J1121" i="4"/>
  <c r="J1120" i="4"/>
  <c r="F1119" i="4"/>
  <c r="D1119" i="4"/>
  <c r="J1118" i="4"/>
  <c r="F1117" i="4"/>
  <c r="B1117" i="4"/>
  <c r="F1116" i="4"/>
  <c r="B1116" i="4"/>
  <c r="F1115" i="4"/>
  <c r="D1115" i="4"/>
  <c r="J1114" i="4"/>
  <c r="F1113" i="4"/>
  <c r="B1113" i="4"/>
  <c r="F1112" i="4"/>
  <c r="B1112" i="4"/>
  <c r="J1111" i="4"/>
  <c r="J1110" i="4"/>
  <c r="J1109" i="4"/>
  <c r="F1108" i="4"/>
  <c r="B1108" i="4"/>
  <c r="H1107" i="4"/>
  <c r="D1107" i="4"/>
  <c r="J1106" i="4"/>
  <c r="F1105" i="4"/>
  <c r="B1105" i="4"/>
  <c r="J1104" i="4"/>
  <c r="D1103" i="4"/>
  <c r="H1102" i="4"/>
  <c r="D1102" i="4"/>
  <c r="F1101" i="4"/>
  <c r="B1101" i="4"/>
  <c r="H1100" i="4"/>
  <c r="D1100" i="4"/>
  <c r="D1099" i="4"/>
  <c r="F1098" i="4"/>
  <c r="J1098" i="4"/>
  <c r="J1097" i="4"/>
  <c r="J1096" i="4"/>
  <c r="F1095" i="4"/>
  <c r="J1095" i="4"/>
  <c r="J1094" i="4"/>
  <c r="H1093" i="4"/>
  <c r="D1093" i="4"/>
  <c r="B1092" i="4"/>
  <c r="B1091" i="4"/>
  <c r="B1090" i="4"/>
  <c r="J1089" i="4"/>
  <c r="J1088" i="4"/>
  <c r="H1087" i="4"/>
  <c r="D1087" i="4"/>
  <c r="H1086" i="4"/>
  <c r="D1086" i="4"/>
  <c r="H1085" i="4"/>
  <c r="H1084" i="4"/>
  <c r="D1084" i="4"/>
  <c r="H1083" i="4"/>
  <c r="F1082" i="4"/>
  <c r="D1082" i="4"/>
  <c r="F1081" i="4"/>
  <c r="B1081" i="4"/>
  <c r="J1080" i="4"/>
  <c r="H1079" i="4"/>
  <c r="D1079" i="4"/>
  <c r="H1078" i="4"/>
  <c r="D1078" i="4"/>
  <c r="F1076" i="4"/>
  <c r="J1076" i="4"/>
  <c r="J1075" i="4"/>
  <c r="J1074" i="4"/>
  <c r="J1073" i="4"/>
  <c r="J1072" i="4"/>
  <c r="J1071" i="4"/>
  <c r="F1070" i="4"/>
  <c r="B1070" i="4"/>
  <c r="H1069" i="4"/>
  <c r="D1069" i="4"/>
  <c r="F1068" i="4"/>
  <c r="J1068" i="4"/>
  <c r="F1067" i="4"/>
  <c r="I1122" i="1"/>
  <c r="D1122" i="1"/>
  <c r="C1120" i="1"/>
  <c r="E1119" i="1"/>
  <c r="C1118" i="1"/>
  <c r="E1117" i="1"/>
  <c r="C1116" i="1"/>
  <c r="F1122" i="4"/>
  <c r="B1122" i="4"/>
  <c r="H1121" i="4"/>
  <c r="D1121" i="4"/>
  <c r="H1120" i="4"/>
  <c r="D1120" i="4"/>
  <c r="J1119" i="4"/>
  <c r="B1118" i="4"/>
  <c r="H1117" i="4"/>
  <c r="D1117" i="4"/>
  <c r="J1116" i="4"/>
  <c r="J1115" i="4"/>
  <c r="F1114" i="4"/>
  <c r="B1114" i="4"/>
  <c r="J1113" i="4"/>
  <c r="J1112" i="4"/>
  <c r="F1111" i="4"/>
  <c r="B1111" i="4"/>
  <c r="F1110" i="4"/>
  <c r="B1110" i="4"/>
  <c r="H1109" i="4"/>
  <c r="D1109" i="4"/>
  <c r="J1108" i="4"/>
  <c r="F1107" i="4"/>
  <c r="B1107" i="4"/>
  <c r="F1106" i="4"/>
  <c r="B1106" i="4"/>
  <c r="H1105" i="4"/>
  <c r="D1105" i="4"/>
  <c r="H1104" i="4"/>
  <c r="D1104" i="4"/>
  <c r="F1103" i="4"/>
  <c r="B1103" i="4"/>
  <c r="J1102" i="4"/>
  <c r="J1101" i="4"/>
  <c r="F1100" i="4"/>
  <c r="B1100" i="4"/>
  <c r="F1099" i="4"/>
  <c r="J1099" i="4"/>
  <c r="H1098" i="4"/>
  <c r="F1097" i="4"/>
  <c r="D1097" i="4"/>
  <c r="F1096" i="4"/>
  <c r="B1096" i="4"/>
  <c r="H1095" i="4"/>
  <c r="D1095" i="4"/>
  <c r="F1094" i="4"/>
  <c r="B1094" i="4"/>
  <c r="F1093" i="4"/>
  <c r="B1093" i="4"/>
  <c r="H1092" i="4"/>
  <c r="D1092" i="4"/>
  <c r="H1091" i="4"/>
  <c r="D1091" i="4"/>
  <c r="F1090" i="4"/>
  <c r="J1090" i="4"/>
  <c r="F1089" i="4"/>
  <c r="B1089" i="4"/>
  <c r="F1088" i="4"/>
  <c r="B1088" i="4"/>
  <c r="J1087" i="4"/>
  <c r="F1086" i="4"/>
  <c r="B1086" i="4"/>
  <c r="J1085" i="4"/>
  <c r="J1084" i="4"/>
  <c r="J1083" i="4"/>
  <c r="H1082" i="4"/>
  <c r="H1081" i="4"/>
  <c r="D1081" i="4"/>
  <c r="F1080" i="4"/>
  <c r="B1080" i="4"/>
  <c r="J1079" i="4"/>
  <c r="J1078" i="4"/>
  <c r="B1076" i="4"/>
  <c r="F1075" i="4"/>
  <c r="B1075" i="4"/>
  <c r="H1074" i="4"/>
  <c r="D1074" i="4"/>
  <c r="H1073" i="4"/>
  <c r="D1073" i="4"/>
  <c r="F1072" i="4"/>
  <c r="B1072" i="4"/>
  <c r="H1071" i="4"/>
  <c r="D1071" i="4"/>
  <c r="H1070" i="4"/>
  <c r="D1070" i="4"/>
  <c r="B1069" i="4"/>
  <c r="H1068" i="4"/>
  <c r="D1068" i="4"/>
  <c r="J1067" i="4"/>
  <c r="J1122" i="1"/>
  <c r="E1121" i="1"/>
  <c r="J1120" i="1"/>
  <c r="J1118" i="1"/>
  <c r="I1116" i="1"/>
  <c r="D1116" i="1"/>
  <c r="H1067" i="4"/>
  <c r="B1067" i="4"/>
  <c r="D1067" i="4"/>
  <c r="F1066" i="4"/>
  <c r="H1066" i="4"/>
  <c r="J1066" i="4"/>
  <c r="B1066" i="4"/>
  <c r="D1066" i="4"/>
  <c r="F1065" i="4"/>
  <c r="J1065" i="4"/>
  <c r="F1077" i="4"/>
  <c r="D1121" i="1"/>
  <c r="C1119" i="1"/>
  <c r="D1117" i="1"/>
  <c r="C1103" i="1"/>
  <c r="D1101" i="1"/>
  <c r="D1099" i="1"/>
  <c r="D1097" i="1"/>
  <c r="C1095" i="1"/>
  <c r="D1093" i="1"/>
  <c r="C1091" i="1"/>
  <c r="C1089" i="1"/>
  <c r="D1087" i="1"/>
  <c r="D1085" i="1"/>
  <c r="C1083" i="1"/>
  <c r="D1081" i="1"/>
  <c r="D1079" i="1"/>
  <c r="C1077" i="1"/>
  <c r="C1075" i="1"/>
  <c r="D1073" i="1"/>
  <c r="D1071" i="1"/>
  <c r="C1069" i="1"/>
  <c r="D1067" i="1"/>
  <c r="D1065" i="1"/>
  <c r="C1063" i="1"/>
  <c r="D1061" i="1"/>
  <c r="C1059" i="1"/>
  <c r="H1056" i="1"/>
  <c r="G1054" i="1"/>
  <c r="C1053" i="1"/>
  <c r="C1051" i="1"/>
  <c r="H1048" i="1"/>
  <c r="G1046" i="1"/>
  <c r="D1043" i="1"/>
  <c r="H1042" i="1"/>
  <c r="H1040" i="1"/>
  <c r="B1060" i="2"/>
  <c r="A1061" i="2"/>
  <c r="I1122" i="4"/>
  <c r="C1122" i="4"/>
  <c r="I1121" i="4"/>
  <c r="K1121" i="4"/>
  <c r="C1121" i="4"/>
  <c r="I1120" i="4"/>
  <c r="K1120" i="4"/>
  <c r="C1120" i="4"/>
  <c r="I1119" i="4"/>
  <c r="K1119" i="4"/>
  <c r="I1118" i="4"/>
  <c r="K1118" i="4"/>
  <c r="C1118" i="4"/>
  <c r="I1117" i="4"/>
  <c r="K1117" i="4"/>
  <c r="C1117" i="4"/>
  <c r="I1116" i="4"/>
  <c r="K1116" i="4"/>
  <c r="C1116" i="4"/>
  <c r="I1115" i="4"/>
  <c r="K1115" i="4"/>
  <c r="C1115" i="4"/>
  <c r="I1114" i="4"/>
  <c r="K1114" i="4"/>
  <c r="C1114" i="4"/>
  <c r="I1113" i="4"/>
  <c r="K1113" i="4"/>
  <c r="C1113" i="4"/>
  <c r="I1112" i="4"/>
  <c r="K1112" i="4"/>
  <c r="C1112" i="4"/>
  <c r="I1111" i="4"/>
  <c r="K1111" i="4"/>
  <c r="C1111" i="4"/>
  <c r="K1110" i="4"/>
  <c r="C1110" i="4"/>
  <c r="I1109" i="4"/>
  <c r="K1109" i="4"/>
  <c r="C1109" i="4"/>
  <c r="I1108" i="4"/>
  <c r="K1108" i="4"/>
  <c r="I1107" i="4"/>
  <c r="K1107" i="4"/>
  <c r="C1107" i="4"/>
  <c r="I1106" i="4"/>
  <c r="K1106" i="4"/>
  <c r="C1106" i="4"/>
  <c r="I1105" i="4"/>
  <c r="K1105" i="4"/>
  <c r="C1105" i="4"/>
  <c r="I1104" i="4"/>
  <c r="K1104" i="4"/>
  <c r="C1104" i="4"/>
  <c r="I1103" i="4"/>
  <c r="K1103" i="4"/>
  <c r="C1103" i="4"/>
  <c r="I1102" i="4"/>
  <c r="K1102" i="4"/>
  <c r="C1102" i="4"/>
  <c r="I1101" i="4"/>
  <c r="K1101" i="4"/>
  <c r="I1100" i="4"/>
  <c r="C1100" i="4"/>
  <c r="I1097" i="4"/>
  <c r="I1096" i="4"/>
  <c r="K1088" i="4"/>
  <c r="C1088" i="4"/>
  <c r="C1079" i="4"/>
  <c r="B1077" i="4"/>
  <c r="D1065" i="4"/>
  <c r="D1077" i="4"/>
  <c r="B1065" i="4"/>
  <c r="C1121" i="1"/>
  <c r="D1119" i="1"/>
  <c r="C1117" i="1"/>
  <c r="C1115" i="1"/>
  <c r="D1115" i="1"/>
  <c r="C1113" i="1"/>
  <c r="D1113" i="1"/>
  <c r="C1111" i="1"/>
  <c r="D1111" i="1"/>
  <c r="C1109" i="1"/>
  <c r="D1109" i="1"/>
  <c r="C1107" i="1"/>
  <c r="D1107" i="1"/>
  <c r="C1105" i="1"/>
  <c r="D1105" i="1"/>
  <c r="D1103" i="1"/>
  <c r="C1101" i="1"/>
  <c r="C1099" i="1"/>
  <c r="C1097" i="1"/>
  <c r="D1095" i="1"/>
  <c r="C1093" i="1"/>
  <c r="D1091" i="1"/>
  <c r="D1089" i="1"/>
  <c r="C1087" i="1"/>
  <c r="C1085" i="1"/>
  <c r="D1083" i="1"/>
  <c r="C1081" i="1"/>
  <c r="C1079" i="1"/>
  <c r="D1077" i="1"/>
  <c r="D1075" i="1"/>
  <c r="C1073" i="1"/>
  <c r="C1071" i="1"/>
  <c r="D1069" i="1"/>
  <c r="C1067" i="1"/>
  <c r="C1065" i="1"/>
  <c r="D1063" i="1"/>
  <c r="C1061" i="1"/>
  <c r="D1059" i="1"/>
  <c r="H1058" i="1"/>
  <c r="C1057" i="1"/>
  <c r="H1054" i="1"/>
  <c r="D1051" i="1"/>
  <c r="H1050" i="1"/>
  <c r="C1049" i="1"/>
  <c r="H1046" i="1"/>
  <c r="C1045" i="1"/>
  <c r="C1043" i="1"/>
  <c r="C1041" i="1"/>
  <c r="G1038" i="1"/>
  <c r="J1057" i="1"/>
  <c r="B1057" i="1"/>
  <c r="F1056" i="1"/>
  <c r="F1054" i="1"/>
  <c r="F1052" i="1"/>
  <c r="J1049" i="1"/>
  <c r="B1049" i="1"/>
  <c r="F1048" i="1"/>
  <c r="F1046" i="1"/>
  <c r="F1044" i="1"/>
  <c r="J1041" i="1"/>
  <c r="B1041" i="1"/>
  <c r="F1040" i="1"/>
  <c r="F1038" i="1"/>
  <c r="E1064" i="1"/>
  <c r="I1063" i="1"/>
  <c r="E1062" i="1"/>
  <c r="I1061" i="1"/>
  <c r="E1060" i="1"/>
  <c r="I1059" i="1"/>
  <c r="I1057" i="1"/>
  <c r="I1055" i="1"/>
  <c r="J1052" i="1"/>
  <c r="B1052" i="1"/>
  <c r="D1052" i="1"/>
  <c r="E1052" i="1"/>
  <c r="I1051" i="1"/>
  <c r="J1050" i="1"/>
  <c r="B1050" i="1"/>
  <c r="C1050" i="1"/>
  <c r="D1050" i="1"/>
  <c r="G1049" i="1"/>
  <c r="I1049" i="1"/>
  <c r="J1048" i="1"/>
  <c r="B1048" i="1"/>
  <c r="G1047" i="1"/>
  <c r="H1047" i="1"/>
  <c r="I1047" i="1"/>
  <c r="D1046" i="1"/>
  <c r="F1045" i="1"/>
  <c r="G1045" i="1"/>
  <c r="J1044" i="1"/>
  <c r="B1044" i="1"/>
  <c r="D1044" i="1"/>
  <c r="E1044" i="1"/>
  <c r="I1043" i="1"/>
  <c r="J1042" i="1"/>
  <c r="B1042" i="1"/>
  <c r="C1042" i="1"/>
  <c r="D1042" i="1"/>
  <c r="G1041" i="1"/>
  <c r="I1041" i="1"/>
  <c r="J1040" i="1"/>
  <c r="B1040" i="1"/>
  <c r="G1039" i="1"/>
  <c r="H1039" i="1"/>
  <c r="R1038" i="1"/>
  <c r="C1038" i="1"/>
  <c r="E1038" i="1"/>
  <c r="C1083" i="3"/>
  <c r="C1082" i="3"/>
  <c r="C1081" i="3"/>
  <c r="C1079" i="3"/>
  <c r="C1078" i="3"/>
  <c r="C1077" i="3"/>
  <c r="C1076" i="3"/>
  <c r="C1075" i="3"/>
  <c r="C1074" i="3"/>
  <c r="C1073" i="3"/>
  <c r="C1072" i="3"/>
  <c r="C1071" i="3"/>
  <c r="C1070" i="3"/>
  <c r="C1069" i="3"/>
  <c r="C1068" i="3"/>
  <c r="C1067" i="3"/>
  <c r="C1066" i="3"/>
  <c r="C1065" i="3"/>
  <c r="C1063" i="3"/>
  <c r="C1062" i="3"/>
  <c r="C1061" i="3"/>
  <c r="C1060" i="3"/>
  <c r="C1059" i="3"/>
  <c r="C1058" i="3"/>
  <c r="C1057" i="3"/>
  <c r="C1056" i="3"/>
  <c r="C1054" i="3"/>
  <c r="C1052" i="3"/>
  <c r="C1051" i="3"/>
  <c r="C1050" i="3"/>
  <c r="C1049" i="3"/>
  <c r="C1048" i="3"/>
  <c r="C1047" i="3"/>
  <c r="C1046" i="3"/>
  <c r="C1045" i="3"/>
  <c r="C1044" i="3"/>
  <c r="C1043" i="3"/>
  <c r="C1042" i="3"/>
  <c r="C1041" i="3"/>
  <c r="C1040" i="3"/>
  <c r="C1039" i="3"/>
  <c r="C1038" i="3"/>
  <c r="G1060" i="4"/>
  <c r="G1059" i="4"/>
  <c r="G1058" i="4"/>
  <c r="G1057" i="4"/>
  <c r="G1055" i="4"/>
  <c r="G1054" i="4"/>
  <c r="G1052" i="4"/>
  <c r="G1051" i="4"/>
  <c r="G1050" i="4"/>
  <c r="G1048" i="4"/>
  <c r="G1047" i="4"/>
  <c r="G1045" i="4"/>
  <c r="G1044" i="4"/>
  <c r="G1043" i="4"/>
  <c r="G1042" i="4"/>
  <c r="G1041" i="4"/>
  <c r="G1040" i="4"/>
  <c r="G1039" i="4"/>
  <c r="G1077" i="4"/>
  <c r="C1099" i="4"/>
  <c r="K1098" i="4"/>
  <c r="C1097" i="4"/>
  <c r="K1096" i="4"/>
  <c r="K1095" i="4"/>
  <c r="I1094" i="4"/>
  <c r="K1093" i="4"/>
  <c r="K1092" i="4"/>
  <c r="I1091" i="4"/>
  <c r="C1090" i="4"/>
  <c r="K1089" i="4"/>
  <c r="I1087" i="4"/>
  <c r="K1086" i="4"/>
  <c r="I1085" i="4"/>
  <c r="I1084" i="4"/>
  <c r="I1083" i="4"/>
  <c r="C1082" i="4"/>
  <c r="I1081" i="4"/>
  <c r="I1080" i="4"/>
  <c r="C1076" i="4"/>
  <c r="I1072" i="4"/>
  <c r="I1099" i="4"/>
  <c r="I1098" i="4"/>
  <c r="C1096" i="4"/>
  <c r="I1095" i="4"/>
  <c r="K1094" i="4"/>
  <c r="C1093" i="4"/>
  <c r="I1092" i="4"/>
  <c r="C1091" i="4"/>
  <c r="I1090" i="4"/>
  <c r="I1089" i="4"/>
  <c r="K1087" i="4"/>
  <c r="I1086" i="4"/>
  <c r="C1085" i="4"/>
  <c r="C1084" i="4"/>
  <c r="C1083" i="4"/>
  <c r="I1082" i="4"/>
  <c r="K1081" i="4"/>
  <c r="K1080" i="4"/>
  <c r="K1079" i="4"/>
  <c r="K1078" i="4"/>
  <c r="K1066" i="4"/>
  <c r="K1099" i="4"/>
  <c r="C1098" i="4"/>
  <c r="K1097" i="4"/>
  <c r="C1095" i="4"/>
  <c r="C1094" i="4"/>
  <c r="I1093" i="4"/>
  <c r="C1092" i="4"/>
  <c r="K1090" i="4"/>
  <c r="I1088" i="4"/>
  <c r="C1087" i="4"/>
  <c r="C1086" i="4"/>
  <c r="K1085" i="4"/>
  <c r="K1084" i="4"/>
  <c r="K1083" i="4"/>
  <c r="K1082" i="4"/>
  <c r="C1081" i="4"/>
  <c r="I1079" i="4"/>
  <c r="I1075" i="4"/>
  <c r="K1069" i="4"/>
  <c r="C1067" i="4"/>
  <c r="C1058" i="4"/>
  <c r="I1050" i="4"/>
  <c r="B1082" i="3"/>
  <c r="B1081" i="3"/>
  <c r="B1078" i="3"/>
  <c r="B1076" i="3"/>
  <c r="B1074" i="3"/>
  <c r="B1073" i="3"/>
  <c r="B1070" i="3"/>
  <c r="B1068" i="3"/>
  <c r="B1066" i="3"/>
  <c r="B1065" i="3"/>
  <c r="B1062" i="3"/>
  <c r="B1060" i="3"/>
  <c r="D1082" i="3"/>
  <c r="D1081" i="3"/>
  <c r="D1080" i="3"/>
  <c r="D1079" i="3"/>
  <c r="D1078" i="3"/>
  <c r="D1076" i="3"/>
  <c r="D1074" i="3"/>
  <c r="D1073" i="3"/>
  <c r="D1072" i="3"/>
  <c r="D1071" i="3"/>
  <c r="D1070" i="3"/>
  <c r="D1068" i="3"/>
  <c r="D1066" i="3"/>
  <c r="D1065" i="3"/>
  <c r="D1064" i="3"/>
  <c r="D1063" i="3"/>
  <c r="D1062" i="3"/>
  <c r="D1060" i="3"/>
  <c r="D1058" i="3"/>
  <c r="D1057" i="3"/>
  <c r="D1056" i="3"/>
  <c r="D1054" i="3"/>
  <c r="D1052" i="3"/>
  <c r="D1050" i="3"/>
  <c r="D1049" i="3"/>
  <c r="D1048" i="3"/>
  <c r="D1046" i="3"/>
  <c r="D1044" i="3"/>
  <c r="D1042" i="3"/>
  <c r="D1041" i="3"/>
  <c r="D1040" i="3"/>
  <c r="D1038" i="3"/>
  <c r="I1078" i="4"/>
  <c r="C1078" i="4"/>
  <c r="I1076" i="4"/>
  <c r="K1076" i="4"/>
  <c r="K1075" i="4"/>
  <c r="C1075" i="4"/>
  <c r="I1074" i="4"/>
  <c r="K1074" i="4"/>
  <c r="C1074" i="4"/>
  <c r="I1073" i="4"/>
  <c r="K1073" i="4"/>
  <c r="C1073" i="4"/>
  <c r="K1072" i="4"/>
  <c r="C1072" i="4"/>
  <c r="I1071" i="4"/>
  <c r="K1071" i="4"/>
  <c r="I1070" i="4"/>
  <c r="K1070" i="4"/>
  <c r="C1070" i="4"/>
  <c r="I1069" i="4"/>
  <c r="C1069" i="4"/>
  <c r="K1068" i="4"/>
  <c r="C1068" i="4"/>
  <c r="I1067" i="4"/>
  <c r="K1067" i="4"/>
  <c r="I1066" i="4"/>
  <c r="K1065" i="4"/>
  <c r="C1065" i="4"/>
  <c r="I1064" i="4"/>
  <c r="K1064" i="4"/>
  <c r="C1064" i="4"/>
  <c r="I1063" i="4"/>
  <c r="K1063" i="4"/>
  <c r="C1063" i="4"/>
  <c r="K1062" i="4"/>
  <c r="C1062" i="4"/>
  <c r="K1061" i="4"/>
  <c r="I1060" i="4"/>
  <c r="C1060" i="4"/>
  <c r="K1059" i="4"/>
  <c r="C1059" i="4"/>
  <c r="I1058" i="4"/>
  <c r="K1058" i="4"/>
  <c r="I1057" i="4"/>
  <c r="K1057" i="4"/>
  <c r="C1057" i="4"/>
  <c r="I1056" i="4"/>
  <c r="C1056" i="4"/>
  <c r="I1055" i="4"/>
  <c r="I1054" i="4"/>
  <c r="K1054" i="4"/>
  <c r="I1053" i="4"/>
  <c r="K1053" i="4"/>
  <c r="C1053" i="4"/>
  <c r="I1052" i="4"/>
  <c r="C1052" i="4"/>
  <c r="I1051" i="4"/>
  <c r="K1051" i="4"/>
  <c r="C1051" i="4"/>
  <c r="K1050" i="4"/>
  <c r="K1049" i="4"/>
  <c r="C1049" i="4"/>
  <c r="I1048" i="4"/>
  <c r="C1048" i="4"/>
  <c r="K1047" i="4"/>
  <c r="I1046" i="4"/>
  <c r="K1046" i="4"/>
  <c r="I1045" i="4"/>
  <c r="C1045" i="4"/>
  <c r="I1044" i="4"/>
  <c r="K1044" i="4"/>
  <c r="C1044" i="4"/>
  <c r="I1043" i="4"/>
  <c r="K1043" i="4"/>
  <c r="C1043" i="4"/>
  <c r="I1042" i="4"/>
  <c r="K1042" i="4"/>
  <c r="I1041" i="4"/>
  <c r="K1041" i="4"/>
  <c r="C1041" i="4"/>
  <c r="I1040" i="4"/>
  <c r="K1040" i="4"/>
  <c r="K1039" i="4"/>
  <c r="C1039" i="4"/>
  <c r="I1038" i="4"/>
  <c r="I1077" i="4"/>
  <c r="C1038" i="4"/>
  <c r="H1065" i="4"/>
  <c r="J1064" i="4"/>
  <c r="B1064" i="4"/>
  <c r="D1063" i="4"/>
  <c r="F1062" i="4"/>
  <c r="H1061" i="4"/>
  <c r="J1060" i="4"/>
  <c r="B1060" i="4"/>
  <c r="D1059" i="4"/>
  <c r="F1058" i="4"/>
  <c r="H1057" i="4"/>
  <c r="J1056" i="4"/>
  <c r="B1056" i="4"/>
  <c r="D1055" i="4"/>
  <c r="F1054" i="4"/>
  <c r="H1053" i="4"/>
  <c r="J1052" i="4"/>
  <c r="B1052" i="4"/>
  <c r="D1051" i="4"/>
  <c r="F1050" i="4"/>
  <c r="H1049" i="4"/>
  <c r="J1048" i="4"/>
  <c r="B1048" i="4"/>
  <c r="D1047" i="4"/>
  <c r="F1046" i="4"/>
  <c r="H1045" i="4"/>
  <c r="J1044" i="4"/>
  <c r="B1044" i="4"/>
  <c r="D1043" i="4"/>
  <c r="F1042" i="4"/>
  <c r="J1042" i="4"/>
  <c r="B1042" i="4"/>
  <c r="H1041" i="4"/>
  <c r="D1041" i="4"/>
  <c r="F1040" i="4"/>
  <c r="J1040" i="4"/>
  <c r="B1040" i="4"/>
  <c r="H1039" i="4"/>
  <c r="D1039" i="4"/>
  <c r="F1038" i="4"/>
  <c r="H1077" i="4"/>
  <c r="J1038" i="4"/>
  <c r="B1038" i="4"/>
  <c r="J1077" i="4"/>
  <c r="B1061" i="2" l="1"/>
  <c r="A1062" i="2"/>
  <c r="A1087" i="3"/>
  <c r="C1086" i="3"/>
  <c r="D1086" i="3"/>
  <c r="B1086" i="3"/>
  <c r="E1086" i="3"/>
  <c r="C1087" i="3" l="1"/>
  <c r="D1087" i="3"/>
  <c r="B1087" i="3"/>
  <c r="E1087" i="3"/>
  <c r="A1088" i="3"/>
  <c r="B1062" i="2"/>
  <c r="A1063" i="2"/>
  <c r="A1089" i="3" l="1"/>
  <c r="D1088" i="3"/>
  <c r="E1088" i="3"/>
  <c r="C1088" i="3"/>
  <c r="B1088" i="3"/>
  <c r="B1063" i="2"/>
  <c r="A1064" i="2"/>
  <c r="B1064" i="2" l="1"/>
  <c r="A1065" i="2"/>
  <c r="B1089" i="3"/>
  <c r="C1089" i="3"/>
  <c r="E1089" i="3"/>
  <c r="D1089" i="3"/>
  <c r="A1090" i="3"/>
  <c r="D1090" i="3" l="1"/>
  <c r="E1090" i="3"/>
  <c r="B1090" i="3"/>
  <c r="C1090" i="3"/>
  <c r="A1091" i="3"/>
  <c r="B1065" i="2"/>
  <c r="A1066" i="2"/>
  <c r="E1091" i="3" l="1"/>
  <c r="C1091" i="3"/>
  <c r="D1091" i="3"/>
  <c r="B1091" i="3"/>
  <c r="A1092" i="3"/>
  <c r="A1067" i="2"/>
  <c r="B1066" i="2"/>
  <c r="B1067" i="2" l="1"/>
  <c r="A1068" i="2"/>
  <c r="B1092" i="3"/>
  <c r="C1092" i="3"/>
  <c r="A1093" i="3"/>
  <c r="E1092" i="3"/>
  <c r="D1092" i="3"/>
  <c r="E1093" i="3" l="1"/>
  <c r="A1094" i="3"/>
  <c r="C1093" i="3"/>
  <c r="D1093" i="3"/>
  <c r="B1093" i="3"/>
  <c r="B1068" i="2"/>
  <c r="A1069" i="2"/>
  <c r="B1069" i="2" l="1"/>
  <c r="A1070" i="2"/>
  <c r="A1095" i="3"/>
  <c r="B1094" i="3"/>
  <c r="C1094" i="3"/>
  <c r="D1094" i="3"/>
  <c r="E1094" i="3"/>
  <c r="C1095" i="3" l="1"/>
  <c r="D1095" i="3"/>
  <c r="E1095" i="3"/>
  <c r="A1096" i="3"/>
  <c r="B1095" i="3"/>
  <c r="B1070" i="2"/>
  <c r="A1071" i="2"/>
  <c r="B1071" i="2" l="1"/>
  <c r="A1072" i="2"/>
  <c r="A1097" i="3"/>
  <c r="D1096" i="3"/>
  <c r="C1096" i="3"/>
  <c r="E1096" i="3"/>
  <c r="B1096" i="3"/>
  <c r="B1097" i="3" l="1"/>
  <c r="D1097" i="3"/>
  <c r="E1097" i="3"/>
  <c r="A1098" i="3"/>
  <c r="C1097" i="3"/>
  <c r="B1072" i="2"/>
  <c r="A1073" i="2"/>
  <c r="B1073" i="2" l="1"/>
  <c r="A1074" i="2"/>
  <c r="D1098" i="3"/>
  <c r="E1098" i="3"/>
  <c r="B1098" i="3"/>
  <c r="A1099" i="3"/>
  <c r="C1098" i="3"/>
  <c r="E1099" i="3" l="1"/>
  <c r="B1099" i="3"/>
  <c r="C1099" i="3"/>
  <c r="A1100" i="3"/>
  <c r="D1099" i="3"/>
  <c r="A1075" i="2"/>
  <c r="B1074" i="2"/>
  <c r="A1076" i="2" l="1"/>
  <c r="B1075" i="2"/>
  <c r="B1100" i="3"/>
  <c r="C1100" i="3"/>
  <c r="E1100" i="3"/>
  <c r="A1101" i="3"/>
  <c r="D1100" i="3"/>
  <c r="E1101" i="3" l="1"/>
  <c r="A1102" i="3"/>
  <c r="C1101" i="3"/>
  <c r="D1101" i="3"/>
  <c r="B1101" i="3"/>
  <c r="A1077" i="2"/>
  <c r="B1076" i="2"/>
  <c r="B1077" i="2" l="1"/>
  <c r="A1078" i="2"/>
  <c r="A1103" i="3"/>
  <c r="B1102" i="3"/>
  <c r="D1102" i="3"/>
  <c r="E1102" i="3"/>
  <c r="C1102" i="3"/>
  <c r="D1103" i="3" l="1"/>
  <c r="A1104" i="3"/>
  <c r="E1103" i="3"/>
  <c r="B1103" i="3"/>
  <c r="C1103" i="3"/>
  <c r="A1079" i="2"/>
  <c r="B1078" i="2"/>
  <c r="A1080" i="2" l="1"/>
  <c r="B1079" i="2"/>
  <c r="D1104" i="3"/>
  <c r="B1104" i="3"/>
  <c r="C1104" i="3"/>
  <c r="E1104" i="3"/>
  <c r="A1105" i="3"/>
  <c r="A1081" i="2" l="1"/>
  <c r="B1080" i="2"/>
  <c r="B1105" i="3"/>
  <c r="A1106" i="3"/>
  <c r="E1105" i="3"/>
  <c r="C1105" i="3"/>
  <c r="D1105" i="3"/>
  <c r="E1106" i="3" l="1"/>
  <c r="B1106" i="3"/>
  <c r="C1106" i="3"/>
  <c r="A1107" i="3"/>
  <c r="D1106" i="3"/>
  <c r="B1081" i="2"/>
  <c r="A1082" i="2"/>
  <c r="E1107" i="3" l="1"/>
  <c r="B1107" i="3"/>
  <c r="C1107" i="3"/>
  <c r="A1108" i="3"/>
  <c r="D1107" i="3"/>
  <c r="B1082" i="2"/>
  <c r="A1083" i="2"/>
  <c r="C1108" i="3" l="1"/>
  <c r="B1108" i="3"/>
  <c r="D1108" i="3"/>
  <c r="A1109" i="3"/>
  <c r="E1108" i="3"/>
  <c r="B1083" i="2"/>
  <c r="A1084" i="2"/>
  <c r="A1110" i="3" l="1"/>
  <c r="C1109" i="3"/>
  <c r="D1109" i="3"/>
  <c r="E1109" i="3"/>
  <c r="B1109" i="3"/>
  <c r="C1084" i="2"/>
  <c r="A1085" i="2"/>
  <c r="D1084" i="2"/>
  <c r="G1084" i="2"/>
  <c r="H1084" i="2"/>
  <c r="I1084" i="2"/>
  <c r="E1084" i="2"/>
  <c r="B1084" i="2"/>
  <c r="F1084" i="2"/>
  <c r="J1084" i="2"/>
  <c r="I1085" i="2" l="1"/>
  <c r="B1085" i="2"/>
  <c r="J1085" i="2"/>
  <c r="G1085" i="2"/>
  <c r="H1085" i="2"/>
  <c r="A1086" i="2"/>
  <c r="E1085" i="2"/>
  <c r="F1085" i="2"/>
  <c r="C1085" i="2"/>
  <c r="D1085" i="2"/>
  <c r="A1111" i="3"/>
  <c r="C1110" i="3"/>
  <c r="D1110" i="3"/>
  <c r="B1110" i="3"/>
  <c r="E1110" i="3"/>
  <c r="D1111" i="3" l="1"/>
  <c r="E1111" i="3"/>
  <c r="A1112" i="3"/>
  <c r="B1111" i="3"/>
  <c r="C1111" i="3"/>
  <c r="G1086" i="2"/>
  <c r="H1086" i="2"/>
  <c r="I1086" i="2"/>
  <c r="J1086" i="2"/>
  <c r="A1087" i="2"/>
  <c r="E1086" i="2"/>
  <c r="B1086" i="2"/>
  <c r="C1086" i="2"/>
  <c r="D1086" i="2"/>
  <c r="F1086" i="2"/>
  <c r="D1112" i="3" l="1"/>
  <c r="C1112" i="3"/>
  <c r="E1112" i="3"/>
  <c r="B1112" i="3"/>
  <c r="A1113" i="3"/>
  <c r="E1087" i="2"/>
  <c r="F1087" i="2"/>
  <c r="I1087" i="2"/>
  <c r="J1087" i="2"/>
  <c r="A1088" i="2"/>
  <c r="G1087" i="2"/>
  <c r="C1087" i="2"/>
  <c r="D1087" i="2"/>
  <c r="H1087" i="2"/>
  <c r="B1087" i="2"/>
  <c r="B1113" i="3" l="1"/>
  <c r="C1113" i="3"/>
  <c r="E1113" i="3"/>
  <c r="A1114" i="3"/>
  <c r="D1113" i="3"/>
  <c r="C1088" i="2"/>
  <c r="A1089" i="2"/>
  <c r="D1088" i="2"/>
  <c r="I1088" i="2"/>
  <c r="J1088" i="2"/>
  <c r="G1088" i="2"/>
  <c r="B1088" i="2"/>
  <c r="E1088" i="2"/>
  <c r="F1088" i="2"/>
  <c r="H1088" i="2"/>
  <c r="I1089" i="2" l="1"/>
  <c r="B1089" i="2"/>
  <c r="J1089" i="2"/>
  <c r="A1090" i="2"/>
  <c r="C1089" i="2"/>
  <c r="G1089" i="2"/>
  <c r="D1089" i="2"/>
  <c r="H1089" i="2"/>
  <c r="E1089" i="2"/>
  <c r="F1089" i="2"/>
  <c r="E1114" i="3"/>
  <c r="B1114" i="3"/>
  <c r="D1114" i="3"/>
  <c r="A1115" i="3"/>
  <c r="C1114" i="3"/>
  <c r="G1090" i="2" l="1"/>
  <c r="H1090" i="2"/>
  <c r="A1091" i="2"/>
  <c r="B1090" i="2"/>
  <c r="C1090" i="2"/>
  <c r="I1090" i="2"/>
  <c r="D1090" i="2"/>
  <c r="E1090" i="2"/>
  <c r="F1090" i="2"/>
  <c r="J1090" i="2"/>
  <c r="E1115" i="3"/>
  <c r="C1115" i="3"/>
  <c r="D1115" i="3"/>
  <c r="A1116" i="3"/>
  <c r="B1115" i="3"/>
  <c r="C1116" i="3" l="1"/>
  <c r="E1116" i="3"/>
  <c r="A1117" i="3"/>
  <c r="B1116" i="3"/>
  <c r="D1116" i="3"/>
  <c r="E1091" i="2"/>
  <c r="F1091" i="2"/>
  <c r="A1092" i="2"/>
  <c r="B1091" i="2"/>
  <c r="C1091" i="2"/>
  <c r="I1091" i="2"/>
  <c r="G1091" i="2"/>
  <c r="H1091" i="2"/>
  <c r="J1091" i="2"/>
  <c r="D1091" i="2"/>
  <c r="C1092" i="2" l="1"/>
  <c r="A1093" i="2"/>
  <c r="D1092" i="2"/>
  <c r="B1092" i="2"/>
  <c r="E1092" i="2"/>
  <c r="I1092" i="2"/>
  <c r="F1092" i="2"/>
  <c r="G1092" i="2"/>
  <c r="H1092" i="2"/>
  <c r="J1092" i="2"/>
  <c r="A1118" i="3"/>
  <c r="C1117" i="3"/>
  <c r="D1117" i="3"/>
  <c r="E1117" i="3"/>
  <c r="B1117" i="3"/>
  <c r="A1119" i="3" l="1"/>
  <c r="E1118" i="3"/>
  <c r="B1118" i="3"/>
  <c r="C1118" i="3"/>
  <c r="D1118" i="3"/>
  <c r="I1093" i="2"/>
  <c r="B1093" i="2"/>
  <c r="J1093" i="2"/>
  <c r="C1093" i="2"/>
  <c r="D1093" i="2"/>
  <c r="E1093" i="2"/>
  <c r="A1094" i="2"/>
  <c r="F1093" i="2"/>
  <c r="G1093" i="2"/>
  <c r="H1093" i="2"/>
  <c r="G1094" i="2" l="1"/>
  <c r="H1094" i="2"/>
  <c r="C1094" i="2"/>
  <c r="D1094" i="2"/>
  <c r="E1094" i="2"/>
  <c r="A1095" i="2"/>
  <c r="F1094" i="2"/>
  <c r="I1094" i="2"/>
  <c r="J1094" i="2"/>
  <c r="B1094" i="2"/>
  <c r="D1119" i="3"/>
  <c r="B1119" i="3"/>
  <c r="E1119" i="3"/>
  <c r="A1120" i="3"/>
  <c r="C1119" i="3"/>
  <c r="D1120" i="3" l="1"/>
  <c r="A1121" i="3"/>
  <c r="E1120" i="3"/>
  <c r="B1120" i="3"/>
  <c r="C1120" i="3"/>
  <c r="E1095" i="2"/>
  <c r="F1095" i="2"/>
  <c r="C1095" i="2"/>
  <c r="D1095" i="2"/>
  <c r="G1095" i="2"/>
  <c r="A1096" i="2"/>
  <c r="B1095" i="2"/>
  <c r="I1095" i="2"/>
  <c r="J1095" i="2"/>
  <c r="H1095" i="2"/>
  <c r="C1096" i="2" l="1"/>
  <c r="A1097" i="2"/>
  <c r="D1096" i="2"/>
  <c r="E1096" i="2"/>
  <c r="F1096" i="2"/>
  <c r="G1096" i="2"/>
  <c r="H1096" i="2"/>
  <c r="I1096" i="2"/>
  <c r="J1096" i="2"/>
  <c r="B1096" i="2"/>
  <c r="B1121" i="3"/>
  <c r="C1121" i="3"/>
  <c r="D1121" i="3"/>
  <c r="E1121" i="3"/>
  <c r="A1122" i="3"/>
  <c r="E1122" i="3" l="1"/>
  <c r="B1122" i="3"/>
  <c r="C1122" i="3"/>
  <c r="D1122" i="3"/>
  <c r="I1097" i="2"/>
  <c r="B1097" i="2"/>
  <c r="J1097" i="2"/>
  <c r="E1097" i="2"/>
  <c r="F1097" i="2"/>
  <c r="G1097" i="2"/>
  <c r="C1097" i="2"/>
  <c r="D1097" i="2"/>
  <c r="H1097" i="2"/>
  <c r="A1098" i="2"/>
  <c r="G1098" i="2" l="1"/>
  <c r="H1098" i="2"/>
  <c r="E1098" i="2"/>
  <c r="F1098" i="2"/>
  <c r="I1098" i="2"/>
  <c r="C1098" i="2"/>
  <c r="J1098" i="2"/>
  <c r="A1099" i="2"/>
  <c r="D1098" i="2"/>
  <c r="B1098" i="2"/>
  <c r="E1099" i="2" l="1"/>
  <c r="F1099" i="2"/>
  <c r="G1099" i="2"/>
  <c r="H1099" i="2"/>
  <c r="I1099" i="2"/>
  <c r="C1099" i="2"/>
  <c r="B1099" i="2"/>
  <c r="D1099" i="2"/>
  <c r="A1100" i="2"/>
  <c r="J1099" i="2"/>
  <c r="C1100" i="2" l="1"/>
  <c r="A1101" i="2"/>
  <c r="D1100" i="2"/>
  <c r="G1100" i="2"/>
  <c r="H1100" i="2"/>
  <c r="I1100" i="2"/>
  <c r="E1100" i="2"/>
  <c r="J1100" i="2"/>
  <c r="B1100" i="2"/>
  <c r="F1100" i="2"/>
  <c r="I1101" i="2" l="1"/>
  <c r="B1101" i="2"/>
  <c r="J1101" i="2"/>
  <c r="G1101" i="2"/>
  <c r="H1101" i="2"/>
  <c r="A1102" i="2"/>
  <c r="E1101" i="2"/>
  <c r="C1101" i="2"/>
  <c r="D1101" i="2"/>
  <c r="F1101" i="2"/>
  <c r="G1102" i="2" l="1"/>
  <c r="H1102" i="2"/>
  <c r="I1102" i="2"/>
  <c r="J1102" i="2"/>
  <c r="A1103" i="2"/>
  <c r="E1102" i="2"/>
  <c r="B1102" i="2"/>
  <c r="F1102" i="2"/>
  <c r="C1102" i="2"/>
  <c r="D1102" i="2"/>
  <c r="E1103" i="2" l="1"/>
  <c r="F1103" i="2"/>
  <c r="I1103" i="2"/>
  <c r="J1103" i="2"/>
  <c r="A1104" i="2"/>
  <c r="G1103" i="2"/>
  <c r="B1103" i="2"/>
  <c r="C1103" i="2"/>
  <c r="D1103" i="2"/>
  <c r="H1103" i="2"/>
  <c r="C1104" i="2" l="1"/>
  <c r="A1105" i="2"/>
  <c r="D1104" i="2"/>
  <c r="I1104" i="2"/>
  <c r="J1104" i="2"/>
  <c r="G1104" i="2"/>
  <c r="E1104" i="2"/>
  <c r="F1104" i="2"/>
  <c r="H1104" i="2"/>
  <c r="B1104" i="2"/>
  <c r="I1105" i="2" l="1"/>
  <c r="B1105" i="2"/>
  <c r="J1105" i="2"/>
  <c r="A1106" i="2"/>
  <c r="C1105" i="2"/>
  <c r="G1105" i="2"/>
  <c r="D1105" i="2"/>
  <c r="E1105" i="2"/>
  <c r="F1105" i="2"/>
  <c r="H1105" i="2"/>
  <c r="G1106" i="2" l="1"/>
  <c r="H1106" i="2"/>
  <c r="A1107" i="2"/>
  <c r="B1106" i="2"/>
  <c r="C1106" i="2"/>
  <c r="I1106" i="2"/>
  <c r="D1106" i="2"/>
  <c r="J1106" i="2"/>
  <c r="E1106" i="2"/>
  <c r="F1106" i="2"/>
  <c r="E1107" i="2" l="1"/>
  <c r="F1107" i="2"/>
  <c r="A1108" i="2"/>
  <c r="B1107" i="2"/>
  <c r="C1107" i="2"/>
  <c r="I1107" i="2"/>
  <c r="D1107" i="2"/>
  <c r="G1107" i="2"/>
  <c r="H1107" i="2"/>
  <c r="J1107" i="2"/>
  <c r="C1108" i="2" l="1"/>
  <c r="A1109" i="2"/>
  <c r="D1108" i="2"/>
  <c r="B1108" i="2"/>
  <c r="E1108" i="2"/>
  <c r="I1108" i="2"/>
  <c r="G1108" i="2"/>
  <c r="J1108" i="2"/>
  <c r="H1108" i="2"/>
  <c r="F1108" i="2"/>
  <c r="I1109" i="2" l="1"/>
  <c r="B1109" i="2"/>
  <c r="J1109" i="2"/>
  <c r="C1109" i="2"/>
  <c r="D1109" i="2"/>
  <c r="E1109" i="2"/>
  <c r="A1110" i="2"/>
  <c r="F1109" i="2"/>
  <c r="G1109" i="2"/>
  <c r="H1109" i="2"/>
  <c r="G1110" i="2" l="1"/>
  <c r="H1110" i="2"/>
  <c r="C1110" i="2"/>
  <c r="D1110" i="2"/>
  <c r="E1110" i="2"/>
  <c r="A1111" i="2"/>
  <c r="B1110" i="2"/>
  <c r="F1110" i="2"/>
  <c r="J1110" i="2"/>
  <c r="I1110" i="2"/>
  <c r="E1111" i="2" l="1"/>
  <c r="C1111" i="2"/>
  <c r="D1111" i="2"/>
  <c r="F1111" i="2"/>
  <c r="J1111" i="2"/>
  <c r="G1111" i="2"/>
  <c r="H1111" i="2"/>
  <c r="I1111" i="2"/>
  <c r="A1112" i="2"/>
  <c r="B1111" i="2"/>
  <c r="C1112" i="2" l="1"/>
  <c r="A1113" i="2"/>
  <c r="B1112" i="2"/>
  <c r="D1112" i="2"/>
  <c r="E1112" i="2"/>
  <c r="I1112" i="2"/>
  <c r="G1112" i="2"/>
  <c r="H1112" i="2"/>
  <c r="J1112" i="2"/>
  <c r="F1112" i="2"/>
  <c r="I1113" i="2" l="1"/>
  <c r="B1113" i="2"/>
  <c r="A1114" i="2"/>
  <c r="C1113" i="2"/>
  <c r="D1113" i="2"/>
  <c r="H1113" i="2"/>
  <c r="E1113" i="2"/>
  <c r="F1113" i="2"/>
  <c r="G1113" i="2"/>
  <c r="J1113" i="2"/>
  <c r="G1114" i="2" l="1"/>
  <c r="J1114" i="2"/>
  <c r="B1114" i="2"/>
  <c r="A1115" i="2"/>
  <c r="C1114" i="2"/>
  <c r="H1114" i="2"/>
  <c r="D1114" i="2"/>
  <c r="I1114" i="2"/>
  <c r="E1114" i="2"/>
  <c r="F1114" i="2"/>
  <c r="E1115" i="2" l="1"/>
  <c r="I1115" i="2"/>
  <c r="J1115" i="2"/>
  <c r="B1115" i="2"/>
  <c r="A1116" i="2"/>
  <c r="G1115" i="2"/>
  <c r="C1115" i="2"/>
  <c r="D1115" i="2"/>
  <c r="F1115" i="2"/>
  <c r="H1115" i="2"/>
  <c r="C1116" i="2" l="1"/>
  <c r="A1117" i="2"/>
  <c r="H1116" i="2"/>
  <c r="I1116" i="2"/>
  <c r="J1116" i="2"/>
  <c r="F1116" i="2"/>
  <c r="D1116" i="2"/>
  <c r="E1116" i="2"/>
  <c r="G1116" i="2"/>
  <c r="B1116" i="2"/>
  <c r="I1117" i="2" l="1"/>
  <c r="G1117" i="2"/>
  <c r="H1117" i="2"/>
  <c r="J1117" i="2"/>
  <c r="E1117" i="2"/>
  <c r="B1117" i="2"/>
  <c r="C1117" i="2"/>
  <c r="D1117" i="2"/>
  <c r="F1117" i="2"/>
  <c r="A1118" i="2"/>
  <c r="G1118" i="2" l="1"/>
  <c r="F1118" i="2"/>
  <c r="H1118" i="2"/>
  <c r="I1118" i="2"/>
  <c r="D1118" i="2"/>
  <c r="J1118" i="2"/>
  <c r="A1119" i="2"/>
  <c r="E1118" i="2"/>
  <c r="B1118" i="2"/>
  <c r="C1118" i="2"/>
  <c r="E1119" i="2" l="1"/>
  <c r="F1119" i="2"/>
  <c r="G1119" i="2"/>
  <c r="H1119" i="2"/>
  <c r="C1119" i="2"/>
  <c r="B1119" i="2"/>
  <c r="D1119" i="2"/>
  <c r="J1119" i="2"/>
  <c r="A1120" i="2"/>
  <c r="I1119" i="2"/>
  <c r="C1120" i="2" l="1"/>
  <c r="A1121" i="2"/>
  <c r="E1120" i="2"/>
  <c r="F1120" i="2"/>
  <c r="G1120" i="2"/>
  <c r="B1120" i="2"/>
  <c r="H1120" i="2"/>
  <c r="I1120" i="2"/>
  <c r="J1120" i="2"/>
  <c r="D1120" i="2"/>
  <c r="I1121" i="2" l="1"/>
  <c r="D1121" i="2"/>
  <c r="E1121" i="2"/>
  <c r="F1121" i="2"/>
  <c r="B1121" i="2"/>
  <c r="A1122" i="2"/>
  <c r="C1121" i="2"/>
  <c r="G1121" i="2"/>
  <c r="H1121" i="2"/>
  <c r="J1121" i="2"/>
  <c r="G1122" i="2" l="1"/>
  <c r="C1122" i="2"/>
  <c r="D1122" i="2"/>
  <c r="E1122" i="2"/>
  <c r="J1122" i="2"/>
  <c r="F1122" i="2"/>
  <c r="H1122" i="2"/>
  <c r="I1122" i="2"/>
  <c r="B1122" i="2"/>
</calcChain>
</file>

<file path=xl/sharedStrings.xml><?xml version="1.0" encoding="utf-8"?>
<sst xmlns="http://schemas.openxmlformats.org/spreadsheetml/2006/main" count="155" uniqueCount="73">
  <si>
    <t>MM$</t>
  </si>
  <si>
    <t>$/MMBTU</t>
  </si>
  <si>
    <t>MONTH</t>
  </si>
  <si>
    <t>UPS REPLACEMENT SUNK DEMAND CHARGE</t>
  </si>
  <si>
    <t>BAY GAS STORAGE DEMAND CHARGE</t>
  </si>
  <si>
    <t>SABAL TRAIL &amp; FSC</t>
  </si>
  <si>
    <t>GULF SOUTH</t>
  </si>
  <si>
    <t>TRANSCO 4A</t>
  </si>
  <si>
    <t>SESH</t>
  </si>
  <si>
    <t>GULFSTREAM</t>
  </si>
  <si>
    <t>FGT</t>
  </si>
  <si>
    <t>UPS REPLACEMENT DISPATCH PRICE</t>
  </si>
  <si>
    <t>HENRY HUB</t>
  </si>
  <si>
    <r>
      <t xml:space="preserve">FSC FIRM     FROM                          </t>
    </r>
    <r>
      <rPr>
        <b/>
        <sz val="12"/>
        <color theme="5" tint="-0.249977111117893"/>
        <rFont val="Arial"/>
        <family val="2"/>
      </rPr>
      <t>SABAL TRAIL</t>
    </r>
  </si>
  <si>
    <t>GULFSTREAM NON-FIRM</t>
  </si>
  <si>
    <t>WEIGHTED AVERAGE GULFSTREAM FIRM</t>
  </si>
  <si>
    <t>FGT NON-FIRM</t>
  </si>
  <si>
    <t>WEIGHTED AVERAGE FGT FIRM</t>
  </si>
  <si>
    <t>WEIGHTED AVERAGE Z3 FGT FIRM</t>
  </si>
  <si>
    <t>ZONE 2 FGT FIRM</t>
  </si>
  <si>
    <t>ZONE 1 FGT FIRM</t>
  </si>
  <si>
    <t>FIRM TRANSPORT AND STORAGE CONTRACTS THROUGH FGT PHASE VIII</t>
  </si>
  <si>
    <t>SUNK DEMAND CHARGE FOR ALL CURRENT</t>
  </si>
  <si>
    <t>HIGH</t>
  </si>
  <si>
    <t>LOW</t>
  </si>
  <si>
    <t>June 06, 2016 - MANNY ACOSTA</t>
  </si>
  <si>
    <t>LONG-TERM FORECAST METHODOLOGY - GAS PRICE</t>
  </si>
  <si>
    <t>MMCF/DAY</t>
  </si>
  <si>
    <t>DAYS</t>
  </si>
  <si>
    <t>GULFSTREAM NON-FIRM &amp; NON-FIRM BACKHAUL</t>
  </si>
  <si>
    <t>TOTAL GULFSTREAM FIRM</t>
  </si>
  <si>
    <t>SABAL TRAIL PIPELINE</t>
  </si>
  <si>
    <t>TOTAL FGT FIRM</t>
  </si>
  <si>
    <t>ZONE 3 FGT FIRM</t>
  </si>
  <si>
    <t>FGT FIRM BY ZONE</t>
  </si>
  <si>
    <t>LONG-TERM FORECAST METHODOLOGY - CAPACITY</t>
  </si>
  <si>
    <t>$/BBL.</t>
  </si>
  <si>
    <t>WTI</t>
  </si>
  <si>
    <t>ALL PLANTS DISTILLATE</t>
  </si>
  <si>
    <t>MANATEE / TURKEY POINT RESIDUAL</t>
  </si>
  <si>
    <t>MARTIN RESIDUAL</t>
  </si>
  <si>
    <t>DISTILLATE</t>
  </si>
  <si>
    <t>RESIDUAL</t>
  </si>
  <si>
    <t>LONG-TERM FORECAST METHODOLOGY - OIL PRICE</t>
  </si>
  <si>
    <t>DISPATCH PRICE WITH SO2 &amp; NOx</t>
  </si>
  <si>
    <t>DISPATCH PRICE WITHOUT SO2 &amp; NOx</t>
  </si>
  <si>
    <t>WEIGHTED AVERAGE WITHOUT SO2 &amp; NOx</t>
  </si>
  <si>
    <t>CEDAR BAY</t>
  </si>
  <si>
    <t>ICL</t>
  </si>
  <si>
    <t>ST. JOHNS RIVER POWER PARK</t>
  </si>
  <si>
    <t>PLANT SCHERER UNIT 4</t>
  </si>
  <si>
    <t xml:space="preserve"> </t>
  </si>
  <si>
    <t>WITHOUT NOx</t>
  </si>
  <si>
    <t>WITH NOx</t>
  </si>
  <si>
    <t>Selection</t>
  </si>
  <si>
    <t>Natural Gas</t>
  </si>
  <si>
    <t>WITHOUT SO2 &amp; NOx</t>
  </si>
  <si>
    <t>WITH SO2 &amp; NOx</t>
  </si>
  <si>
    <t>Oil SO2</t>
  </si>
  <si>
    <t>HIGH PRICES</t>
  </si>
  <si>
    <t>MEDIUM PRICES</t>
  </si>
  <si>
    <t>LOW PRICES</t>
  </si>
  <si>
    <t>Coal</t>
  </si>
  <si>
    <t>Heavy &amp; Light Oil</t>
  </si>
  <si>
    <t>Florida Power &amp; Light Company</t>
  </si>
  <si>
    <t>Docket No. 160154-EI</t>
  </si>
  <si>
    <t>Staff's First Set of Interrogatories</t>
  </si>
  <si>
    <t>Interrogatory No. 2</t>
  </si>
  <si>
    <t>Attachment No. 53</t>
  </si>
  <si>
    <t>Tab 1 of 4</t>
  </si>
  <si>
    <t>Tab 2 of 4</t>
  </si>
  <si>
    <t>Tab 3 of 4</t>
  </si>
  <si>
    <t>Tab 4 of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</si>
</sst>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0_)"/>
    <numFmt numFmtId="166" formatCode="&quot;$&quot;#,##0.00"/>
    <numFmt numFmtId="167" formatCode="&quot;$&quot;#,##0.0"/>
    <numFmt numFmtId="168" formatCode="&quot;$&quot;#,##0.0_);[Red]\(&quot;$&quot;#,##0.0\)"/>
    <numFmt numFmtId="169" formatCode="[$-409]mmm\-yy;@"/>
    <numFmt numFmtId="170" formatCode="0.0000"/>
    <numFmt numFmtId="171" formatCode="0.0"/>
    <numFmt numFmtId="172" formatCode="_(* #,##0_);_(* \(#,##0\);_(* &quot;-&quot;??_);_(@_)"/>
  </numFmts>
  <fonts count="20">
    <font>
      <sz val="12"/>
      <name val="Helv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name val="Helv"/>
    </font>
    <font>
      <sz val="12"/>
      <color indexed="12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00B0F0"/>
      <name val="Arial"/>
      <family val="2"/>
    </font>
    <font>
      <b/>
      <u/>
      <sz val="16"/>
      <name val="Arial"/>
      <family val="2"/>
    </font>
    <font>
      <sz val="9"/>
      <name val="Geneva"/>
    </font>
    <font>
      <b/>
      <sz val="10"/>
      <color rgb="FF00B0F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7"/>
      <name val="Arial"/>
      <family val="2"/>
    </font>
    <font>
      <b/>
      <u val="singleAccounting"/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2"/>
      <color indexed="12"/>
      <name val="Helv"/>
    </font>
    <font>
      <b/>
      <sz val="12"/>
      <name val="Helv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4">
    <xf numFmtId="164" fontId="0" fillId="0" borderId="0">
      <alignment horizontal="left" wrapText="1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164" fontId="2" fillId="0" borderId="0">
      <alignment horizontal="left" wrapText="1"/>
    </xf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2" fillId="0" borderId="0">
      <alignment wrapText="1"/>
    </xf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" fillId="0" borderId="0"/>
    <xf numFmtId="0" fontId="1" fillId="0" borderId="0"/>
  </cellStyleXfs>
  <cellXfs count="93">
    <xf numFmtId="164" fontId="0" fillId="0" borderId="0" xfId="0">
      <alignment horizontal="left" wrapText="1"/>
    </xf>
    <xf numFmtId="0" fontId="3" fillId="0" borderId="0" xfId="3" applyFont="1"/>
    <xf numFmtId="0" fontId="3" fillId="0" borderId="0" xfId="3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3" applyNumberFormat="1" applyFont="1" applyAlignment="1">
      <alignment horizontal="center"/>
    </xf>
    <xf numFmtId="167" fontId="3" fillId="0" borderId="0" xfId="3" applyNumberFormat="1" applyFont="1" applyAlignment="1">
      <alignment horizontal="center"/>
    </xf>
    <xf numFmtId="167" fontId="3" fillId="0" borderId="0" xfId="3" applyNumberFormat="1" applyFont="1"/>
    <xf numFmtId="166" fontId="3" fillId="0" borderId="0" xfId="3" applyNumberFormat="1" applyFont="1"/>
    <xf numFmtId="166" fontId="3" fillId="2" borderId="0" xfId="3" applyNumberFormat="1" applyFont="1" applyFill="1" applyAlignment="1">
      <alignment horizontal="center"/>
    </xf>
    <xf numFmtId="168" fontId="3" fillId="0" borderId="0" xfId="3" applyNumberFormat="1" applyFont="1" applyAlignment="1">
      <alignment horizontal="center"/>
    </xf>
    <xf numFmtId="165" fontId="3" fillId="0" borderId="0" xfId="0" applyNumberFormat="1" applyFont="1" applyAlignment="1"/>
    <xf numFmtId="167" fontId="5" fillId="0" borderId="0" xfId="3" applyNumberFormat="1" applyFont="1" applyAlignment="1">
      <alignment horizontal="center"/>
    </xf>
    <xf numFmtId="166" fontId="6" fillId="2" borderId="0" xfId="3" applyNumberFormat="1" applyFont="1" applyFill="1" applyAlignment="1">
      <alignment horizontal="center"/>
    </xf>
    <xf numFmtId="17" fontId="3" fillId="0" borderId="0" xfId="0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3" applyFont="1" applyAlignment="1">
      <alignment horizontal="center" wrapText="1"/>
    </xf>
    <xf numFmtId="0" fontId="6" fillId="3" borderId="0" xfId="3" applyFont="1" applyFill="1" applyAlignment="1">
      <alignment horizontal="center" wrapText="1"/>
    </xf>
    <xf numFmtId="0" fontId="6" fillId="0" borderId="0" xfId="3" applyFont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3" borderId="0" xfId="3" quotePrefix="1" applyFont="1" applyFill="1" applyAlignment="1">
      <alignment horizontal="center" wrapText="1"/>
    </xf>
    <xf numFmtId="0" fontId="6" fillId="0" borderId="0" xfId="3" quotePrefix="1" applyFont="1" applyAlignment="1">
      <alignment horizontal="center" wrapText="1"/>
    </xf>
    <xf numFmtId="0" fontId="6" fillId="0" borderId="0" xfId="3" applyFont="1" applyAlignment="1">
      <alignment horizontal="center"/>
    </xf>
    <xf numFmtId="0" fontId="6" fillId="0" borderId="0" xfId="3" applyFont="1" applyAlignment="1"/>
    <xf numFmtId="10" fontId="8" fillId="4" borderId="0" xfId="3" applyNumberFormat="1" applyFont="1" applyFill="1" applyAlignment="1">
      <alignment horizontal="center"/>
    </xf>
    <xf numFmtId="0" fontId="6" fillId="4" borderId="0" xfId="3" applyFont="1" applyFill="1" applyAlignment="1">
      <alignment horizontal="center"/>
    </xf>
    <xf numFmtId="170" fontId="3" fillId="0" borderId="0" xfId="3" applyNumberFormat="1" applyFont="1"/>
    <xf numFmtId="1" fontId="3" fillId="0" borderId="0" xfId="3" applyNumberFormat="1" applyFont="1"/>
    <xf numFmtId="15" fontId="6" fillId="0" borderId="0" xfId="3" applyNumberFormat="1" applyFont="1" applyAlignment="1">
      <alignment horizontal="left"/>
    </xf>
    <xf numFmtId="165" fontId="9" fillId="0" borderId="0" xfId="0" quotePrefix="1" applyNumberFormat="1" applyFont="1" applyAlignment="1">
      <alignment horizontal="left"/>
    </xf>
    <xf numFmtId="0" fontId="2" fillId="0" borderId="0" xfId="3" applyFont="1"/>
    <xf numFmtId="0" fontId="2" fillId="0" borderId="0" xfId="3" applyFont="1" applyAlignment="1">
      <alignment horizontal="center"/>
    </xf>
    <xf numFmtId="0" fontId="2" fillId="0" borderId="0" xfId="3"/>
    <xf numFmtId="1" fontId="3" fillId="0" borderId="0" xfId="3" applyNumberFormat="1" applyFont="1" applyAlignment="1">
      <alignment horizontal="center"/>
    </xf>
    <xf numFmtId="1" fontId="2" fillId="0" borderId="0" xfId="3" applyNumberFormat="1" applyFont="1" applyAlignment="1">
      <alignment horizontal="center"/>
    </xf>
    <xf numFmtId="1" fontId="3" fillId="5" borderId="0" xfId="3" applyNumberFormat="1" applyFont="1" applyFill="1" applyAlignment="1">
      <alignment horizontal="center"/>
    </xf>
    <xf numFmtId="3" fontId="3" fillId="0" borderId="0" xfId="3" applyNumberFormat="1" applyFont="1" applyAlignment="1">
      <alignment horizontal="center"/>
    </xf>
    <xf numFmtId="3" fontId="3" fillId="5" borderId="0" xfId="3" applyNumberFormat="1" applyFont="1" applyFill="1" applyAlignment="1">
      <alignment horizontal="center"/>
    </xf>
    <xf numFmtId="171" fontId="6" fillId="6" borderId="0" xfId="3" applyNumberFormat="1" applyFont="1" applyFill="1" applyAlignment="1">
      <alignment horizontal="center"/>
    </xf>
    <xf numFmtId="3" fontId="3" fillId="0" borderId="0" xfId="0" applyNumberFormat="1" applyFont="1" applyAlignment="1">
      <alignment horizontal="center"/>
    </xf>
    <xf numFmtId="1" fontId="3" fillId="0" borderId="0" xfId="0" applyNumberFormat="1" applyFont="1" applyAlignment="1"/>
    <xf numFmtId="1" fontId="6" fillId="0" borderId="0" xfId="3" applyNumberFormat="1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172" fontId="3" fillId="0" borderId="0" xfId="0" applyNumberFormat="1" applyFont="1" applyAlignment="1"/>
    <xf numFmtId="0" fontId="6" fillId="0" borderId="0" xfId="3" applyFont="1" applyFill="1" applyAlignment="1">
      <alignment horizontal="center" wrapText="1"/>
    </xf>
    <xf numFmtId="0" fontId="6" fillId="6" borderId="0" xfId="3" applyFont="1" applyFill="1" applyAlignment="1">
      <alignment horizontal="center" wrapText="1"/>
    </xf>
    <xf numFmtId="0" fontId="6" fillId="2" borderId="0" xfId="3" quotePrefix="1" applyFont="1" applyFill="1" applyAlignment="1">
      <alignment horizontal="center" wrapText="1"/>
    </xf>
    <xf numFmtId="0" fontId="6" fillId="0" borderId="0" xfId="3" quotePrefix="1" applyFont="1" applyFill="1" applyAlignment="1">
      <alignment horizontal="center"/>
    </xf>
    <xf numFmtId="0" fontId="6" fillId="0" borderId="0" xfId="3" applyFont="1" applyFill="1" applyAlignment="1">
      <alignment horizontal="center"/>
    </xf>
    <xf numFmtId="0" fontId="6" fillId="0" borderId="0" xfId="3" applyFont="1" applyFill="1" applyAlignment="1"/>
    <xf numFmtId="0" fontId="6" fillId="7" borderId="0" xfId="3" applyFont="1" applyFill="1" applyAlignment="1">
      <alignment horizontal="center"/>
    </xf>
    <xf numFmtId="0" fontId="6" fillId="0" borderId="0" xfId="3" applyFont="1"/>
    <xf numFmtId="0" fontId="2" fillId="0" borderId="0" xfId="3" applyFont="1" applyAlignment="1">
      <alignment horizontal="center" wrapText="1"/>
    </xf>
    <xf numFmtId="0" fontId="6" fillId="0" borderId="0" xfId="3" quotePrefix="1" applyFont="1" applyFill="1" applyAlignment="1">
      <alignment horizontal="center" wrapText="1"/>
    </xf>
    <xf numFmtId="0" fontId="6" fillId="5" borderId="0" xfId="3" applyFont="1" applyFill="1" applyAlignment="1"/>
    <xf numFmtId="15" fontId="6" fillId="0" borderId="0" xfId="3" applyNumberFormat="1" applyFont="1" applyFill="1" applyAlignment="1">
      <alignment horizontal="left"/>
    </xf>
    <xf numFmtId="9" fontId="11" fillId="10" borderId="0" xfId="2" applyFont="1" applyFill="1" applyAlignment="1">
      <alignment horizontal="center"/>
    </xf>
    <xf numFmtId="0" fontId="12" fillId="10" borderId="0" xfId="3" applyFont="1" applyFill="1" applyAlignment="1">
      <alignment horizontal="center"/>
    </xf>
    <xf numFmtId="0" fontId="2" fillId="0" borderId="0" xfId="3" applyFont="1" applyFill="1"/>
    <xf numFmtId="0" fontId="13" fillId="0" borderId="0" xfId="3" applyFont="1" applyFill="1"/>
    <xf numFmtId="0" fontId="14" fillId="0" borderId="0" xfId="3" quotePrefix="1" applyFont="1" applyFill="1" applyAlignment="1">
      <alignment horizontal="left"/>
    </xf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Alignment="1">
      <alignment horizontal="center"/>
    </xf>
    <xf numFmtId="44" fontId="15" fillId="0" borderId="0" xfId="1" applyFont="1" applyAlignment="1">
      <alignment horizontal="center"/>
    </xf>
    <xf numFmtId="44" fontId="6" fillId="0" borderId="0" xfId="1" applyFont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5" fontId="6" fillId="11" borderId="0" xfId="0" quotePrefix="1" applyNumberFormat="1" applyFont="1" applyFill="1" applyAlignment="1">
      <alignment horizontal="center" vertical="center" wrapText="1"/>
    </xf>
    <xf numFmtId="165" fontId="6" fillId="2" borderId="0" xfId="0" quotePrefix="1" applyNumberFormat="1" applyFont="1" applyFill="1" applyAlignment="1">
      <alignment horizontal="center" vertical="center" wrapText="1"/>
    </xf>
    <xf numFmtId="165" fontId="6" fillId="7" borderId="0" xfId="0" quotePrefix="1" applyNumberFormat="1" applyFont="1" applyFill="1" applyAlignment="1">
      <alignment horizontal="center" vertical="center" wrapText="1"/>
    </xf>
    <xf numFmtId="0" fontId="16" fillId="0" borderId="0" xfId="3" applyFont="1"/>
    <xf numFmtId="10" fontId="8" fillId="4" borderId="0" xfId="3" quotePrefix="1" applyNumberFormat="1" applyFont="1" applyFill="1" applyAlignment="1">
      <alignment horizontal="center"/>
    </xf>
    <xf numFmtId="15" fontId="6" fillId="4" borderId="0" xfId="3" applyNumberFormat="1" applyFont="1" applyFill="1" applyAlignment="1">
      <alignment horizontal="left"/>
    </xf>
    <xf numFmtId="15" fontId="6" fillId="0" borderId="0" xfId="3" quotePrefix="1" applyNumberFormat="1" applyFont="1" applyAlignment="1">
      <alignment horizontal="left"/>
    </xf>
    <xf numFmtId="0" fontId="17" fillId="0" borderId="0" xfId="3" applyFont="1"/>
    <xf numFmtId="165" fontId="0" fillId="0" borderId="0" xfId="0" applyNumberFormat="1" applyAlignment="1"/>
    <xf numFmtId="43" fontId="0" fillId="0" borderId="0" xfId="30" applyFont="1" applyAlignment="1"/>
    <xf numFmtId="165" fontId="0" fillId="0" borderId="0" xfId="0" quotePrefix="1" applyNumberFormat="1" applyAlignment="1"/>
    <xf numFmtId="165" fontId="18" fillId="0" borderId="1" xfId="0" quotePrefix="1" applyNumberFormat="1" applyFont="1" applyBorder="1" applyAlignment="1">
      <alignment horizontal="left"/>
    </xf>
    <xf numFmtId="165" fontId="18" fillId="0" borderId="3" xfId="0" quotePrefix="1" applyNumberFormat="1" applyFont="1" applyBorder="1" applyAlignment="1">
      <alignment horizontal="left"/>
    </xf>
    <xf numFmtId="165" fontId="19" fillId="0" borderId="4" xfId="0" applyNumberFormat="1" applyFont="1" applyBorder="1" applyAlignment="1"/>
    <xf numFmtId="165" fontId="18" fillId="0" borderId="1" xfId="0" applyNumberFormat="1" applyFont="1" applyBorder="1" applyAlignment="1"/>
    <xf numFmtId="165" fontId="18" fillId="0" borderId="3" xfId="0" applyNumberFormat="1" applyFont="1" applyBorder="1" applyAlignment="1"/>
    <xf numFmtId="165" fontId="19" fillId="0" borderId="0" xfId="0" applyNumberFormat="1" applyFont="1" applyAlignment="1">
      <alignment horizontal="left"/>
    </xf>
    <xf numFmtId="0" fontId="6" fillId="3" borderId="0" xfId="3" quotePrefix="1" applyFont="1" applyFill="1" applyAlignment="1">
      <alignment horizontal="center"/>
    </xf>
    <xf numFmtId="0" fontId="6" fillId="8" borderId="0" xfId="3" quotePrefix="1" applyFont="1" applyFill="1" applyAlignment="1">
      <alignment horizontal="center"/>
    </xf>
    <xf numFmtId="0" fontId="6" fillId="9" borderId="0" xfId="3" applyFont="1" applyFill="1" applyAlignment="1">
      <alignment horizontal="center"/>
    </xf>
    <xf numFmtId="165" fontId="6" fillId="8" borderId="0" xfId="0" quotePrefix="1" applyNumberFormat="1" applyFont="1" applyFill="1" applyAlignment="1">
      <alignment horizontal="center"/>
    </xf>
    <xf numFmtId="0" fontId="6" fillId="0" borderId="0" xfId="3" applyFont="1" applyAlignment="1">
      <alignment horizontal="center"/>
    </xf>
    <xf numFmtId="0" fontId="6" fillId="6" borderId="0" xfId="3" quotePrefix="1" applyFont="1" applyFill="1" applyAlignment="1">
      <alignment horizontal="center"/>
    </xf>
    <xf numFmtId="0" fontId="6" fillId="6" borderId="0" xfId="3" applyFont="1" applyFill="1" applyAlignment="1">
      <alignment horizontal="center"/>
    </xf>
    <xf numFmtId="0" fontId="6" fillId="8" borderId="0" xfId="3" applyFont="1" applyFill="1" applyAlignment="1">
      <alignment horizontal="center"/>
    </xf>
    <xf numFmtId="165" fontId="18" fillId="0" borderId="2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8" fillId="0" borderId="3" xfId="0" applyNumberFormat="1" applyFont="1" applyBorder="1" applyAlignment="1">
      <alignment horizontal="center" vertical="center"/>
    </xf>
  </cellXfs>
  <cellStyles count="64">
    <cellStyle name="_x0013_" xfId="4"/>
    <cellStyle name="_CC Oil" xfId="5"/>
    <cellStyle name="_DSO Oil" xfId="6"/>
    <cellStyle name="_FLCC Oil" xfId="7"/>
    <cellStyle name="_FLPEGT Oil" xfId="8"/>
    <cellStyle name="_FMCT Oil" xfId="9"/>
    <cellStyle name="_GTDW_DataTemplate" xfId="10"/>
    <cellStyle name="_Gulfstream Gas" xfId="11"/>
    <cellStyle name="_MR .7 Oil" xfId="12"/>
    <cellStyle name="_MR 1 Oil" xfId="13"/>
    <cellStyle name="_MRCT Oil" xfId="14"/>
    <cellStyle name="_MT Gulfstream Gas" xfId="15"/>
    <cellStyle name="_MT Oil" xfId="16"/>
    <cellStyle name="_OLCT Oil" xfId="17"/>
    <cellStyle name="_PE Oil" xfId="18"/>
    <cellStyle name="_PN Oil" xfId="19"/>
    <cellStyle name="_RV Oil" xfId="20"/>
    <cellStyle name="_SHCT Oil" xfId="21"/>
    <cellStyle name="_SN Oil" xfId="22"/>
    <cellStyle name="_TP Oil" xfId="23"/>
    <cellStyle name="Comma 2" xfId="24"/>
    <cellStyle name="Comma 3" xfId="25"/>
    <cellStyle name="Comma 3 2" xfId="26"/>
    <cellStyle name="Comma 3 2 2" xfId="27"/>
    <cellStyle name="Comma 3 3" xfId="28"/>
    <cellStyle name="Comma 4" xfId="29"/>
    <cellStyle name="Comma 4 2" xfId="30"/>
    <cellStyle name="Comma 5" xfId="31"/>
    <cellStyle name="Currency" xfId="1" builtinId="4"/>
    <cellStyle name="Normal" xfId="0" builtinId="0"/>
    <cellStyle name="Normal 10" xfId="32"/>
    <cellStyle name="Normal 10 2" xfId="33"/>
    <cellStyle name="Normal 2" xfId="34"/>
    <cellStyle name="Normal 2 2" xfId="35"/>
    <cellStyle name="Normal 2 2 2" xfId="36"/>
    <cellStyle name="Normal 2 2 2 2" xfId="37"/>
    <cellStyle name="Normal 2 2 3" xfId="38"/>
    <cellStyle name="Normal 2 3" xfId="39"/>
    <cellStyle name="Normal 2 3 2" xfId="40"/>
    <cellStyle name="Normal 2 3 2 2" xfId="41"/>
    <cellStyle name="Normal 2 3 3" xfId="42"/>
    <cellStyle name="Normal 2 4" xfId="43"/>
    <cellStyle name="Normal 2 4 2" xfId="44"/>
    <cellStyle name="Normal 2 4 2 2" xfId="45"/>
    <cellStyle name="Normal 2 4 3" xfId="46"/>
    <cellStyle name="Normal 2 5" xfId="47"/>
    <cellStyle name="Normal 2 6" xfId="48"/>
    <cellStyle name="Normal 2 6 2" xfId="49"/>
    <cellStyle name="Normal 2 7" xfId="50"/>
    <cellStyle name="Normal 2 8" xfId="51"/>
    <cellStyle name="Normal 3" xfId="52"/>
    <cellStyle name="Normal 4" xfId="53"/>
    <cellStyle name="Normal 5" xfId="54"/>
    <cellStyle name="Normal 5 2" xfId="55"/>
    <cellStyle name="Normal 5 2 2" xfId="56"/>
    <cellStyle name="Normal 5 3" xfId="57"/>
    <cellStyle name="Normal 6" xfId="58"/>
    <cellStyle name="Normal 6 2" xfId="59"/>
    <cellStyle name="Normal 7" xfId="60"/>
    <cellStyle name="Normal 7 2" xfId="61"/>
    <cellStyle name="Normal 8" xfId="62"/>
    <cellStyle name="Normal 9" xfId="63"/>
    <cellStyle name="Normal_060415 RAP Fuel Price Forecast Template - Case 1 (Historical Spread)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8" fmlaLink="CONTROL!$C$12" fmlaRange="CONTROL!$B$12:$B$14" val="0"/>
</file>

<file path=xl/ctrlProps/ctrlProp2.xml><?xml version="1.0" encoding="utf-8"?>
<formControlPr xmlns="http://schemas.microsoft.com/office/spreadsheetml/2009/9/main" objectType="Drop" dropLines="2" dropStyle="combo" dx="18" fmlaLink="CONTROL!$C$29" fmlaRange="CONTROL!$B$29:$B$30" val="0"/>
</file>

<file path=xl/ctrlProps/ctrlProp3.xml><?xml version="1.0" encoding="utf-8"?>
<formControlPr xmlns="http://schemas.microsoft.com/office/spreadsheetml/2009/9/main" objectType="Drop" dropLines="3" dropStyle="combo" dx="18" fmlaLink="CONTROL!$C$6" fmlaRange="CONTROL!$B$6:$B$8" sel="2" val="0"/>
</file>

<file path=xl/ctrlProps/ctrlProp4.xml><?xml version="1.0" encoding="utf-8"?>
<formControlPr xmlns="http://schemas.microsoft.com/office/spreadsheetml/2009/9/main" objectType="Drop" dropLines="2" dropStyle="combo" dx="18" fmlaLink="CONTROL!$C$25" fmlaRange="CONTROL!$B$25:$B$26" val="0"/>
</file>

<file path=xl/ctrlProps/ctrlProp5.xml><?xml version="1.0" encoding="utf-8"?>
<formControlPr xmlns="http://schemas.microsoft.com/office/spreadsheetml/2009/9/main" objectType="Drop" dropLines="3" dropStyle="combo" dx="18" fmlaLink="CONTROL!$C$19" fmlaRange="CONTROL!$B$19:$B$2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142875</xdr:rowOff>
        </xdr:from>
        <xdr:to>
          <xdr:col>4</xdr:col>
          <xdr:colOff>533400</xdr:colOff>
          <xdr:row>13</xdr:row>
          <xdr:rowOff>57150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11</xdr:row>
          <xdr:rowOff>142875</xdr:rowOff>
        </xdr:from>
        <xdr:to>
          <xdr:col>6</xdr:col>
          <xdr:colOff>257175</xdr:colOff>
          <xdr:row>13</xdr:row>
          <xdr:rowOff>47625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9</xdr:row>
          <xdr:rowOff>171450</xdr:rowOff>
        </xdr:from>
        <xdr:to>
          <xdr:col>2</xdr:col>
          <xdr:colOff>666750</xdr:colOff>
          <xdr:row>11</xdr:row>
          <xdr:rowOff>104775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9</xdr:row>
          <xdr:rowOff>171450</xdr:rowOff>
        </xdr:from>
        <xdr:to>
          <xdr:col>4</xdr:col>
          <xdr:colOff>371475</xdr:colOff>
          <xdr:row>11</xdr:row>
          <xdr:rowOff>95250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381000</xdr:colOff>
          <xdr:row>12</xdr:row>
          <xdr:rowOff>142875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hab0ptk\0600911%20-%20SJRPP%20Solid%20Fuel%20Historic%20Prices%20-%20Commodity%20&amp;%20Ra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exu0ocl\040609%20FUEL%20COST%20RECOVERY%20-%20IRP%20SHORT%20&amp;%20LONG-TERM%20FOSSIL%20FUEL%20PRICE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60606%202016%20-%202100%20LONG-TERM%20FORECAST%20FPL%20METHODOLOGY%20-%20To%20Delet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Index%20Analysi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wer%20REG\GenTrader%20Data\Weekly%20Long%20Run\040914\Inputs\GTDW_Data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 - $ Per Ton - Q"/>
      <sheetName val="Chart 2 - $ Per MMBtu - Q"/>
      <sheetName val="Chart 3 - $ Per Ton - A"/>
      <sheetName val="Chart 4 - $ Per MMBtu - A"/>
      <sheetName val="History Delivered"/>
      <sheetName val="History Mine Mouth"/>
      <sheetName val="HISTO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L OIL BACKUP 2"/>
      <sheetName val="GRAPH DATA"/>
      <sheetName val="CURRENT FPL VS. FCR FORECAST"/>
      <sheetName val="CURRENT VS. PREVIOUS FPL FORE."/>
      <sheetName val="CURRENT FPL VS. PIRA FORECAST"/>
      <sheetName val="FPL FORECAST VS. FORWARD CURVE"/>
      <sheetName val="FPL MOST LIKELY OIL BACKUP 1"/>
      <sheetName val="COMPARISON OF DISPATCH PRICES"/>
      <sheetName val="FOSSIL FUEL GRAPH"/>
      <sheetName val="MOST LIKELY OIL FORECAST UPDATE"/>
      <sheetName val="MOST LIKELY OIL PRICE FORECAST"/>
      <sheetName val="LOW PRICE OIL FORECAST"/>
      <sheetName val="HIGH PRICE OIL FORECAST"/>
      <sheetName val="WEEKLY GAS FORECAST UPDATE"/>
      <sheetName val="MOST LIKELY GAS PRICE &amp; AVAIL"/>
      <sheetName val="MOST LIKELY COAL &amp; PET COKE"/>
      <sheetName val="FPL MOST LIKELY GAS BACKUP 2"/>
      <sheetName val="FPL MOST LIKELY GAS BACKUP 1"/>
      <sheetName val="FPL LOW PRICE GAS BACKUP 1"/>
      <sheetName val="FPL HIGH PRICE GAS BACKUP 1"/>
      <sheetName val="LOW PRICE GAS &amp; AVAILABILITY"/>
      <sheetName val="HIGH PRICE GAS &amp; AVAILABIL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 Curves"/>
      <sheetName val="Pub Index"/>
      <sheetName val="_Setup_"/>
      <sheetName val="FPL LONG TERM GAS &amp; OIL INDEX"/>
      <sheetName val="OIL &amp; GAS SEASONALITY"/>
      <sheetName val="DEMAND CHARGE CONTROL SHEET"/>
      <sheetName val="CAPACITY"/>
      <sheetName val="GAS AVAILABILITY WORKSHEET"/>
      <sheetName val="NATURAL GAS PRICES WORKSHEET"/>
      <sheetName val="FGT NON-FIRM"/>
      <sheetName val="Commodity Price"/>
      <sheetName val="DEMAND CHARGE"/>
      <sheetName val="GAS BASIS"/>
      <sheetName val="TRANSPORT"/>
      <sheetName val="GULFSTREAM FIRM "/>
      <sheetName val="GULFSTREAM NON-FIRM"/>
      <sheetName val="UPS REPLACEMENT"/>
      <sheetName val="Upload"/>
      <sheetName val="DISTILLATE &amp; RESIDUAL FUEL OIL"/>
      <sheetName val="FGT PRIMARY FIRM ZONE 1"/>
      <sheetName val="FGT PRIMARY FIRM ZONE 2"/>
      <sheetName val="FGT PRIMARY FIRM ZONE 3"/>
      <sheetName val="INCREMENTAL Z3"/>
      <sheetName val="GULF SOUTH"/>
      <sheetName val="TRANSCO 4A"/>
      <sheetName val="SESH"/>
      <sheetName val="SABAL TRAIL - FSC"/>
      <sheetName val="DISPATCH SUMMARY SHEET"/>
      <sheetName val="COAL &amp; PET COKE FORECAST"/>
      <sheetName val="COAL - Monthly"/>
      <sheetName val="COAL SO2 &amp; NOX Calculations"/>
      <sheetName val="COAL - Monthly OLD"/>
      <sheetName val="Chan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-Data"/>
      <sheetName val="Misc-Data"/>
      <sheetName val="IndexAnalysis"/>
      <sheetName val="Nat Gas Strips "/>
      <sheetName val="Module2"/>
      <sheetName val="FeedLiveData"/>
    </sheetNames>
    <sheetDataSet>
      <sheetData sheetId="0" refreshError="1">
        <row r="2">
          <cell r="A2" t="str">
            <v>INDEX PRICE LOG</v>
          </cell>
        </row>
        <row r="3">
          <cell r="C3">
            <v>11</v>
          </cell>
          <cell r="D3">
            <v>12</v>
          </cell>
          <cell r="E3">
            <v>1</v>
          </cell>
          <cell r="F3">
            <v>2</v>
          </cell>
          <cell r="G3">
            <v>3</v>
          </cell>
          <cell r="H3">
            <v>4</v>
          </cell>
          <cell r="I3">
            <v>5</v>
          </cell>
          <cell r="J3">
            <v>6</v>
          </cell>
          <cell r="K3">
            <v>7</v>
          </cell>
          <cell r="L3">
            <v>8</v>
          </cell>
          <cell r="M3">
            <v>9</v>
          </cell>
          <cell r="N3">
            <v>10</v>
          </cell>
          <cell r="O3">
            <v>11</v>
          </cell>
          <cell r="P3">
            <v>12</v>
          </cell>
          <cell r="Q3">
            <v>1</v>
          </cell>
          <cell r="R3">
            <v>2</v>
          </cell>
          <cell r="S3">
            <v>3</v>
          </cell>
          <cell r="T3">
            <v>4</v>
          </cell>
          <cell r="U3">
            <v>5</v>
          </cell>
          <cell r="V3">
            <v>6</v>
          </cell>
          <cell r="W3">
            <v>7</v>
          </cell>
          <cell r="X3">
            <v>8</v>
          </cell>
          <cell r="Y3">
            <v>9</v>
          </cell>
          <cell r="Z3">
            <v>10</v>
          </cell>
          <cell r="AA3">
            <v>11</v>
          </cell>
          <cell r="AB3">
            <v>12</v>
          </cell>
          <cell r="AC3">
            <v>1</v>
          </cell>
          <cell r="AD3">
            <v>2</v>
          </cell>
          <cell r="AE3">
            <v>3</v>
          </cell>
          <cell r="AF3">
            <v>4</v>
          </cell>
          <cell r="AG3">
            <v>5</v>
          </cell>
          <cell r="AH3">
            <v>6</v>
          </cell>
          <cell r="AI3">
            <v>7</v>
          </cell>
          <cell r="AJ3">
            <v>8</v>
          </cell>
          <cell r="AK3">
            <v>9</v>
          </cell>
          <cell r="AL3">
            <v>10</v>
          </cell>
          <cell r="AM3">
            <v>11</v>
          </cell>
          <cell r="AN3">
            <v>12</v>
          </cell>
          <cell r="AO3">
            <v>1</v>
          </cell>
          <cell r="AP3">
            <v>2</v>
          </cell>
          <cell r="AQ3">
            <v>3</v>
          </cell>
          <cell r="AR3">
            <v>4</v>
          </cell>
          <cell r="AS3">
            <v>5</v>
          </cell>
          <cell r="AT3">
            <v>6</v>
          </cell>
          <cell r="AU3">
            <v>7</v>
          </cell>
          <cell r="AV3">
            <v>8</v>
          </cell>
          <cell r="AW3">
            <v>9</v>
          </cell>
          <cell r="AX3">
            <v>10</v>
          </cell>
          <cell r="AY3">
            <v>11</v>
          </cell>
          <cell r="AZ3">
            <v>12</v>
          </cell>
          <cell r="BA3">
            <v>1</v>
          </cell>
          <cell r="BB3">
            <v>2</v>
          </cell>
          <cell r="BC3">
            <v>3</v>
          </cell>
          <cell r="BD3">
            <v>4</v>
          </cell>
          <cell r="BE3">
            <v>5</v>
          </cell>
          <cell r="BF3">
            <v>6</v>
          </cell>
          <cell r="BG3">
            <v>7</v>
          </cell>
          <cell r="BH3">
            <v>8</v>
          </cell>
          <cell r="BI3">
            <v>9</v>
          </cell>
          <cell r="BJ3">
            <v>10</v>
          </cell>
          <cell r="BK3">
            <v>11</v>
          </cell>
          <cell r="BL3">
            <v>12</v>
          </cell>
          <cell r="BM3">
            <v>1</v>
          </cell>
          <cell r="BN3">
            <v>2</v>
          </cell>
          <cell r="BO3">
            <v>3</v>
          </cell>
          <cell r="BP3">
            <v>4</v>
          </cell>
          <cell r="BQ3">
            <v>5</v>
          </cell>
          <cell r="BR3">
            <v>6</v>
          </cell>
          <cell r="BS3">
            <v>7</v>
          </cell>
          <cell r="BT3">
            <v>8</v>
          </cell>
          <cell r="BU3">
            <v>9</v>
          </cell>
          <cell r="BV3">
            <v>10</v>
          </cell>
          <cell r="BW3">
            <v>11</v>
          </cell>
          <cell r="BX3">
            <v>12</v>
          </cell>
          <cell r="BY3">
            <v>1</v>
          </cell>
          <cell r="BZ3">
            <v>2</v>
          </cell>
          <cell r="CA3">
            <v>3</v>
          </cell>
          <cell r="CB3">
            <v>4</v>
          </cell>
          <cell r="CC3">
            <v>5</v>
          </cell>
          <cell r="CD3">
            <v>6</v>
          </cell>
          <cell r="CE3">
            <v>7</v>
          </cell>
          <cell r="CF3">
            <v>8</v>
          </cell>
          <cell r="CG3">
            <v>9</v>
          </cell>
        </row>
        <row r="4">
          <cell r="C4">
            <v>33909</v>
          </cell>
          <cell r="D4">
            <v>33939</v>
          </cell>
          <cell r="E4">
            <v>33970</v>
          </cell>
          <cell r="F4">
            <v>34001</v>
          </cell>
          <cell r="G4">
            <v>34029</v>
          </cell>
          <cell r="H4">
            <v>34060</v>
          </cell>
          <cell r="I4">
            <v>34090</v>
          </cell>
          <cell r="J4">
            <v>34121</v>
          </cell>
          <cell r="K4">
            <v>34151</v>
          </cell>
          <cell r="L4">
            <v>34182</v>
          </cell>
          <cell r="M4">
            <v>34213</v>
          </cell>
          <cell r="N4">
            <v>34243</v>
          </cell>
          <cell r="O4">
            <v>34274</v>
          </cell>
          <cell r="P4">
            <v>34304</v>
          </cell>
          <cell r="Q4">
            <v>34335</v>
          </cell>
          <cell r="R4">
            <v>34366</v>
          </cell>
          <cell r="S4">
            <v>34394</v>
          </cell>
          <cell r="T4">
            <v>34425</v>
          </cell>
          <cell r="U4">
            <v>34455</v>
          </cell>
          <cell r="V4">
            <v>34486</v>
          </cell>
          <cell r="W4">
            <v>34516</v>
          </cell>
          <cell r="X4">
            <v>34547</v>
          </cell>
          <cell r="Y4">
            <v>34578</v>
          </cell>
          <cell r="Z4">
            <v>34608</v>
          </cell>
          <cell r="AA4">
            <v>34639</v>
          </cell>
          <cell r="AB4">
            <v>34669</v>
          </cell>
          <cell r="AC4">
            <v>34700</v>
          </cell>
          <cell r="AD4">
            <v>34731</v>
          </cell>
          <cell r="AE4">
            <v>34759</v>
          </cell>
          <cell r="AF4">
            <v>34790</v>
          </cell>
          <cell r="AG4">
            <v>34820</v>
          </cell>
          <cell r="AH4">
            <v>34851</v>
          </cell>
          <cell r="AI4">
            <v>34881</v>
          </cell>
          <cell r="AJ4">
            <v>34912</v>
          </cell>
          <cell r="AK4">
            <v>34943</v>
          </cell>
          <cell r="AL4">
            <v>34973</v>
          </cell>
          <cell r="AM4">
            <v>35004</v>
          </cell>
          <cell r="AN4">
            <v>35034</v>
          </cell>
          <cell r="AO4">
            <v>35065</v>
          </cell>
          <cell r="AP4">
            <v>35096</v>
          </cell>
          <cell r="AQ4">
            <v>35125</v>
          </cell>
          <cell r="AR4">
            <v>35156</v>
          </cell>
          <cell r="AS4">
            <v>35186</v>
          </cell>
          <cell r="AT4">
            <v>35217</v>
          </cell>
          <cell r="AU4">
            <v>35247</v>
          </cell>
          <cell r="AV4">
            <v>35278</v>
          </cell>
          <cell r="AW4">
            <v>35309</v>
          </cell>
          <cell r="AX4">
            <v>35339</v>
          </cell>
          <cell r="AY4">
            <v>35370</v>
          </cell>
          <cell r="AZ4">
            <v>35400</v>
          </cell>
          <cell r="BA4">
            <v>35431</v>
          </cell>
          <cell r="BB4">
            <v>35462</v>
          </cell>
          <cell r="BC4">
            <v>35490</v>
          </cell>
          <cell r="BD4">
            <v>35521</v>
          </cell>
          <cell r="BE4">
            <v>35551</v>
          </cell>
          <cell r="BF4">
            <v>35582</v>
          </cell>
          <cell r="BG4">
            <v>35612</v>
          </cell>
          <cell r="BH4">
            <v>35643</v>
          </cell>
          <cell r="BI4">
            <v>35674</v>
          </cell>
          <cell r="BJ4">
            <v>35704</v>
          </cell>
          <cell r="BK4">
            <v>35735</v>
          </cell>
          <cell r="BL4">
            <v>35765</v>
          </cell>
          <cell r="BM4">
            <v>35796</v>
          </cell>
          <cell r="BN4">
            <v>35827</v>
          </cell>
          <cell r="BO4">
            <v>35855</v>
          </cell>
          <cell r="BP4">
            <v>35886</v>
          </cell>
          <cell r="BQ4">
            <v>35916</v>
          </cell>
          <cell r="BR4">
            <v>35947</v>
          </cell>
          <cell r="BS4">
            <v>35977</v>
          </cell>
          <cell r="BT4">
            <v>36008</v>
          </cell>
          <cell r="BU4">
            <v>36039</v>
          </cell>
          <cell r="BV4">
            <v>36069</v>
          </cell>
          <cell r="BW4">
            <v>36100</v>
          </cell>
          <cell r="BX4">
            <v>36130</v>
          </cell>
          <cell r="BY4">
            <v>36161</v>
          </cell>
          <cell r="BZ4">
            <v>36192</v>
          </cell>
          <cell r="CA4">
            <v>36220</v>
          </cell>
          <cell r="CB4">
            <v>36251</v>
          </cell>
          <cell r="CC4">
            <v>36281</v>
          </cell>
          <cell r="CD4">
            <v>36312</v>
          </cell>
          <cell r="CE4">
            <v>36342</v>
          </cell>
          <cell r="CF4">
            <v>36373</v>
          </cell>
          <cell r="CG4">
            <v>36404</v>
          </cell>
        </row>
        <row r="5">
          <cell r="A5" t="str">
            <v>3D</v>
          </cell>
          <cell r="B5">
            <v>2</v>
          </cell>
          <cell r="C5">
            <v>2.46</v>
          </cell>
          <cell r="D5">
            <v>2.3719999999999999</v>
          </cell>
          <cell r="E5">
            <v>2.0419999999999998</v>
          </cell>
          <cell r="F5">
            <v>1.647</v>
          </cell>
          <cell r="G5">
            <v>1.859</v>
          </cell>
          <cell r="H5">
            <v>2.1280000000000001</v>
          </cell>
          <cell r="I5">
            <v>2.706</v>
          </cell>
          <cell r="J5">
            <v>2.2519999999999998</v>
          </cell>
          <cell r="K5">
            <v>2.06633333333333</v>
          </cell>
          <cell r="L5">
            <v>2.1040000000000001</v>
          </cell>
          <cell r="M5">
            <v>2.4263333333333299</v>
          </cell>
          <cell r="N5">
            <v>2.1539999999999999</v>
          </cell>
          <cell r="O5">
            <v>2.1323333333333334</v>
          </cell>
          <cell r="P5">
            <v>2.3386666666666667</v>
          </cell>
          <cell r="Q5">
            <v>2.0653333333333332</v>
          </cell>
          <cell r="R5">
            <v>2.3416666666666668</v>
          </cell>
          <cell r="S5">
            <v>2.3826666666666667</v>
          </cell>
          <cell r="T5">
            <v>2.0550000000000002</v>
          </cell>
          <cell r="U5">
            <v>2.1156666666666668</v>
          </cell>
          <cell r="V5">
            <v>1.9039999999999999</v>
          </cell>
          <cell r="W5">
            <v>2.0226666666666668</v>
          </cell>
          <cell r="X5">
            <v>1.8333333333333333</v>
          </cell>
          <cell r="Y5">
            <v>1.5403333333333333</v>
          </cell>
          <cell r="Z5">
            <v>1.4453333333333334</v>
          </cell>
          <cell r="AA5">
            <v>1.61</v>
          </cell>
          <cell r="AB5">
            <v>1.6546666666666667</v>
          </cell>
          <cell r="AC5">
            <v>1.6013333333333333</v>
          </cell>
          <cell r="AD5">
            <v>1.41</v>
          </cell>
          <cell r="AE5">
            <v>1.4153333333333333</v>
          </cell>
          <cell r="AF5">
            <v>1.56</v>
          </cell>
          <cell r="AG5">
            <v>1.6943333333333332</v>
          </cell>
          <cell r="AH5">
            <v>1.7423333333333333</v>
          </cell>
          <cell r="AI5">
            <v>1.554</v>
          </cell>
          <cell r="AJ5">
            <v>1.429</v>
          </cell>
          <cell r="AK5">
            <v>1.57</v>
          </cell>
          <cell r="AL5">
            <v>1.6180000000000001</v>
          </cell>
          <cell r="AM5">
            <v>1.7629999999999999</v>
          </cell>
          <cell r="AN5">
            <v>2.141</v>
          </cell>
          <cell r="AO5">
            <v>3.129</v>
          </cell>
          <cell r="AP5">
            <v>2.4260000000000002</v>
          </cell>
          <cell r="AQ5">
            <v>2.6053000000000002</v>
          </cell>
          <cell r="AR5">
            <v>2.794</v>
          </cell>
          <cell r="AS5">
            <v>2.2839999999999998</v>
          </cell>
          <cell r="AT5">
            <v>2.3422999999999998</v>
          </cell>
          <cell r="AU5">
            <v>2.6343000000000001</v>
          </cell>
          <cell r="AV5">
            <v>2.3570000000000002</v>
          </cell>
          <cell r="AW5">
            <v>1.9079999999999999</v>
          </cell>
          <cell r="AX5">
            <v>1.887</v>
          </cell>
          <cell r="AY5">
            <v>2.5710000000000002</v>
          </cell>
          <cell r="AZ5">
            <v>3.6110000000000002</v>
          </cell>
          <cell r="BA5">
            <v>4.2539999999999996</v>
          </cell>
          <cell r="BB5">
            <v>2.8679999999999999</v>
          </cell>
          <cell r="BC5">
            <v>1.879</v>
          </cell>
          <cell r="BD5">
            <v>1.8460000000000001</v>
          </cell>
          <cell r="BE5">
            <v>2.0979999999999999</v>
          </cell>
          <cell r="BF5">
            <v>2.331</v>
          </cell>
          <cell r="BG5">
            <v>2.2189999999999999</v>
          </cell>
          <cell r="BH5">
            <v>2.1629999999999998</v>
          </cell>
          <cell r="BI5">
            <v>2.5059999999999998</v>
          </cell>
          <cell r="BJ5">
            <v>3.2210000000000001</v>
          </cell>
          <cell r="BK5">
            <v>3.5059999999999998</v>
          </cell>
          <cell r="BL5">
            <v>2.6819999999999999</v>
          </cell>
          <cell r="BM5">
            <v>2.2690000000000001</v>
          </cell>
          <cell r="BN5">
            <v>2.036</v>
          </cell>
          <cell r="BO5">
            <v>2.2270000000000003</v>
          </cell>
          <cell r="BP5">
            <v>2.3340000000000001</v>
          </cell>
          <cell r="BQ5">
            <v>2.2900000000000005</v>
          </cell>
          <cell r="BR5">
            <v>2.0686666666666667</v>
          </cell>
          <cell r="BS5">
            <v>2.3525999999999998</v>
          </cell>
          <cell r="BT5">
            <v>1.9530000000000001</v>
          </cell>
          <cell r="BU5">
            <v>1.754</v>
          </cell>
          <cell r="BV5">
            <v>2.13</v>
          </cell>
          <cell r="BW5">
            <v>2.1259999999999999</v>
          </cell>
          <cell r="BX5">
            <v>2.1360000000000001</v>
          </cell>
          <cell r="BY5">
            <v>1.8109999999999999</v>
          </cell>
          <cell r="BZ5">
            <v>1.746</v>
          </cell>
          <cell r="CA5">
            <v>1.6933333333333334</v>
          </cell>
          <cell r="CB5">
            <v>1.8470000000000002</v>
          </cell>
          <cell r="CC5">
            <v>2.3260000000000001</v>
          </cell>
          <cell r="CD5">
            <v>2.2010000000000001</v>
          </cell>
          <cell r="CE5">
            <v>2.2719999999999998</v>
          </cell>
          <cell r="CF5">
            <v>2.5720000000000001</v>
          </cell>
          <cell r="CG5">
            <v>2.9630000000000001</v>
          </cell>
        </row>
        <row r="6">
          <cell r="A6" t="str">
            <v>FD</v>
          </cell>
          <cell r="B6">
            <v>3</v>
          </cell>
          <cell r="C6">
            <v>2.4990000000000001</v>
          </cell>
          <cell r="D6">
            <v>2.3319999999999999</v>
          </cell>
          <cell r="E6">
            <v>2.0030000000000001</v>
          </cell>
          <cell r="F6">
            <v>1.6339999999999999</v>
          </cell>
          <cell r="G6">
            <v>1.9059999999999999</v>
          </cell>
          <cell r="H6">
            <v>2.2240000000000002</v>
          </cell>
          <cell r="I6">
            <v>2.758</v>
          </cell>
          <cell r="J6">
            <v>2.1190000000000002</v>
          </cell>
          <cell r="K6">
            <v>1.9179999999999999</v>
          </cell>
          <cell r="L6">
            <v>2.121</v>
          </cell>
          <cell r="M6">
            <v>2.4009999999999998</v>
          </cell>
          <cell r="N6">
            <v>2.0659999999999998</v>
          </cell>
          <cell r="O6">
            <v>2.1549999999999998</v>
          </cell>
          <cell r="P6">
            <v>2.3849999999999998</v>
          </cell>
          <cell r="Q6">
            <v>2.0219999999999998</v>
          </cell>
          <cell r="R6">
            <v>2.4700000000000002</v>
          </cell>
          <cell r="S6">
            <v>2.4180000000000001</v>
          </cell>
          <cell r="T6">
            <v>1.9810000000000001</v>
          </cell>
          <cell r="U6">
            <v>2.0760000000000001</v>
          </cell>
          <cell r="V6">
            <v>1.851</v>
          </cell>
          <cell r="W6">
            <v>1.966</v>
          </cell>
          <cell r="X6">
            <v>1.7889999999999999</v>
          </cell>
          <cell r="Y6">
            <v>1.484</v>
          </cell>
          <cell r="Z6">
            <v>1.4059999999999999</v>
          </cell>
          <cell r="AA6">
            <v>1.6830000000000001</v>
          </cell>
          <cell r="AB6">
            <v>1.661</v>
          </cell>
          <cell r="AC6">
            <v>1.639</v>
          </cell>
          <cell r="AD6">
            <v>1.4159999999999999</v>
          </cell>
          <cell r="AE6">
            <v>1.4279999999999999</v>
          </cell>
          <cell r="AF6">
            <v>1.5660000000000001</v>
          </cell>
          <cell r="AG6">
            <v>1.6719999999999999</v>
          </cell>
          <cell r="AH6">
            <v>1.7569999999999999</v>
          </cell>
          <cell r="AI6">
            <v>1.532</v>
          </cell>
          <cell r="AJ6">
            <v>1.385</v>
          </cell>
          <cell r="AK6">
            <v>1.575</v>
          </cell>
          <cell r="AL6">
            <v>1.6439999999999999</v>
          </cell>
          <cell r="AM6">
            <v>1.772</v>
          </cell>
          <cell r="AN6">
            <v>2.2410000000000001</v>
          </cell>
          <cell r="AO6">
            <v>3.448</v>
          </cell>
          <cell r="AP6">
            <v>2.34</v>
          </cell>
          <cell r="AQ6">
            <v>2.746</v>
          </cell>
          <cell r="AR6">
            <v>2.7789999999999999</v>
          </cell>
          <cell r="AS6">
            <v>2.2410000000000001</v>
          </cell>
          <cell r="AT6">
            <v>2.3610000000000002</v>
          </cell>
          <cell r="AU6">
            <v>2.6459999999999999</v>
          </cell>
          <cell r="AV6">
            <v>2.3220000000000001</v>
          </cell>
          <cell r="AW6">
            <v>1.853</v>
          </cell>
          <cell r="AX6">
            <v>1.8280000000000001</v>
          </cell>
          <cell r="AY6">
            <v>2.6520000000000001</v>
          </cell>
          <cell r="AZ6">
            <v>3.9009999999999998</v>
          </cell>
          <cell r="BA6">
            <v>3.9980000000000002</v>
          </cell>
          <cell r="BB6">
            <v>2.9860000000000002</v>
          </cell>
          <cell r="BC6">
            <v>1.78</v>
          </cell>
          <cell r="BD6">
            <v>1.8069999999999999</v>
          </cell>
          <cell r="BE6">
            <v>2.1219999999999999</v>
          </cell>
          <cell r="BF6">
            <v>2.3460000000000001</v>
          </cell>
          <cell r="BG6">
            <v>2.145</v>
          </cell>
          <cell r="BH6">
            <v>2.161</v>
          </cell>
          <cell r="BI6">
            <v>2.5150000000000001</v>
          </cell>
          <cell r="BJ6">
            <v>3.3460000000000001</v>
          </cell>
          <cell r="BK6">
            <v>3.266</v>
          </cell>
          <cell r="BL6">
            <v>2.577</v>
          </cell>
          <cell r="BM6">
            <v>2.3090000000000002</v>
          </cell>
          <cell r="BN6">
            <v>2.0009999999999999</v>
          </cell>
          <cell r="BO6">
            <v>2.286</v>
          </cell>
          <cell r="BP6">
            <v>2.2999999999999998</v>
          </cell>
          <cell r="BQ6">
            <v>2.262</v>
          </cell>
          <cell r="BR6">
            <v>2.0169999999999999</v>
          </cell>
          <cell r="BS6">
            <v>2.3580000000000001</v>
          </cell>
          <cell r="BT6">
            <v>1.9419999999999999</v>
          </cell>
          <cell r="BU6">
            <v>1.6719999999999999</v>
          </cell>
          <cell r="BV6">
            <v>2.0310000000000001</v>
          </cell>
          <cell r="BW6">
            <v>1.972</v>
          </cell>
          <cell r="BX6">
            <v>2.149</v>
          </cell>
          <cell r="BY6">
            <v>1.7649999999999999</v>
          </cell>
          <cell r="BZ6">
            <v>1.81</v>
          </cell>
          <cell r="CA6">
            <v>1.6659999999999999</v>
          </cell>
          <cell r="CB6">
            <v>1.8520000000000001</v>
          </cell>
          <cell r="CC6">
            <v>2.3479999999999999</v>
          </cell>
          <cell r="CD6">
            <v>2.226</v>
          </cell>
          <cell r="CE6">
            <v>2.262</v>
          </cell>
          <cell r="CF6">
            <v>2.601</v>
          </cell>
          <cell r="CG6">
            <v>2.9119999999999999</v>
          </cell>
        </row>
        <row r="7">
          <cell r="A7" t="str">
            <v>AECO-NT</v>
          </cell>
          <cell r="B7">
            <v>4</v>
          </cell>
          <cell r="C7">
            <v>1.1599999999999999</v>
          </cell>
          <cell r="D7">
            <v>1.48</v>
          </cell>
          <cell r="E7">
            <v>2.44</v>
          </cell>
          <cell r="F7">
            <v>1.46</v>
          </cell>
          <cell r="G7">
            <v>1.84</v>
          </cell>
          <cell r="H7">
            <v>1.77</v>
          </cell>
          <cell r="I7">
            <v>2.58</v>
          </cell>
          <cell r="J7">
            <v>1.35</v>
          </cell>
          <cell r="K7">
            <v>1.46</v>
          </cell>
          <cell r="L7">
            <v>1.23</v>
          </cell>
          <cell r="M7">
            <v>1.5</v>
          </cell>
          <cell r="N7">
            <v>1.39</v>
          </cell>
          <cell r="O7">
            <v>1.7927</v>
          </cell>
          <cell r="P7">
            <v>2.3016999999999999</v>
          </cell>
          <cell r="Q7">
            <v>1.9076</v>
          </cell>
          <cell r="R7">
            <v>1.6994</v>
          </cell>
          <cell r="S7">
            <v>1.9172</v>
          </cell>
          <cell r="T7">
            <v>1.5564</v>
          </cell>
          <cell r="U7">
            <v>1.5331999999999999</v>
          </cell>
          <cell r="V7">
            <v>1.4004000000000001</v>
          </cell>
          <cell r="W7">
            <v>1.4108000000000001</v>
          </cell>
          <cell r="X7">
            <v>1.3223100000000001</v>
          </cell>
          <cell r="Y7">
            <v>1.2150000000000001</v>
          </cell>
          <cell r="Z7">
            <v>1.1120000000000001</v>
          </cell>
          <cell r="AA7">
            <v>1.3184</v>
          </cell>
          <cell r="AB7">
            <v>1.3363</v>
          </cell>
          <cell r="AC7">
            <v>0.96619999999999995</v>
          </cell>
          <cell r="AD7">
            <v>0.72240000000000004</v>
          </cell>
          <cell r="AE7">
            <v>0.68799999999999994</v>
          </cell>
          <cell r="AF7">
            <v>0.76910000000000001</v>
          </cell>
          <cell r="AG7">
            <v>0.92100000000000004</v>
          </cell>
          <cell r="AH7">
            <v>0.94450000000000001</v>
          </cell>
          <cell r="AI7">
            <v>0.8347</v>
          </cell>
          <cell r="AJ7">
            <v>0.75749999999999995</v>
          </cell>
          <cell r="AK7">
            <v>0.81489999999999996</v>
          </cell>
          <cell r="AL7">
            <v>0.85150000000000003</v>
          </cell>
          <cell r="AM7">
            <v>0.94089999999999996</v>
          </cell>
          <cell r="AN7">
            <v>0.95679999999999998</v>
          </cell>
          <cell r="AO7">
            <v>1.0471999999999999</v>
          </cell>
          <cell r="AP7">
            <v>1.1489</v>
          </cell>
          <cell r="AQ7">
            <v>1.1039000000000001</v>
          </cell>
          <cell r="AR7">
            <v>1.0159</v>
          </cell>
          <cell r="AS7">
            <v>0.91900000000000004</v>
          </cell>
          <cell r="AT7">
            <v>0.82889999999999997</v>
          </cell>
          <cell r="AU7">
            <v>0.84</v>
          </cell>
          <cell r="AV7">
            <v>0.89829999999999999</v>
          </cell>
          <cell r="AW7">
            <v>0.87909999999999999</v>
          </cell>
          <cell r="AX7">
            <v>0.90549999999999997</v>
          </cell>
          <cell r="AY7">
            <v>1.1100000000000001</v>
          </cell>
          <cell r="AZ7">
            <v>1.58</v>
          </cell>
          <cell r="BA7">
            <v>1.68</v>
          </cell>
          <cell r="BC7">
            <v>1.78</v>
          </cell>
        </row>
        <row r="8">
          <cell r="A8" t="str">
            <v>ANR-LA</v>
          </cell>
          <cell r="B8">
            <v>5</v>
          </cell>
          <cell r="C8">
            <v>2.31</v>
          </cell>
          <cell r="D8">
            <v>2.2799999999999998</v>
          </cell>
          <cell r="E8">
            <v>1.9</v>
          </cell>
          <cell r="F8">
            <v>1.62</v>
          </cell>
          <cell r="G8">
            <v>1.85</v>
          </cell>
          <cell r="H8">
            <v>2.13</v>
          </cell>
          <cell r="I8">
            <v>2.7</v>
          </cell>
          <cell r="J8">
            <v>2.08</v>
          </cell>
          <cell r="K8">
            <v>1.95</v>
          </cell>
          <cell r="L8">
            <v>2.0299999999999998</v>
          </cell>
          <cell r="M8">
            <v>2.37</v>
          </cell>
          <cell r="N8">
            <v>2.06</v>
          </cell>
          <cell r="O8">
            <v>2.09</v>
          </cell>
          <cell r="P8">
            <v>2.31</v>
          </cell>
          <cell r="Q8">
            <v>2.04</v>
          </cell>
          <cell r="R8">
            <v>2.33</v>
          </cell>
          <cell r="S8">
            <v>2.3199999999999998</v>
          </cell>
          <cell r="T8">
            <v>1.93</v>
          </cell>
          <cell r="U8">
            <v>2.0099999999999998</v>
          </cell>
          <cell r="V8">
            <v>1.74</v>
          </cell>
          <cell r="W8">
            <v>1.85</v>
          </cell>
          <cell r="X8">
            <v>1.7</v>
          </cell>
          <cell r="Y8">
            <v>1.4</v>
          </cell>
          <cell r="Z8">
            <v>1.35</v>
          </cell>
          <cell r="AA8">
            <v>1.61</v>
          </cell>
          <cell r="AB8">
            <v>1.6</v>
          </cell>
          <cell r="AC8">
            <v>1.54</v>
          </cell>
          <cell r="AD8">
            <v>1.35</v>
          </cell>
          <cell r="AE8">
            <v>1.37</v>
          </cell>
          <cell r="AF8">
            <v>1.48</v>
          </cell>
          <cell r="AG8">
            <v>1.61</v>
          </cell>
          <cell r="AH8">
            <v>1.66</v>
          </cell>
          <cell r="AI8">
            <v>1.45</v>
          </cell>
          <cell r="AJ8">
            <v>1.3</v>
          </cell>
          <cell r="AK8">
            <v>1.51</v>
          </cell>
          <cell r="AL8">
            <v>1.6</v>
          </cell>
          <cell r="AM8">
            <v>1.76</v>
          </cell>
          <cell r="AN8">
            <v>2.1800000000000002</v>
          </cell>
          <cell r="AO8">
            <v>3.25</v>
          </cell>
          <cell r="AP8">
            <v>2.2999999999999998</v>
          </cell>
          <cell r="AQ8">
            <v>2.73</v>
          </cell>
          <cell r="AR8">
            <v>2.66</v>
          </cell>
          <cell r="AS8">
            <v>2.12</v>
          </cell>
          <cell r="AT8">
            <v>2.25</v>
          </cell>
          <cell r="AU8">
            <v>2.5499999999999998</v>
          </cell>
          <cell r="AV8">
            <v>2.2200000000000002</v>
          </cell>
          <cell r="AW8">
            <v>1.74</v>
          </cell>
          <cell r="AX8">
            <v>1.75</v>
          </cell>
          <cell r="AY8">
            <v>2.63</v>
          </cell>
          <cell r="AZ8">
            <v>3.74</v>
          </cell>
          <cell r="BA8">
            <v>3.85</v>
          </cell>
          <cell r="BB8">
            <v>2.81</v>
          </cell>
          <cell r="BC8">
            <v>1.78</v>
          </cell>
          <cell r="BD8">
            <v>1.75</v>
          </cell>
          <cell r="BE8">
            <v>2.06</v>
          </cell>
          <cell r="BF8">
            <v>2.2400000000000002</v>
          </cell>
          <cell r="BG8">
            <v>2.08</v>
          </cell>
          <cell r="BH8">
            <v>2.12</v>
          </cell>
          <cell r="BI8">
            <v>2.4900000000000002</v>
          </cell>
          <cell r="BJ8">
            <v>3.06</v>
          </cell>
          <cell r="BK8">
            <v>3.18</v>
          </cell>
          <cell r="BL8">
            <v>2.4300000000000002</v>
          </cell>
          <cell r="BM8">
            <v>2.17</v>
          </cell>
          <cell r="BN8">
            <v>1.91</v>
          </cell>
          <cell r="BO8">
            <v>2.1800000000000002</v>
          </cell>
          <cell r="BP8">
            <v>2.2200000000000002</v>
          </cell>
          <cell r="BQ8">
            <v>2.19</v>
          </cell>
          <cell r="BR8">
            <v>1.95</v>
          </cell>
          <cell r="BS8">
            <v>2.27</v>
          </cell>
          <cell r="BT8">
            <v>1.83</v>
          </cell>
          <cell r="BU8">
            <v>1.51</v>
          </cell>
          <cell r="BV8">
            <v>1.94</v>
          </cell>
          <cell r="BW8">
            <v>1.91</v>
          </cell>
          <cell r="BX8">
            <v>2.06</v>
          </cell>
          <cell r="BY8">
            <v>1.71</v>
          </cell>
          <cell r="BZ8">
            <v>1.75</v>
          </cell>
          <cell r="CA8">
            <v>1.58</v>
          </cell>
          <cell r="CB8">
            <v>1.83</v>
          </cell>
          <cell r="CC8">
            <v>2.2999999999999998</v>
          </cell>
          <cell r="CD8">
            <v>2.16</v>
          </cell>
          <cell r="CE8">
            <v>2.2000000000000002</v>
          </cell>
          <cell r="CF8">
            <v>2.5499999999999998</v>
          </cell>
          <cell r="CG8">
            <v>2.83</v>
          </cell>
        </row>
        <row r="9">
          <cell r="A9" t="str">
            <v>ANR-OK</v>
          </cell>
          <cell r="B9">
            <v>6</v>
          </cell>
          <cell r="C9">
            <v>2.15</v>
          </cell>
          <cell r="D9">
            <v>2.0499999999999998</v>
          </cell>
          <cell r="E9">
            <v>1.9</v>
          </cell>
          <cell r="F9">
            <v>1.6</v>
          </cell>
          <cell r="G9">
            <v>1.82</v>
          </cell>
          <cell r="H9">
            <v>2.08</v>
          </cell>
          <cell r="I9">
            <v>2.62</v>
          </cell>
          <cell r="J9">
            <v>1.95</v>
          </cell>
          <cell r="K9">
            <v>1.79</v>
          </cell>
          <cell r="L9">
            <v>1.91</v>
          </cell>
          <cell r="M9">
            <v>2.2000000000000002</v>
          </cell>
          <cell r="N9">
            <v>1.9</v>
          </cell>
          <cell r="O9">
            <v>1.9</v>
          </cell>
          <cell r="P9">
            <v>2.23</v>
          </cell>
          <cell r="Q9">
            <v>1.96</v>
          </cell>
          <cell r="R9">
            <v>2.12</v>
          </cell>
          <cell r="S9">
            <v>2.14</v>
          </cell>
          <cell r="T9">
            <v>1.81</v>
          </cell>
          <cell r="U9">
            <v>1.84</v>
          </cell>
          <cell r="V9">
            <v>1.59</v>
          </cell>
          <cell r="W9">
            <v>1.67</v>
          </cell>
          <cell r="X9">
            <v>1.57</v>
          </cell>
          <cell r="Y9">
            <v>1.4</v>
          </cell>
          <cell r="Z9">
            <v>1.3</v>
          </cell>
          <cell r="AA9">
            <v>1.51</v>
          </cell>
          <cell r="AB9">
            <v>1.6</v>
          </cell>
          <cell r="AC9">
            <v>1.51</v>
          </cell>
          <cell r="AD9">
            <v>1.27</v>
          </cell>
          <cell r="AE9">
            <v>1.26</v>
          </cell>
          <cell r="AF9">
            <v>1.34</v>
          </cell>
          <cell r="AG9">
            <v>1.45</v>
          </cell>
          <cell r="AH9">
            <v>1.46</v>
          </cell>
          <cell r="AI9">
            <v>1.25</v>
          </cell>
          <cell r="AJ9">
            <v>1.19</v>
          </cell>
          <cell r="AK9">
            <v>1.41</v>
          </cell>
          <cell r="AL9">
            <v>1.5</v>
          </cell>
          <cell r="AM9">
            <v>1.61</v>
          </cell>
          <cell r="AN9">
            <v>1.88</v>
          </cell>
          <cell r="AO9">
            <v>2.02</v>
          </cell>
          <cell r="AP9">
            <v>1.79</v>
          </cell>
          <cell r="AQ9">
            <v>1.9</v>
          </cell>
          <cell r="AR9">
            <v>2.14</v>
          </cell>
          <cell r="AS9">
            <v>2.0099999999999998</v>
          </cell>
          <cell r="AT9">
            <v>2.0499999999999998</v>
          </cell>
          <cell r="AU9">
            <v>2.1800000000000002</v>
          </cell>
          <cell r="AV9">
            <v>2.14</v>
          </cell>
          <cell r="AW9">
            <v>1.67</v>
          </cell>
          <cell r="AX9">
            <v>1.69</v>
          </cell>
          <cell r="AY9">
            <v>2.5</v>
          </cell>
          <cell r="AZ9">
            <v>3.6</v>
          </cell>
          <cell r="BA9">
            <v>4.2</v>
          </cell>
          <cell r="BB9">
            <v>2.77</v>
          </cell>
          <cell r="BC9">
            <v>1.63</v>
          </cell>
          <cell r="BD9">
            <v>1.71</v>
          </cell>
          <cell r="BE9">
            <v>1.96</v>
          </cell>
          <cell r="BF9">
            <v>2.13</v>
          </cell>
          <cell r="BG9">
            <v>2.0099999999999998</v>
          </cell>
          <cell r="BH9">
            <v>2.06</v>
          </cell>
          <cell r="BI9">
            <v>2.42</v>
          </cell>
          <cell r="BJ9">
            <v>3</v>
          </cell>
          <cell r="BK9">
            <v>3.16</v>
          </cell>
          <cell r="BL9">
            <v>2.35</v>
          </cell>
          <cell r="BM9">
            <v>2.16</v>
          </cell>
          <cell r="BN9">
            <v>1.92</v>
          </cell>
          <cell r="BO9">
            <v>2.15</v>
          </cell>
          <cell r="BP9">
            <v>2.19</v>
          </cell>
          <cell r="BQ9">
            <v>2.1800000000000002</v>
          </cell>
          <cell r="BR9">
            <v>1.95</v>
          </cell>
          <cell r="BS9">
            <v>2.27</v>
          </cell>
          <cell r="BT9">
            <v>1.84</v>
          </cell>
          <cell r="BU9">
            <v>1.56</v>
          </cell>
          <cell r="BV9">
            <v>1.92</v>
          </cell>
          <cell r="BW9">
            <v>1.96</v>
          </cell>
          <cell r="BX9">
            <v>2.06</v>
          </cell>
          <cell r="BY9">
            <v>1.78</v>
          </cell>
          <cell r="BZ9">
            <v>1.76</v>
          </cell>
          <cell r="CA9">
            <v>1.57</v>
          </cell>
          <cell r="CB9">
            <v>1.75</v>
          </cell>
          <cell r="CC9">
            <v>2.23</v>
          </cell>
          <cell r="CD9">
            <v>2.12</v>
          </cell>
          <cell r="CE9">
            <v>2.1800000000000002</v>
          </cell>
          <cell r="CF9">
            <v>2.5099999999999998</v>
          </cell>
          <cell r="CG9">
            <v>2.77</v>
          </cell>
        </row>
        <row r="10">
          <cell r="A10" t="str">
            <v>CG-APP</v>
          </cell>
          <cell r="B10">
            <v>7</v>
          </cell>
          <cell r="C10">
            <v>2.62</v>
          </cell>
          <cell r="D10">
            <v>2.7</v>
          </cell>
          <cell r="E10">
            <v>2.4300000000000002</v>
          </cell>
          <cell r="F10">
            <v>1.95</v>
          </cell>
          <cell r="G10">
            <v>2.17</v>
          </cell>
          <cell r="H10">
            <v>2.34</v>
          </cell>
          <cell r="I10">
            <v>2.93</v>
          </cell>
          <cell r="J10">
            <v>2.2999999999999998</v>
          </cell>
          <cell r="K10">
            <v>2.1</v>
          </cell>
          <cell r="L10">
            <v>2.2000000000000002</v>
          </cell>
          <cell r="M10">
            <v>2.52</v>
          </cell>
          <cell r="N10">
            <v>2.2000000000000002</v>
          </cell>
          <cell r="O10">
            <v>2.31</v>
          </cell>
          <cell r="P10">
            <v>2.63</v>
          </cell>
          <cell r="Q10">
            <v>2.2999999999999998</v>
          </cell>
          <cell r="R10">
            <v>2.68</v>
          </cell>
          <cell r="S10">
            <v>2.78</v>
          </cell>
          <cell r="T10">
            <v>2.2400000000000002</v>
          </cell>
          <cell r="U10">
            <v>2.2799999999999998</v>
          </cell>
          <cell r="V10">
            <v>1.98</v>
          </cell>
          <cell r="W10">
            <v>2.06</v>
          </cell>
          <cell r="X10">
            <v>1.88</v>
          </cell>
          <cell r="Y10">
            <v>1.56</v>
          </cell>
          <cell r="Z10">
            <v>1.51</v>
          </cell>
          <cell r="AA10">
            <v>1.84</v>
          </cell>
          <cell r="AB10">
            <v>1.93</v>
          </cell>
          <cell r="AC10">
            <v>1.88</v>
          </cell>
          <cell r="AD10">
            <v>1.64</v>
          </cell>
          <cell r="AE10">
            <v>1.6</v>
          </cell>
          <cell r="AF10">
            <v>1.67</v>
          </cell>
          <cell r="AG10">
            <v>1.81</v>
          </cell>
          <cell r="AH10">
            <v>1.84</v>
          </cell>
          <cell r="AI10">
            <v>1.6</v>
          </cell>
          <cell r="AJ10">
            <v>1.46</v>
          </cell>
          <cell r="AK10">
            <v>1.67</v>
          </cell>
          <cell r="AL10">
            <v>1.76</v>
          </cell>
          <cell r="AM10">
            <v>1.95</v>
          </cell>
          <cell r="AN10">
            <v>2.5</v>
          </cell>
          <cell r="AO10">
            <v>3.7</v>
          </cell>
          <cell r="AP10">
            <v>3.67</v>
          </cell>
          <cell r="AQ10">
            <v>4.5599999999999996</v>
          </cell>
          <cell r="AR10">
            <v>3.06</v>
          </cell>
          <cell r="AS10">
            <v>2.4300000000000002</v>
          </cell>
          <cell r="AT10">
            <v>2.5299999999999998</v>
          </cell>
          <cell r="AU10">
            <v>2.86</v>
          </cell>
          <cell r="AV10">
            <v>2.5</v>
          </cell>
          <cell r="AW10">
            <v>1.93</v>
          </cell>
          <cell r="AX10">
            <v>1.99</v>
          </cell>
          <cell r="AY10">
            <v>2.94</v>
          </cell>
          <cell r="AZ10">
            <v>4.2300000000000004</v>
          </cell>
          <cell r="BA10">
            <v>4.3</v>
          </cell>
          <cell r="BB10">
            <v>3.06</v>
          </cell>
          <cell r="BC10">
            <v>1.87</v>
          </cell>
          <cell r="BD10">
            <v>2</v>
          </cell>
          <cell r="BE10">
            <v>2.31</v>
          </cell>
          <cell r="BF10">
            <v>2.46</v>
          </cell>
          <cell r="BG10">
            <v>2.29</v>
          </cell>
          <cell r="BH10">
            <v>2.31</v>
          </cell>
          <cell r="BI10">
            <v>2.69</v>
          </cell>
          <cell r="BJ10">
            <v>3.29</v>
          </cell>
          <cell r="BK10">
            <v>3.52</v>
          </cell>
          <cell r="BL10">
            <v>2.66</v>
          </cell>
          <cell r="BM10">
            <v>2.38</v>
          </cell>
          <cell r="BN10">
            <v>2.12</v>
          </cell>
          <cell r="BO10">
            <v>2.37</v>
          </cell>
          <cell r="BP10">
            <v>2.4500000000000002</v>
          </cell>
          <cell r="BQ10">
            <v>2.42</v>
          </cell>
          <cell r="BR10">
            <v>2.16</v>
          </cell>
          <cell r="BS10">
            <v>2.4700000000000002</v>
          </cell>
          <cell r="BT10">
            <v>2.0499999999999998</v>
          </cell>
          <cell r="BU10">
            <v>1.77</v>
          </cell>
          <cell r="BV10">
            <v>2.2000000000000002</v>
          </cell>
          <cell r="BW10">
            <v>2.2400000000000002</v>
          </cell>
          <cell r="BX10">
            <v>2.25</v>
          </cell>
          <cell r="BY10">
            <v>1.92</v>
          </cell>
          <cell r="BZ10">
            <v>1.92</v>
          </cell>
          <cell r="CA10">
            <v>1.73</v>
          </cell>
          <cell r="CB10">
            <v>2.0499999999999998</v>
          </cell>
          <cell r="CC10">
            <v>2.5</v>
          </cell>
          <cell r="CD10">
            <v>2.35</v>
          </cell>
          <cell r="CE10">
            <v>2.39</v>
          </cell>
          <cell r="CF10">
            <v>2.78</v>
          </cell>
          <cell r="CG10">
            <v>3.03</v>
          </cell>
        </row>
        <row r="11">
          <cell r="A11" t="str">
            <v>CGLF-LA</v>
          </cell>
          <cell r="B11">
            <v>8</v>
          </cell>
          <cell r="C11">
            <v>2.36</v>
          </cell>
          <cell r="D11">
            <v>2.2999999999999998</v>
          </cell>
          <cell r="E11">
            <v>1.93</v>
          </cell>
          <cell r="F11">
            <v>1.62</v>
          </cell>
          <cell r="G11">
            <v>1.88</v>
          </cell>
          <cell r="H11">
            <v>2.2000000000000002</v>
          </cell>
          <cell r="I11">
            <v>2.7</v>
          </cell>
          <cell r="J11">
            <v>2.1</v>
          </cell>
          <cell r="K11">
            <v>1.95</v>
          </cell>
          <cell r="L11">
            <v>2.0699999999999998</v>
          </cell>
          <cell r="M11">
            <v>2.37</v>
          </cell>
          <cell r="N11">
            <v>2.0499999999999998</v>
          </cell>
          <cell r="O11">
            <v>2.12</v>
          </cell>
          <cell r="P11">
            <v>2.38</v>
          </cell>
          <cell r="Q11">
            <v>2.0499999999999998</v>
          </cell>
          <cell r="R11">
            <v>2.36</v>
          </cell>
          <cell r="S11">
            <v>2.35</v>
          </cell>
          <cell r="T11">
            <v>1.99</v>
          </cell>
          <cell r="U11">
            <v>2.0499999999999998</v>
          </cell>
          <cell r="V11">
            <v>1.81</v>
          </cell>
          <cell r="W11">
            <v>1.94</v>
          </cell>
          <cell r="X11">
            <v>1.77</v>
          </cell>
          <cell r="Y11">
            <v>1.45</v>
          </cell>
          <cell r="Z11">
            <v>1.39</v>
          </cell>
          <cell r="AA11">
            <v>1.67</v>
          </cell>
          <cell r="AB11">
            <v>1.65</v>
          </cell>
          <cell r="AC11">
            <v>1.59</v>
          </cell>
          <cell r="AD11">
            <v>1.38</v>
          </cell>
          <cell r="AE11">
            <v>1.42</v>
          </cell>
          <cell r="AF11">
            <v>1.53</v>
          </cell>
          <cell r="AG11">
            <v>1.64</v>
          </cell>
          <cell r="AH11">
            <v>1.69</v>
          </cell>
          <cell r="AI11">
            <v>1.46</v>
          </cell>
          <cell r="AJ11">
            <v>1.34</v>
          </cell>
          <cell r="AK11">
            <v>1.54</v>
          </cell>
          <cell r="AL11">
            <v>1.62</v>
          </cell>
          <cell r="AM11">
            <v>1.75</v>
          </cell>
          <cell r="AN11">
            <v>2.2400000000000002</v>
          </cell>
          <cell r="AO11">
            <v>3.35</v>
          </cell>
          <cell r="AP11">
            <v>2.34</v>
          </cell>
          <cell r="AQ11">
            <v>2.85</v>
          </cell>
          <cell r="AR11">
            <v>2.62</v>
          </cell>
          <cell r="AS11">
            <v>2.2000000000000002</v>
          </cell>
          <cell r="AT11">
            <v>2.33</v>
          </cell>
          <cell r="AU11">
            <v>2.62</v>
          </cell>
          <cell r="AV11">
            <v>2.27</v>
          </cell>
          <cell r="AW11">
            <v>1.77</v>
          </cell>
          <cell r="AX11">
            <v>1.81</v>
          </cell>
          <cell r="AY11">
            <v>2.65</v>
          </cell>
          <cell r="AZ11">
            <v>3.82</v>
          </cell>
          <cell r="BA11">
            <v>3.94</v>
          </cell>
          <cell r="BB11">
            <v>2.89</v>
          </cell>
          <cell r="BC11">
            <v>1.74</v>
          </cell>
          <cell r="BD11">
            <v>1.8</v>
          </cell>
          <cell r="BE11">
            <v>2.1</v>
          </cell>
          <cell r="BF11">
            <v>2.27</v>
          </cell>
          <cell r="BG11">
            <v>2.13</v>
          </cell>
          <cell r="BH11">
            <v>2.15</v>
          </cell>
          <cell r="BI11">
            <v>2.5099999999999998</v>
          </cell>
          <cell r="BJ11">
            <v>3.09</v>
          </cell>
          <cell r="BK11">
            <v>3.26</v>
          </cell>
          <cell r="BL11">
            <v>2.5</v>
          </cell>
          <cell r="BM11">
            <v>2.2400000000000002</v>
          </cell>
          <cell r="BN11">
            <v>1.99</v>
          </cell>
          <cell r="BO11">
            <v>2.2200000000000002</v>
          </cell>
          <cell r="BP11">
            <v>2.29</v>
          </cell>
          <cell r="BQ11">
            <v>2.25</v>
          </cell>
          <cell r="BR11">
            <v>2</v>
          </cell>
          <cell r="BS11">
            <v>2.33</v>
          </cell>
          <cell r="BT11">
            <v>1.9</v>
          </cell>
          <cell r="BU11">
            <v>1.58</v>
          </cell>
          <cell r="BV11">
            <v>2.02</v>
          </cell>
          <cell r="BW11">
            <v>1.96</v>
          </cell>
          <cell r="BX11">
            <v>2.08</v>
          </cell>
          <cell r="BY11">
            <v>1.75</v>
          </cell>
          <cell r="BZ11">
            <v>1.77</v>
          </cell>
          <cell r="CA11">
            <v>1.6</v>
          </cell>
          <cell r="CB11">
            <v>1.86</v>
          </cell>
          <cell r="CC11">
            <v>2.33</v>
          </cell>
          <cell r="CD11">
            <v>2.2000000000000002</v>
          </cell>
          <cell r="CE11">
            <v>2.2400000000000002</v>
          </cell>
          <cell r="CF11">
            <v>2.58</v>
          </cell>
          <cell r="CG11">
            <v>2.86</v>
          </cell>
        </row>
        <row r="12">
          <cell r="A12" t="str">
            <v>CGLF-OFS</v>
          </cell>
          <cell r="B12">
            <v>9</v>
          </cell>
          <cell r="C12">
            <v>2.23</v>
          </cell>
          <cell r="E12">
            <v>1.83</v>
          </cell>
          <cell r="F12">
            <v>1.54</v>
          </cell>
          <cell r="G12">
            <v>1.79</v>
          </cell>
          <cell r="H12">
            <v>2.1</v>
          </cell>
          <cell r="I12">
            <v>2.6</v>
          </cell>
          <cell r="J12">
            <v>2.0299999999999998</v>
          </cell>
          <cell r="K12">
            <v>1.86</v>
          </cell>
          <cell r="L12">
            <v>1.98</v>
          </cell>
          <cell r="M12">
            <v>2.2799999999999998</v>
          </cell>
          <cell r="N12">
            <v>1.97</v>
          </cell>
          <cell r="O12">
            <v>2.0299999999999998</v>
          </cell>
          <cell r="P12">
            <v>2.2999999999999998</v>
          </cell>
          <cell r="Q12">
            <v>2.02</v>
          </cell>
          <cell r="S12">
            <v>2.2799999999999998</v>
          </cell>
          <cell r="T12">
            <v>1.91</v>
          </cell>
          <cell r="V12">
            <v>1.73</v>
          </cell>
          <cell r="W12">
            <v>1.87</v>
          </cell>
          <cell r="X12">
            <v>1.71</v>
          </cell>
          <cell r="Z12">
            <v>1.29</v>
          </cell>
          <cell r="AB12">
            <v>1.56</v>
          </cell>
          <cell r="AC12">
            <v>1.49</v>
          </cell>
          <cell r="AD12">
            <v>1.3</v>
          </cell>
          <cell r="AE12">
            <v>1.35</v>
          </cell>
          <cell r="AF12">
            <v>1.44</v>
          </cell>
          <cell r="AG12">
            <v>1.58</v>
          </cell>
          <cell r="AH12">
            <v>1.6</v>
          </cell>
          <cell r="BB12">
            <v>2.79</v>
          </cell>
          <cell r="BC12">
            <v>1.66</v>
          </cell>
          <cell r="BD12">
            <v>1.81</v>
          </cell>
          <cell r="BE12">
            <v>2.0299999999999998</v>
          </cell>
          <cell r="BF12">
            <v>2.17</v>
          </cell>
          <cell r="BG12">
            <v>2.1800000000000002</v>
          </cell>
          <cell r="BH12">
            <v>2.19</v>
          </cell>
        </row>
        <row r="13">
          <cell r="A13" t="str">
            <v>CHIC</v>
          </cell>
          <cell r="B13">
            <v>10</v>
          </cell>
          <cell r="C13">
            <v>2.46</v>
          </cell>
          <cell r="D13">
            <v>2.4</v>
          </cell>
          <cell r="E13">
            <v>2.2200000000000002</v>
          </cell>
          <cell r="F13">
            <v>1.83</v>
          </cell>
          <cell r="G13">
            <v>2.11</v>
          </cell>
          <cell r="H13">
            <v>2.41</v>
          </cell>
          <cell r="I13">
            <v>2.92</v>
          </cell>
          <cell r="J13">
            <v>2.15</v>
          </cell>
          <cell r="K13">
            <v>2.14</v>
          </cell>
          <cell r="L13">
            <v>2.2799999999999998</v>
          </cell>
          <cell r="M13">
            <v>2.5299999999999998</v>
          </cell>
          <cell r="N13">
            <v>2.31</v>
          </cell>
          <cell r="O13">
            <v>2.29</v>
          </cell>
          <cell r="P13">
            <v>2.5299999999999998</v>
          </cell>
          <cell r="Q13">
            <v>2.21</v>
          </cell>
          <cell r="R13">
            <v>2.5499999999999998</v>
          </cell>
          <cell r="S13">
            <v>2.61</v>
          </cell>
          <cell r="T13">
            <v>2.17</v>
          </cell>
          <cell r="U13">
            <v>2.1800000000000002</v>
          </cell>
          <cell r="V13">
            <v>1.92</v>
          </cell>
          <cell r="W13">
            <v>2.0299999999999998</v>
          </cell>
          <cell r="X13">
            <v>1.87</v>
          </cell>
          <cell r="Y13">
            <v>1.59</v>
          </cell>
          <cell r="Z13">
            <v>1.51</v>
          </cell>
          <cell r="AA13">
            <v>1.81</v>
          </cell>
          <cell r="AB13">
            <v>1.81</v>
          </cell>
          <cell r="AC13">
            <v>1.73</v>
          </cell>
          <cell r="AD13">
            <v>1.5</v>
          </cell>
          <cell r="AE13">
            <v>1.47</v>
          </cell>
          <cell r="AF13">
            <v>1.56</v>
          </cell>
          <cell r="AG13">
            <v>1.7</v>
          </cell>
          <cell r="AH13">
            <v>1.75</v>
          </cell>
          <cell r="AI13">
            <v>1.55</v>
          </cell>
          <cell r="AJ13">
            <v>1.41</v>
          </cell>
          <cell r="AK13">
            <v>1.61</v>
          </cell>
          <cell r="AL13">
            <v>1.72</v>
          </cell>
          <cell r="AM13">
            <v>1.91</v>
          </cell>
          <cell r="AN13">
            <v>2.41</v>
          </cell>
          <cell r="AO13">
            <v>3.31</v>
          </cell>
          <cell r="AP13">
            <v>2.64</v>
          </cell>
          <cell r="AQ13">
            <v>3.2</v>
          </cell>
          <cell r="AR13">
            <v>2.81</v>
          </cell>
          <cell r="AS13">
            <v>2.2999999999999998</v>
          </cell>
          <cell r="AT13">
            <v>2.4</v>
          </cell>
          <cell r="AU13">
            <v>2.64</v>
          </cell>
          <cell r="AV13">
            <v>2.36</v>
          </cell>
          <cell r="AW13">
            <v>1.94</v>
          </cell>
          <cell r="AX13">
            <v>1.98</v>
          </cell>
          <cell r="AY13">
            <v>2.95</v>
          </cell>
          <cell r="AZ13">
            <v>4.25</v>
          </cell>
          <cell r="BA13">
            <v>4.53</v>
          </cell>
          <cell r="BB13">
            <v>3.36</v>
          </cell>
          <cell r="BC13">
            <v>1.91</v>
          </cell>
          <cell r="BD13">
            <v>1.95</v>
          </cell>
          <cell r="BE13">
            <v>2.19</v>
          </cell>
          <cell r="BF13">
            <v>2.38</v>
          </cell>
          <cell r="BG13">
            <v>2.2400000000000002</v>
          </cell>
          <cell r="BH13">
            <v>2.23</v>
          </cell>
          <cell r="BI13">
            <v>2.63</v>
          </cell>
          <cell r="BJ13">
            <v>3.34</v>
          </cell>
          <cell r="BK13">
            <v>3.55</v>
          </cell>
          <cell r="BL13">
            <v>3.55</v>
          </cell>
          <cell r="BM13">
            <v>2.37</v>
          </cell>
          <cell r="BN13">
            <v>2.09</v>
          </cell>
          <cell r="BO13">
            <v>2.2999999999999998</v>
          </cell>
          <cell r="BP13">
            <v>2.38</v>
          </cell>
          <cell r="BQ13">
            <v>2.36</v>
          </cell>
          <cell r="BR13">
            <v>2.13</v>
          </cell>
          <cell r="BS13">
            <v>2.42</v>
          </cell>
          <cell r="CG13">
            <v>2.96</v>
          </cell>
        </row>
        <row r="14">
          <cell r="A14" t="str">
            <v>CIG-ROCK</v>
          </cell>
          <cell r="B14">
            <v>11</v>
          </cell>
          <cell r="C14">
            <v>1.83</v>
          </cell>
          <cell r="D14">
            <v>1.88</v>
          </cell>
          <cell r="E14">
            <v>2.15</v>
          </cell>
          <cell r="F14">
            <v>1.6</v>
          </cell>
          <cell r="G14">
            <v>1.73</v>
          </cell>
          <cell r="H14">
            <v>1.8</v>
          </cell>
          <cell r="I14">
            <v>2.2000000000000002</v>
          </cell>
          <cell r="J14">
            <v>1.56</v>
          </cell>
          <cell r="K14">
            <v>1.5</v>
          </cell>
          <cell r="L14">
            <v>1.65</v>
          </cell>
          <cell r="M14">
            <v>1.88</v>
          </cell>
          <cell r="N14">
            <v>1.71</v>
          </cell>
          <cell r="O14">
            <v>1.7</v>
          </cell>
          <cell r="P14">
            <v>2.23</v>
          </cell>
          <cell r="Q14">
            <v>1.88</v>
          </cell>
          <cell r="R14">
            <v>1.76</v>
          </cell>
          <cell r="S14">
            <v>1.86</v>
          </cell>
          <cell r="T14">
            <v>1.52</v>
          </cell>
          <cell r="U14">
            <v>1.55</v>
          </cell>
          <cell r="V14">
            <v>1.32</v>
          </cell>
          <cell r="W14">
            <v>1.39</v>
          </cell>
          <cell r="X14">
            <v>1.39</v>
          </cell>
          <cell r="Y14">
            <v>1.33</v>
          </cell>
          <cell r="Z14">
            <v>1.1599999999999999</v>
          </cell>
          <cell r="AA14">
            <v>1.44</v>
          </cell>
          <cell r="AB14">
            <v>1.57</v>
          </cell>
          <cell r="AC14">
            <v>1.35</v>
          </cell>
          <cell r="AD14">
            <v>1.06</v>
          </cell>
          <cell r="AE14">
            <v>1.05</v>
          </cell>
          <cell r="AF14">
            <v>1.05</v>
          </cell>
          <cell r="AG14">
            <v>1.07</v>
          </cell>
          <cell r="AH14">
            <v>1.1399999999999999</v>
          </cell>
          <cell r="AI14">
            <v>0.98</v>
          </cell>
          <cell r="AJ14">
            <v>0.84</v>
          </cell>
          <cell r="AK14">
            <v>0.95</v>
          </cell>
          <cell r="AL14">
            <v>1.04</v>
          </cell>
          <cell r="AM14">
            <v>1.25</v>
          </cell>
          <cell r="AN14">
            <v>1.31</v>
          </cell>
          <cell r="AO14">
            <v>1.26</v>
          </cell>
          <cell r="AP14">
            <v>1.1599999999999999</v>
          </cell>
          <cell r="AQ14">
            <v>1.1599999999999999</v>
          </cell>
          <cell r="AR14">
            <v>1.06</v>
          </cell>
          <cell r="AS14">
            <v>1.06</v>
          </cell>
          <cell r="AT14">
            <v>1.06</v>
          </cell>
          <cell r="AU14">
            <v>1.18</v>
          </cell>
          <cell r="AV14">
            <v>1.21</v>
          </cell>
          <cell r="AW14">
            <v>1.19</v>
          </cell>
          <cell r="AX14">
            <v>1.25</v>
          </cell>
          <cell r="AY14">
            <v>2.25</v>
          </cell>
          <cell r="AZ14">
            <v>3.5</v>
          </cell>
          <cell r="BA14">
            <v>4.18</v>
          </cell>
          <cell r="BB14">
            <v>2.5299999999999998</v>
          </cell>
          <cell r="BC14">
            <v>1.39</v>
          </cell>
          <cell r="BD14">
            <v>1.45</v>
          </cell>
          <cell r="BE14">
            <v>1.63</v>
          </cell>
          <cell r="BF14">
            <v>1.43</v>
          </cell>
          <cell r="BG14">
            <v>1.44</v>
          </cell>
          <cell r="BH14">
            <v>1.38</v>
          </cell>
          <cell r="BI14">
            <v>1.47</v>
          </cell>
          <cell r="BJ14">
            <v>2.1</v>
          </cell>
          <cell r="BK14">
            <v>2.99</v>
          </cell>
          <cell r="BL14">
            <v>1.94</v>
          </cell>
          <cell r="BM14">
            <v>2.04</v>
          </cell>
          <cell r="BN14">
            <v>1.7</v>
          </cell>
          <cell r="BO14">
            <v>1.88</v>
          </cell>
          <cell r="BP14">
            <v>1.9</v>
          </cell>
          <cell r="BQ14">
            <v>1.96</v>
          </cell>
          <cell r="BR14">
            <v>1.64</v>
          </cell>
          <cell r="BS14">
            <v>1.61</v>
          </cell>
          <cell r="BT14">
            <v>1.73</v>
          </cell>
          <cell r="BU14">
            <v>1.55</v>
          </cell>
          <cell r="BV14">
            <v>1.65</v>
          </cell>
          <cell r="BW14">
            <v>1.97</v>
          </cell>
          <cell r="BX14">
            <v>1.96</v>
          </cell>
          <cell r="BY14">
            <v>1.75</v>
          </cell>
          <cell r="BZ14">
            <v>1.61</v>
          </cell>
          <cell r="CA14">
            <v>1.49</v>
          </cell>
          <cell r="CB14">
            <v>1.53</v>
          </cell>
          <cell r="CC14">
            <v>1.98</v>
          </cell>
          <cell r="CD14">
            <v>1.93</v>
          </cell>
          <cell r="CE14">
            <v>1.97</v>
          </cell>
          <cell r="CF14">
            <v>2.16</v>
          </cell>
          <cell r="CG14">
            <v>2.52</v>
          </cell>
        </row>
        <row r="15">
          <cell r="A15" t="str">
            <v>CNG</v>
          </cell>
          <cell r="B15">
            <v>12</v>
          </cell>
          <cell r="H15">
            <v>2.54</v>
          </cell>
          <cell r="I15">
            <v>3</v>
          </cell>
          <cell r="J15">
            <v>2.25</v>
          </cell>
          <cell r="K15">
            <v>2.13</v>
          </cell>
          <cell r="L15">
            <v>2.23</v>
          </cell>
          <cell r="M15">
            <v>2.5299999999999998</v>
          </cell>
          <cell r="N15">
            <v>2.23</v>
          </cell>
          <cell r="O15">
            <v>2.36</v>
          </cell>
          <cell r="P15">
            <v>2.68</v>
          </cell>
          <cell r="Q15">
            <v>2.33</v>
          </cell>
          <cell r="R15">
            <v>2.75</v>
          </cell>
          <cell r="S15">
            <v>2.78</v>
          </cell>
          <cell r="T15">
            <v>2.23</v>
          </cell>
          <cell r="U15">
            <v>2.29</v>
          </cell>
          <cell r="V15">
            <v>1.99</v>
          </cell>
          <cell r="W15">
            <v>2.1</v>
          </cell>
          <cell r="X15">
            <v>1.9</v>
          </cell>
          <cell r="Y15">
            <v>1.55</v>
          </cell>
          <cell r="Z15">
            <v>1.5</v>
          </cell>
          <cell r="AA15">
            <v>1.83</v>
          </cell>
          <cell r="AB15">
            <v>1.93</v>
          </cell>
          <cell r="AC15">
            <v>1.87</v>
          </cell>
          <cell r="AD15">
            <v>1.65</v>
          </cell>
          <cell r="AE15">
            <v>1.62</v>
          </cell>
          <cell r="AF15">
            <v>1.68</v>
          </cell>
          <cell r="AG15">
            <v>1.83</v>
          </cell>
          <cell r="AH15">
            <v>1.86</v>
          </cell>
          <cell r="AI15">
            <v>1.62</v>
          </cell>
          <cell r="AJ15">
            <v>1.49</v>
          </cell>
          <cell r="AK15">
            <v>1.68</v>
          </cell>
          <cell r="AL15">
            <v>1.77</v>
          </cell>
          <cell r="AM15">
            <v>1.97</v>
          </cell>
          <cell r="AN15">
            <v>2.5299999999999998</v>
          </cell>
          <cell r="AO15">
            <v>3.8</v>
          </cell>
          <cell r="AP15">
            <v>3.67</v>
          </cell>
          <cell r="AQ15">
            <v>4.95</v>
          </cell>
          <cell r="AR15">
            <v>3.21</v>
          </cell>
          <cell r="AS15">
            <v>2.4300000000000002</v>
          </cell>
          <cell r="AT15">
            <v>2.54</v>
          </cell>
          <cell r="AU15">
            <v>2.86</v>
          </cell>
          <cell r="AV15">
            <v>2.5</v>
          </cell>
          <cell r="AW15">
            <v>1.94</v>
          </cell>
          <cell r="AX15">
            <v>1.99</v>
          </cell>
          <cell r="AY15">
            <v>3.05</v>
          </cell>
          <cell r="AZ15">
            <v>4.5</v>
          </cell>
          <cell r="BA15">
            <v>4.5</v>
          </cell>
          <cell r="BB15">
            <v>3.2</v>
          </cell>
          <cell r="BC15">
            <v>1.93</v>
          </cell>
          <cell r="BD15">
            <v>2.02</v>
          </cell>
          <cell r="BE15">
            <v>2.33</v>
          </cell>
          <cell r="BF15">
            <v>2.46</v>
          </cell>
          <cell r="BG15">
            <v>2.31</v>
          </cell>
          <cell r="BH15">
            <v>2.33</v>
          </cell>
          <cell r="BI15">
            <v>2.71</v>
          </cell>
          <cell r="BJ15">
            <v>3.32</v>
          </cell>
          <cell r="BK15">
            <v>3.59</v>
          </cell>
          <cell r="BL15">
            <v>2.7</v>
          </cell>
          <cell r="BM15">
            <v>2.44</v>
          </cell>
          <cell r="BN15">
            <v>2.15</v>
          </cell>
          <cell r="BO15">
            <v>2.4</v>
          </cell>
          <cell r="BP15">
            <v>2.5</v>
          </cell>
          <cell r="BQ15">
            <v>2.46</v>
          </cell>
          <cell r="BR15">
            <v>2.19</v>
          </cell>
          <cell r="BS15">
            <v>2.4700000000000002</v>
          </cell>
          <cell r="BT15">
            <v>2.06</v>
          </cell>
          <cell r="BU15">
            <v>1.79</v>
          </cell>
          <cell r="BV15">
            <v>2.2200000000000002</v>
          </cell>
          <cell r="BW15">
            <v>2.25</v>
          </cell>
          <cell r="BX15">
            <v>2.23</v>
          </cell>
          <cell r="BY15">
            <v>1.95</v>
          </cell>
          <cell r="BZ15">
            <v>1.95</v>
          </cell>
          <cell r="CA15">
            <v>1.78</v>
          </cell>
          <cell r="CB15">
            <v>2.09</v>
          </cell>
          <cell r="CC15">
            <v>2.5099999999999998</v>
          </cell>
          <cell r="CD15">
            <v>2.35</v>
          </cell>
          <cell r="CE15">
            <v>2.42</v>
          </cell>
          <cell r="CF15">
            <v>2.8</v>
          </cell>
          <cell r="CG15">
            <v>3.07</v>
          </cell>
        </row>
        <row r="16">
          <cell r="A16" t="str">
            <v>EPNG-PERM</v>
          </cell>
          <cell r="B16">
            <v>13</v>
          </cell>
          <cell r="C16">
            <v>2.12</v>
          </cell>
          <cell r="D16">
            <v>2.04</v>
          </cell>
          <cell r="E16">
            <v>2.04</v>
          </cell>
          <cell r="F16">
            <v>1.57</v>
          </cell>
          <cell r="G16">
            <v>1.83</v>
          </cell>
          <cell r="H16">
            <v>1.89</v>
          </cell>
          <cell r="I16">
            <v>2.2000000000000002</v>
          </cell>
          <cell r="J16">
            <v>1.65</v>
          </cell>
          <cell r="K16">
            <v>1.78</v>
          </cell>
          <cell r="L16">
            <v>1.88</v>
          </cell>
          <cell r="M16">
            <v>2.0299999999999998</v>
          </cell>
          <cell r="N16">
            <v>1.77</v>
          </cell>
          <cell r="O16">
            <v>1.77</v>
          </cell>
          <cell r="P16">
            <v>2.25</v>
          </cell>
          <cell r="Q16">
            <v>1.93</v>
          </cell>
          <cell r="R16">
            <v>1.88</v>
          </cell>
          <cell r="S16">
            <v>2</v>
          </cell>
          <cell r="T16">
            <v>1.75</v>
          </cell>
          <cell r="U16">
            <v>1.75</v>
          </cell>
          <cell r="V16">
            <v>1.5</v>
          </cell>
          <cell r="W16">
            <v>1.65</v>
          </cell>
          <cell r="X16">
            <v>1.57</v>
          </cell>
          <cell r="Y16">
            <v>1.44</v>
          </cell>
          <cell r="Z16">
            <v>1.22</v>
          </cell>
          <cell r="AA16">
            <v>1.47</v>
          </cell>
          <cell r="AB16">
            <v>1.64</v>
          </cell>
          <cell r="AC16">
            <v>1.46</v>
          </cell>
          <cell r="AD16">
            <v>1.17</v>
          </cell>
          <cell r="AE16">
            <v>1.17</v>
          </cell>
          <cell r="AF16">
            <v>1.25</v>
          </cell>
          <cell r="AG16">
            <v>1.35</v>
          </cell>
          <cell r="AH16">
            <v>1.38</v>
          </cell>
          <cell r="AI16">
            <v>1.19</v>
          </cell>
          <cell r="AJ16">
            <v>1.18</v>
          </cell>
          <cell r="AK16">
            <v>1.36</v>
          </cell>
          <cell r="AL16">
            <v>1.41</v>
          </cell>
          <cell r="AM16">
            <v>1.54</v>
          </cell>
          <cell r="AN16">
            <v>1.74</v>
          </cell>
          <cell r="AO16">
            <v>1.92</v>
          </cell>
          <cell r="AP16">
            <v>1.68</v>
          </cell>
          <cell r="AQ16">
            <v>1.75</v>
          </cell>
          <cell r="AR16">
            <v>2.0099999999999998</v>
          </cell>
          <cell r="AS16">
            <v>1.95</v>
          </cell>
          <cell r="AT16">
            <v>2.0099999999999998</v>
          </cell>
          <cell r="AU16">
            <v>2.09</v>
          </cell>
          <cell r="AV16">
            <v>2.0699999999999998</v>
          </cell>
          <cell r="AW16">
            <v>1.59</v>
          </cell>
          <cell r="AX16">
            <v>1.64</v>
          </cell>
          <cell r="AY16">
            <v>2.48</v>
          </cell>
          <cell r="AZ16">
            <v>3.59</v>
          </cell>
          <cell r="BA16">
            <v>4.0999999999999996</v>
          </cell>
          <cell r="BB16">
            <v>2.5499999999999998</v>
          </cell>
          <cell r="BC16">
            <v>1.54</v>
          </cell>
          <cell r="BD16">
            <v>1.63</v>
          </cell>
          <cell r="BE16">
            <v>1.91</v>
          </cell>
          <cell r="BF16">
            <v>2.0699999999999998</v>
          </cell>
          <cell r="BG16">
            <v>2</v>
          </cell>
          <cell r="BH16">
            <v>2.0499999999999998</v>
          </cell>
          <cell r="BI16">
            <v>2.36</v>
          </cell>
          <cell r="BJ16">
            <v>2.9</v>
          </cell>
          <cell r="BK16">
            <v>3.18</v>
          </cell>
          <cell r="BL16">
            <v>2.21</v>
          </cell>
          <cell r="BM16">
            <v>2.08</v>
          </cell>
          <cell r="BN16">
            <v>1.84</v>
          </cell>
          <cell r="BO16">
            <v>2.04</v>
          </cell>
          <cell r="BP16">
            <v>2.12</v>
          </cell>
          <cell r="BQ16">
            <v>2.1</v>
          </cell>
          <cell r="BR16">
            <v>1.86</v>
          </cell>
          <cell r="BS16">
            <v>2.1800000000000002</v>
          </cell>
          <cell r="BT16">
            <v>1.9</v>
          </cell>
          <cell r="BU16">
            <v>1.59</v>
          </cell>
          <cell r="BV16">
            <v>1.82</v>
          </cell>
          <cell r="BW16">
            <v>1.92</v>
          </cell>
          <cell r="BX16">
            <v>1.99</v>
          </cell>
          <cell r="BY16">
            <v>1.73</v>
          </cell>
          <cell r="BZ16">
            <v>1.66</v>
          </cell>
          <cell r="CA16">
            <v>1.54</v>
          </cell>
          <cell r="CB16">
            <v>1.66</v>
          </cell>
          <cell r="CC16">
            <v>2.16</v>
          </cell>
          <cell r="CD16">
            <v>2.08</v>
          </cell>
          <cell r="CE16">
            <v>2.17</v>
          </cell>
          <cell r="CF16">
            <v>2.46</v>
          </cell>
          <cell r="CG16">
            <v>2.78</v>
          </cell>
        </row>
        <row r="17">
          <cell r="A17" t="str">
            <v>EPNG-SJ</v>
          </cell>
          <cell r="B17">
            <v>14</v>
          </cell>
          <cell r="C17">
            <v>2.11</v>
          </cell>
          <cell r="D17">
            <v>2.04</v>
          </cell>
          <cell r="E17">
            <v>2.1</v>
          </cell>
          <cell r="F17">
            <v>1.58</v>
          </cell>
          <cell r="G17">
            <v>1.84</v>
          </cell>
          <cell r="H17">
            <v>1.89</v>
          </cell>
          <cell r="I17">
            <v>2.2000000000000002</v>
          </cell>
          <cell r="J17">
            <v>1.65</v>
          </cell>
          <cell r="K17">
            <v>1.76</v>
          </cell>
          <cell r="L17">
            <v>1.84</v>
          </cell>
          <cell r="M17">
            <v>2.0099999999999998</v>
          </cell>
          <cell r="N17">
            <v>1.76</v>
          </cell>
          <cell r="O17">
            <v>1.76</v>
          </cell>
          <cell r="P17">
            <v>2.2400000000000002</v>
          </cell>
          <cell r="Q17">
            <v>1.94</v>
          </cell>
          <cell r="R17">
            <v>1.82</v>
          </cell>
          <cell r="S17">
            <v>1.98</v>
          </cell>
          <cell r="T17">
            <v>1.73</v>
          </cell>
          <cell r="U17">
            <v>1.74</v>
          </cell>
          <cell r="V17">
            <v>1.48</v>
          </cell>
          <cell r="W17">
            <v>1.58</v>
          </cell>
          <cell r="X17">
            <v>1.54</v>
          </cell>
          <cell r="Y17">
            <v>1.43</v>
          </cell>
          <cell r="Z17">
            <v>1.2</v>
          </cell>
          <cell r="AA17">
            <v>1.46</v>
          </cell>
          <cell r="AB17">
            <v>1.63</v>
          </cell>
          <cell r="AC17">
            <v>1.45</v>
          </cell>
          <cell r="AD17">
            <v>1.0900000000000001</v>
          </cell>
          <cell r="AE17">
            <v>1.08</v>
          </cell>
          <cell r="AF17">
            <v>1.0900000000000001</v>
          </cell>
          <cell r="AG17">
            <v>1.17</v>
          </cell>
          <cell r="AH17">
            <v>1.17</v>
          </cell>
          <cell r="AI17">
            <v>1.05</v>
          </cell>
          <cell r="AJ17">
            <v>1.02</v>
          </cell>
          <cell r="AK17">
            <v>1.19</v>
          </cell>
          <cell r="AL17">
            <v>1.24</v>
          </cell>
          <cell r="AM17">
            <v>1.25</v>
          </cell>
          <cell r="AN17">
            <v>1.34</v>
          </cell>
          <cell r="AO17">
            <v>1.39</v>
          </cell>
          <cell r="AP17">
            <v>1.26</v>
          </cell>
          <cell r="AQ17">
            <v>1.18</v>
          </cell>
          <cell r="AR17">
            <v>1.1200000000000001</v>
          </cell>
          <cell r="AS17">
            <v>1.1200000000000001</v>
          </cell>
          <cell r="AT17">
            <v>1.18</v>
          </cell>
          <cell r="AU17">
            <v>1.47</v>
          </cell>
          <cell r="AV17">
            <v>2</v>
          </cell>
          <cell r="AW17">
            <v>1.55</v>
          </cell>
          <cell r="AX17">
            <v>1.59</v>
          </cell>
          <cell r="AY17">
            <v>2.4500000000000002</v>
          </cell>
          <cell r="AZ17">
            <v>3.55</v>
          </cell>
          <cell r="BA17">
            <v>4.05</v>
          </cell>
          <cell r="BB17">
            <v>2.48</v>
          </cell>
          <cell r="BC17">
            <v>1.46</v>
          </cell>
          <cell r="BD17">
            <v>1.59</v>
          </cell>
          <cell r="BE17">
            <v>1.87</v>
          </cell>
          <cell r="BF17">
            <v>2.02</v>
          </cell>
          <cell r="BG17">
            <v>1.97</v>
          </cell>
          <cell r="BH17">
            <v>2</v>
          </cell>
          <cell r="BI17">
            <v>2.2799999999999998</v>
          </cell>
          <cell r="BJ17">
            <v>2.83</v>
          </cell>
          <cell r="BK17">
            <v>3.11</v>
          </cell>
          <cell r="BL17">
            <v>2.16</v>
          </cell>
          <cell r="BM17">
            <v>2.06</v>
          </cell>
          <cell r="BN17">
            <v>1.76</v>
          </cell>
          <cell r="BO17">
            <v>2.0099999999999998</v>
          </cell>
          <cell r="BP17">
            <v>2.06</v>
          </cell>
          <cell r="BQ17">
            <v>2</v>
          </cell>
          <cell r="BR17">
            <v>1.75</v>
          </cell>
          <cell r="BS17">
            <v>1.86</v>
          </cell>
          <cell r="BT17">
            <v>1.81</v>
          </cell>
          <cell r="BU17">
            <v>1.55</v>
          </cell>
          <cell r="BV17">
            <v>1.67</v>
          </cell>
          <cell r="BW17">
            <v>1.88</v>
          </cell>
          <cell r="BX17">
            <v>1.96</v>
          </cell>
          <cell r="BY17">
            <v>1.72</v>
          </cell>
          <cell r="BZ17">
            <v>1.63</v>
          </cell>
          <cell r="CA17">
            <v>1.51</v>
          </cell>
          <cell r="CB17">
            <v>1.59</v>
          </cell>
          <cell r="CC17">
            <v>2.0299999999999998</v>
          </cell>
          <cell r="CD17">
            <v>1.96</v>
          </cell>
          <cell r="CE17">
            <v>2.0499999999999998</v>
          </cell>
          <cell r="CF17">
            <v>2.2599999999999998</v>
          </cell>
          <cell r="CG17">
            <v>2.63</v>
          </cell>
        </row>
        <row r="18">
          <cell r="A18" t="str">
            <v>FGT-Z1</v>
          </cell>
          <cell r="B18">
            <v>15</v>
          </cell>
          <cell r="C18">
            <v>2.36</v>
          </cell>
          <cell r="D18">
            <v>2.2000000000000002</v>
          </cell>
          <cell r="E18">
            <v>1.9</v>
          </cell>
          <cell r="F18">
            <v>1.59</v>
          </cell>
          <cell r="G18">
            <v>1.85</v>
          </cell>
          <cell r="H18">
            <v>2.15</v>
          </cell>
          <cell r="I18">
            <v>2.68</v>
          </cell>
          <cell r="J18">
            <v>2.13</v>
          </cell>
          <cell r="K18">
            <v>1.89</v>
          </cell>
          <cell r="L18">
            <v>2.0299999999999998</v>
          </cell>
          <cell r="M18">
            <v>2.34</v>
          </cell>
          <cell r="N18">
            <v>2</v>
          </cell>
          <cell r="O18">
            <v>2.0499999999999998</v>
          </cell>
          <cell r="P18">
            <v>2.2999999999999998</v>
          </cell>
          <cell r="Q18">
            <v>2.0299999999999998</v>
          </cell>
          <cell r="R18">
            <v>2.25</v>
          </cell>
          <cell r="S18">
            <v>2.2000000000000002</v>
          </cell>
          <cell r="T18">
            <v>1.88</v>
          </cell>
          <cell r="U18">
            <v>1.98</v>
          </cell>
          <cell r="V18">
            <v>1.74</v>
          </cell>
          <cell r="W18">
            <v>1.88</v>
          </cell>
          <cell r="X18">
            <v>1.71</v>
          </cell>
          <cell r="Y18">
            <v>1.54</v>
          </cell>
          <cell r="Z18">
            <v>1.36</v>
          </cell>
          <cell r="AA18">
            <v>1.57</v>
          </cell>
          <cell r="AB18">
            <v>1.61</v>
          </cell>
          <cell r="AC18">
            <v>1.54</v>
          </cell>
          <cell r="AD18">
            <v>1.34</v>
          </cell>
          <cell r="AE18">
            <v>1.36</v>
          </cell>
          <cell r="AF18">
            <v>1.49</v>
          </cell>
          <cell r="AG18">
            <v>1.6</v>
          </cell>
          <cell r="AH18">
            <v>1.65</v>
          </cell>
          <cell r="AI18">
            <v>1.44</v>
          </cell>
          <cell r="AJ18">
            <v>1.31</v>
          </cell>
          <cell r="AK18">
            <v>1.48</v>
          </cell>
          <cell r="AL18">
            <v>1.56</v>
          </cell>
          <cell r="AM18">
            <v>1.7</v>
          </cell>
          <cell r="AN18">
            <v>2.1</v>
          </cell>
          <cell r="AO18">
            <v>2.1800000000000002</v>
          </cell>
          <cell r="AP18">
            <v>1.87</v>
          </cell>
          <cell r="AQ18">
            <v>2.0299999999999998</v>
          </cell>
          <cell r="AR18">
            <v>2.2599999999999998</v>
          </cell>
          <cell r="AS18">
            <v>2.15</v>
          </cell>
          <cell r="AT18">
            <v>2.25</v>
          </cell>
          <cell r="AU18">
            <v>2.5299999999999998</v>
          </cell>
          <cell r="AV18">
            <v>2.25</v>
          </cell>
          <cell r="AW18">
            <v>1.75</v>
          </cell>
          <cell r="AX18">
            <v>1.75</v>
          </cell>
          <cell r="AY18">
            <v>2.54</v>
          </cell>
          <cell r="AZ18">
            <v>3.72</v>
          </cell>
          <cell r="BA18">
            <v>3.98</v>
          </cell>
          <cell r="BB18">
            <v>2.8</v>
          </cell>
          <cell r="BC18">
            <v>1.69</v>
          </cell>
          <cell r="BD18">
            <v>1.74</v>
          </cell>
          <cell r="BE18">
            <v>2.06</v>
          </cell>
          <cell r="BF18">
            <v>2.21</v>
          </cell>
          <cell r="BG18">
            <v>2.12</v>
          </cell>
          <cell r="BH18">
            <v>2.14</v>
          </cell>
          <cell r="BI18">
            <v>2.5099999999999998</v>
          </cell>
          <cell r="BJ18">
            <v>3.1</v>
          </cell>
          <cell r="BK18">
            <v>3.2</v>
          </cell>
          <cell r="BL18">
            <v>2.4500000000000002</v>
          </cell>
          <cell r="BM18">
            <v>2.21</v>
          </cell>
          <cell r="BN18">
            <v>1.94</v>
          </cell>
          <cell r="BO18">
            <v>2.19</v>
          </cell>
          <cell r="BP18">
            <v>2.25</v>
          </cell>
          <cell r="BQ18">
            <v>2.2000000000000002</v>
          </cell>
          <cell r="BR18">
            <v>1.98</v>
          </cell>
          <cell r="BS18">
            <v>2.31</v>
          </cell>
          <cell r="BT18">
            <v>1.86</v>
          </cell>
          <cell r="BU18">
            <v>1.57</v>
          </cell>
          <cell r="BV18">
            <v>1.98</v>
          </cell>
          <cell r="BW18">
            <v>1.92</v>
          </cell>
          <cell r="BX18">
            <v>2.0699999999999998</v>
          </cell>
          <cell r="BY18">
            <v>1.73</v>
          </cell>
          <cell r="BZ18">
            <v>1.74</v>
          </cell>
          <cell r="CA18">
            <v>1.59</v>
          </cell>
          <cell r="CB18">
            <v>1.84</v>
          </cell>
          <cell r="CC18">
            <v>2.2999999999999998</v>
          </cell>
          <cell r="CD18">
            <v>2.2000000000000002</v>
          </cell>
          <cell r="CE18">
            <v>2.2400000000000002</v>
          </cell>
          <cell r="CF18">
            <v>2.57</v>
          </cell>
          <cell r="CG18">
            <v>2.86</v>
          </cell>
        </row>
        <row r="19">
          <cell r="A19" t="str">
            <v>FGT-Z2</v>
          </cell>
          <cell r="B19">
            <v>16</v>
          </cell>
          <cell r="C19">
            <v>2.4</v>
          </cell>
          <cell r="D19">
            <v>2.25</v>
          </cell>
          <cell r="E19">
            <v>2.02</v>
          </cell>
          <cell r="F19">
            <v>1.64</v>
          </cell>
          <cell r="G19">
            <v>1.88</v>
          </cell>
          <cell r="H19">
            <v>2.2200000000000002</v>
          </cell>
          <cell r="I19">
            <v>2.73</v>
          </cell>
          <cell r="J19">
            <v>2.15</v>
          </cell>
          <cell r="K19">
            <v>1.95</v>
          </cell>
          <cell r="L19">
            <v>2.0699999999999998</v>
          </cell>
          <cell r="M19">
            <v>2.37</v>
          </cell>
          <cell r="N19">
            <v>2.0499999999999998</v>
          </cell>
          <cell r="O19">
            <v>2.11</v>
          </cell>
          <cell r="P19">
            <v>2.35</v>
          </cell>
          <cell r="Q19">
            <v>2.08</v>
          </cell>
          <cell r="R19">
            <v>2.34</v>
          </cell>
          <cell r="S19">
            <v>2.33</v>
          </cell>
          <cell r="T19">
            <v>1.93</v>
          </cell>
          <cell r="U19">
            <v>2.0499999999999998</v>
          </cell>
          <cell r="V19">
            <v>1.83</v>
          </cell>
          <cell r="W19">
            <v>1.94</v>
          </cell>
          <cell r="X19">
            <v>1.78</v>
          </cell>
          <cell r="Y19">
            <v>1.47</v>
          </cell>
          <cell r="Z19">
            <v>1.41</v>
          </cell>
          <cell r="AA19">
            <v>1.68</v>
          </cell>
          <cell r="AB19">
            <v>1.67</v>
          </cell>
          <cell r="AC19">
            <v>1.58</v>
          </cell>
          <cell r="AD19">
            <v>1.4</v>
          </cell>
          <cell r="AE19">
            <v>1.43</v>
          </cell>
          <cell r="AF19">
            <v>1.54</v>
          </cell>
          <cell r="AG19">
            <v>1.66</v>
          </cell>
          <cell r="AH19">
            <v>1.71</v>
          </cell>
          <cell r="AI19">
            <v>1.5</v>
          </cell>
          <cell r="AJ19">
            <v>1.37</v>
          </cell>
          <cell r="AK19">
            <v>1.54</v>
          </cell>
          <cell r="AL19">
            <v>1.62</v>
          </cell>
          <cell r="AM19">
            <v>1.76</v>
          </cell>
          <cell r="AN19">
            <v>2.23</v>
          </cell>
          <cell r="AO19">
            <v>3.4</v>
          </cell>
          <cell r="AP19">
            <v>2.35</v>
          </cell>
          <cell r="AQ19">
            <v>2.85</v>
          </cell>
          <cell r="AR19">
            <v>2.69</v>
          </cell>
          <cell r="AS19">
            <v>2.21</v>
          </cell>
          <cell r="AT19">
            <v>2.34</v>
          </cell>
          <cell r="AU19">
            <v>2.62</v>
          </cell>
          <cell r="AV19">
            <v>2.3199999999999998</v>
          </cell>
          <cell r="AW19">
            <v>1.81</v>
          </cell>
          <cell r="AX19">
            <v>1.82</v>
          </cell>
          <cell r="AY19">
            <v>2.56</v>
          </cell>
          <cell r="AZ19">
            <v>3.85</v>
          </cell>
          <cell r="BA19">
            <v>4.0999999999999996</v>
          </cell>
          <cell r="BB19">
            <v>2.92</v>
          </cell>
          <cell r="BC19">
            <v>1.84</v>
          </cell>
          <cell r="BD19">
            <v>1.81</v>
          </cell>
          <cell r="BE19">
            <v>2.13</v>
          </cell>
          <cell r="BF19">
            <v>2.2999999999999998</v>
          </cell>
          <cell r="BG19">
            <v>2.17</v>
          </cell>
          <cell r="BH19">
            <v>2.1800000000000002</v>
          </cell>
          <cell r="BI19">
            <v>2.54</v>
          </cell>
          <cell r="BJ19">
            <v>3.13</v>
          </cell>
          <cell r="BK19">
            <v>3.26</v>
          </cell>
          <cell r="BL19">
            <v>2.5499999999999998</v>
          </cell>
          <cell r="BM19">
            <v>2.2799999999999998</v>
          </cell>
          <cell r="BN19">
            <v>2.02</v>
          </cell>
          <cell r="BO19">
            <v>2.25</v>
          </cell>
          <cell r="BP19">
            <v>2.29</v>
          </cell>
          <cell r="BQ19">
            <v>2.25</v>
          </cell>
          <cell r="BR19">
            <v>2.0299999999999998</v>
          </cell>
          <cell r="BS19">
            <v>2.36</v>
          </cell>
          <cell r="BT19">
            <v>1.92</v>
          </cell>
          <cell r="BU19">
            <v>1.61</v>
          </cell>
          <cell r="BV19">
            <v>2.0299999999999998</v>
          </cell>
          <cell r="BW19">
            <v>1.99</v>
          </cell>
          <cell r="BX19">
            <v>2.12</v>
          </cell>
          <cell r="BY19">
            <v>1.78</v>
          </cell>
          <cell r="BZ19">
            <v>1.77</v>
          </cell>
          <cell r="CA19">
            <v>1.63</v>
          </cell>
          <cell r="CB19">
            <v>1.88</v>
          </cell>
          <cell r="CC19">
            <v>2.35</v>
          </cell>
          <cell r="CD19">
            <v>2.23</v>
          </cell>
          <cell r="CE19">
            <v>2.27</v>
          </cell>
          <cell r="CF19">
            <v>2.61</v>
          </cell>
          <cell r="CG19">
            <v>2.9</v>
          </cell>
        </row>
        <row r="20">
          <cell r="A20" t="str">
            <v>FGT-Z3</v>
          </cell>
          <cell r="B20">
            <v>17</v>
          </cell>
          <cell r="C20">
            <v>2.4700000000000002</v>
          </cell>
          <cell r="D20">
            <v>2.36</v>
          </cell>
          <cell r="E20">
            <v>2.0699999999999998</v>
          </cell>
          <cell r="F20">
            <v>1.65</v>
          </cell>
          <cell r="G20">
            <v>1.94</v>
          </cell>
          <cell r="H20">
            <v>2.2200000000000002</v>
          </cell>
          <cell r="I20">
            <v>2.8</v>
          </cell>
          <cell r="J20">
            <v>2.1800000000000002</v>
          </cell>
          <cell r="K20">
            <v>1.98</v>
          </cell>
          <cell r="L20">
            <v>2.11</v>
          </cell>
          <cell r="M20">
            <v>2.38</v>
          </cell>
          <cell r="N20">
            <v>2.1</v>
          </cell>
          <cell r="O20">
            <v>2.15</v>
          </cell>
          <cell r="P20">
            <v>2.41</v>
          </cell>
          <cell r="Q20">
            <v>2.13</v>
          </cell>
          <cell r="R20">
            <v>2.39</v>
          </cell>
          <cell r="S20">
            <v>2.39</v>
          </cell>
          <cell r="T20">
            <v>1.96</v>
          </cell>
          <cell r="U20">
            <v>2.1</v>
          </cell>
          <cell r="V20">
            <v>1.89</v>
          </cell>
          <cell r="W20">
            <v>1.98</v>
          </cell>
          <cell r="X20">
            <v>1.84</v>
          </cell>
          <cell r="Y20">
            <v>1.52</v>
          </cell>
          <cell r="Z20">
            <v>1.45</v>
          </cell>
          <cell r="AA20">
            <v>1.72</v>
          </cell>
          <cell r="AB20">
            <v>1.71</v>
          </cell>
          <cell r="AC20">
            <v>1.62</v>
          </cell>
          <cell r="AD20">
            <v>1.47</v>
          </cell>
          <cell r="AE20">
            <v>1.46</v>
          </cell>
          <cell r="AF20">
            <v>1.56</v>
          </cell>
          <cell r="AG20">
            <v>1.67</v>
          </cell>
          <cell r="AH20">
            <v>1.72</v>
          </cell>
          <cell r="AI20">
            <v>1.49</v>
          </cell>
          <cell r="AJ20">
            <v>1.37</v>
          </cell>
          <cell r="AK20">
            <v>1.55</v>
          </cell>
          <cell r="AL20">
            <v>1.62</v>
          </cell>
          <cell r="AM20">
            <v>1.76</v>
          </cell>
          <cell r="AN20">
            <v>2.2400000000000002</v>
          </cell>
          <cell r="AO20">
            <v>3.37</v>
          </cell>
          <cell r="AP20">
            <v>2.35</v>
          </cell>
          <cell r="AQ20">
            <v>2.82</v>
          </cell>
          <cell r="AR20">
            <v>2.69</v>
          </cell>
          <cell r="AS20">
            <v>2.2000000000000002</v>
          </cell>
          <cell r="AT20">
            <v>2.33</v>
          </cell>
          <cell r="AU20">
            <v>2.61</v>
          </cell>
          <cell r="AV20">
            <v>2.2999999999999998</v>
          </cell>
          <cell r="AW20">
            <v>1.79</v>
          </cell>
          <cell r="AX20">
            <v>1.8</v>
          </cell>
          <cell r="AY20">
            <v>2.6</v>
          </cell>
          <cell r="AZ20">
            <v>3.81</v>
          </cell>
          <cell r="BA20">
            <v>3.95</v>
          </cell>
          <cell r="BB20">
            <v>2.87</v>
          </cell>
          <cell r="BC20">
            <v>1.79</v>
          </cell>
          <cell r="BD20">
            <v>1.76</v>
          </cell>
          <cell r="BE20">
            <v>2.1</v>
          </cell>
          <cell r="BF20">
            <v>2.25</v>
          </cell>
          <cell r="BG20">
            <v>2.12</v>
          </cell>
          <cell r="BH20">
            <v>2.13</v>
          </cell>
          <cell r="BI20">
            <v>2.4700000000000002</v>
          </cell>
          <cell r="BJ20">
            <v>3.05</v>
          </cell>
          <cell r="BK20">
            <v>3.2</v>
          </cell>
          <cell r="BL20">
            <v>2.4900000000000002</v>
          </cell>
          <cell r="BM20">
            <v>2.23</v>
          </cell>
          <cell r="BN20">
            <v>1.96</v>
          </cell>
          <cell r="BO20">
            <v>2.19</v>
          </cell>
          <cell r="BP20">
            <v>2.27</v>
          </cell>
          <cell r="BQ20">
            <v>2.2200000000000002</v>
          </cell>
          <cell r="BR20">
            <v>1.98</v>
          </cell>
          <cell r="BS20">
            <v>2.29</v>
          </cell>
          <cell r="BT20">
            <v>1.86</v>
          </cell>
          <cell r="BU20">
            <v>1.57</v>
          </cell>
          <cell r="BV20">
            <v>1.97</v>
          </cell>
          <cell r="BW20">
            <v>1.91</v>
          </cell>
          <cell r="BX20">
            <v>2.0699999999999998</v>
          </cell>
          <cell r="BY20">
            <v>1.73</v>
          </cell>
          <cell r="BZ20">
            <v>1.74</v>
          </cell>
          <cell r="CA20">
            <v>1.6</v>
          </cell>
          <cell r="CB20">
            <v>1.85</v>
          </cell>
          <cell r="CC20">
            <v>2.2999999999999998</v>
          </cell>
          <cell r="CD20">
            <v>2.21</v>
          </cell>
          <cell r="CE20">
            <v>2.2400000000000002</v>
          </cell>
          <cell r="CF20">
            <v>2.57</v>
          </cell>
          <cell r="CG20">
            <v>2.86</v>
          </cell>
        </row>
        <row r="21">
          <cell r="A21" t="str">
            <v>HSC</v>
          </cell>
          <cell r="B21">
            <v>18</v>
          </cell>
          <cell r="C21">
            <v>2.2400000000000002</v>
          </cell>
          <cell r="D21">
            <v>2.1800000000000002</v>
          </cell>
          <cell r="E21">
            <v>1.98</v>
          </cell>
          <cell r="F21">
            <v>1.64</v>
          </cell>
          <cell r="G21">
            <v>1.93</v>
          </cell>
          <cell r="H21">
            <v>2.23</v>
          </cell>
          <cell r="I21">
            <v>2.6</v>
          </cell>
          <cell r="J21">
            <v>1.93</v>
          </cell>
          <cell r="K21">
            <v>1.97</v>
          </cell>
          <cell r="L21">
            <v>2.19</v>
          </cell>
          <cell r="M21">
            <v>2.36</v>
          </cell>
          <cell r="N21">
            <v>2.02</v>
          </cell>
          <cell r="O21">
            <v>2.12</v>
          </cell>
          <cell r="P21">
            <v>2.4</v>
          </cell>
          <cell r="Q21">
            <v>2.04</v>
          </cell>
          <cell r="R21">
            <v>2.19</v>
          </cell>
          <cell r="S21">
            <v>2.2599999999999998</v>
          </cell>
          <cell r="T21">
            <v>1.98</v>
          </cell>
          <cell r="U21">
            <v>2.0499999999999998</v>
          </cell>
          <cell r="V21">
            <v>1.77</v>
          </cell>
          <cell r="W21">
            <v>1.98</v>
          </cell>
          <cell r="X21">
            <v>1.78</v>
          </cell>
          <cell r="Y21">
            <v>1.5</v>
          </cell>
          <cell r="Z21">
            <v>1.39</v>
          </cell>
          <cell r="AA21">
            <v>1.66</v>
          </cell>
          <cell r="AB21">
            <v>1.67</v>
          </cell>
          <cell r="AC21">
            <v>1.56</v>
          </cell>
          <cell r="AD21">
            <v>1.36</v>
          </cell>
          <cell r="AE21">
            <v>1.39</v>
          </cell>
          <cell r="AF21">
            <v>1.52</v>
          </cell>
          <cell r="AG21">
            <v>1.63</v>
          </cell>
          <cell r="AH21">
            <v>1.67</v>
          </cell>
          <cell r="AI21">
            <v>1.48</v>
          </cell>
          <cell r="AJ21">
            <v>1.37</v>
          </cell>
          <cell r="AK21">
            <v>1.54</v>
          </cell>
          <cell r="AL21">
            <v>1.6</v>
          </cell>
          <cell r="AM21">
            <v>1.73</v>
          </cell>
          <cell r="AN21">
            <v>2.08</v>
          </cell>
          <cell r="AO21">
            <v>2.17</v>
          </cell>
          <cell r="AP21">
            <v>1.86</v>
          </cell>
          <cell r="AQ21">
            <v>1.99</v>
          </cell>
          <cell r="AR21">
            <v>2.29</v>
          </cell>
          <cell r="AS21">
            <v>2.19</v>
          </cell>
          <cell r="AT21">
            <v>2.31</v>
          </cell>
          <cell r="AU21">
            <v>2.58</v>
          </cell>
          <cell r="AV21">
            <v>2.2999999999999998</v>
          </cell>
          <cell r="AW21">
            <v>1.85</v>
          </cell>
          <cell r="AX21">
            <v>1.83</v>
          </cell>
          <cell r="AY21">
            <v>2.61</v>
          </cell>
          <cell r="AZ21">
            <v>3.7</v>
          </cell>
          <cell r="BA21">
            <v>3.9</v>
          </cell>
          <cell r="BB21">
            <v>2.82</v>
          </cell>
          <cell r="BC21">
            <v>1.74</v>
          </cell>
          <cell r="BD21">
            <v>1.81</v>
          </cell>
          <cell r="BE21">
            <v>2.09</v>
          </cell>
          <cell r="BF21">
            <v>2.29</v>
          </cell>
          <cell r="BG21">
            <v>2.16</v>
          </cell>
          <cell r="BH21">
            <v>2.1800000000000002</v>
          </cell>
          <cell r="BI21">
            <v>2.5</v>
          </cell>
          <cell r="BJ21">
            <v>3.11</v>
          </cell>
          <cell r="BK21">
            <v>3.27</v>
          </cell>
          <cell r="BL21">
            <v>2.4500000000000002</v>
          </cell>
          <cell r="BM21">
            <v>2.2200000000000002</v>
          </cell>
          <cell r="BN21">
            <v>2.0099999999999998</v>
          </cell>
          <cell r="BO21">
            <v>2.23</v>
          </cell>
          <cell r="BP21">
            <v>2.29</v>
          </cell>
          <cell r="BQ21">
            <v>2.27</v>
          </cell>
          <cell r="BR21">
            <v>2.0499999999999998</v>
          </cell>
          <cell r="BS21">
            <v>2.38</v>
          </cell>
          <cell r="BT21">
            <v>1.96</v>
          </cell>
          <cell r="BU21">
            <v>1.66</v>
          </cell>
          <cell r="BV21">
            <v>2.04</v>
          </cell>
          <cell r="BW21">
            <v>1.99</v>
          </cell>
          <cell r="BX21">
            <v>2.08</v>
          </cell>
          <cell r="BY21">
            <v>1.78</v>
          </cell>
          <cell r="BZ21">
            <v>1.78</v>
          </cell>
          <cell r="CA21">
            <v>1.65</v>
          </cell>
          <cell r="CB21">
            <v>1.86</v>
          </cell>
          <cell r="CC21">
            <v>2.35</v>
          </cell>
          <cell r="CD21">
            <v>2.2400000000000002</v>
          </cell>
          <cell r="CE21">
            <v>2.2799999999999998</v>
          </cell>
          <cell r="CF21">
            <v>2.62</v>
          </cell>
          <cell r="CG21">
            <v>2.91</v>
          </cell>
        </row>
        <row r="22">
          <cell r="A22" t="str">
            <v>HUB</v>
          </cell>
          <cell r="B22">
            <v>19</v>
          </cell>
          <cell r="C22">
            <v>2.2999999999999998</v>
          </cell>
          <cell r="D22">
            <v>2.2999999999999998</v>
          </cell>
          <cell r="E22">
            <v>1.95</v>
          </cell>
          <cell r="F22">
            <v>1.62</v>
          </cell>
          <cell r="G22">
            <v>1.89</v>
          </cell>
          <cell r="H22">
            <v>2.23</v>
          </cell>
          <cell r="I22">
            <v>2.69</v>
          </cell>
          <cell r="J22">
            <v>1.98</v>
          </cell>
          <cell r="K22">
            <v>1.92</v>
          </cell>
          <cell r="L22">
            <v>2.11</v>
          </cell>
          <cell r="M22">
            <v>2.37</v>
          </cell>
          <cell r="N22">
            <v>2.0099999999999998</v>
          </cell>
          <cell r="O22">
            <v>2.12</v>
          </cell>
          <cell r="P22">
            <v>2.4</v>
          </cell>
          <cell r="Q22">
            <v>2.02</v>
          </cell>
          <cell r="R22">
            <v>2.39</v>
          </cell>
          <cell r="S22">
            <v>2.38</v>
          </cell>
          <cell r="T22">
            <v>1.98</v>
          </cell>
          <cell r="U22">
            <v>2.06</v>
          </cell>
          <cell r="V22">
            <v>1.82</v>
          </cell>
          <cell r="W22">
            <v>1.97</v>
          </cell>
          <cell r="X22">
            <v>1.8</v>
          </cell>
          <cell r="Y22">
            <v>1.48</v>
          </cell>
          <cell r="Z22">
            <v>1.41</v>
          </cell>
          <cell r="AA22">
            <v>1.69</v>
          </cell>
          <cell r="AB22">
            <v>1.69</v>
          </cell>
          <cell r="AC22">
            <v>1.62</v>
          </cell>
          <cell r="AD22">
            <v>1.42</v>
          </cell>
          <cell r="AE22">
            <v>1.44</v>
          </cell>
          <cell r="AF22">
            <v>1.57</v>
          </cell>
          <cell r="AG22">
            <v>1.68</v>
          </cell>
          <cell r="AH22">
            <v>1.75</v>
          </cell>
          <cell r="AI22">
            <v>1.51</v>
          </cell>
          <cell r="AJ22">
            <v>1.38</v>
          </cell>
          <cell r="AK22">
            <v>1.58</v>
          </cell>
          <cell r="AL22">
            <v>1.65</v>
          </cell>
          <cell r="AM22">
            <v>1.78</v>
          </cell>
          <cell r="AN22">
            <v>2.2599999999999998</v>
          </cell>
          <cell r="AO22">
            <v>3.42</v>
          </cell>
          <cell r="AP22">
            <v>2.4</v>
          </cell>
          <cell r="AQ22">
            <v>2.94</v>
          </cell>
          <cell r="AR22">
            <v>2.7</v>
          </cell>
          <cell r="AS22">
            <v>2.21</v>
          </cell>
          <cell r="AT22">
            <v>2.38</v>
          </cell>
          <cell r="AU22">
            <v>2.66</v>
          </cell>
          <cell r="AV22">
            <v>2.2999999999999998</v>
          </cell>
          <cell r="AW22">
            <v>1.83</v>
          </cell>
          <cell r="AX22">
            <v>1.85</v>
          </cell>
          <cell r="AY22">
            <v>2.72</v>
          </cell>
          <cell r="AZ22">
            <v>3.9</v>
          </cell>
          <cell r="BA22">
            <v>4.09</v>
          </cell>
          <cell r="BB22">
            <v>2.96</v>
          </cell>
          <cell r="BC22">
            <v>1.78</v>
          </cell>
          <cell r="BD22">
            <v>1.85</v>
          </cell>
          <cell r="BE22">
            <v>2.15</v>
          </cell>
          <cell r="BF22">
            <v>2.31</v>
          </cell>
          <cell r="BG22">
            <v>2.16</v>
          </cell>
          <cell r="BH22">
            <v>2.19</v>
          </cell>
          <cell r="BI22">
            <v>2.57</v>
          </cell>
          <cell r="BJ22">
            <v>3.16</v>
          </cell>
          <cell r="BK22">
            <v>3.3</v>
          </cell>
          <cell r="BL22">
            <v>2.5499999999999998</v>
          </cell>
          <cell r="BM22">
            <v>2.27</v>
          </cell>
          <cell r="BN22">
            <v>2.04</v>
          </cell>
          <cell r="BO22">
            <v>2.2599999999999998</v>
          </cell>
          <cell r="BP22">
            <v>2.3199999999999998</v>
          </cell>
          <cell r="BQ22">
            <v>2.27</v>
          </cell>
          <cell r="BR22">
            <v>2.0299999999999998</v>
          </cell>
          <cell r="BS22">
            <v>2.37</v>
          </cell>
          <cell r="BT22">
            <v>1.93</v>
          </cell>
          <cell r="BU22">
            <v>1.63</v>
          </cell>
          <cell r="BV22">
            <v>2.0699999999999998</v>
          </cell>
          <cell r="BW22">
            <v>2</v>
          </cell>
          <cell r="BX22">
            <v>2.12</v>
          </cell>
          <cell r="BY22">
            <v>1.8</v>
          </cell>
          <cell r="BZ22">
            <v>1.81</v>
          </cell>
          <cell r="CA22">
            <v>1.64</v>
          </cell>
          <cell r="CB22">
            <v>1.88</v>
          </cell>
          <cell r="CC22">
            <v>2.35</v>
          </cell>
          <cell r="CD22">
            <v>2.23</v>
          </cell>
          <cell r="CE22">
            <v>2.2799999999999998</v>
          </cell>
          <cell r="CF22">
            <v>2.62</v>
          </cell>
          <cell r="CG22">
            <v>2.9</v>
          </cell>
        </row>
        <row r="23">
          <cell r="A23" t="str">
            <v>KERN</v>
          </cell>
          <cell r="B23">
            <v>20</v>
          </cell>
          <cell r="C23">
            <v>1.85</v>
          </cell>
          <cell r="D23">
            <v>1.9</v>
          </cell>
          <cell r="E23">
            <v>2.3199999999999998</v>
          </cell>
          <cell r="F23">
            <v>1.6</v>
          </cell>
          <cell r="G23">
            <v>1.78</v>
          </cell>
          <cell r="H23">
            <v>1.82</v>
          </cell>
          <cell r="I23">
            <v>2.2999999999999998</v>
          </cell>
          <cell r="J23">
            <v>1.68</v>
          </cell>
          <cell r="K23">
            <v>1.64</v>
          </cell>
          <cell r="L23">
            <v>1.69</v>
          </cell>
          <cell r="M23">
            <v>1.96</v>
          </cell>
          <cell r="N23">
            <v>1.78</v>
          </cell>
          <cell r="O23">
            <v>1.8</v>
          </cell>
          <cell r="P23">
            <v>2.33</v>
          </cell>
          <cell r="Q23">
            <v>1.97</v>
          </cell>
          <cell r="R23">
            <v>1.78</v>
          </cell>
          <cell r="S23">
            <v>1.94</v>
          </cell>
          <cell r="T23">
            <v>1.63</v>
          </cell>
          <cell r="U23">
            <v>1.64</v>
          </cell>
          <cell r="V23">
            <v>1.38</v>
          </cell>
          <cell r="W23">
            <v>1.5</v>
          </cell>
          <cell r="X23">
            <v>1.46</v>
          </cell>
          <cell r="Y23">
            <v>1.36</v>
          </cell>
          <cell r="Z23">
            <v>1.18</v>
          </cell>
          <cell r="AA23">
            <v>1.5</v>
          </cell>
          <cell r="AB23">
            <v>1.63</v>
          </cell>
          <cell r="AC23">
            <v>1.39</v>
          </cell>
          <cell r="AD23">
            <v>1.07</v>
          </cell>
          <cell r="AE23">
            <v>1.07</v>
          </cell>
          <cell r="AF23">
            <v>1.06</v>
          </cell>
          <cell r="AG23">
            <v>1.07</v>
          </cell>
          <cell r="AH23">
            <v>1.1499999999999999</v>
          </cell>
          <cell r="AI23">
            <v>1</v>
          </cell>
          <cell r="AJ23">
            <v>0.84</v>
          </cell>
          <cell r="AK23">
            <v>0.95</v>
          </cell>
          <cell r="AL23">
            <v>1.04</v>
          </cell>
          <cell r="AM23">
            <v>1.25</v>
          </cell>
          <cell r="AN23">
            <v>1.31</v>
          </cell>
          <cell r="AO23">
            <v>1.27</v>
          </cell>
          <cell r="AP23">
            <v>1.17</v>
          </cell>
          <cell r="AQ23">
            <v>1.17</v>
          </cell>
          <cell r="AR23">
            <v>1.06</v>
          </cell>
          <cell r="AS23">
            <v>1.06</v>
          </cell>
          <cell r="AT23">
            <v>1.07</v>
          </cell>
          <cell r="AU23">
            <v>1.19</v>
          </cell>
          <cell r="AV23">
            <v>1.23</v>
          </cell>
          <cell r="AW23">
            <v>1.2</v>
          </cell>
          <cell r="AX23">
            <v>1.26</v>
          </cell>
          <cell r="AY23">
            <v>2.23</v>
          </cell>
          <cell r="AZ23">
            <v>3.48</v>
          </cell>
          <cell r="BA23">
            <v>4.2300000000000004</v>
          </cell>
          <cell r="BB23">
            <v>2.5</v>
          </cell>
          <cell r="BC23">
            <v>1.39</v>
          </cell>
          <cell r="BD23">
            <v>1.44</v>
          </cell>
          <cell r="BE23">
            <v>1.64</v>
          </cell>
          <cell r="BF23">
            <v>1.47</v>
          </cell>
          <cell r="BG23">
            <v>1.43</v>
          </cell>
          <cell r="BH23">
            <v>1.37</v>
          </cell>
          <cell r="BI23">
            <v>1.48</v>
          </cell>
          <cell r="BJ23">
            <v>2.09</v>
          </cell>
          <cell r="BK23">
            <v>3</v>
          </cell>
          <cell r="BL23">
            <v>1.93</v>
          </cell>
          <cell r="BM23">
            <v>2.04</v>
          </cell>
          <cell r="BN23">
            <v>1.69</v>
          </cell>
          <cell r="BO23">
            <v>1.88</v>
          </cell>
          <cell r="BP23">
            <v>1.9</v>
          </cell>
          <cell r="BQ23">
            <v>1.97</v>
          </cell>
          <cell r="BR23">
            <v>1.65</v>
          </cell>
          <cell r="BS23">
            <v>1.62</v>
          </cell>
          <cell r="BT23">
            <v>1.73</v>
          </cell>
          <cell r="BU23">
            <v>1.59</v>
          </cell>
          <cell r="BV23">
            <v>1.64</v>
          </cell>
          <cell r="BW23">
            <v>2.0099999999999998</v>
          </cell>
          <cell r="BX23">
            <v>2</v>
          </cell>
          <cell r="BY23">
            <v>1.8</v>
          </cell>
          <cell r="BZ23">
            <v>1.64</v>
          </cell>
          <cell r="CA23">
            <v>1.51</v>
          </cell>
          <cell r="CB23">
            <v>1.54</v>
          </cell>
          <cell r="CC23">
            <v>1.99</v>
          </cell>
          <cell r="CD23">
            <v>1.94</v>
          </cell>
          <cell r="CE23">
            <v>2</v>
          </cell>
          <cell r="CF23">
            <v>2.1800000000000002</v>
          </cell>
          <cell r="CG23">
            <v>2.56</v>
          </cell>
        </row>
        <row r="24">
          <cell r="A24" t="str">
            <v>KRS (SOCAL)-NGI</v>
          </cell>
          <cell r="B24">
            <v>21</v>
          </cell>
          <cell r="AD24">
            <v>1.23</v>
          </cell>
          <cell r="AE24">
            <v>1.21</v>
          </cell>
          <cell r="AF24">
            <v>1.23</v>
          </cell>
          <cell r="AG24">
            <v>1.32</v>
          </cell>
          <cell r="AH24">
            <v>1.32</v>
          </cell>
          <cell r="AI24">
            <v>1.24</v>
          </cell>
          <cell r="AJ24">
            <v>1.23</v>
          </cell>
          <cell r="AK24">
            <v>1.44</v>
          </cell>
          <cell r="AL24">
            <v>1.46</v>
          </cell>
          <cell r="AM24">
            <v>1.56</v>
          </cell>
          <cell r="AN24">
            <v>1.62</v>
          </cell>
          <cell r="AO24">
            <v>1.49</v>
          </cell>
          <cell r="AP24">
            <v>1.42</v>
          </cell>
          <cell r="AQ24">
            <v>1.39</v>
          </cell>
          <cell r="AR24">
            <v>1.28</v>
          </cell>
          <cell r="AS24">
            <v>1.28</v>
          </cell>
          <cell r="AT24">
            <v>1.37</v>
          </cell>
          <cell r="AU24">
            <v>1.68</v>
          </cell>
          <cell r="AV24">
            <v>2.15</v>
          </cell>
          <cell r="AW24">
            <v>1.71</v>
          </cell>
          <cell r="AX24">
            <v>1.72</v>
          </cell>
          <cell r="AY24">
            <v>2.61</v>
          </cell>
          <cell r="AZ24">
            <v>3.68</v>
          </cell>
          <cell r="BA24">
            <v>4.25</v>
          </cell>
          <cell r="BB24">
            <v>2.64</v>
          </cell>
          <cell r="BC24">
            <v>1.6</v>
          </cell>
          <cell r="BD24">
            <v>1.72</v>
          </cell>
          <cell r="BE24">
            <v>2.0299999999999998</v>
          </cell>
          <cell r="BF24">
            <v>2.1800000000000002</v>
          </cell>
          <cell r="BG24">
            <v>2.17</v>
          </cell>
          <cell r="BH24">
            <v>2.19</v>
          </cell>
          <cell r="BI24">
            <v>2.4900000000000002</v>
          </cell>
          <cell r="BJ24">
            <v>3.04</v>
          </cell>
          <cell r="BK24">
            <v>3.27</v>
          </cell>
          <cell r="BL24">
            <v>2.3199999999999998</v>
          </cell>
          <cell r="BM24">
            <v>2.2799999999999998</v>
          </cell>
          <cell r="BN24">
            <v>2.1</v>
          </cell>
        </row>
        <row r="25">
          <cell r="A25" t="str">
            <v>KOCH-LA</v>
          </cell>
          <cell r="B25">
            <v>22</v>
          </cell>
          <cell r="C25">
            <v>2.2200000000000002</v>
          </cell>
          <cell r="D25">
            <v>2.15</v>
          </cell>
          <cell r="E25">
            <v>1.85</v>
          </cell>
          <cell r="F25">
            <v>1.54</v>
          </cell>
          <cell r="G25">
            <v>1.85</v>
          </cell>
          <cell r="H25">
            <v>2.1</v>
          </cell>
          <cell r="I25">
            <v>2.56</v>
          </cell>
          <cell r="J25">
            <v>1.92</v>
          </cell>
          <cell r="K25">
            <v>1.85</v>
          </cell>
          <cell r="L25">
            <v>2.04</v>
          </cell>
          <cell r="M25">
            <v>2.27</v>
          </cell>
          <cell r="N25">
            <v>1.9</v>
          </cell>
          <cell r="O25">
            <v>1.98</v>
          </cell>
          <cell r="P25">
            <v>2.2999999999999998</v>
          </cell>
          <cell r="Q25">
            <v>1.92</v>
          </cell>
          <cell r="R25">
            <v>2.14</v>
          </cell>
          <cell r="S25">
            <v>2.19</v>
          </cell>
          <cell r="T25">
            <v>1.89</v>
          </cell>
          <cell r="U25">
            <v>1.94</v>
          </cell>
          <cell r="V25">
            <v>1.7</v>
          </cell>
          <cell r="W25">
            <v>1.85</v>
          </cell>
          <cell r="X25">
            <v>1.68</v>
          </cell>
          <cell r="Y25">
            <v>1.39</v>
          </cell>
          <cell r="Z25">
            <v>1.31</v>
          </cell>
          <cell r="AA25">
            <v>1.57</v>
          </cell>
          <cell r="AB25">
            <v>1.58</v>
          </cell>
          <cell r="AC25">
            <v>1.52</v>
          </cell>
          <cell r="AD25">
            <v>1.36</v>
          </cell>
          <cell r="AE25">
            <v>1.35</v>
          </cell>
          <cell r="AF25">
            <v>1.46</v>
          </cell>
          <cell r="AG25">
            <v>1.57</v>
          </cell>
          <cell r="AH25">
            <v>1.62</v>
          </cell>
          <cell r="AI25">
            <v>1.43</v>
          </cell>
          <cell r="AJ25">
            <v>1.28</v>
          </cell>
          <cell r="AK25">
            <v>1.48</v>
          </cell>
          <cell r="AL25">
            <v>1.56</v>
          </cell>
          <cell r="AM25">
            <v>1.69</v>
          </cell>
          <cell r="AN25">
            <v>2.12</v>
          </cell>
          <cell r="AO25">
            <v>2.52</v>
          </cell>
          <cell r="AP25">
            <v>2.11</v>
          </cell>
          <cell r="AQ25">
            <v>2.57</v>
          </cell>
          <cell r="AR25">
            <v>2.4500000000000002</v>
          </cell>
          <cell r="AS25">
            <v>2.1</v>
          </cell>
          <cell r="AT25">
            <v>2.2200000000000002</v>
          </cell>
          <cell r="AU25">
            <v>2.52</v>
          </cell>
          <cell r="AV25">
            <v>2.23</v>
          </cell>
          <cell r="AW25">
            <v>1.7</v>
          </cell>
          <cell r="AX25">
            <v>1.74</v>
          </cell>
          <cell r="AY25">
            <v>2.6</v>
          </cell>
          <cell r="AZ25">
            <v>3.82</v>
          </cell>
          <cell r="BA25">
            <v>3.85</v>
          </cell>
          <cell r="BB25">
            <v>2.85</v>
          </cell>
          <cell r="BC25">
            <v>1.72</v>
          </cell>
          <cell r="BD25">
            <v>1.77</v>
          </cell>
          <cell r="BE25">
            <v>2.0099999999999998</v>
          </cell>
          <cell r="BF25">
            <v>2.2599999999999998</v>
          </cell>
          <cell r="BG25">
            <v>2.09</v>
          </cell>
          <cell r="BH25">
            <v>2.12</v>
          </cell>
          <cell r="BI25">
            <v>2.4700000000000002</v>
          </cell>
          <cell r="BJ25">
            <v>3.03</v>
          </cell>
          <cell r="BK25">
            <v>3.2</v>
          </cell>
          <cell r="BL25">
            <v>2.4700000000000002</v>
          </cell>
          <cell r="BM25">
            <v>2.17</v>
          </cell>
          <cell r="BN25">
            <v>1.92</v>
          </cell>
          <cell r="BO25">
            <v>2.15</v>
          </cell>
          <cell r="BP25">
            <v>2.2200000000000002</v>
          </cell>
          <cell r="BQ25">
            <v>2.17</v>
          </cell>
          <cell r="BR25">
            <v>1.94</v>
          </cell>
          <cell r="BS25">
            <v>2.2599999999999998</v>
          </cell>
          <cell r="BT25">
            <v>1.85</v>
          </cell>
          <cell r="BU25">
            <v>1.54</v>
          </cell>
          <cell r="BV25">
            <v>1.95</v>
          </cell>
          <cell r="BW25">
            <v>1.89</v>
          </cell>
          <cell r="BX25">
            <v>2.0099999999999998</v>
          </cell>
          <cell r="BY25">
            <v>1.65</v>
          </cell>
          <cell r="BZ25">
            <v>1.7</v>
          </cell>
          <cell r="CA25">
            <v>1.52</v>
          </cell>
          <cell r="CB25">
            <v>1.76</v>
          </cell>
          <cell r="CC25">
            <v>2.2400000000000002</v>
          </cell>
          <cell r="CD25">
            <v>2.11</v>
          </cell>
          <cell r="CE25">
            <v>2.16</v>
          </cell>
          <cell r="CF25">
            <v>2.4900000000000002</v>
          </cell>
          <cell r="CG25">
            <v>2.78</v>
          </cell>
        </row>
        <row r="26">
          <cell r="A26" t="str">
            <v>KOCH-TX</v>
          </cell>
          <cell r="B26">
            <v>23</v>
          </cell>
          <cell r="C26">
            <v>2.17</v>
          </cell>
          <cell r="D26">
            <v>2.1</v>
          </cell>
          <cell r="E26">
            <v>1.82</v>
          </cell>
          <cell r="F26">
            <v>1.53</v>
          </cell>
          <cell r="G26">
            <v>1.78</v>
          </cell>
          <cell r="H26">
            <v>2.1</v>
          </cell>
          <cell r="I26">
            <v>2.56</v>
          </cell>
          <cell r="J26">
            <v>1.89</v>
          </cell>
          <cell r="K26">
            <v>1.85</v>
          </cell>
          <cell r="L26">
            <v>2</v>
          </cell>
          <cell r="M26">
            <v>2.25</v>
          </cell>
          <cell r="N26">
            <v>1.88</v>
          </cell>
          <cell r="O26">
            <v>1.95</v>
          </cell>
          <cell r="P26">
            <v>2.2599999999999998</v>
          </cell>
          <cell r="Q26">
            <v>1.87</v>
          </cell>
          <cell r="R26">
            <v>2.1</v>
          </cell>
          <cell r="S26">
            <v>2.09</v>
          </cell>
          <cell r="T26">
            <v>1.83</v>
          </cell>
          <cell r="U26">
            <v>1.9</v>
          </cell>
          <cell r="V26">
            <v>1.65</v>
          </cell>
          <cell r="W26">
            <v>1.8</v>
          </cell>
          <cell r="X26">
            <v>1.64</v>
          </cell>
          <cell r="Y26">
            <v>1.37</v>
          </cell>
          <cell r="Z26">
            <v>1.3</v>
          </cell>
          <cell r="AA26">
            <v>1.53</v>
          </cell>
          <cell r="AB26">
            <v>1.54</v>
          </cell>
          <cell r="AC26">
            <v>1.46</v>
          </cell>
          <cell r="AD26">
            <v>1.27</v>
          </cell>
          <cell r="AE26">
            <v>1.3</v>
          </cell>
          <cell r="AF26">
            <v>1.44</v>
          </cell>
          <cell r="AG26">
            <v>1.52</v>
          </cell>
          <cell r="AH26">
            <v>1.58</v>
          </cell>
          <cell r="AI26">
            <v>1.37</v>
          </cell>
          <cell r="AJ26">
            <v>1.26</v>
          </cell>
          <cell r="AK26">
            <v>1.44</v>
          </cell>
          <cell r="AL26">
            <v>1.53</v>
          </cell>
          <cell r="AM26">
            <v>1.65</v>
          </cell>
          <cell r="AN26">
            <v>2.06</v>
          </cell>
          <cell r="AO26">
            <v>2.06</v>
          </cell>
          <cell r="AP26">
            <v>1.78</v>
          </cell>
          <cell r="AQ26">
            <v>1.92</v>
          </cell>
          <cell r="AR26">
            <v>2.2400000000000002</v>
          </cell>
          <cell r="AS26">
            <v>2.0499999999999998</v>
          </cell>
          <cell r="AT26">
            <v>2.21</v>
          </cell>
          <cell r="AU26">
            <v>2.48</v>
          </cell>
          <cell r="AV26">
            <v>2.19</v>
          </cell>
          <cell r="AW26">
            <v>1.69</v>
          </cell>
          <cell r="AX26">
            <v>1.72</v>
          </cell>
          <cell r="AY26">
            <v>2.58</v>
          </cell>
          <cell r="AZ26">
            <v>3.59</v>
          </cell>
          <cell r="BA26">
            <v>3.6</v>
          </cell>
          <cell r="BB26">
            <v>2.64</v>
          </cell>
          <cell r="BC26">
            <v>1.63</v>
          </cell>
          <cell r="BD26">
            <v>1.68</v>
          </cell>
          <cell r="BE26">
            <v>2.0099999999999998</v>
          </cell>
          <cell r="BF26">
            <v>2.17</v>
          </cell>
          <cell r="BG26">
            <v>2.02</v>
          </cell>
          <cell r="BH26">
            <v>2.04</v>
          </cell>
          <cell r="BI26">
            <v>2.4</v>
          </cell>
          <cell r="BJ26">
            <v>2.88</v>
          </cell>
          <cell r="BK26">
            <v>3.04</v>
          </cell>
          <cell r="BL26">
            <v>2.25</v>
          </cell>
          <cell r="BM26">
            <v>2.04</v>
          </cell>
          <cell r="BN26">
            <v>1.82</v>
          </cell>
          <cell r="BO26">
            <v>2.0699999999999998</v>
          </cell>
          <cell r="BP26">
            <v>2.15</v>
          </cell>
          <cell r="BQ26">
            <v>2.09</v>
          </cell>
          <cell r="BR26">
            <v>1.89</v>
          </cell>
          <cell r="BS26">
            <v>2.2000000000000002</v>
          </cell>
          <cell r="BT26">
            <v>1.79</v>
          </cell>
          <cell r="BU26">
            <v>1.47</v>
          </cell>
          <cell r="BV26">
            <v>1.87</v>
          </cell>
          <cell r="BW26">
            <v>1.84</v>
          </cell>
          <cell r="BX26">
            <v>1.96</v>
          </cell>
          <cell r="BY26">
            <v>1.61</v>
          </cell>
          <cell r="BZ26">
            <v>1.63</v>
          </cell>
          <cell r="CA26">
            <v>1.47</v>
          </cell>
          <cell r="CB26">
            <v>1.7</v>
          </cell>
          <cell r="CC26">
            <v>2.1800000000000002</v>
          </cell>
          <cell r="CD26">
            <v>2.06</v>
          </cell>
          <cell r="CE26">
            <v>2.1</v>
          </cell>
          <cell r="CF26">
            <v>2.4500000000000002</v>
          </cell>
          <cell r="CG26">
            <v>2.73</v>
          </cell>
        </row>
        <row r="27">
          <cell r="A27" t="str">
            <v>MALIN-400</v>
          </cell>
          <cell r="B27">
            <v>24</v>
          </cell>
          <cell r="AA27">
            <v>1.63</v>
          </cell>
          <cell r="AB27">
            <v>1.76</v>
          </cell>
          <cell r="AC27">
            <v>1.37</v>
          </cell>
          <cell r="AD27">
            <v>1.1000000000000001</v>
          </cell>
          <cell r="AE27">
            <v>1.0900000000000001</v>
          </cell>
          <cell r="AF27">
            <v>1.1100000000000001</v>
          </cell>
          <cell r="AG27">
            <v>1.2</v>
          </cell>
          <cell r="AH27">
            <v>1.21</v>
          </cell>
          <cell r="AI27">
            <v>1.05</v>
          </cell>
          <cell r="AJ27">
            <v>1.02</v>
          </cell>
          <cell r="AK27">
            <v>1.17</v>
          </cell>
          <cell r="AL27">
            <v>1.23</v>
          </cell>
          <cell r="AM27">
            <v>1.32</v>
          </cell>
          <cell r="AN27">
            <v>1.39</v>
          </cell>
          <cell r="AO27">
            <v>1.38</v>
          </cell>
          <cell r="AP27">
            <v>1.39</v>
          </cell>
          <cell r="AQ27">
            <v>1.32</v>
          </cell>
          <cell r="AR27">
            <v>1.23</v>
          </cell>
          <cell r="AS27">
            <v>1.1499999999999999</v>
          </cell>
          <cell r="AT27">
            <v>1.07</v>
          </cell>
          <cell r="AU27">
            <v>1.19</v>
          </cell>
          <cell r="AV27">
            <v>1.58</v>
          </cell>
          <cell r="AW27">
            <v>1.29</v>
          </cell>
          <cell r="AX27">
            <v>1.34</v>
          </cell>
          <cell r="AY27">
            <v>2.33</v>
          </cell>
          <cell r="AZ27">
            <v>3.62</v>
          </cell>
          <cell r="BA27">
            <v>4.1100000000000003</v>
          </cell>
          <cell r="BB27">
            <v>2.5</v>
          </cell>
          <cell r="BC27">
            <v>1.33</v>
          </cell>
          <cell r="BD27">
            <v>1.46</v>
          </cell>
          <cell r="BE27">
            <v>1.73</v>
          </cell>
          <cell r="BF27">
            <v>1.72</v>
          </cell>
          <cell r="BG27">
            <v>1.59</v>
          </cell>
          <cell r="BH27">
            <v>1.54</v>
          </cell>
          <cell r="BI27">
            <v>1.72</v>
          </cell>
          <cell r="BJ27">
            <v>2.2799999999999998</v>
          </cell>
          <cell r="BK27">
            <v>3.05</v>
          </cell>
          <cell r="BL27">
            <v>1.92</v>
          </cell>
          <cell r="BM27">
            <v>2.1</v>
          </cell>
          <cell r="BN27">
            <v>1.76</v>
          </cell>
          <cell r="BO27">
            <v>1.88</v>
          </cell>
          <cell r="BZ27">
            <v>1.74</v>
          </cell>
          <cell r="CA27">
            <v>1.62</v>
          </cell>
          <cell r="CB27">
            <v>1.64</v>
          </cell>
        </row>
        <row r="28">
          <cell r="A28" t="str">
            <v>MALIN-401</v>
          </cell>
          <cell r="B28">
            <v>25</v>
          </cell>
          <cell r="AC28">
            <v>1.1399999999999999</v>
          </cell>
          <cell r="AD28">
            <v>0.89</v>
          </cell>
          <cell r="AE28">
            <v>0.92</v>
          </cell>
          <cell r="AF28">
            <v>0.95</v>
          </cell>
          <cell r="AG28">
            <v>1.04</v>
          </cell>
          <cell r="AH28">
            <v>1.1000000000000001</v>
          </cell>
          <cell r="AI28">
            <v>0.91</v>
          </cell>
          <cell r="AJ28">
            <v>0.91</v>
          </cell>
          <cell r="AK28">
            <v>1.05</v>
          </cell>
          <cell r="AL28">
            <v>1.1100000000000001</v>
          </cell>
          <cell r="AM28">
            <v>1.17</v>
          </cell>
          <cell r="AN28">
            <v>1.27</v>
          </cell>
          <cell r="AO28">
            <v>1.23</v>
          </cell>
          <cell r="AP28">
            <v>1.24</v>
          </cell>
          <cell r="AQ28">
            <v>1.18</v>
          </cell>
          <cell r="AR28">
            <v>1.1000000000000001</v>
          </cell>
          <cell r="AS28">
            <v>1.03</v>
          </cell>
          <cell r="AT28">
            <v>1</v>
          </cell>
          <cell r="AU28">
            <v>1.19</v>
          </cell>
          <cell r="AV28">
            <v>1.56</v>
          </cell>
          <cell r="AW28">
            <v>1.25</v>
          </cell>
          <cell r="AX28">
            <v>1.29</v>
          </cell>
          <cell r="AY28">
            <v>2.2400000000000002</v>
          </cell>
          <cell r="AZ28">
            <v>3.52</v>
          </cell>
          <cell r="BA28">
            <v>4.0599999999999996</v>
          </cell>
          <cell r="BB28">
            <v>2.44</v>
          </cell>
          <cell r="BC28">
            <v>1.28</v>
          </cell>
          <cell r="BD28">
            <v>1.39</v>
          </cell>
          <cell r="BE28">
            <v>1.67</v>
          </cell>
          <cell r="BF28">
            <v>1.68</v>
          </cell>
          <cell r="BG28">
            <v>1.49</v>
          </cell>
          <cell r="BH28">
            <v>1.5</v>
          </cell>
          <cell r="BI28">
            <v>1.69</v>
          </cell>
          <cell r="BJ28">
            <v>2.25</v>
          </cell>
          <cell r="BK28">
            <v>2.88</v>
          </cell>
          <cell r="BL28">
            <v>1.8</v>
          </cell>
          <cell r="BM28">
            <v>1.96</v>
          </cell>
          <cell r="BN28">
            <v>1.7</v>
          </cell>
          <cell r="BO28">
            <v>2.3199999999999998</v>
          </cell>
        </row>
        <row r="29">
          <cell r="A29" t="str">
            <v>MICH</v>
          </cell>
          <cell r="B29">
            <v>26</v>
          </cell>
          <cell r="D29">
            <v>2.5</v>
          </cell>
          <cell r="E29">
            <v>2.29</v>
          </cell>
          <cell r="F29">
            <v>1.98</v>
          </cell>
          <cell r="G29">
            <v>2.12</v>
          </cell>
          <cell r="H29">
            <v>2.4900000000000002</v>
          </cell>
          <cell r="I29">
            <v>3.03</v>
          </cell>
          <cell r="J29">
            <v>2.36</v>
          </cell>
          <cell r="K29">
            <v>2.2200000000000002</v>
          </cell>
          <cell r="L29">
            <v>2.29</v>
          </cell>
          <cell r="M29">
            <v>2.61</v>
          </cell>
          <cell r="N29">
            <v>2.2000000000000002</v>
          </cell>
          <cell r="O29">
            <v>2.23</v>
          </cell>
          <cell r="P29">
            <v>2.54</v>
          </cell>
          <cell r="Q29">
            <v>2.25</v>
          </cell>
          <cell r="R29">
            <v>2.64</v>
          </cell>
          <cell r="S29">
            <v>2.77</v>
          </cell>
          <cell r="T29">
            <v>2.23</v>
          </cell>
          <cell r="U29">
            <v>2.23</v>
          </cell>
          <cell r="V29">
            <v>1.97</v>
          </cell>
          <cell r="W29">
            <v>2.0699999999999998</v>
          </cell>
          <cell r="X29">
            <v>1.91</v>
          </cell>
          <cell r="Y29">
            <v>1.61</v>
          </cell>
          <cell r="Z29">
            <v>1.49</v>
          </cell>
          <cell r="AA29">
            <v>1.85</v>
          </cell>
          <cell r="AB29">
            <v>1.86</v>
          </cell>
          <cell r="AC29">
            <v>1.75</v>
          </cell>
          <cell r="AD29">
            <v>1.52</v>
          </cell>
          <cell r="AE29">
            <v>1.5</v>
          </cell>
          <cell r="AF29">
            <v>1.64</v>
          </cell>
          <cell r="AG29">
            <v>1.76</v>
          </cell>
          <cell r="AH29">
            <v>1.82</v>
          </cell>
          <cell r="AI29">
            <v>1.59</v>
          </cell>
          <cell r="AJ29">
            <v>1.46</v>
          </cell>
          <cell r="AK29">
            <v>1.68</v>
          </cell>
          <cell r="AL29">
            <v>1.75</v>
          </cell>
          <cell r="AM29">
            <v>1.92</v>
          </cell>
          <cell r="AN29">
            <v>2.35</v>
          </cell>
          <cell r="AO29">
            <v>3.43</v>
          </cell>
          <cell r="AP29">
            <v>3.06</v>
          </cell>
          <cell r="AQ29">
            <v>4.8</v>
          </cell>
          <cell r="AR29">
            <v>3.01</v>
          </cell>
          <cell r="AS29">
            <v>2.38</v>
          </cell>
          <cell r="AT29">
            <v>2.6</v>
          </cell>
          <cell r="AU29">
            <v>2.9</v>
          </cell>
          <cell r="AV29">
            <v>2.5</v>
          </cell>
          <cell r="AW29">
            <v>2.0299999999999998</v>
          </cell>
          <cell r="AX29">
            <v>2.16</v>
          </cell>
          <cell r="AY29">
            <v>3.05</v>
          </cell>
          <cell r="AZ29">
            <v>4.08</v>
          </cell>
          <cell r="BA29">
            <v>4.38</v>
          </cell>
          <cell r="BB29">
            <v>3.36</v>
          </cell>
          <cell r="BC29">
            <v>1.94</v>
          </cell>
          <cell r="BD29">
            <v>2.12</v>
          </cell>
          <cell r="BE29">
            <v>2.2999999999999998</v>
          </cell>
          <cell r="BF29">
            <v>2.5299999999999998</v>
          </cell>
          <cell r="BG29">
            <v>2.3199999999999998</v>
          </cell>
          <cell r="BH29">
            <v>2.31</v>
          </cell>
          <cell r="BI29">
            <v>2.71</v>
          </cell>
          <cell r="BJ29">
            <v>3.37</v>
          </cell>
          <cell r="BK29">
            <v>3.54</v>
          </cell>
          <cell r="BL29">
            <v>3.54</v>
          </cell>
          <cell r="BM29">
            <v>2.38</v>
          </cell>
          <cell r="BN29">
            <v>2.1800000000000002</v>
          </cell>
          <cell r="BO29">
            <v>2.37</v>
          </cell>
          <cell r="BP29">
            <v>2.4700000000000002</v>
          </cell>
          <cell r="BQ29">
            <v>2.41</v>
          </cell>
          <cell r="BR29">
            <v>2.17</v>
          </cell>
          <cell r="BS29">
            <v>2.4300000000000002</v>
          </cell>
          <cell r="CE29">
            <v>2.34</v>
          </cell>
          <cell r="CF29">
            <v>2.7</v>
          </cell>
          <cell r="CG29">
            <v>2.98</v>
          </cell>
        </row>
        <row r="30">
          <cell r="A30" t="str">
            <v>MRC</v>
          </cell>
          <cell r="B30">
            <v>27</v>
          </cell>
          <cell r="C30">
            <v>2.36</v>
          </cell>
          <cell r="D30">
            <v>2.31</v>
          </cell>
          <cell r="E30">
            <v>2.04</v>
          </cell>
          <cell r="F30">
            <v>1.66</v>
          </cell>
          <cell r="G30">
            <v>1.99</v>
          </cell>
          <cell r="H30">
            <v>2.2799999999999998</v>
          </cell>
          <cell r="I30">
            <v>2.7</v>
          </cell>
          <cell r="J30">
            <v>2</v>
          </cell>
          <cell r="K30">
            <v>2.0299999999999998</v>
          </cell>
          <cell r="L30">
            <v>2.1800000000000002</v>
          </cell>
          <cell r="M30">
            <v>2.42</v>
          </cell>
          <cell r="N30">
            <v>2.08</v>
          </cell>
          <cell r="O30">
            <v>2.16</v>
          </cell>
          <cell r="P30">
            <v>2.4700000000000002</v>
          </cell>
          <cell r="Q30">
            <v>2.08</v>
          </cell>
          <cell r="R30">
            <v>2.4</v>
          </cell>
          <cell r="S30">
            <v>2.4300000000000002</v>
          </cell>
          <cell r="T30">
            <v>2.04</v>
          </cell>
          <cell r="U30">
            <v>2.1</v>
          </cell>
          <cell r="V30">
            <v>1.86</v>
          </cell>
          <cell r="W30">
            <v>1.99</v>
          </cell>
          <cell r="X30">
            <v>1.82</v>
          </cell>
          <cell r="Y30">
            <v>1.52</v>
          </cell>
          <cell r="Z30">
            <v>1.45</v>
          </cell>
          <cell r="AA30">
            <v>1.71</v>
          </cell>
          <cell r="AB30">
            <v>1.7</v>
          </cell>
          <cell r="AC30">
            <v>1.65</v>
          </cell>
          <cell r="AD30">
            <v>1.44</v>
          </cell>
          <cell r="AE30">
            <v>1.51</v>
          </cell>
          <cell r="AF30">
            <v>1.61</v>
          </cell>
          <cell r="AG30">
            <v>1.69</v>
          </cell>
          <cell r="AH30">
            <v>1.75</v>
          </cell>
          <cell r="AI30">
            <v>1.55</v>
          </cell>
          <cell r="AJ30">
            <v>1.41</v>
          </cell>
          <cell r="AK30">
            <v>1.59</v>
          </cell>
          <cell r="AL30">
            <v>1.67</v>
          </cell>
          <cell r="AM30">
            <v>1.82</v>
          </cell>
          <cell r="AN30">
            <v>2.31</v>
          </cell>
          <cell r="AO30">
            <v>3.47</v>
          </cell>
          <cell r="AP30">
            <v>2.4300000000000002</v>
          </cell>
          <cell r="AQ30">
            <v>2.86</v>
          </cell>
          <cell r="AR30">
            <v>2.74</v>
          </cell>
          <cell r="AS30">
            <v>2.25</v>
          </cell>
          <cell r="AT30">
            <v>2.42</v>
          </cell>
          <cell r="AU30">
            <v>2.69</v>
          </cell>
          <cell r="AV30">
            <v>2.37</v>
          </cell>
          <cell r="AW30">
            <v>1.87</v>
          </cell>
          <cell r="AX30">
            <v>1.9</v>
          </cell>
          <cell r="AY30">
            <v>2.75</v>
          </cell>
          <cell r="AZ30">
            <v>3.94</v>
          </cell>
          <cell r="BA30">
            <v>4.1500000000000004</v>
          </cell>
          <cell r="BB30">
            <v>2.99</v>
          </cell>
          <cell r="BC30">
            <v>1.76</v>
          </cell>
          <cell r="BD30">
            <v>1.87</v>
          </cell>
          <cell r="BE30">
            <v>2.16</v>
          </cell>
          <cell r="BF30">
            <v>2.36</v>
          </cell>
          <cell r="BG30">
            <v>2.21</v>
          </cell>
          <cell r="BH30">
            <v>2.23</v>
          </cell>
          <cell r="BI30">
            <v>2.58</v>
          </cell>
          <cell r="BJ30">
            <v>3.15</v>
          </cell>
          <cell r="BK30">
            <v>3.32</v>
          </cell>
          <cell r="BL30">
            <v>2.58</v>
          </cell>
          <cell r="BM30">
            <v>2.3199999999999998</v>
          </cell>
          <cell r="BN30">
            <v>2.06</v>
          </cell>
        </row>
        <row r="31">
          <cell r="A31" t="str">
            <v>NGPL-LA</v>
          </cell>
          <cell r="B31">
            <v>28</v>
          </cell>
          <cell r="C31">
            <v>2.2999999999999998</v>
          </cell>
          <cell r="D31">
            <v>2.2000000000000002</v>
          </cell>
          <cell r="E31">
            <v>1.92</v>
          </cell>
          <cell r="F31">
            <v>1.62</v>
          </cell>
          <cell r="G31">
            <v>1.86</v>
          </cell>
          <cell r="H31">
            <v>2.16</v>
          </cell>
          <cell r="I31">
            <v>2.67</v>
          </cell>
          <cell r="J31">
            <v>1.98</v>
          </cell>
          <cell r="K31">
            <v>1.9</v>
          </cell>
          <cell r="L31">
            <v>2.04</v>
          </cell>
          <cell r="M31">
            <v>2.33</v>
          </cell>
          <cell r="N31">
            <v>1.97</v>
          </cell>
          <cell r="O31">
            <v>2.08</v>
          </cell>
          <cell r="P31">
            <v>2.33</v>
          </cell>
          <cell r="Q31">
            <v>1.98</v>
          </cell>
          <cell r="R31">
            <v>2.2799999999999998</v>
          </cell>
          <cell r="S31">
            <v>2.25</v>
          </cell>
          <cell r="T31">
            <v>1.92</v>
          </cell>
          <cell r="U31">
            <v>2</v>
          </cell>
          <cell r="V31">
            <v>1.74</v>
          </cell>
          <cell r="W31">
            <v>1.86</v>
          </cell>
          <cell r="X31">
            <v>1.72</v>
          </cell>
          <cell r="Y31">
            <v>1.43</v>
          </cell>
          <cell r="Z31">
            <v>1.36</v>
          </cell>
          <cell r="AA31">
            <v>1.61</v>
          </cell>
          <cell r="AB31">
            <v>1.61</v>
          </cell>
          <cell r="AC31">
            <v>1.55</v>
          </cell>
          <cell r="AD31">
            <v>1.35</v>
          </cell>
          <cell r="AE31">
            <v>1.37</v>
          </cell>
          <cell r="AF31">
            <v>1.49</v>
          </cell>
          <cell r="AG31">
            <v>1.61</v>
          </cell>
          <cell r="AH31">
            <v>1.65</v>
          </cell>
          <cell r="AI31">
            <v>1.44</v>
          </cell>
          <cell r="AJ31">
            <v>1.31</v>
          </cell>
          <cell r="AK31">
            <v>1.51</v>
          </cell>
          <cell r="AL31">
            <v>1.59</v>
          </cell>
          <cell r="AM31">
            <v>1.72</v>
          </cell>
          <cell r="AN31">
            <v>2.15</v>
          </cell>
          <cell r="AO31">
            <v>2.13</v>
          </cell>
          <cell r="AP31">
            <v>1.9</v>
          </cell>
          <cell r="AQ31">
            <v>2.15</v>
          </cell>
          <cell r="AR31">
            <v>2.4</v>
          </cell>
          <cell r="AS31">
            <v>2.12</v>
          </cell>
          <cell r="AT31">
            <v>2.25</v>
          </cell>
          <cell r="AU31">
            <v>2.57</v>
          </cell>
          <cell r="AV31">
            <v>2.2200000000000002</v>
          </cell>
          <cell r="AW31">
            <v>1.74</v>
          </cell>
          <cell r="AX31">
            <v>1.78</v>
          </cell>
          <cell r="AY31">
            <v>2.61</v>
          </cell>
          <cell r="AZ31">
            <v>3.72</v>
          </cell>
          <cell r="BA31">
            <v>4</v>
          </cell>
          <cell r="BB31">
            <v>2.82</v>
          </cell>
          <cell r="BC31">
            <v>1.69</v>
          </cell>
          <cell r="BD31">
            <v>1.74</v>
          </cell>
          <cell r="BE31">
            <v>2.04</v>
          </cell>
          <cell r="BF31">
            <v>2.23</v>
          </cell>
          <cell r="BG31">
            <v>2.09</v>
          </cell>
          <cell r="BH31">
            <v>2.11</v>
          </cell>
          <cell r="BI31">
            <v>2.4700000000000002</v>
          </cell>
          <cell r="BJ31">
            <v>3.05</v>
          </cell>
          <cell r="BK31">
            <v>3.17</v>
          </cell>
          <cell r="BL31">
            <v>2.37</v>
          </cell>
          <cell r="BM31">
            <v>2.15</v>
          </cell>
          <cell r="BN31">
            <v>1.92</v>
          </cell>
          <cell r="BO31">
            <v>2.1800000000000002</v>
          </cell>
          <cell r="BP31">
            <v>2.23</v>
          </cell>
          <cell r="BQ31">
            <v>2.2000000000000002</v>
          </cell>
          <cell r="BR31">
            <v>1.97</v>
          </cell>
          <cell r="BS31">
            <v>2.31</v>
          </cell>
          <cell r="BT31">
            <v>1.86</v>
          </cell>
          <cell r="BU31">
            <v>1.56</v>
          </cell>
          <cell r="BV31">
            <v>1.96</v>
          </cell>
          <cell r="BW31">
            <v>1.95</v>
          </cell>
          <cell r="BX31">
            <v>2.08</v>
          </cell>
          <cell r="BY31">
            <v>1.72</v>
          </cell>
          <cell r="BZ31">
            <v>1.75</v>
          </cell>
          <cell r="CA31">
            <v>1.58</v>
          </cell>
          <cell r="CB31">
            <v>1.83</v>
          </cell>
          <cell r="CC31">
            <v>2.2999999999999998</v>
          </cell>
          <cell r="CD31">
            <v>2.1800000000000002</v>
          </cell>
          <cell r="CE31">
            <v>2.21</v>
          </cell>
          <cell r="CF31">
            <v>2.57</v>
          </cell>
          <cell r="CG31">
            <v>2.84</v>
          </cell>
        </row>
        <row r="32">
          <cell r="A32" t="str">
            <v>NGPL-MC</v>
          </cell>
          <cell r="B32">
            <v>29</v>
          </cell>
          <cell r="AQ32">
            <v>1.9</v>
          </cell>
          <cell r="AR32">
            <v>2.14</v>
          </cell>
          <cell r="AS32">
            <v>2.0099999999999998</v>
          </cell>
          <cell r="AT32">
            <v>2.0499999999999998</v>
          </cell>
          <cell r="AU32">
            <v>2.1800000000000002</v>
          </cell>
          <cell r="AV32">
            <v>2.14</v>
          </cell>
          <cell r="AW32">
            <v>1.67</v>
          </cell>
          <cell r="AX32">
            <v>1.69</v>
          </cell>
          <cell r="AY32">
            <v>2.4900000000000002</v>
          </cell>
          <cell r="AZ32">
            <v>3.62</v>
          </cell>
          <cell r="BA32">
            <v>3.95</v>
          </cell>
          <cell r="BB32">
            <v>2.76</v>
          </cell>
          <cell r="BC32">
            <v>1.62</v>
          </cell>
          <cell r="BD32">
            <v>1.71</v>
          </cell>
          <cell r="BE32">
            <v>1.95</v>
          </cell>
          <cell r="BF32">
            <v>2.13</v>
          </cell>
          <cell r="BG32">
            <v>2.0099999999999998</v>
          </cell>
          <cell r="BH32">
            <v>2.06</v>
          </cell>
          <cell r="BI32">
            <v>2.41</v>
          </cell>
          <cell r="BJ32">
            <v>3</v>
          </cell>
          <cell r="BK32">
            <v>3.12</v>
          </cell>
          <cell r="BL32">
            <v>2.3199999999999998</v>
          </cell>
          <cell r="BM32">
            <v>2.14</v>
          </cell>
          <cell r="BN32">
            <v>1.92</v>
          </cell>
          <cell r="BO32">
            <v>2.15</v>
          </cell>
          <cell r="BP32">
            <v>2.19</v>
          </cell>
          <cell r="BQ32">
            <v>2.17</v>
          </cell>
          <cell r="BR32">
            <v>1.94</v>
          </cell>
          <cell r="BS32">
            <v>2.27</v>
          </cell>
          <cell r="BT32">
            <v>1.84</v>
          </cell>
          <cell r="BU32">
            <v>1.56</v>
          </cell>
          <cell r="BV32">
            <v>1.9</v>
          </cell>
          <cell r="BW32">
            <v>1.95</v>
          </cell>
          <cell r="BX32">
            <v>2.0499999999999998</v>
          </cell>
          <cell r="BY32">
            <v>1.74</v>
          </cell>
          <cell r="BZ32">
            <v>1.73</v>
          </cell>
          <cell r="CA32">
            <v>1.55</v>
          </cell>
          <cell r="CB32">
            <v>1.74</v>
          </cell>
          <cell r="CC32">
            <v>2.21</v>
          </cell>
          <cell r="CD32">
            <v>2.11</v>
          </cell>
          <cell r="CE32">
            <v>2.16</v>
          </cell>
          <cell r="CF32">
            <v>2.5</v>
          </cell>
          <cell r="CG32">
            <v>2.76</v>
          </cell>
        </row>
        <row r="33">
          <cell r="A33" t="str">
            <v>NGPL-OK</v>
          </cell>
          <cell r="B33">
            <v>30</v>
          </cell>
          <cell r="C33">
            <v>2.0499999999999998</v>
          </cell>
          <cell r="D33">
            <v>2.02</v>
          </cell>
          <cell r="E33">
            <v>1.91</v>
          </cell>
          <cell r="F33">
            <v>1.6</v>
          </cell>
          <cell r="G33">
            <v>1.84</v>
          </cell>
          <cell r="H33">
            <v>2.08</v>
          </cell>
          <cell r="I33">
            <v>2.58</v>
          </cell>
          <cell r="J33">
            <v>1.8</v>
          </cell>
          <cell r="K33">
            <v>1.8</v>
          </cell>
          <cell r="L33">
            <v>1.93</v>
          </cell>
          <cell r="M33">
            <v>2.17</v>
          </cell>
          <cell r="N33">
            <v>1.85</v>
          </cell>
          <cell r="O33">
            <v>1.88</v>
          </cell>
          <cell r="P33">
            <v>2.2200000000000002</v>
          </cell>
          <cell r="Q33">
            <v>1.93</v>
          </cell>
          <cell r="R33">
            <v>2.09</v>
          </cell>
          <cell r="S33">
            <v>2.14</v>
          </cell>
          <cell r="T33">
            <v>1.8</v>
          </cell>
          <cell r="U33">
            <v>1.84</v>
          </cell>
          <cell r="V33">
            <v>1.56</v>
          </cell>
          <cell r="W33">
            <v>1.68</v>
          </cell>
          <cell r="X33">
            <v>1.59</v>
          </cell>
          <cell r="Y33">
            <v>1.4</v>
          </cell>
          <cell r="Z33">
            <v>1.3</v>
          </cell>
          <cell r="AA33">
            <v>1.52</v>
          </cell>
          <cell r="AB33">
            <v>1.6</v>
          </cell>
          <cell r="AC33">
            <v>1.5</v>
          </cell>
          <cell r="AD33">
            <v>1.26</v>
          </cell>
          <cell r="AE33">
            <v>1.27</v>
          </cell>
          <cell r="AF33">
            <v>1.34</v>
          </cell>
          <cell r="AG33">
            <v>1.44</v>
          </cell>
          <cell r="AH33">
            <v>1.45</v>
          </cell>
          <cell r="AI33">
            <v>1.24</v>
          </cell>
          <cell r="AJ33">
            <v>1.2</v>
          </cell>
          <cell r="AK33">
            <v>1.41</v>
          </cell>
          <cell r="AL33">
            <v>1.5</v>
          </cell>
          <cell r="AM33">
            <v>1.7</v>
          </cell>
          <cell r="AN33">
            <v>1.88</v>
          </cell>
          <cell r="AO33">
            <v>2</v>
          </cell>
          <cell r="AP33">
            <v>1.79</v>
          </cell>
          <cell r="BB33">
            <v>2.83</v>
          </cell>
          <cell r="BC33">
            <v>1.65</v>
          </cell>
          <cell r="BD33">
            <v>1.74</v>
          </cell>
          <cell r="BE33">
            <v>1.96</v>
          </cell>
          <cell r="BF33">
            <v>2.13</v>
          </cell>
          <cell r="BG33">
            <v>2.02</v>
          </cell>
          <cell r="BH33">
            <v>2.08</v>
          </cell>
          <cell r="BI33">
            <v>2.4300000000000002</v>
          </cell>
        </row>
        <row r="34">
          <cell r="A34" t="str">
            <v>NGPL-TOK</v>
          </cell>
          <cell r="B34">
            <v>31</v>
          </cell>
          <cell r="AQ34">
            <v>1.97</v>
          </cell>
          <cell r="AR34">
            <v>2.23</v>
          </cell>
          <cell r="AS34">
            <v>2.14</v>
          </cell>
          <cell r="AT34">
            <v>2.2400000000000002</v>
          </cell>
          <cell r="AU34">
            <v>2.5099999999999998</v>
          </cell>
          <cell r="AV34">
            <v>2.23</v>
          </cell>
          <cell r="AW34">
            <v>1.75</v>
          </cell>
          <cell r="AX34">
            <v>1.76</v>
          </cell>
          <cell r="AY34">
            <v>2.57</v>
          </cell>
          <cell r="AZ34">
            <v>3.69</v>
          </cell>
          <cell r="BA34">
            <v>3.8</v>
          </cell>
          <cell r="BB34">
            <v>2.75</v>
          </cell>
          <cell r="BC34">
            <v>1.64</v>
          </cell>
          <cell r="BD34">
            <v>1.74</v>
          </cell>
          <cell r="BE34">
            <v>2.0299999999999998</v>
          </cell>
          <cell r="BF34">
            <v>2.2400000000000002</v>
          </cell>
          <cell r="BG34">
            <v>2.08</v>
          </cell>
          <cell r="BH34">
            <v>2.12</v>
          </cell>
          <cell r="BI34">
            <v>2.46</v>
          </cell>
          <cell r="BJ34">
            <v>3.07</v>
          </cell>
          <cell r="BK34">
            <v>3.18</v>
          </cell>
          <cell r="BL34">
            <v>2.35</v>
          </cell>
          <cell r="BM34">
            <v>2.16</v>
          </cell>
          <cell r="BN34">
            <v>1.96</v>
          </cell>
          <cell r="BO34">
            <v>2.19</v>
          </cell>
          <cell r="BP34">
            <v>2.23</v>
          </cell>
          <cell r="BQ34">
            <v>2.2200000000000002</v>
          </cell>
          <cell r="BR34">
            <v>1.98</v>
          </cell>
          <cell r="BS34">
            <v>2.31</v>
          </cell>
          <cell r="BT34">
            <v>1.88</v>
          </cell>
          <cell r="BU34">
            <v>1.58</v>
          </cell>
          <cell r="BV34">
            <v>1.95</v>
          </cell>
          <cell r="BW34">
            <v>1.96</v>
          </cell>
          <cell r="BX34">
            <v>2.06</v>
          </cell>
          <cell r="BY34">
            <v>1.74</v>
          </cell>
          <cell r="BZ34">
            <v>1.75</v>
          </cell>
          <cell r="CA34">
            <v>1.57</v>
          </cell>
          <cell r="CB34">
            <v>1.8</v>
          </cell>
          <cell r="CC34">
            <v>2.2799999999999998</v>
          </cell>
          <cell r="CD34">
            <v>2.1800000000000002</v>
          </cell>
          <cell r="CE34">
            <v>2.2200000000000002</v>
          </cell>
          <cell r="CF34">
            <v>2.5499999999999998</v>
          </cell>
          <cell r="CG34">
            <v>2.83</v>
          </cell>
        </row>
        <row r="35">
          <cell r="A35" t="str">
            <v>NGPL-STX</v>
          </cell>
          <cell r="B35">
            <v>32</v>
          </cell>
          <cell r="C35">
            <v>2.2000000000000002</v>
          </cell>
          <cell r="D35">
            <v>2.1</v>
          </cell>
          <cell r="E35">
            <v>1.92</v>
          </cell>
          <cell r="F35">
            <v>1.58</v>
          </cell>
          <cell r="G35">
            <v>1.85</v>
          </cell>
          <cell r="H35">
            <v>2.15</v>
          </cell>
          <cell r="I35">
            <v>2.6</v>
          </cell>
          <cell r="J35">
            <v>1.9</v>
          </cell>
          <cell r="K35">
            <v>1.89</v>
          </cell>
          <cell r="L35">
            <v>2.02</v>
          </cell>
          <cell r="M35">
            <v>2.3199999999999998</v>
          </cell>
          <cell r="N35">
            <v>1.95</v>
          </cell>
          <cell r="O35">
            <v>2.04</v>
          </cell>
          <cell r="P35">
            <v>2.2999999999999998</v>
          </cell>
          <cell r="Q35">
            <v>1.97</v>
          </cell>
          <cell r="R35">
            <v>2.23</v>
          </cell>
          <cell r="S35">
            <v>2.2400000000000002</v>
          </cell>
          <cell r="T35">
            <v>1.86</v>
          </cell>
          <cell r="U35">
            <v>1.97</v>
          </cell>
          <cell r="V35">
            <v>1.72</v>
          </cell>
          <cell r="W35">
            <v>1.88</v>
          </cell>
          <cell r="X35">
            <v>1.72</v>
          </cell>
          <cell r="Y35">
            <v>1.41</v>
          </cell>
          <cell r="Z35">
            <v>1.34</v>
          </cell>
          <cell r="AA35">
            <v>1.6</v>
          </cell>
          <cell r="AB35">
            <v>1.61</v>
          </cell>
          <cell r="AC35">
            <v>1.52</v>
          </cell>
          <cell r="AD35">
            <v>1.32</v>
          </cell>
          <cell r="AE35">
            <v>1.34</v>
          </cell>
          <cell r="AF35">
            <v>1.48</v>
          </cell>
          <cell r="AG35">
            <v>1.59</v>
          </cell>
          <cell r="AH35">
            <v>1.63</v>
          </cell>
          <cell r="AI35">
            <v>1.41</v>
          </cell>
          <cell r="AJ35">
            <v>1.3</v>
          </cell>
          <cell r="AK35">
            <v>1.51</v>
          </cell>
          <cell r="AL35">
            <v>1.58</v>
          </cell>
          <cell r="AM35">
            <v>1.7</v>
          </cell>
          <cell r="AN35">
            <v>2.1</v>
          </cell>
          <cell r="AO35">
            <v>2.0499999999999998</v>
          </cell>
          <cell r="AP35">
            <v>1.8</v>
          </cell>
          <cell r="AQ35">
            <v>1.97</v>
          </cell>
          <cell r="AR35">
            <v>2.25</v>
          </cell>
          <cell r="AS35">
            <v>2.11</v>
          </cell>
          <cell r="AT35">
            <v>2.2400000000000002</v>
          </cell>
          <cell r="AU35">
            <v>2.52</v>
          </cell>
          <cell r="AV35">
            <v>2.23</v>
          </cell>
          <cell r="AW35">
            <v>1.73</v>
          </cell>
          <cell r="AX35">
            <v>1.75</v>
          </cell>
          <cell r="AY35">
            <v>2.61</v>
          </cell>
          <cell r="AZ35">
            <v>3.66</v>
          </cell>
          <cell r="BA35">
            <v>3.85</v>
          </cell>
          <cell r="BB35">
            <v>2.73</v>
          </cell>
          <cell r="BC35">
            <v>1.64</v>
          </cell>
          <cell r="BD35">
            <v>1.75</v>
          </cell>
          <cell r="BE35">
            <v>2.04</v>
          </cell>
          <cell r="BF35">
            <v>2.2200000000000002</v>
          </cell>
          <cell r="BG35">
            <v>2.09</v>
          </cell>
          <cell r="BH35">
            <v>2.1</v>
          </cell>
          <cell r="BI35">
            <v>2.4500000000000002</v>
          </cell>
          <cell r="BJ35">
            <v>3.05</v>
          </cell>
          <cell r="BK35">
            <v>3.18</v>
          </cell>
          <cell r="BL35">
            <v>2.35</v>
          </cell>
          <cell r="BM35">
            <v>2.16</v>
          </cell>
          <cell r="BN35">
            <v>1.93</v>
          </cell>
          <cell r="BO35">
            <v>2.17</v>
          </cell>
          <cell r="BP35">
            <v>2.23</v>
          </cell>
          <cell r="BQ35">
            <v>2.2000000000000002</v>
          </cell>
          <cell r="BR35">
            <v>1.96</v>
          </cell>
          <cell r="BS35">
            <v>2.29</v>
          </cell>
          <cell r="BT35">
            <v>1.85</v>
          </cell>
          <cell r="BU35">
            <v>1.53</v>
          </cell>
          <cell r="BV35">
            <v>1.93</v>
          </cell>
          <cell r="BW35">
            <v>1.88</v>
          </cell>
          <cell r="BX35">
            <v>2.02</v>
          </cell>
          <cell r="BY35">
            <v>1.69</v>
          </cell>
          <cell r="BZ35">
            <v>1.73</v>
          </cell>
          <cell r="CA35">
            <v>1.56</v>
          </cell>
          <cell r="CB35">
            <v>1.8</v>
          </cell>
          <cell r="CC35">
            <v>2.2799999999999998</v>
          </cell>
          <cell r="CD35">
            <v>2.15</v>
          </cell>
          <cell r="CE35">
            <v>2.19</v>
          </cell>
          <cell r="CF35">
            <v>2.5499999999999998</v>
          </cell>
          <cell r="CG35">
            <v>2.82</v>
          </cell>
        </row>
        <row r="36">
          <cell r="A36" t="str">
            <v>NNG-DEMARC</v>
          </cell>
          <cell r="B36">
            <v>33</v>
          </cell>
          <cell r="M36">
            <v>2.1</v>
          </cell>
          <cell r="N36">
            <v>1.9</v>
          </cell>
          <cell r="O36">
            <v>1.89</v>
          </cell>
          <cell r="Q36">
            <v>1.95</v>
          </cell>
          <cell r="R36">
            <v>2.0499999999999998</v>
          </cell>
          <cell r="S36">
            <v>2.14</v>
          </cell>
          <cell r="T36">
            <v>1.77</v>
          </cell>
          <cell r="U36">
            <v>1.77</v>
          </cell>
          <cell r="V36">
            <v>1.5</v>
          </cell>
          <cell r="W36">
            <v>1.61</v>
          </cell>
          <cell r="X36">
            <v>1.55</v>
          </cell>
          <cell r="Y36">
            <v>1.39</v>
          </cell>
          <cell r="Z36">
            <v>1.39</v>
          </cell>
          <cell r="AA36">
            <v>1.47</v>
          </cell>
          <cell r="AB36">
            <v>1.6</v>
          </cell>
          <cell r="AC36">
            <v>1.5</v>
          </cell>
          <cell r="AD36">
            <v>1.25</v>
          </cell>
          <cell r="AE36">
            <v>1.24</v>
          </cell>
          <cell r="AF36">
            <v>1.28</v>
          </cell>
          <cell r="AG36">
            <v>1.41</v>
          </cell>
          <cell r="AH36">
            <v>1.42</v>
          </cell>
          <cell r="AI36">
            <v>1.23</v>
          </cell>
          <cell r="AJ36">
            <v>1.19</v>
          </cell>
          <cell r="AK36">
            <v>1.41</v>
          </cell>
          <cell r="AL36">
            <v>1.5</v>
          </cell>
          <cell r="AM36">
            <v>1.63</v>
          </cell>
          <cell r="AN36">
            <v>1.9</v>
          </cell>
          <cell r="AO36">
            <v>2.0499999999999998</v>
          </cell>
          <cell r="AP36">
            <v>1.86</v>
          </cell>
          <cell r="AQ36">
            <v>1.98</v>
          </cell>
          <cell r="AR36">
            <v>2.16</v>
          </cell>
          <cell r="AS36">
            <v>1.99</v>
          </cell>
          <cell r="AT36">
            <v>2.0299999999999998</v>
          </cell>
          <cell r="AU36">
            <v>2.17</v>
          </cell>
          <cell r="AV36">
            <v>2.08</v>
          </cell>
          <cell r="AW36">
            <v>1.63</v>
          </cell>
          <cell r="AX36">
            <v>1.71</v>
          </cell>
          <cell r="AY36">
            <v>2.59</v>
          </cell>
          <cell r="AZ36">
            <v>3.62</v>
          </cell>
          <cell r="BA36">
            <v>4.22</v>
          </cell>
          <cell r="BB36">
            <v>2.87</v>
          </cell>
          <cell r="BC36">
            <v>1.65</v>
          </cell>
          <cell r="BD36">
            <v>1.73</v>
          </cell>
          <cell r="BE36">
            <v>1.94</v>
          </cell>
          <cell r="BF36">
            <v>2.11</v>
          </cell>
          <cell r="BG36">
            <v>2.0099999999999998</v>
          </cell>
          <cell r="BH36">
            <v>2.0499999999999998</v>
          </cell>
          <cell r="BI36">
            <v>2.42</v>
          </cell>
          <cell r="BJ36">
            <v>3.02</v>
          </cell>
          <cell r="BK36">
            <v>3.29</v>
          </cell>
          <cell r="BL36">
            <v>2.4500000000000002</v>
          </cell>
          <cell r="BM36">
            <v>2.1800000000000002</v>
          </cell>
          <cell r="BN36">
            <v>1.95</v>
          </cell>
          <cell r="BO36">
            <v>2.16</v>
          </cell>
          <cell r="BP36">
            <v>2.1800000000000002</v>
          </cell>
          <cell r="BQ36">
            <v>2.16</v>
          </cell>
          <cell r="BR36">
            <v>1.93</v>
          </cell>
          <cell r="BS36">
            <v>2.27</v>
          </cell>
          <cell r="BT36">
            <v>1.86</v>
          </cell>
          <cell r="BU36">
            <v>1.57</v>
          </cell>
          <cell r="BV36">
            <v>1.92</v>
          </cell>
          <cell r="BW36">
            <v>2</v>
          </cell>
          <cell r="BX36">
            <v>2.12</v>
          </cell>
          <cell r="BY36">
            <v>1.83</v>
          </cell>
          <cell r="BZ36">
            <v>1.8</v>
          </cell>
          <cell r="CA36">
            <v>1.59</v>
          </cell>
          <cell r="CB36">
            <v>1.76</v>
          </cell>
          <cell r="CC36">
            <v>2.21</v>
          </cell>
          <cell r="CD36">
            <v>2.14</v>
          </cell>
          <cell r="CE36">
            <v>2.19</v>
          </cell>
          <cell r="CF36">
            <v>2.5299999999999998</v>
          </cell>
          <cell r="CG36">
            <v>2.78</v>
          </cell>
        </row>
        <row r="37">
          <cell r="A37" t="str">
            <v>NNG-TOK</v>
          </cell>
          <cell r="B37">
            <v>34</v>
          </cell>
          <cell r="C37">
            <v>1.96</v>
          </cell>
          <cell r="D37">
            <v>1.92</v>
          </cell>
          <cell r="E37">
            <v>1.9</v>
          </cell>
          <cell r="F37">
            <v>1.5</v>
          </cell>
          <cell r="G37">
            <v>1.75</v>
          </cell>
          <cell r="H37">
            <v>1.95</v>
          </cell>
          <cell r="I37">
            <v>2.4500000000000002</v>
          </cell>
          <cell r="J37">
            <v>1.71</v>
          </cell>
          <cell r="K37">
            <v>1.71</v>
          </cell>
          <cell r="L37">
            <v>1.81</v>
          </cell>
          <cell r="M37">
            <v>2.0499999999999998</v>
          </cell>
          <cell r="N37">
            <v>1.8</v>
          </cell>
          <cell r="O37">
            <v>1.81</v>
          </cell>
          <cell r="P37">
            <v>2.2599999999999998</v>
          </cell>
          <cell r="Q37">
            <v>1.89</v>
          </cell>
          <cell r="R37">
            <v>1.97</v>
          </cell>
          <cell r="S37">
            <v>2.0299999999999998</v>
          </cell>
          <cell r="T37">
            <v>1.73</v>
          </cell>
          <cell r="U37">
            <v>1.73</v>
          </cell>
          <cell r="V37">
            <v>1.47</v>
          </cell>
          <cell r="W37">
            <v>1.6</v>
          </cell>
          <cell r="X37">
            <v>1.53</v>
          </cell>
          <cell r="Y37">
            <v>1.36</v>
          </cell>
          <cell r="Z37">
            <v>1.22</v>
          </cell>
          <cell r="AA37">
            <v>1.44</v>
          </cell>
          <cell r="AB37">
            <v>1.57</v>
          </cell>
          <cell r="AC37">
            <v>1.46</v>
          </cell>
          <cell r="AD37">
            <v>1.21</v>
          </cell>
          <cell r="AE37">
            <v>1.2</v>
          </cell>
          <cell r="AF37">
            <v>1.26</v>
          </cell>
          <cell r="AG37">
            <v>1.37</v>
          </cell>
          <cell r="AH37">
            <v>1.39</v>
          </cell>
          <cell r="AI37">
            <v>1.2</v>
          </cell>
          <cell r="AJ37">
            <v>1.17</v>
          </cell>
          <cell r="AK37">
            <v>1.38</v>
          </cell>
          <cell r="AL37">
            <v>1.46</v>
          </cell>
          <cell r="AM37">
            <v>1.57</v>
          </cell>
          <cell r="AN37">
            <v>1.84</v>
          </cell>
          <cell r="AO37">
            <v>1.93</v>
          </cell>
          <cell r="AP37">
            <v>1.73</v>
          </cell>
          <cell r="AQ37">
            <v>1.87</v>
          </cell>
          <cell r="AR37">
            <v>2.06</v>
          </cell>
          <cell r="AS37">
            <v>1.95</v>
          </cell>
          <cell r="AT37">
            <v>1.98</v>
          </cell>
          <cell r="AU37">
            <v>2.1</v>
          </cell>
          <cell r="AV37">
            <v>2.0299999999999998</v>
          </cell>
          <cell r="AW37">
            <v>1.57</v>
          </cell>
          <cell r="AX37">
            <v>1.64</v>
          </cell>
          <cell r="AY37">
            <v>2.48</v>
          </cell>
          <cell r="AZ37">
            <v>3.52</v>
          </cell>
          <cell r="BA37">
            <v>3.8</v>
          </cell>
          <cell r="BB37">
            <v>2.73</v>
          </cell>
          <cell r="BC37">
            <v>1.56</v>
          </cell>
          <cell r="BD37">
            <v>1.63</v>
          </cell>
          <cell r="BE37">
            <v>1.85</v>
          </cell>
          <cell r="BF37">
            <v>2.04</v>
          </cell>
          <cell r="BG37">
            <v>1.91</v>
          </cell>
          <cell r="BH37">
            <v>1.96</v>
          </cell>
          <cell r="BI37">
            <v>2.33</v>
          </cell>
          <cell r="BJ37">
            <v>2.86</v>
          </cell>
          <cell r="BK37">
            <v>3.09</v>
          </cell>
          <cell r="BL37">
            <v>2.2799999999999998</v>
          </cell>
          <cell r="BM37">
            <v>2.0499999999999998</v>
          </cell>
          <cell r="BN37">
            <v>1.86</v>
          </cell>
          <cell r="BO37">
            <v>2.06</v>
          </cell>
          <cell r="BP37">
            <v>2.06</v>
          </cell>
          <cell r="BQ37">
            <v>2.0499999999999998</v>
          </cell>
          <cell r="BR37">
            <v>1.84</v>
          </cell>
          <cell r="BS37">
            <v>2.15</v>
          </cell>
          <cell r="BT37">
            <v>1.79</v>
          </cell>
          <cell r="BU37">
            <v>1.5</v>
          </cell>
          <cell r="BV37">
            <v>1.78</v>
          </cell>
          <cell r="BW37">
            <v>1.86</v>
          </cell>
          <cell r="BX37">
            <v>1.98</v>
          </cell>
          <cell r="BY37">
            <v>1.74</v>
          </cell>
          <cell r="BZ37">
            <v>1.72</v>
          </cell>
          <cell r="CA37">
            <v>1.48</v>
          </cell>
          <cell r="CB37">
            <v>1.67</v>
          </cell>
          <cell r="CC37">
            <v>2.13</v>
          </cell>
          <cell r="CD37">
            <v>2.06</v>
          </cell>
          <cell r="CE37">
            <v>2.1</v>
          </cell>
          <cell r="CF37">
            <v>2.44</v>
          </cell>
          <cell r="CG37">
            <v>2.7</v>
          </cell>
        </row>
        <row r="38">
          <cell r="A38" t="str">
            <v>NNG-VENT</v>
          </cell>
          <cell r="B38">
            <v>35</v>
          </cell>
          <cell r="C38">
            <v>2.0499999999999998</v>
          </cell>
          <cell r="D38">
            <v>2.0499999999999998</v>
          </cell>
          <cell r="E38">
            <v>1.96</v>
          </cell>
          <cell r="F38">
            <v>1.6</v>
          </cell>
          <cell r="G38">
            <v>1.86</v>
          </cell>
          <cell r="H38">
            <v>2.09</v>
          </cell>
          <cell r="I38">
            <v>2.59</v>
          </cell>
          <cell r="J38">
            <v>1.8</v>
          </cell>
          <cell r="K38">
            <v>1.78</v>
          </cell>
          <cell r="L38">
            <v>1.8</v>
          </cell>
          <cell r="M38">
            <v>2.15</v>
          </cell>
          <cell r="N38">
            <v>1.9</v>
          </cell>
          <cell r="O38">
            <v>1.88</v>
          </cell>
          <cell r="P38">
            <v>2.3199999999999998</v>
          </cell>
          <cell r="Q38">
            <v>1.93</v>
          </cell>
          <cell r="R38">
            <v>2.0499999999999998</v>
          </cell>
          <cell r="S38">
            <v>2.14</v>
          </cell>
          <cell r="T38">
            <v>1.75</v>
          </cell>
          <cell r="U38">
            <v>1.8</v>
          </cell>
          <cell r="V38">
            <v>1.5</v>
          </cell>
          <cell r="W38">
            <v>1.61</v>
          </cell>
          <cell r="X38">
            <v>1.54</v>
          </cell>
          <cell r="Y38">
            <v>1.39</v>
          </cell>
          <cell r="Z38">
            <v>1.27</v>
          </cell>
          <cell r="AA38">
            <v>1.48</v>
          </cell>
          <cell r="AB38">
            <v>1.62</v>
          </cell>
          <cell r="AC38">
            <v>1.49</v>
          </cell>
          <cell r="AD38">
            <v>1.25</v>
          </cell>
          <cell r="AE38">
            <v>1.23</v>
          </cell>
          <cell r="AF38">
            <v>1.28</v>
          </cell>
          <cell r="AG38">
            <v>1.39</v>
          </cell>
          <cell r="AH38">
            <v>1.41</v>
          </cell>
          <cell r="AI38">
            <v>1.18</v>
          </cell>
          <cell r="AJ38">
            <v>1.0900000000000001</v>
          </cell>
          <cell r="AK38">
            <v>1.33</v>
          </cell>
          <cell r="AL38">
            <v>1.48</v>
          </cell>
          <cell r="AM38">
            <v>1.61</v>
          </cell>
          <cell r="AN38">
            <v>1.84</v>
          </cell>
          <cell r="AO38">
            <v>2</v>
          </cell>
          <cell r="AP38">
            <v>1.84</v>
          </cell>
          <cell r="AQ38">
            <v>1.94</v>
          </cell>
          <cell r="AR38">
            <v>2.11</v>
          </cell>
          <cell r="AS38">
            <v>1.91</v>
          </cell>
          <cell r="AT38">
            <v>1.96</v>
          </cell>
          <cell r="AU38">
            <v>2.0699999999999998</v>
          </cell>
          <cell r="AV38">
            <v>2.0699999999999998</v>
          </cell>
          <cell r="AW38">
            <v>1.62</v>
          </cell>
          <cell r="AX38">
            <v>1.71</v>
          </cell>
          <cell r="AY38">
            <v>2.5499999999999998</v>
          </cell>
          <cell r="AZ38">
            <v>3.61</v>
          </cell>
          <cell r="BA38">
            <v>4.2</v>
          </cell>
          <cell r="BB38">
            <v>2.85</v>
          </cell>
          <cell r="BC38">
            <v>1.63</v>
          </cell>
          <cell r="BD38">
            <v>1.71</v>
          </cell>
          <cell r="BE38">
            <v>1.94</v>
          </cell>
          <cell r="BF38">
            <v>2.1</v>
          </cell>
          <cell r="BG38">
            <v>1.97</v>
          </cell>
          <cell r="BH38">
            <v>2.0499999999999998</v>
          </cell>
          <cell r="BI38">
            <v>2.41</v>
          </cell>
          <cell r="BJ38">
            <v>3.03</v>
          </cell>
          <cell r="BK38">
            <v>3.29</v>
          </cell>
          <cell r="BL38">
            <v>2.44</v>
          </cell>
          <cell r="BM38">
            <v>2.17</v>
          </cell>
          <cell r="BN38">
            <v>1.96</v>
          </cell>
          <cell r="BO38">
            <v>2.15</v>
          </cell>
          <cell r="BP38">
            <v>2.1800000000000002</v>
          </cell>
          <cell r="BQ38">
            <v>2.15</v>
          </cell>
          <cell r="BR38">
            <v>1.92</v>
          </cell>
          <cell r="BS38">
            <v>2.2599999999999998</v>
          </cell>
          <cell r="BT38">
            <v>1.84</v>
          </cell>
          <cell r="BU38">
            <v>1.56</v>
          </cell>
          <cell r="BV38">
            <v>1.91</v>
          </cell>
          <cell r="BW38">
            <v>2</v>
          </cell>
          <cell r="BX38">
            <v>2.13</v>
          </cell>
          <cell r="BY38">
            <v>1.84</v>
          </cell>
          <cell r="BZ38">
            <v>1.8</v>
          </cell>
          <cell r="CA38">
            <v>1.6</v>
          </cell>
          <cell r="CB38">
            <v>1.75</v>
          </cell>
          <cell r="CC38">
            <v>2.2000000000000002</v>
          </cell>
          <cell r="CD38">
            <v>2.12</v>
          </cell>
          <cell r="CE38">
            <v>2.1800000000000002</v>
          </cell>
          <cell r="CF38">
            <v>2.5</v>
          </cell>
          <cell r="CG38">
            <v>2.76</v>
          </cell>
        </row>
        <row r="39">
          <cell r="A39" t="str">
            <v>NOR-EAST</v>
          </cell>
          <cell r="B39">
            <v>36</v>
          </cell>
          <cell r="AE39">
            <v>1.33</v>
          </cell>
          <cell r="AF39">
            <v>1.44</v>
          </cell>
          <cell r="AG39">
            <v>1.57</v>
          </cell>
          <cell r="AH39">
            <v>1.61</v>
          </cell>
          <cell r="AI39">
            <v>1.4</v>
          </cell>
          <cell r="AJ39">
            <v>1.3</v>
          </cell>
          <cell r="AK39">
            <v>1.5</v>
          </cell>
          <cell r="AL39">
            <v>1.54</v>
          </cell>
          <cell r="AM39">
            <v>1.68</v>
          </cell>
          <cell r="AN39">
            <v>2.02</v>
          </cell>
          <cell r="AO39">
            <v>2.09</v>
          </cell>
          <cell r="AP39">
            <v>1.89</v>
          </cell>
          <cell r="AQ39">
            <v>1.93</v>
          </cell>
          <cell r="AR39">
            <v>2.23</v>
          </cell>
          <cell r="AS39">
            <v>2.12</v>
          </cell>
          <cell r="AT39">
            <v>2.1800000000000002</v>
          </cell>
          <cell r="AU39">
            <v>2.31</v>
          </cell>
          <cell r="AV39">
            <v>2.25</v>
          </cell>
          <cell r="AW39">
            <v>1.75</v>
          </cell>
          <cell r="AX39">
            <v>1.74</v>
          </cell>
          <cell r="AY39">
            <v>2.4700000000000002</v>
          </cell>
          <cell r="AZ39">
            <v>3.61</v>
          </cell>
          <cell r="BA39">
            <v>4.1500000000000004</v>
          </cell>
          <cell r="BB39">
            <v>2.78</v>
          </cell>
          <cell r="BC39">
            <v>1.65</v>
          </cell>
          <cell r="BD39">
            <v>1.74</v>
          </cell>
          <cell r="BE39">
            <v>2.0099999999999998</v>
          </cell>
          <cell r="BF39">
            <v>2.19</v>
          </cell>
          <cell r="BG39">
            <v>2.0699999999999998</v>
          </cell>
          <cell r="BH39">
            <v>2.11</v>
          </cell>
          <cell r="BI39">
            <v>2.44</v>
          </cell>
          <cell r="BJ39">
            <v>3.05</v>
          </cell>
          <cell r="BK39">
            <v>3.17</v>
          </cell>
          <cell r="BL39">
            <v>2.37</v>
          </cell>
          <cell r="BM39">
            <v>2.16</v>
          </cell>
          <cell r="BN39">
            <v>1.94</v>
          </cell>
          <cell r="BO39">
            <v>2.16</v>
          </cell>
          <cell r="BP39">
            <v>2.2000000000000002</v>
          </cell>
          <cell r="BQ39">
            <v>2.1800000000000002</v>
          </cell>
          <cell r="BR39">
            <v>1.96</v>
          </cell>
          <cell r="BS39">
            <v>2.2999999999999998</v>
          </cell>
          <cell r="BT39">
            <v>1.86</v>
          </cell>
          <cell r="BU39">
            <v>1.57</v>
          </cell>
          <cell r="BV39">
            <v>1.94</v>
          </cell>
          <cell r="BW39">
            <v>1.93</v>
          </cell>
          <cell r="BX39">
            <v>2.0299999999999998</v>
          </cell>
          <cell r="BY39">
            <v>1.74</v>
          </cell>
          <cell r="BZ39">
            <v>1.74</v>
          </cell>
          <cell r="CA39">
            <v>1.56</v>
          </cell>
          <cell r="CB39">
            <v>1.77</v>
          </cell>
          <cell r="CC39">
            <v>2.27</v>
          </cell>
          <cell r="CD39">
            <v>2.17</v>
          </cell>
          <cell r="CE39">
            <v>2.21</v>
          </cell>
          <cell r="CF39">
            <v>2.5499999999999998</v>
          </cell>
          <cell r="CG39">
            <v>2.82</v>
          </cell>
        </row>
        <row r="40">
          <cell r="A40" t="str">
            <v>NOR-WEST</v>
          </cell>
          <cell r="B40">
            <v>37</v>
          </cell>
          <cell r="AE40">
            <v>1.28</v>
          </cell>
          <cell r="AF40">
            <v>1.35</v>
          </cell>
          <cell r="AG40">
            <v>1.46</v>
          </cell>
          <cell r="AH40">
            <v>1.48</v>
          </cell>
          <cell r="AI40">
            <v>1.28</v>
          </cell>
          <cell r="AJ40">
            <v>1.22</v>
          </cell>
          <cell r="AK40">
            <v>1.43</v>
          </cell>
          <cell r="AL40">
            <v>1.5</v>
          </cell>
          <cell r="AM40">
            <v>1.62</v>
          </cell>
          <cell r="AN40">
            <v>1.89</v>
          </cell>
          <cell r="AO40">
            <v>2.0099999999999998</v>
          </cell>
          <cell r="AP40">
            <v>1.83</v>
          </cell>
          <cell r="AQ40">
            <v>1.9</v>
          </cell>
          <cell r="AR40">
            <v>2.15</v>
          </cell>
          <cell r="AS40">
            <v>2.02</v>
          </cell>
          <cell r="AT40">
            <v>2.0699999999999998</v>
          </cell>
          <cell r="AU40">
            <v>2.2000000000000002</v>
          </cell>
          <cell r="AV40">
            <v>2.16</v>
          </cell>
          <cell r="AW40">
            <v>1.68</v>
          </cell>
          <cell r="AX40">
            <v>1.69</v>
          </cell>
          <cell r="AY40">
            <v>2.4300000000000002</v>
          </cell>
          <cell r="AZ40">
            <v>3.55</v>
          </cell>
          <cell r="BA40">
            <v>4.1100000000000003</v>
          </cell>
          <cell r="BB40">
            <v>2.73</v>
          </cell>
          <cell r="BC40">
            <v>1.61</v>
          </cell>
          <cell r="BD40">
            <v>1.72</v>
          </cell>
          <cell r="BE40">
            <v>1.96</v>
          </cell>
          <cell r="BF40">
            <v>2.15</v>
          </cell>
          <cell r="BG40">
            <v>2.0099999999999998</v>
          </cell>
          <cell r="BH40">
            <v>2.0699999999999998</v>
          </cell>
          <cell r="BI40">
            <v>2.41</v>
          </cell>
          <cell r="BJ40">
            <v>2.98</v>
          </cell>
          <cell r="BK40">
            <v>3.1</v>
          </cell>
          <cell r="BL40">
            <v>2.3199999999999998</v>
          </cell>
          <cell r="BM40">
            <v>2.15</v>
          </cell>
          <cell r="BN40">
            <v>1.92</v>
          </cell>
          <cell r="BO40">
            <v>2.14</v>
          </cell>
          <cell r="BP40">
            <v>2.17</v>
          </cell>
          <cell r="BQ40">
            <v>2.15</v>
          </cell>
          <cell r="BR40">
            <v>1.92</v>
          </cell>
          <cell r="BS40">
            <v>2.2599999999999998</v>
          </cell>
          <cell r="BT40">
            <v>1.83</v>
          </cell>
          <cell r="BU40">
            <v>1.52</v>
          </cell>
          <cell r="BV40">
            <v>1.89</v>
          </cell>
          <cell r="BW40">
            <v>1.9</v>
          </cell>
          <cell r="BX40">
            <v>2.0099999999999998</v>
          </cell>
          <cell r="BY40">
            <v>1.73</v>
          </cell>
          <cell r="BZ40">
            <v>1.73</v>
          </cell>
          <cell r="CA40">
            <v>1.54</v>
          </cell>
          <cell r="CB40">
            <v>1.74</v>
          </cell>
          <cell r="CC40">
            <v>2.2200000000000002</v>
          </cell>
          <cell r="CD40">
            <v>2.12</v>
          </cell>
          <cell r="CE40">
            <v>2.1800000000000002</v>
          </cell>
          <cell r="CF40">
            <v>2.5099999999999998</v>
          </cell>
          <cell r="CG40">
            <v>2.77</v>
          </cell>
        </row>
        <row r="41">
          <cell r="A41" t="str">
            <v>NWPL-CAN</v>
          </cell>
          <cell r="B41">
            <v>38</v>
          </cell>
          <cell r="C41">
            <v>1.5</v>
          </cell>
          <cell r="D41">
            <v>1.74</v>
          </cell>
          <cell r="E41">
            <v>2.25</v>
          </cell>
          <cell r="F41">
            <v>1.74</v>
          </cell>
          <cell r="G41">
            <v>1.8</v>
          </cell>
          <cell r="H41">
            <v>1.8</v>
          </cell>
          <cell r="I41">
            <v>2.25</v>
          </cell>
          <cell r="J41">
            <v>1.58</v>
          </cell>
          <cell r="K41">
            <v>1.55</v>
          </cell>
          <cell r="L41">
            <v>1.65</v>
          </cell>
          <cell r="M41">
            <v>1.92</v>
          </cell>
          <cell r="N41">
            <v>1.75</v>
          </cell>
          <cell r="O41">
            <v>1.8</v>
          </cell>
          <cell r="P41">
            <v>2.4</v>
          </cell>
          <cell r="Q41">
            <v>2.1800000000000002</v>
          </cell>
          <cell r="R41">
            <v>1.79</v>
          </cell>
          <cell r="S41">
            <v>1.98</v>
          </cell>
          <cell r="T41">
            <v>1.62</v>
          </cell>
          <cell r="U41">
            <v>1.6</v>
          </cell>
          <cell r="V41">
            <v>1.39</v>
          </cell>
          <cell r="W41">
            <v>1.48</v>
          </cell>
          <cell r="X41">
            <v>1.45</v>
          </cell>
          <cell r="Y41">
            <v>1.36</v>
          </cell>
          <cell r="Z41">
            <v>1.18</v>
          </cell>
          <cell r="AA41">
            <v>1.52</v>
          </cell>
          <cell r="AB41">
            <v>1.63</v>
          </cell>
          <cell r="AC41">
            <v>1.4</v>
          </cell>
          <cell r="AD41">
            <v>1.03</v>
          </cell>
          <cell r="AE41">
            <v>1</v>
          </cell>
          <cell r="AF41">
            <v>0.97</v>
          </cell>
          <cell r="AG41">
            <v>0.99</v>
          </cell>
          <cell r="AH41">
            <v>0.97</v>
          </cell>
          <cell r="AI41">
            <v>0.85</v>
          </cell>
          <cell r="AJ41">
            <v>0.75</v>
          </cell>
          <cell r="AK41">
            <v>0.85</v>
          </cell>
          <cell r="AL41">
            <v>0.96</v>
          </cell>
          <cell r="AM41">
            <v>1.26</v>
          </cell>
          <cell r="AN41">
            <v>1.29</v>
          </cell>
          <cell r="AO41">
            <v>1.24</v>
          </cell>
          <cell r="AP41">
            <v>1.2</v>
          </cell>
          <cell r="AQ41">
            <v>1.1499999999999999</v>
          </cell>
          <cell r="AR41">
            <v>0.93</v>
          </cell>
          <cell r="AS41">
            <v>0.93</v>
          </cell>
          <cell r="AT41">
            <v>0.9</v>
          </cell>
          <cell r="AU41">
            <v>0.96</v>
          </cell>
          <cell r="AV41">
            <v>1.01</v>
          </cell>
          <cell r="AW41">
            <v>1.01</v>
          </cell>
          <cell r="AX41">
            <v>1.1000000000000001</v>
          </cell>
          <cell r="AY41">
            <v>2.17</v>
          </cell>
          <cell r="AZ41">
            <v>3.55</v>
          </cell>
          <cell r="BA41">
            <v>4.1500000000000004</v>
          </cell>
          <cell r="BB41">
            <v>2.37</v>
          </cell>
          <cell r="BC41">
            <v>1.05</v>
          </cell>
          <cell r="BD41">
            <v>1.1100000000000001</v>
          </cell>
          <cell r="BE41">
            <v>1.33</v>
          </cell>
          <cell r="BF41">
            <v>1.38</v>
          </cell>
          <cell r="BG41">
            <v>1.22</v>
          </cell>
          <cell r="BH41">
            <v>1.08</v>
          </cell>
          <cell r="BI41">
            <v>1.19</v>
          </cell>
          <cell r="BJ41">
            <v>1.48</v>
          </cell>
          <cell r="BK41">
            <v>2.7</v>
          </cell>
          <cell r="BL41">
            <v>1.4</v>
          </cell>
          <cell r="BM41">
            <v>1.85</v>
          </cell>
          <cell r="BN41">
            <v>1.43</v>
          </cell>
          <cell r="BO41">
            <v>1.1200000000000001</v>
          </cell>
          <cell r="BP41">
            <v>1.43</v>
          </cell>
          <cell r="BQ41">
            <v>1.7</v>
          </cell>
          <cell r="BR41">
            <v>1.38</v>
          </cell>
          <cell r="BS41">
            <v>1.45</v>
          </cell>
          <cell r="BT41">
            <v>1.57</v>
          </cell>
          <cell r="BU41">
            <v>1.46</v>
          </cell>
          <cell r="BV41">
            <v>1.67</v>
          </cell>
          <cell r="BW41">
            <v>2.14</v>
          </cell>
          <cell r="BX41">
            <v>2.09</v>
          </cell>
          <cell r="BY41">
            <v>2.88</v>
          </cell>
          <cell r="BZ41">
            <v>1.77</v>
          </cell>
          <cell r="CA41">
            <v>1.5</v>
          </cell>
          <cell r="CB41">
            <v>1.51</v>
          </cell>
          <cell r="CC41">
            <v>1.95</v>
          </cell>
          <cell r="CD41">
            <v>1.91</v>
          </cell>
          <cell r="CE41">
            <v>1.94</v>
          </cell>
          <cell r="CF41">
            <v>2.21</v>
          </cell>
          <cell r="CG41">
            <v>2.5</v>
          </cell>
        </row>
        <row r="42">
          <cell r="A42" t="str">
            <v>NWPL-ROCK</v>
          </cell>
          <cell r="B42">
            <v>39</v>
          </cell>
          <cell r="C42">
            <v>1.79</v>
          </cell>
          <cell r="D42">
            <v>1.95</v>
          </cell>
          <cell r="E42">
            <v>2.2999999999999998</v>
          </cell>
          <cell r="F42">
            <v>1.61</v>
          </cell>
          <cell r="G42">
            <v>1.78</v>
          </cell>
          <cell r="H42">
            <v>1.79</v>
          </cell>
          <cell r="I42">
            <v>2.25</v>
          </cell>
          <cell r="J42">
            <v>1.58</v>
          </cell>
          <cell r="K42">
            <v>1.55</v>
          </cell>
          <cell r="L42">
            <v>1.65</v>
          </cell>
          <cell r="M42">
            <v>1.92</v>
          </cell>
          <cell r="N42">
            <v>1.75</v>
          </cell>
          <cell r="O42">
            <v>1.74</v>
          </cell>
          <cell r="P42">
            <v>2.35</v>
          </cell>
          <cell r="Q42">
            <v>1.92</v>
          </cell>
          <cell r="R42">
            <v>1.78</v>
          </cell>
          <cell r="S42">
            <v>1.95</v>
          </cell>
          <cell r="T42">
            <v>1.61</v>
          </cell>
          <cell r="U42">
            <v>1.6</v>
          </cell>
          <cell r="V42">
            <v>1.37</v>
          </cell>
          <cell r="W42">
            <v>1.46</v>
          </cell>
          <cell r="X42">
            <v>1.45</v>
          </cell>
          <cell r="Y42">
            <v>1.36</v>
          </cell>
          <cell r="Z42">
            <v>1.18</v>
          </cell>
          <cell r="AA42">
            <v>1.48</v>
          </cell>
          <cell r="AB42">
            <v>1.61</v>
          </cell>
          <cell r="AC42">
            <v>1.37</v>
          </cell>
          <cell r="AD42">
            <v>1.06</v>
          </cell>
          <cell r="AE42">
            <v>1.05</v>
          </cell>
          <cell r="AF42">
            <v>1.05</v>
          </cell>
          <cell r="AG42">
            <v>1.06</v>
          </cell>
          <cell r="AH42">
            <v>1.1399999999999999</v>
          </cell>
          <cell r="AI42">
            <v>0.98</v>
          </cell>
          <cell r="AJ42">
            <v>0.84</v>
          </cell>
          <cell r="AK42">
            <v>0.96</v>
          </cell>
          <cell r="AL42">
            <v>1.05</v>
          </cell>
          <cell r="AM42">
            <v>1.25</v>
          </cell>
          <cell r="AN42">
            <v>1.31</v>
          </cell>
          <cell r="AO42">
            <v>1.25</v>
          </cell>
          <cell r="AP42">
            <v>1.19</v>
          </cell>
          <cell r="AQ42">
            <v>1.17</v>
          </cell>
          <cell r="AR42">
            <v>1.06</v>
          </cell>
          <cell r="AS42">
            <v>1.05</v>
          </cell>
          <cell r="AT42">
            <v>1.07</v>
          </cell>
          <cell r="AU42">
            <v>1.19</v>
          </cell>
          <cell r="AV42">
            <v>1.23</v>
          </cell>
          <cell r="AW42">
            <v>1.18</v>
          </cell>
          <cell r="AX42">
            <v>1.26</v>
          </cell>
          <cell r="AY42">
            <v>2.29</v>
          </cell>
          <cell r="AZ42">
            <v>3.52</v>
          </cell>
          <cell r="BA42">
            <v>4.2</v>
          </cell>
          <cell r="BB42">
            <v>2.48</v>
          </cell>
          <cell r="BC42">
            <v>1.39</v>
          </cell>
          <cell r="BD42">
            <v>1.44</v>
          </cell>
          <cell r="BE42">
            <v>1.64</v>
          </cell>
          <cell r="BF42">
            <v>1.48</v>
          </cell>
          <cell r="BG42">
            <v>1.44</v>
          </cell>
          <cell r="BH42">
            <v>1.38</v>
          </cell>
          <cell r="BI42">
            <v>1.48</v>
          </cell>
          <cell r="BJ42">
            <v>2.12</v>
          </cell>
          <cell r="BK42">
            <v>3</v>
          </cell>
          <cell r="BL42">
            <v>1.94</v>
          </cell>
          <cell r="BM42">
            <v>2.06</v>
          </cell>
          <cell r="BN42">
            <v>1.69</v>
          </cell>
          <cell r="BO42">
            <v>1.87</v>
          </cell>
          <cell r="BP42">
            <v>1.9</v>
          </cell>
          <cell r="BQ42">
            <v>1.98</v>
          </cell>
          <cell r="BR42">
            <v>1.64</v>
          </cell>
          <cell r="BS42">
            <v>1.62</v>
          </cell>
          <cell r="BT42">
            <v>1.73</v>
          </cell>
          <cell r="BU42">
            <v>1.57</v>
          </cell>
          <cell r="BV42">
            <v>1.65</v>
          </cell>
          <cell r="BW42">
            <v>2.02</v>
          </cell>
          <cell r="BX42">
            <v>2</v>
          </cell>
          <cell r="BY42">
            <v>1.82</v>
          </cell>
          <cell r="BZ42">
            <v>1.63</v>
          </cell>
          <cell r="CA42">
            <v>1.51</v>
          </cell>
          <cell r="CB42">
            <v>1.54</v>
          </cell>
          <cell r="CC42">
            <v>2</v>
          </cell>
          <cell r="CD42">
            <v>1.94</v>
          </cell>
          <cell r="CE42">
            <v>1.99</v>
          </cell>
          <cell r="CF42">
            <v>2.1800000000000002</v>
          </cell>
          <cell r="CG42">
            <v>2.56</v>
          </cell>
        </row>
        <row r="43">
          <cell r="A43" t="str">
            <v>ONG-OKL</v>
          </cell>
          <cell r="B43">
            <v>40</v>
          </cell>
          <cell r="C43">
            <v>1.97</v>
          </cell>
          <cell r="D43">
            <v>1.98</v>
          </cell>
          <cell r="E43">
            <v>1.92</v>
          </cell>
          <cell r="F43">
            <v>1.62</v>
          </cell>
          <cell r="G43">
            <v>1.81</v>
          </cell>
          <cell r="H43">
            <v>2.0699999999999998</v>
          </cell>
          <cell r="I43">
            <v>2.4</v>
          </cell>
          <cell r="J43">
            <v>1.78</v>
          </cell>
          <cell r="K43">
            <v>1.76</v>
          </cell>
          <cell r="L43">
            <v>1.91</v>
          </cell>
          <cell r="M43">
            <v>2.16</v>
          </cell>
          <cell r="N43">
            <v>1.85</v>
          </cell>
          <cell r="O43">
            <v>1.88</v>
          </cell>
          <cell r="P43">
            <v>2.2400000000000002</v>
          </cell>
          <cell r="Q43">
            <v>1.92</v>
          </cell>
          <cell r="R43">
            <v>2.1</v>
          </cell>
          <cell r="S43">
            <v>2.12</v>
          </cell>
          <cell r="T43">
            <v>1.78</v>
          </cell>
          <cell r="U43">
            <v>1.83</v>
          </cell>
          <cell r="V43">
            <v>1.58</v>
          </cell>
          <cell r="W43">
            <v>1.68</v>
          </cell>
          <cell r="X43">
            <v>1.59</v>
          </cell>
          <cell r="Y43">
            <v>1.39</v>
          </cell>
          <cell r="Z43">
            <v>1.3</v>
          </cell>
          <cell r="AA43">
            <v>1.49</v>
          </cell>
          <cell r="AB43">
            <v>1.59</v>
          </cell>
          <cell r="AC43">
            <v>1.51</v>
          </cell>
          <cell r="AD43">
            <v>1.29</v>
          </cell>
          <cell r="AE43">
            <v>1.29</v>
          </cell>
          <cell r="AF43">
            <v>1.35</v>
          </cell>
          <cell r="AG43">
            <v>1.45</v>
          </cell>
          <cell r="AH43">
            <v>1.48</v>
          </cell>
          <cell r="AI43">
            <v>1.28</v>
          </cell>
          <cell r="AJ43">
            <v>1.22</v>
          </cell>
          <cell r="AK43">
            <v>1.44</v>
          </cell>
          <cell r="AL43">
            <v>1.5</v>
          </cell>
          <cell r="AM43">
            <v>1.61</v>
          </cell>
          <cell r="AN43">
            <v>1.89</v>
          </cell>
          <cell r="AO43">
            <v>2.02</v>
          </cell>
          <cell r="AP43">
            <v>1.81</v>
          </cell>
          <cell r="AQ43">
            <v>1.91</v>
          </cell>
          <cell r="AR43">
            <v>2.15</v>
          </cell>
          <cell r="AS43">
            <v>2.02</v>
          </cell>
          <cell r="AT43">
            <v>2.06</v>
          </cell>
          <cell r="AU43">
            <v>2.2000000000000002</v>
          </cell>
          <cell r="AV43">
            <v>2.17</v>
          </cell>
          <cell r="AW43">
            <v>1.68</v>
          </cell>
          <cell r="AX43">
            <v>1.7</v>
          </cell>
          <cell r="AY43">
            <v>2.5099999999999998</v>
          </cell>
          <cell r="AZ43">
            <v>3.61</v>
          </cell>
          <cell r="BA43">
            <v>4.3</v>
          </cell>
          <cell r="BB43">
            <v>2.77</v>
          </cell>
          <cell r="BC43">
            <v>1.65</v>
          </cell>
          <cell r="BD43">
            <v>1.71</v>
          </cell>
          <cell r="BE43">
            <v>1.95</v>
          </cell>
          <cell r="BF43">
            <v>2.14</v>
          </cell>
          <cell r="BG43">
            <v>2.06</v>
          </cell>
          <cell r="BH43">
            <v>2.06</v>
          </cell>
          <cell r="BI43">
            <v>2.39</v>
          </cell>
          <cell r="BJ43">
            <v>3.01</v>
          </cell>
          <cell r="BK43">
            <v>3.16</v>
          </cell>
          <cell r="BL43">
            <v>2.36</v>
          </cell>
          <cell r="BM43">
            <v>2.15</v>
          </cell>
          <cell r="BN43">
            <v>1.93</v>
          </cell>
          <cell r="BO43">
            <v>2.16</v>
          </cell>
          <cell r="BP43">
            <v>2.19</v>
          </cell>
          <cell r="BQ43">
            <v>2.17</v>
          </cell>
          <cell r="BR43">
            <v>1.95</v>
          </cell>
          <cell r="BS43">
            <v>2.29</v>
          </cell>
          <cell r="BT43">
            <v>1.86</v>
          </cell>
          <cell r="BU43">
            <v>1.58</v>
          </cell>
          <cell r="BV43">
            <v>1.93</v>
          </cell>
          <cell r="BW43">
            <v>1.95</v>
          </cell>
          <cell r="BX43">
            <v>2.06</v>
          </cell>
          <cell r="BY43">
            <v>1.77</v>
          </cell>
          <cell r="BZ43">
            <v>1.75</v>
          </cell>
          <cell r="CA43">
            <v>1.58</v>
          </cell>
          <cell r="CB43">
            <v>1.76</v>
          </cell>
          <cell r="CC43">
            <v>2.23</v>
          </cell>
          <cell r="CD43">
            <v>2.13</v>
          </cell>
          <cell r="CE43">
            <v>2.1800000000000002</v>
          </cell>
          <cell r="CF43">
            <v>2.5099999999999998</v>
          </cell>
          <cell r="CG43">
            <v>2.78</v>
          </cell>
        </row>
        <row r="44">
          <cell r="A44" t="str">
            <v>PEPL-FZ</v>
          </cell>
          <cell r="B44">
            <v>41</v>
          </cell>
          <cell r="C44">
            <v>2.0699999999999998</v>
          </cell>
          <cell r="D44">
            <v>2.0299999999999998</v>
          </cell>
          <cell r="E44">
            <v>1.95</v>
          </cell>
          <cell r="F44">
            <v>1.61</v>
          </cell>
          <cell r="G44">
            <v>1.83</v>
          </cell>
          <cell r="H44">
            <v>2.1</v>
          </cell>
          <cell r="I44">
            <v>2.5499999999999998</v>
          </cell>
          <cell r="J44">
            <v>1.85</v>
          </cell>
          <cell r="K44">
            <v>1.79</v>
          </cell>
          <cell r="L44">
            <v>1.93</v>
          </cell>
          <cell r="M44">
            <v>2.1800000000000002</v>
          </cell>
          <cell r="N44">
            <v>1.9</v>
          </cell>
          <cell r="O44">
            <v>1.9</v>
          </cell>
          <cell r="P44">
            <v>2.23</v>
          </cell>
          <cell r="Q44">
            <v>1.97</v>
          </cell>
          <cell r="R44">
            <v>2.12</v>
          </cell>
          <cell r="S44">
            <v>2.14</v>
          </cell>
          <cell r="T44">
            <v>1.8</v>
          </cell>
          <cell r="U44">
            <v>1.84</v>
          </cell>
          <cell r="V44">
            <v>1.57</v>
          </cell>
          <cell r="W44">
            <v>1.65</v>
          </cell>
          <cell r="X44">
            <v>1.57</v>
          </cell>
          <cell r="Y44">
            <v>1.41</v>
          </cell>
          <cell r="Z44">
            <v>1.31</v>
          </cell>
          <cell r="AA44">
            <v>1.52</v>
          </cell>
          <cell r="AB44">
            <v>1.6</v>
          </cell>
          <cell r="AC44">
            <v>1.51</v>
          </cell>
          <cell r="AD44">
            <v>1.27</v>
          </cell>
          <cell r="AE44">
            <v>1.27</v>
          </cell>
          <cell r="AF44">
            <v>1.34</v>
          </cell>
          <cell r="AG44">
            <v>1.45</v>
          </cell>
          <cell r="AH44">
            <v>1.47</v>
          </cell>
          <cell r="AI44">
            <v>1.25</v>
          </cell>
          <cell r="AJ44">
            <v>1.2</v>
          </cell>
          <cell r="AK44">
            <v>1.41</v>
          </cell>
          <cell r="AL44">
            <v>1.5</v>
          </cell>
          <cell r="AM44">
            <v>1.61</v>
          </cell>
          <cell r="AN44">
            <v>1.89</v>
          </cell>
          <cell r="AO44">
            <v>2</v>
          </cell>
          <cell r="AP44">
            <v>1.81</v>
          </cell>
          <cell r="AQ44">
            <v>1.9</v>
          </cell>
          <cell r="AR44">
            <v>2.14</v>
          </cell>
          <cell r="AS44">
            <v>2</v>
          </cell>
          <cell r="AT44">
            <v>2.0499999999999998</v>
          </cell>
          <cell r="AU44">
            <v>2.1800000000000002</v>
          </cell>
          <cell r="AV44">
            <v>2.13</v>
          </cell>
          <cell r="AW44">
            <v>1.67</v>
          </cell>
          <cell r="AX44">
            <v>1.69</v>
          </cell>
          <cell r="AY44">
            <v>2.5099999999999998</v>
          </cell>
          <cell r="AZ44">
            <v>3.61</v>
          </cell>
          <cell r="BA44">
            <v>4.0999999999999996</v>
          </cell>
          <cell r="BB44">
            <v>2.84</v>
          </cell>
          <cell r="BC44">
            <v>1.64</v>
          </cell>
          <cell r="BD44">
            <v>1.73</v>
          </cell>
          <cell r="BE44">
            <v>1.95</v>
          </cell>
          <cell r="BF44">
            <v>2.13</v>
          </cell>
          <cell r="BG44">
            <v>2.0099999999999998</v>
          </cell>
          <cell r="BH44">
            <v>2.06</v>
          </cell>
          <cell r="BI44">
            <v>2.42</v>
          </cell>
          <cell r="BJ44">
            <v>3.01</v>
          </cell>
          <cell r="BK44">
            <v>3.16</v>
          </cell>
          <cell r="BL44">
            <v>2.35</v>
          </cell>
          <cell r="BM44">
            <v>2.15</v>
          </cell>
          <cell r="BN44">
            <v>1.93</v>
          </cell>
          <cell r="BO44">
            <v>2.15</v>
          </cell>
          <cell r="BP44">
            <v>2.19</v>
          </cell>
          <cell r="BQ44">
            <v>2.1800000000000002</v>
          </cell>
          <cell r="BR44">
            <v>1.94</v>
          </cell>
          <cell r="BS44">
            <v>2.27</v>
          </cell>
          <cell r="BT44">
            <v>1.84</v>
          </cell>
          <cell r="BU44">
            <v>1.56</v>
          </cell>
          <cell r="BV44">
            <v>1.9</v>
          </cell>
          <cell r="BW44">
            <v>1.95</v>
          </cell>
          <cell r="BX44">
            <v>2.06</v>
          </cell>
          <cell r="BY44">
            <v>1.78</v>
          </cell>
          <cell r="BZ44">
            <v>1.76</v>
          </cell>
          <cell r="CA44">
            <v>1.58</v>
          </cell>
          <cell r="CB44">
            <v>1.76</v>
          </cell>
          <cell r="CC44">
            <v>2.2200000000000002</v>
          </cell>
          <cell r="CD44">
            <v>2.12</v>
          </cell>
          <cell r="CE44">
            <v>2.17</v>
          </cell>
          <cell r="CF44">
            <v>2.5099999999999998</v>
          </cell>
          <cell r="CG44">
            <v>2.77</v>
          </cell>
        </row>
        <row r="45">
          <cell r="A45" t="str">
            <v>QUEST</v>
          </cell>
          <cell r="B45">
            <v>42</v>
          </cell>
          <cell r="C45">
            <v>1.87</v>
          </cell>
          <cell r="D45">
            <v>1.88</v>
          </cell>
          <cell r="E45">
            <v>2.2599999999999998</v>
          </cell>
          <cell r="F45">
            <v>1.59</v>
          </cell>
          <cell r="G45">
            <v>1.7</v>
          </cell>
          <cell r="H45">
            <v>1.75</v>
          </cell>
          <cell r="I45">
            <v>2.2000000000000002</v>
          </cell>
          <cell r="J45">
            <v>1.58</v>
          </cell>
          <cell r="K45">
            <v>1.56</v>
          </cell>
          <cell r="L45">
            <v>1.65</v>
          </cell>
          <cell r="M45">
            <v>1.88</v>
          </cell>
          <cell r="N45">
            <v>1.72</v>
          </cell>
          <cell r="O45">
            <v>1.71</v>
          </cell>
          <cell r="P45">
            <v>2.2599999999999998</v>
          </cell>
          <cell r="Q45">
            <v>1.86</v>
          </cell>
          <cell r="R45">
            <v>1.77</v>
          </cell>
          <cell r="S45">
            <v>1.88</v>
          </cell>
          <cell r="T45">
            <v>1.55</v>
          </cell>
          <cell r="U45">
            <v>1.55</v>
          </cell>
          <cell r="V45">
            <v>1.31</v>
          </cell>
          <cell r="W45">
            <v>1.42</v>
          </cell>
          <cell r="X45">
            <v>1.41</v>
          </cell>
          <cell r="Y45">
            <v>1.34</v>
          </cell>
          <cell r="Z45">
            <v>1.1499999999999999</v>
          </cell>
          <cell r="AA45">
            <v>1.45</v>
          </cell>
          <cell r="AB45">
            <v>1.57</v>
          </cell>
          <cell r="AC45">
            <v>1.35</v>
          </cell>
          <cell r="AD45">
            <v>1.06</v>
          </cell>
          <cell r="AE45">
            <v>1.05</v>
          </cell>
          <cell r="AF45">
            <v>1.05</v>
          </cell>
          <cell r="AG45">
            <v>1.07</v>
          </cell>
          <cell r="AH45">
            <v>1.1299999999999999</v>
          </cell>
          <cell r="AI45">
            <v>0.98</v>
          </cell>
          <cell r="AJ45">
            <v>0.85</v>
          </cell>
          <cell r="AK45">
            <v>0.95</v>
          </cell>
          <cell r="AL45">
            <v>1.04</v>
          </cell>
          <cell r="AM45">
            <v>1.23</v>
          </cell>
          <cell r="AN45">
            <v>1.31</v>
          </cell>
          <cell r="AO45">
            <v>1.26</v>
          </cell>
          <cell r="AP45">
            <v>1.17</v>
          </cell>
          <cell r="AQ45">
            <v>1.1599999999999999</v>
          </cell>
          <cell r="AR45">
            <v>1.05</v>
          </cell>
          <cell r="AS45">
            <v>1.05</v>
          </cell>
          <cell r="AT45">
            <v>1.06</v>
          </cell>
          <cell r="AU45">
            <v>1.17</v>
          </cell>
          <cell r="AV45">
            <v>1.19</v>
          </cell>
          <cell r="AW45">
            <v>1.18</v>
          </cell>
          <cell r="AX45">
            <v>1.25</v>
          </cell>
          <cell r="AY45">
            <v>2.2000000000000002</v>
          </cell>
          <cell r="AZ45">
            <v>3.36</v>
          </cell>
          <cell r="BA45">
            <v>4.2</v>
          </cell>
          <cell r="BB45">
            <v>2.4500000000000002</v>
          </cell>
          <cell r="BC45">
            <v>1.38</v>
          </cell>
          <cell r="BD45">
            <v>1.42</v>
          </cell>
          <cell r="BE45">
            <v>1.61</v>
          </cell>
          <cell r="BF45">
            <v>1.45</v>
          </cell>
          <cell r="BG45">
            <v>1.42</v>
          </cell>
          <cell r="BH45">
            <v>1.38</v>
          </cell>
          <cell r="BI45">
            <v>1.47</v>
          </cell>
          <cell r="BJ45">
            <v>2.1</v>
          </cell>
          <cell r="BK45">
            <v>2.99</v>
          </cell>
          <cell r="BL45">
            <v>1.93</v>
          </cell>
          <cell r="BM45">
            <v>2.04</v>
          </cell>
          <cell r="BN45">
            <v>1.68</v>
          </cell>
          <cell r="BO45">
            <v>1.86</v>
          </cell>
          <cell r="BP45">
            <v>1.89</v>
          </cell>
          <cell r="BQ45">
            <v>1.97</v>
          </cell>
          <cell r="BR45">
            <v>1.62</v>
          </cell>
          <cell r="BS45">
            <v>1.61</v>
          </cell>
          <cell r="BT45">
            <v>1.73</v>
          </cell>
          <cell r="BU45">
            <v>1.53</v>
          </cell>
          <cell r="BV45">
            <v>1.64</v>
          </cell>
          <cell r="BW45">
            <v>1.91</v>
          </cell>
          <cell r="BX45">
            <v>2</v>
          </cell>
          <cell r="BY45">
            <v>1.73</v>
          </cell>
          <cell r="BZ45">
            <v>1.58</v>
          </cell>
          <cell r="CA45">
            <v>1.45</v>
          </cell>
          <cell r="CB45">
            <v>1.43</v>
          </cell>
          <cell r="CC45">
            <v>1.9</v>
          </cell>
          <cell r="CD45">
            <v>1.85</v>
          </cell>
          <cell r="CE45">
            <v>1.92</v>
          </cell>
          <cell r="CF45">
            <v>2.12</v>
          </cell>
          <cell r="CG45">
            <v>2.48</v>
          </cell>
        </row>
        <row r="46">
          <cell r="A46" t="str">
            <v>NGI-SOCAL</v>
          </cell>
          <cell r="B46">
            <v>43</v>
          </cell>
          <cell r="C46">
            <v>2.42</v>
          </cell>
          <cell r="D46">
            <v>2.3199999999999998</v>
          </cell>
          <cell r="E46">
            <v>2.33</v>
          </cell>
          <cell r="F46">
            <v>1.82</v>
          </cell>
          <cell r="G46">
            <v>2.04</v>
          </cell>
          <cell r="H46">
            <v>2.1800000000000002</v>
          </cell>
          <cell r="I46">
            <v>2.58</v>
          </cell>
          <cell r="J46">
            <v>1.92</v>
          </cell>
          <cell r="K46">
            <v>2.04</v>
          </cell>
          <cell r="L46">
            <v>2.29</v>
          </cell>
          <cell r="M46">
            <v>2.4300000000000002</v>
          </cell>
          <cell r="N46">
            <v>2.2000000000000002</v>
          </cell>
          <cell r="O46">
            <v>2.0699999999999998</v>
          </cell>
          <cell r="P46">
            <v>2.5499999999999998</v>
          </cell>
          <cell r="Q46">
            <v>2.23</v>
          </cell>
          <cell r="R46">
            <v>2</v>
          </cell>
          <cell r="S46">
            <v>2.19</v>
          </cell>
          <cell r="T46">
            <v>1.93</v>
          </cell>
          <cell r="U46">
            <v>1.92</v>
          </cell>
          <cell r="V46">
            <v>1.66</v>
          </cell>
          <cell r="W46">
            <v>1.76</v>
          </cell>
          <cell r="X46">
            <v>1.74</v>
          </cell>
          <cell r="Y46">
            <v>1.64</v>
          </cell>
          <cell r="Z46">
            <v>1.4</v>
          </cell>
          <cell r="AA46">
            <v>1.69</v>
          </cell>
          <cell r="AB46">
            <v>1.85</v>
          </cell>
          <cell r="AC46">
            <v>1.66</v>
          </cell>
          <cell r="AD46">
            <v>1.27</v>
          </cell>
          <cell r="AE46">
            <v>1.23</v>
          </cell>
          <cell r="AF46">
            <v>1.25</v>
          </cell>
          <cell r="AG46">
            <v>1.34</v>
          </cell>
          <cell r="AH46">
            <v>1.38</v>
          </cell>
          <cell r="AI46">
            <v>1.25</v>
          </cell>
          <cell r="AJ46">
            <v>1.24</v>
          </cell>
          <cell r="AK46">
            <v>1.46</v>
          </cell>
          <cell r="AL46">
            <v>1.53</v>
          </cell>
          <cell r="AM46">
            <v>1.56</v>
          </cell>
          <cell r="AN46">
            <v>1.63</v>
          </cell>
          <cell r="AO46">
            <v>1.48</v>
          </cell>
          <cell r="AP46">
            <v>1.42</v>
          </cell>
          <cell r="AQ46">
            <v>1.39</v>
          </cell>
          <cell r="AR46">
            <v>1.29</v>
          </cell>
          <cell r="AS46">
            <v>1.29</v>
          </cell>
          <cell r="AT46">
            <v>1.37</v>
          </cell>
          <cell r="AU46">
            <v>1.69</v>
          </cell>
          <cell r="AV46">
            <v>2.16</v>
          </cell>
          <cell r="AW46">
            <v>1.72</v>
          </cell>
          <cell r="AX46">
            <v>1.73</v>
          </cell>
          <cell r="AY46">
            <v>2.62</v>
          </cell>
          <cell r="AZ46">
            <v>3.7</v>
          </cell>
          <cell r="BA46">
            <v>4.2699999999999996</v>
          </cell>
          <cell r="BB46">
            <v>2.65</v>
          </cell>
          <cell r="BC46">
            <v>1.61</v>
          </cell>
          <cell r="BD46">
            <v>1.74</v>
          </cell>
          <cell r="BE46">
            <v>2.0499999999999998</v>
          </cell>
          <cell r="BF46">
            <v>2.2000000000000002</v>
          </cell>
          <cell r="BG46">
            <v>2.19</v>
          </cell>
          <cell r="BH46">
            <v>2.2200000000000002</v>
          </cell>
          <cell r="BI46">
            <v>2.5</v>
          </cell>
          <cell r="BJ46">
            <v>3.08</v>
          </cell>
          <cell r="BK46">
            <v>3.34</v>
          </cell>
          <cell r="BL46">
            <v>2.36</v>
          </cell>
          <cell r="BM46">
            <v>2.2799999999999998</v>
          </cell>
          <cell r="BN46">
            <v>2.11</v>
          </cell>
        </row>
        <row r="47">
          <cell r="A47" t="str">
            <v>SONAT-LA</v>
          </cell>
          <cell r="B47">
            <v>44</v>
          </cell>
          <cell r="C47">
            <v>2.2599999999999998</v>
          </cell>
          <cell r="D47">
            <v>2.2000000000000002</v>
          </cell>
          <cell r="E47">
            <v>1.91</v>
          </cell>
          <cell r="F47">
            <v>1.61</v>
          </cell>
          <cell r="G47">
            <v>1.9</v>
          </cell>
          <cell r="H47">
            <v>2.1800000000000002</v>
          </cell>
          <cell r="I47">
            <v>2.6</v>
          </cell>
          <cell r="J47">
            <v>1.95</v>
          </cell>
          <cell r="K47">
            <v>1.9</v>
          </cell>
          <cell r="L47">
            <v>2.0499999999999998</v>
          </cell>
          <cell r="M47">
            <v>2.31</v>
          </cell>
          <cell r="N47">
            <v>1.95</v>
          </cell>
          <cell r="O47">
            <v>2.0499999999999998</v>
          </cell>
          <cell r="P47">
            <v>2.2999999999999998</v>
          </cell>
          <cell r="Q47">
            <v>2.0099999999999998</v>
          </cell>
          <cell r="R47">
            <v>2.31</v>
          </cell>
          <cell r="S47">
            <v>2.3199999999999998</v>
          </cell>
          <cell r="T47">
            <v>1.91</v>
          </cell>
          <cell r="U47">
            <v>1.92</v>
          </cell>
          <cell r="V47">
            <v>1.75</v>
          </cell>
          <cell r="W47">
            <v>1.85</v>
          </cell>
          <cell r="X47">
            <v>1.73</v>
          </cell>
          <cell r="Y47">
            <v>1.44</v>
          </cell>
          <cell r="Z47">
            <v>1.38</v>
          </cell>
          <cell r="AA47">
            <v>1.62</v>
          </cell>
          <cell r="AB47">
            <v>1.65</v>
          </cell>
          <cell r="AC47">
            <v>1.57</v>
          </cell>
          <cell r="AD47">
            <v>1.38</v>
          </cell>
          <cell r="AE47">
            <v>1.41</v>
          </cell>
          <cell r="AF47">
            <v>1.53</v>
          </cell>
          <cell r="AG47">
            <v>1.64</v>
          </cell>
          <cell r="AH47">
            <v>1.66</v>
          </cell>
          <cell r="AI47">
            <v>1.46</v>
          </cell>
          <cell r="AJ47">
            <v>1.34</v>
          </cell>
          <cell r="AK47">
            <v>1.54</v>
          </cell>
          <cell r="AL47">
            <v>1.61</v>
          </cell>
          <cell r="AM47">
            <v>1.76</v>
          </cell>
          <cell r="AN47">
            <v>2.2400000000000002</v>
          </cell>
          <cell r="AO47">
            <v>3.38</v>
          </cell>
          <cell r="AP47">
            <v>2.34</v>
          </cell>
          <cell r="AQ47">
            <v>2.84</v>
          </cell>
          <cell r="AR47">
            <v>2.65</v>
          </cell>
          <cell r="AS47">
            <v>2.17</v>
          </cell>
          <cell r="AT47">
            <v>2.2999999999999998</v>
          </cell>
          <cell r="AU47">
            <v>2.61</v>
          </cell>
          <cell r="AV47">
            <v>2.2599999999999998</v>
          </cell>
          <cell r="AW47">
            <v>1.74</v>
          </cell>
          <cell r="AX47">
            <v>1.78</v>
          </cell>
          <cell r="AY47">
            <v>2.66</v>
          </cell>
          <cell r="AZ47">
            <v>3.84</v>
          </cell>
          <cell r="BA47">
            <v>3.95</v>
          </cell>
          <cell r="BB47">
            <v>2.88</v>
          </cell>
          <cell r="BC47">
            <v>1.74</v>
          </cell>
          <cell r="BD47">
            <v>1.78</v>
          </cell>
          <cell r="BE47">
            <v>2.08</v>
          </cell>
          <cell r="BF47">
            <v>2.2799999999999998</v>
          </cell>
          <cell r="BG47">
            <v>2.1</v>
          </cell>
          <cell r="BH47">
            <v>2.14</v>
          </cell>
          <cell r="BI47">
            <v>2.5</v>
          </cell>
          <cell r="BJ47">
            <v>3.05</v>
          </cell>
          <cell r="BK47">
            <v>3.25</v>
          </cell>
          <cell r="BL47">
            <v>2.52</v>
          </cell>
          <cell r="BM47">
            <v>2.27</v>
          </cell>
          <cell r="BN47">
            <v>2.02</v>
          </cell>
          <cell r="BO47">
            <v>2.23</v>
          </cell>
          <cell r="BP47">
            <v>2.2799999999999998</v>
          </cell>
          <cell r="BQ47">
            <v>2.25</v>
          </cell>
          <cell r="BR47">
            <v>2.0099999999999998</v>
          </cell>
          <cell r="BS47">
            <v>2.35</v>
          </cell>
          <cell r="BT47">
            <v>1.91</v>
          </cell>
          <cell r="BU47">
            <v>1.6</v>
          </cell>
          <cell r="BV47">
            <v>2.02</v>
          </cell>
          <cell r="BW47">
            <v>1.96</v>
          </cell>
          <cell r="BX47">
            <v>2.09</v>
          </cell>
          <cell r="BY47">
            <v>1.76</v>
          </cell>
          <cell r="BZ47">
            <v>1.78</v>
          </cell>
          <cell r="CA47">
            <v>1.62</v>
          </cell>
          <cell r="CB47">
            <v>1.87</v>
          </cell>
          <cell r="CC47">
            <v>2.2999999999999998</v>
          </cell>
          <cell r="CD47">
            <v>2.21</v>
          </cell>
          <cell r="CE47">
            <v>2.2599999999999998</v>
          </cell>
          <cell r="CF47">
            <v>2.6</v>
          </cell>
          <cell r="CG47">
            <v>2.87</v>
          </cell>
        </row>
        <row r="48">
          <cell r="A48" t="str">
            <v>TANG</v>
          </cell>
          <cell r="B48">
            <v>45</v>
          </cell>
          <cell r="C48">
            <v>2.2090000000000001</v>
          </cell>
          <cell r="D48">
            <v>2.1240000000000001</v>
          </cell>
          <cell r="E48">
            <v>1.85</v>
          </cell>
          <cell r="F48">
            <v>1.5489999999999999</v>
          </cell>
          <cell r="G48">
            <v>1.806</v>
          </cell>
          <cell r="H48">
            <v>2.109</v>
          </cell>
          <cell r="I48">
            <v>2.581</v>
          </cell>
          <cell r="J48">
            <v>1.927</v>
          </cell>
          <cell r="K48">
            <v>1.8540000000000001</v>
          </cell>
          <cell r="L48">
            <v>2.0030000000000001</v>
          </cell>
          <cell r="M48">
            <v>2.2959999999999998</v>
          </cell>
          <cell r="N48">
            <v>1.9379999999999999</v>
          </cell>
          <cell r="O48">
            <v>2.0230000000000001</v>
          </cell>
          <cell r="P48">
            <v>2.3010000000000002</v>
          </cell>
          <cell r="Q48">
            <v>1.9690000000000001</v>
          </cell>
          <cell r="R48">
            <v>2.1930000000000001</v>
          </cell>
          <cell r="S48">
            <v>2.198</v>
          </cell>
          <cell r="T48">
            <v>1.871</v>
          </cell>
          <cell r="U48">
            <v>1.9670000000000001</v>
          </cell>
          <cell r="V48">
            <v>1.7090000000000001</v>
          </cell>
          <cell r="W48">
            <v>1.86</v>
          </cell>
          <cell r="X48">
            <v>1.7</v>
          </cell>
          <cell r="Y48">
            <v>1.397</v>
          </cell>
          <cell r="Z48">
            <v>1.333</v>
          </cell>
          <cell r="AA48">
            <v>1.5920000000000001</v>
          </cell>
          <cell r="AB48">
            <v>1.601</v>
          </cell>
          <cell r="AC48">
            <v>1.514</v>
          </cell>
          <cell r="AD48">
            <v>1.3120000000000001</v>
          </cell>
          <cell r="AE48">
            <v>1.3380000000000001</v>
          </cell>
          <cell r="AF48">
            <v>1.4610000000000001</v>
          </cell>
          <cell r="AG48">
            <v>1.577</v>
          </cell>
          <cell r="AH48">
            <v>1.6180000000000001</v>
          </cell>
          <cell r="AI48">
            <v>1.399</v>
          </cell>
          <cell r="AJ48">
            <v>1.288</v>
          </cell>
          <cell r="AK48">
            <v>1.4810000000000001</v>
          </cell>
          <cell r="AL48">
            <v>1.544</v>
          </cell>
          <cell r="AM48">
            <v>1.6779999999999999</v>
          </cell>
          <cell r="AN48">
            <v>2.0640000000000001</v>
          </cell>
          <cell r="AO48">
            <v>2.0859999999999999</v>
          </cell>
          <cell r="AP48">
            <v>1.806</v>
          </cell>
          <cell r="AQ48">
            <v>1.92</v>
          </cell>
          <cell r="AR48">
            <v>2.2050000000000001</v>
          </cell>
          <cell r="AS48">
            <v>2.1040000000000001</v>
          </cell>
          <cell r="AT48">
            <v>2.2410000000000001</v>
          </cell>
          <cell r="AU48">
            <v>2.5099999999999998</v>
          </cell>
          <cell r="AV48">
            <v>2.1619999999999999</v>
          </cell>
          <cell r="AW48">
            <v>1.6859999999999999</v>
          </cell>
          <cell r="AX48">
            <v>1.7270000000000001</v>
          </cell>
          <cell r="AY48">
            <v>2.5539999999999998</v>
          </cell>
          <cell r="AZ48">
            <v>3.6459999999999999</v>
          </cell>
          <cell r="BA48">
            <v>3.7229999999999999</v>
          </cell>
          <cell r="BB48">
            <v>2.706</v>
          </cell>
          <cell r="BC48">
            <v>1.62</v>
          </cell>
          <cell r="BD48">
            <v>1.716</v>
          </cell>
          <cell r="BE48">
            <v>2.0179999999999998</v>
          </cell>
        </row>
        <row r="49">
          <cell r="A49" t="str">
            <v>TENN-Z0</v>
          </cell>
          <cell r="B49">
            <v>46</v>
          </cell>
          <cell r="C49">
            <v>2.2799999999999998</v>
          </cell>
          <cell r="D49">
            <v>2.12</v>
          </cell>
          <cell r="E49">
            <v>1.82</v>
          </cell>
          <cell r="F49">
            <v>1.54</v>
          </cell>
          <cell r="G49">
            <v>1.8</v>
          </cell>
          <cell r="H49">
            <v>2.1</v>
          </cell>
          <cell r="I49">
            <v>2.58</v>
          </cell>
          <cell r="J49">
            <v>1.83</v>
          </cell>
          <cell r="K49">
            <v>1.73</v>
          </cell>
          <cell r="L49">
            <v>1.89</v>
          </cell>
          <cell r="M49">
            <v>2.23</v>
          </cell>
          <cell r="N49">
            <v>1.88</v>
          </cell>
          <cell r="O49">
            <v>2.02</v>
          </cell>
          <cell r="P49">
            <v>2.29</v>
          </cell>
          <cell r="Q49">
            <v>1.94</v>
          </cell>
          <cell r="R49">
            <v>2.1800000000000002</v>
          </cell>
          <cell r="S49">
            <v>2.17</v>
          </cell>
          <cell r="T49">
            <v>1.85</v>
          </cell>
          <cell r="U49">
            <v>1.98</v>
          </cell>
          <cell r="V49">
            <v>1.7</v>
          </cell>
          <cell r="W49">
            <v>1.84</v>
          </cell>
          <cell r="X49">
            <v>1.68</v>
          </cell>
          <cell r="Y49">
            <v>1.38</v>
          </cell>
          <cell r="Z49">
            <v>1.33</v>
          </cell>
          <cell r="AA49">
            <v>1.62</v>
          </cell>
          <cell r="AB49">
            <v>1.6</v>
          </cell>
          <cell r="AC49">
            <v>1.5</v>
          </cell>
          <cell r="AD49">
            <v>1.32</v>
          </cell>
          <cell r="AE49">
            <v>1.35</v>
          </cell>
          <cell r="AF49">
            <v>1.47</v>
          </cell>
          <cell r="AG49">
            <v>1.58</v>
          </cell>
          <cell r="AH49">
            <v>1.63</v>
          </cell>
          <cell r="AI49">
            <v>1.4</v>
          </cell>
          <cell r="AJ49">
            <v>1.28</v>
          </cell>
          <cell r="AK49">
            <v>1.48</v>
          </cell>
          <cell r="AL49">
            <v>1.56</v>
          </cell>
          <cell r="AM49">
            <v>1.7</v>
          </cell>
          <cell r="AN49">
            <v>2.08</v>
          </cell>
          <cell r="AO49">
            <v>2.11</v>
          </cell>
          <cell r="AP49">
            <v>1.8</v>
          </cell>
          <cell r="AQ49">
            <v>1.97</v>
          </cell>
          <cell r="AR49">
            <v>2.2200000000000002</v>
          </cell>
          <cell r="AS49">
            <v>2.11</v>
          </cell>
          <cell r="AT49">
            <v>2.2599999999999998</v>
          </cell>
          <cell r="AU49">
            <v>2.5299999999999998</v>
          </cell>
          <cell r="AV49">
            <v>2.19</v>
          </cell>
          <cell r="AW49">
            <v>1.69</v>
          </cell>
          <cell r="AX49">
            <v>1.73</v>
          </cell>
          <cell r="AY49">
            <v>2.59</v>
          </cell>
          <cell r="AZ49">
            <v>3.68</v>
          </cell>
          <cell r="BA49">
            <v>3.82</v>
          </cell>
          <cell r="BB49">
            <v>2.73</v>
          </cell>
          <cell r="BC49">
            <v>1.62</v>
          </cell>
          <cell r="BD49">
            <v>1.74</v>
          </cell>
          <cell r="BE49">
            <v>2.02</v>
          </cell>
          <cell r="BF49">
            <v>2.23</v>
          </cell>
          <cell r="BG49">
            <v>2.06</v>
          </cell>
          <cell r="BH49">
            <v>2.1</v>
          </cell>
          <cell r="BI49">
            <v>2.4300000000000002</v>
          </cell>
          <cell r="BJ49">
            <v>2.99</v>
          </cell>
          <cell r="BK49">
            <v>3.17</v>
          </cell>
          <cell r="BL49">
            <v>2.36</v>
          </cell>
          <cell r="BM49">
            <v>2.14</v>
          </cell>
          <cell r="BN49">
            <v>1.92</v>
          </cell>
          <cell r="BO49">
            <v>2.16</v>
          </cell>
          <cell r="BP49">
            <v>2.2200000000000002</v>
          </cell>
          <cell r="BQ49">
            <v>2.2000000000000002</v>
          </cell>
          <cell r="BR49">
            <v>1.95</v>
          </cell>
          <cell r="BS49">
            <v>2.27</v>
          </cell>
          <cell r="BT49">
            <v>1.83</v>
          </cell>
          <cell r="BU49">
            <v>1.53</v>
          </cell>
          <cell r="BV49">
            <v>1.92</v>
          </cell>
          <cell r="BW49">
            <v>1.89</v>
          </cell>
          <cell r="BX49">
            <v>2.02</v>
          </cell>
          <cell r="BY49">
            <v>1.69</v>
          </cell>
          <cell r="BZ49">
            <v>1.74</v>
          </cell>
          <cell r="CA49">
            <v>1.56</v>
          </cell>
          <cell r="CB49">
            <v>1.83</v>
          </cell>
          <cell r="CC49">
            <v>2.2799999999999998</v>
          </cell>
          <cell r="CD49">
            <v>2.14</v>
          </cell>
          <cell r="CE49">
            <v>2.19</v>
          </cell>
          <cell r="CF49">
            <v>2.5299999999999998</v>
          </cell>
          <cell r="CG49">
            <v>2.8</v>
          </cell>
        </row>
        <row r="50">
          <cell r="A50" t="str">
            <v>TENN-Z1</v>
          </cell>
          <cell r="B50">
            <v>47</v>
          </cell>
          <cell r="C50">
            <v>2.2999999999999998</v>
          </cell>
          <cell r="D50">
            <v>2.1800000000000002</v>
          </cell>
          <cell r="E50">
            <v>1.88</v>
          </cell>
          <cell r="F50">
            <v>1.59</v>
          </cell>
          <cell r="G50">
            <v>1.84</v>
          </cell>
          <cell r="H50">
            <v>2.14</v>
          </cell>
          <cell r="I50">
            <v>2.6</v>
          </cell>
          <cell r="J50">
            <v>1.86</v>
          </cell>
          <cell r="K50">
            <v>1.81</v>
          </cell>
          <cell r="L50">
            <v>1.95</v>
          </cell>
          <cell r="M50">
            <v>2.27</v>
          </cell>
          <cell r="N50">
            <v>1.92</v>
          </cell>
          <cell r="O50">
            <v>2.0499999999999998</v>
          </cell>
          <cell r="P50">
            <v>2.33</v>
          </cell>
          <cell r="Q50">
            <v>1.98</v>
          </cell>
          <cell r="R50">
            <v>2.31</v>
          </cell>
          <cell r="S50">
            <v>2.3199999999999998</v>
          </cell>
          <cell r="T50">
            <v>1.92</v>
          </cell>
          <cell r="U50">
            <v>2</v>
          </cell>
          <cell r="V50">
            <v>1.73</v>
          </cell>
          <cell r="W50">
            <v>1.87</v>
          </cell>
          <cell r="X50">
            <v>1.7</v>
          </cell>
          <cell r="Y50">
            <v>1.4</v>
          </cell>
          <cell r="Z50">
            <v>1.35</v>
          </cell>
          <cell r="AA50">
            <v>1.62</v>
          </cell>
          <cell r="AB50">
            <v>1.64</v>
          </cell>
          <cell r="AC50">
            <v>1.57</v>
          </cell>
          <cell r="AD50">
            <v>1.37</v>
          </cell>
          <cell r="AE50">
            <v>1.42</v>
          </cell>
          <cell r="AF50">
            <v>1.5</v>
          </cell>
          <cell r="AG50">
            <v>1.6</v>
          </cell>
          <cell r="AH50">
            <v>1.64</v>
          </cell>
          <cell r="AI50">
            <v>1.42</v>
          </cell>
          <cell r="AJ50">
            <v>1.3</v>
          </cell>
          <cell r="AK50">
            <v>1.5</v>
          </cell>
          <cell r="AL50">
            <v>1.58</v>
          </cell>
          <cell r="AM50">
            <v>1.73</v>
          </cell>
          <cell r="AN50">
            <v>2.2400000000000002</v>
          </cell>
          <cell r="AO50">
            <v>3.25</v>
          </cell>
          <cell r="AP50">
            <v>2.33</v>
          </cell>
          <cell r="AQ50">
            <v>2.81</v>
          </cell>
          <cell r="AR50">
            <v>2.58</v>
          </cell>
          <cell r="AS50">
            <v>2.1</v>
          </cell>
          <cell r="AT50">
            <v>2.2799999999999998</v>
          </cell>
          <cell r="AU50">
            <v>2.57</v>
          </cell>
          <cell r="AV50">
            <v>2.2200000000000002</v>
          </cell>
          <cell r="AW50">
            <v>1.72</v>
          </cell>
          <cell r="AX50">
            <v>1.75</v>
          </cell>
          <cell r="AY50">
            <v>2.63</v>
          </cell>
          <cell r="AZ50">
            <v>3.73</v>
          </cell>
          <cell r="BA50">
            <v>3.84</v>
          </cell>
          <cell r="BB50">
            <v>2.79</v>
          </cell>
          <cell r="BC50">
            <v>1.66</v>
          </cell>
          <cell r="BD50">
            <v>1.76</v>
          </cell>
          <cell r="BE50">
            <v>2.04</v>
          </cell>
          <cell r="BF50">
            <v>2.2400000000000002</v>
          </cell>
          <cell r="BG50">
            <v>2.0699999999999998</v>
          </cell>
          <cell r="BH50">
            <v>2.11</v>
          </cell>
          <cell r="BI50">
            <v>2.46</v>
          </cell>
          <cell r="BJ50">
            <v>3.02</v>
          </cell>
          <cell r="BK50">
            <v>3.2</v>
          </cell>
          <cell r="BL50">
            <v>2.4500000000000002</v>
          </cell>
          <cell r="BM50">
            <v>2.19</v>
          </cell>
          <cell r="BN50">
            <v>1.93</v>
          </cell>
          <cell r="BO50">
            <v>2.19</v>
          </cell>
          <cell r="BP50">
            <v>2.2400000000000002</v>
          </cell>
          <cell r="BQ50">
            <v>2.21</v>
          </cell>
          <cell r="BR50">
            <v>1.96</v>
          </cell>
          <cell r="BS50">
            <v>2.29</v>
          </cell>
          <cell r="BT50">
            <v>1.85</v>
          </cell>
          <cell r="BU50">
            <v>1.53</v>
          </cell>
          <cell r="BV50">
            <v>1.95</v>
          </cell>
          <cell r="BW50">
            <v>1.93</v>
          </cell>
          <cell r="BX50">
            <v>2.0499999999999998</v>
          </cell>
          <cell r="BY50">
            <v>1.71</v>
          </cell>
          <cell r="BZ50">
            <v>1.75</v>
          </cell>
          <cell r="CA50">
            <v>1.57</v>
          </cell>
          <cell r="CB50">
            <v>1.84</v>
          </cell>
          <cell r="CC50">
            <v>2.2999999999999998</v>
          </cell>
          <cell r="CD50">
            <v>2.16</v>
          </cell>
          <cell r="CE50">
            <v>2.21</v>
          </cell>
          <cell r="CF50">
            <v>2.54</v>
          </cell>
          <cell r="CG50">
            <v>2.83</v>
          </cell>
        </row>
        <row r="51">
          <cell r="A51" t="str">
            <v>TET-ELA</v>
          </cell>
          <cell r="B51">
            <v>48</v>
          </cell>
          <cell r="L51">
            <v>2.0499999999999998</v>
          </cell>
          <cell r="M51">
            <v>2.35</v>
          </cell>
          <cell r="N51">
            <v>2</v>
          </cell>
          <cell r="O51">
            <v>2.1</v>
          </cell>
          <cell r="P51">
            <v>2.35</v>
          </cell>
          <cell r="Q51">
            <v>2</v>
          </cell>
          <cell r="R51">
            <v>2.35</v>
          </cell>
          <cell r="S51">
            <v>2.35</v>
          </cell>
          <cell r="T51">
            <v>1.96</v>
          </cell>
          <cell r="U51">
            <v>2.0499999999999998</v>
          </cell>
          <cell r="V51">
            <v>1.81</v>
          </cell>
          <cell r="W51">
            <v>1.93</v>
          </cell>
          <cell r="X51">
            <v>1.76</v>
          </cell>
          <cell r="Y51">
            <v>1.45</v>
          </cell>
          <cell r="Z51">
            <v>1.38</v>
          </cell>
          <cell r="AA51">
            <v>1.66</v>
          </cell>
          <cell r="AB51">
            <v>1.65</v>
          </cell>
          <cell r="AC51">
            <v>1.59</v>
          </cell>
          <cell r="AD51">
            <v>1.4</v>
          </cell>
          <cell r="AE51">
            <v>1.43</v>
          </cell>
          <cell r="AF51">
            <v>1.54</v>
          </cell>
          <cell r="AG51">
            <v>1.65</v>
          </cell>
          <cell r="AH51">
            <v>1.69</v>
          </cell>
          <cell r="AI51">
            <v>1.46</v>
          </cell>
          <cell r="AJ51">
            <v>1.34</v>
          </cell>
          <cell r="AK51">
            <v>1.54</v>
          </cell>
          <cell r="AL51">
            <v>1.61</v>
          </cell>
          <cell r="AM51">
            <v>1.76</v>
          </cell>
          <cell r="AN51">
            <v>2.2599999999999998</v>
          </cell>
          <cell r="AO51">
            <v>3.5</v>
          </cell>
          <cell r="AP51">
            <v>2.5</v>
          </cell>
          <cell r="AQ51">
            <v>2.92</v>
          </cell>
          <cell r="AR51">
            <v>2.65</v>
          </cell>
          <cell r="AS51">
            <v>2.1800000000000002</v>
          </cell>
          <cell r="AT51">
            <v>2.34</v>
          </cell>
          <cell r="AU51">
            <v>2.61</v>
          </cell>
          <cell r="AV51">
            <v>2.25</v>
          </cell>
          <cell r="AW51">
            <v>1.73</v>
          </cell>
          <cell r="AX51">
            <v>1.78</v>
          </cell>
          <cell r="AY51">
            <v>2.65</v>
          </cell>
          <cell r="AZ51">
            <v>3.83</v>
          </cell>
          <cell r="BA51">
            <v>3.9</v>
          </cell>
          <cell r="BB51">
            <v>2.85</v>
          </cell>
          <cell r="BC51">
            <v>1.7</v>
          </cell>
          <cell r="BD51">
            <v>1.78</v>
          </cell>
          <cell r="BE51">
            <v>2.0699999999999998</v>
          </cell>
          <cell r="BF51">
            <v>2.2400000000000002</v>
          </cell>
          <cell r="BG51">
            <v>2.1</v>
          </cell>
          <cell r="BH51">
            <v>2.13</v>
          </cell>
          <cell r="BI51">
            <v>2.48</v>
          </cell>
          <cell r="BJ51">
            <v>3.04</v>
          </cell>
          <cell r="BK51">
            <v>3.23</v>
          </cell>
          <cell r="BL51">
            <v>2.48</v>
          </cell>
          <cell r="BM51">
            <v>2.2200000000000002</v>
          </cell>
          <cell r="BN51">
            <v>1.97</v>
          </cell>
          <cell r="BO51">
            <v>2.2000000000000002</v>
          </cell>
          <cell r="BP51">
            <v>2.2599999999999998</v>
          </cell>
          <cell r="BQ51">
            <v>2.23</v>
          </cell>
          <cell r="BR51">
            <v>1.98</v>
          </cell>
          <cell r="BS51">
            <v>2.31</v>
          </cell>
          <cell r="BT51">
            <v>1.87</v>
          </cell>
          <cell r="BU51">
            <v>1.56</v>
          </cell>
          <cell r="BV51">
            <v>1.98</v>
          </cell>
          <cell r="BW51">
            <v>1.96</v>
          </cell>
          <cell r="BX51">
            <v>2.0499999999999998</v>
          </cell>
          <cell r="BY51">
            <v>1.72</v>
          </cell>
          <cell r="BZ51">
            <v>1.77</v>
          </cell>
          <cell r="CA51">
            <v>1.58</v>
          </cell>
          <cell r="CB51">
            <v>1.86</v>
          </cell>
          <cell r="CC51">
            <v>2.3199999999999998</v>
          </cell>
          <cell r="CD51">
            <v>2.1800000000000002</v>
          </cell>
          <cell r="CE51">
            <v>2.23</v>
          </cell>
          <cell r="CF51">
            <v>2.57</v>
          </cell>
          <cell r="CG51">
            <v>2.82</v>
          </cell>
        </row>
        <row r="52">
          <cell r="A52" t="str">
            <v>TET-ETX</v>
          </cell>
          <cell r="B52">
            <v>49</v>
          </cell>
          <cell r="L52">
            <v>2.02</v>
          </cell>
          <cell r="M52">
            <v>2.31</v>
          </cell>
          <cell r="N52">
            <v>1.96</v>
          </cell>
          <cell r="O52">
            <v>2.0499999999999998</v>
          </cell>
          <cell r="P52">
            <v>2.3199999999999998</v>
          </cell>
          <cell r="Q52">
            <v>1.95</v>
          </cell>
          <cell r="R52">
            <v>2.25</v>
          </cell>
          <cell r="S52">
            <v>2.2400000000000002</v>
          </cell>
          <cell r="T52">
            <v>1.9</v>
          </cell>
          <cell r="U52">
            <v>1.98</v>
          </cell>
          <cell r="V52">
            <v>1.74</v>
          </cell>
          <cell r="W52">
            <v>1.88</v>
          </cell>
          <cell r="X52">
            <v>1.73</v>
          </cell>
          <cell r="Y52">
            <v>1.41</v>
          </cell>
          <cell r="Z52">
            <v>1.34</v>
          </cell>
          <cell r="AA52">
            <v>1.6</v>
          </cell>
          <cell r="AB52">
            <v>1.6</v>
          </cell>
          <cell r="AC52">
            <v>1.54</v>
          </cell>
          <cell r="AD52">
            <v>1.33</v>
          </cell>
          <cell r="AE52">
            <v>1.35</v>
          </cell>
          <cell r="AF52">
            <v>1.48</v>
          </cell>
          <cell r="AG52">
            <v>1.6</v>
          </cell>
          <cell r="AH52">
            <v>1.64</v>
          </cell>
          <cell r="AI52">
            <v>1.41</v>
          </cell>
          <cell r="AJ52">
            <v>1.3</v>
          </cell>
          <cell r="AK52">
            <v>1.5</v>
          </cell>
          <cell r="AL52">
            <v>1.58</v>
          </cell>
          <cell r="AM52">
            <v>1.7</v>
          </cell>
          <cell r="AN52">
            <v>2.11</v>
          </cell>
          <cell r="AO52">
            <v>2.0499999999999998</v>
          </cell>
          <cell r="AP52">
            <v>1.82</v>
          </cell>
          <cell r="AQ52">
            <v>1.96</v>
          </cell>
          <cell r="AR52">
            <v>2.23</v>
          </cell>
          <cell r="AS52">
            <v>2.13</v>
          </cell>
          <cell r="AT52">
            <v>2.25</v>
          </cell>
          <cell r="AU52">
            <v>2.56</v>
          </cell>
          <cell r="AV52">
            <v>2.19</v>
          </cell>
          <cell r="AW52">
            <v>1.69</v>
          </cell>
          <cell r="AX52">
            <v>1.73</v>
          </cell>
          <cell r="AY52">
            <v>2.61</v>
          </cell>
          <cell r="AZ52">
            <v>3.69</v>
          </cell>
          <cell r="BA52">
            <v>3.92</v>
          </cell>
          <cell r="BB52">
            <v>2.75</v>
          </cell>
          <cell r="BC52">
            <v>1.63</v>
          </cell>
          <cell r="BD52">
            <v>1.73</v>
          </cell>
          <cell r="BE52">
            <v>2.0299999999999998</v>
          </cell>
          <cell r="BF52">
            <v>2.2000000000000002</v>
          </cell>
          <cell r="BG52">
            <v>2.06</v>
          </cell>
          <cell r="BH52">
            <v>2.1</v>
          </cell>
          <cell r="BI52">
            <v>2.4500000000000002</v>
          </cell>
          <cell r="BJ52">
            <v>2.93</v>
          </cell>
          <cell r="BK52">
            <v>3.17</v>
          </cell>
          <cell r="BL52">
            <v>2.38</v>
          </cell>
          <cell r="BM52">
            <v>2.16</v>
          </cell>
          <cell r="BN52">
            <v>1.92</v>
          </cell>
          <cell r="BO52">
            <v>2.16</v>
          </cell>
          <cell r="BP52">
            <v>2.2200000000000002</v>
          </cell>
          <cell r="BQ52">
            <v>2.2200000000000002</v>
          </cell>
          <cell r="BR52">
            <v>1.95</v>
          </cell>
          <cell r="BS52">
            <v>2.2799999999999998</v>
          </cell>
          <cell r="BT52">
            <v>1.88</v>
          </cell>
          <cell r="BU52">
            <v>1.54</v>
          </cell>
          <cell r="BV52">
            <v>1.95</v>
          </cell>
          <cell r="BW52">
            <v>1.91</v>
          </cell>
          <cell r="BX52">
            <v>2.0299999999999998</v>
          </cell>
          <cell r="BY52">
            <v>1.68</v>
          </cell>
          <cell r="BZ52">
            <v>1.74</v>
          </cell>
          <cell r="CA52">
            <v>1.56</v>
          </cell>
          <cell r="CB52">
            <v>1.81</v>
          </cell>
          <cell r="CC52">
            <v>2.29</v>
          </cell>
          <cell r="CD52">
            <v>2.15</v>
          </cell>
          <cell r="CE52">
            <v>2.2000000000000002</v>
          </cell>
          <cell r="CF52">
            <v>2.5299999999999998</v>
          </cell>
          <cell r="CG52">
            <v>2.79</v>
          </cell>
        </row>
        <row r="53">
          <cell r="A53" t="str">
            <v>TET-STX</v>
          </cell>
          <cell r="B53">
            <v>50</v>
          </cell>
          <cell r="L53">
            <v>2.04</v>
          </cell>
          <cell r="M53">
            <v>2.31</v>
          </cell>
          <cell r="N53">
            <v>1.96</v>
          </cell>
          <cell r="O53">
            <v>2.0699999999999998</v>
          </cell>
          <cell r="P53">
            <v>2.3199999999999998</v>
          </cell>
          <cell r="Q53">
            <v>1.94</v>
          </cell>
          <cell r="R53">
            <v>2.2000000000000002</v>
          </cell>
          <cell r="S53">
            <v>2.1800000000000002</v>
          </cell>
          <cell r="T53">
            <v>1.87</v>
          </cell>
          <cell r="U53">
            <v>1.99</v>
          </cell>
          <cell r="V53">
            <v>1.73</v>
          </cell>
          <cell r="W53">
            <v>1.88</v>
          </cell>
          <cell r="X53">
            <v>1.71</v>
          </cell>
          <cell r="Y53">
            <v>1.41</v>
          </cell>
          <cell r="Z53">
            <v>1.34</v>
          </cell>
          <cell r="AA53">
            <v>1.6</v>
          </cell>
          <cell r="AB53">
            <v>1.61</v>
          </cell>
          <cell r="AC53">
            <v>1.53</v>
          </cell>
          <cell r="AD53">
            <v>1.32</v>
          </cell>
          <cell r="AE53">
            <v>1.36</v>
          </cell>
          <cell r="AF53">
            <v>1.47</v>
          </cell>
          <cell r="AG53">
            <v>1.58</v>
          </cell>
          <cell r="AH53">
            <v>1.62</v>
          </cell>
          <cell r="AI53">
            <v>1.41</v>
          </cell>
          <cell r="AJ53">
            <v>1.29</v>
          </cell>
          <cell r="AK53">
            <v>1.48</v>
          </cell>
          <cell r="AL53">
            <v>1.56</v>
          </cell>
          <cell r="AM53">
            <v>1.69</v>
          </cell>
          <cell r="AN53">
            <v>2.09</v>
          </cell>
          <cell r="AO53">
            <v>2.1</v>
          </cell>
          <cell r="AP53">
            <v>1.78</v>
          </cell>
          <cell r="AQ53">
            <v>1.95</v>
          </cell>
          <cell r="AR53">
            <v>2.2200000000000002</v>
          </cell>
          <cell r="AS53">
            <v>2.12</v>
          </cell>
          <cell r="AT53">
            <v>2.2400000000000002</v>
          </cell>
          <cell r="AU53">
            <v>2.54</v>
          </cell>
          <cell r="AV53">
            <v>2.2000000000000002</v>
          </cell>
          <cell r="AW53">
            <v>1.69</v>
          </cell>
          <cell r="AX53">
            <v>1.73</v>
          </cell>
          <cell r="AY53">
            <v>2.6</v>
          </cell>
          <cell r="AZ53">
            <v>3.68</v>
          </cell>
          <cell r="BA53">
            <v>3.8</v>
          </cell>
          <cell r="BB53">
            <v>2.73</v>
          </cell>
          <cell r="BC53">
            <v>1.62</v>
          </cell>
          <cell r="BD53">
            <v>1.75</v>
          </cell>
          <cell r="BE53">
            <v>2.0299999999999998</v>
          </cell>
          <cell r="BF53">
            <v>2.21</v>
          </cell>
          <cell r="BG53">
            <v>2.0699999999999998</v>
          </cell>
          <cell r="BH53">
            <v>2.1</v>
          </cell>
          <cell r="BI53">
            <v>2.44</v>
          </cell>
          <cell r="BJ53">
            <v>2.96</v>
          </cell>
          <cell r="BK53">
            <v>3.16</v>
          </cell>
          <cell r="BL53">
            <v>2.33</v>
          </cell>
          <cell r="BM53">
            <v>2.15</v>
          </cell>
          <cell r="BN53">
            <v>1.92</v>
          </cell>
          <cell r="BO53">
            <v>2.15</v>
          </cell>
          <cell r="BP53">
            <v>2.21</v>
          </cell>
          <cell r="BQ53">
            <v>2.19</v>
          </cell>
          <cell r="BR53">
            <v>1.95</v>
          </cell>
          <cell r="BS53">
            <v>2.2799999999999998</v>
          </cell>
          <cell r="BT53">
            <v>1.85</v>
          </cell>
          <cell r="BU53">
            <v>1.52</v>
          </cell>
          <cell r="BV53">
            <v>1.94</v>
          </cell>
          <cell r="BW53">
            <v>1.92</v>
          </cell>
          <cell r="BX53">
            <v>2.02</v>
          </cell>
          <cell r="BY53">
            <v>1.69</v>
          </cell>
          <cell r="BZ53">
            <v>1.74</v>
          </cell>
          <cell r="CA53">
            <v>1.556</v>
          </cell>
          <cell r="CB53">
            <v>1.81</v>
          </cell>
          <cell r="CC53">
            <v>2.2799999999999998</v>
          </cell>
          <cell r="CD53">
            <v>2.14</v>
          </cell>
          <cell r="CE53">
            <v>2.1800000000000002</v>
          </cell>
          <cell r="CF53">
            <v>2.52</v>
          </cell>
          <cell r="CG53">
            <v>2.8</v>
          </cell>
        </row>
        <row r="54">
          <cell r="A54" t="str">
            <v>TET-WLA</v>
          </cell>
          <cell r="B54">
            <v>51</v>
          </cell>
          <cell r="L54">
            <v>2.0499999999999998</v>
          </cell>
          <cell r="M54">
            <v>2.33</v>
          </cell>
          <cell r="N54">
            <v>2</v>
          </cell>
          <cell r="O54">
            <v>2.09</v>
          </cell>
          <cell r="P54">
            <v>2.34</v>
          </cell>
          <cell r="Q54">
            <v>2</v>
          </cell>
          <cell r="R54">
            <v>2.3199999999999998</v>
          </cell>
          <cell r="S54">
            <v>2.3199999999999998</v>
          </cell>
          <cell r="T54">
            <v>1.94</v>
          </cell>
          <cell r="U54">
            <v>2.04</v>
          </cell>
          <cell r="V54">
            <v>1.8</v>
          </cell>
          <cell r="W54">
            <v>1.92</v>
          </cell>
          <cell r="X54">
            <v>1.75</v>
          </cell>
          <cell r="Y54">
            <v>1.44</v>
          </cell>
          <cell r="Z54">
            <v>1.37</v>
          </cell>
          <cell r="AA54">
            <v>1.65</v>
          </cell>
          <cell r="AB54">
            <v>1.63</v>
          </cell>
          <cell r="AC54">
            <v>1.56</v>
          </cell>
          <cell r="AD54">
            <v>1.36</v>
          </cell>
          <cell r="AE54">
            <v>1.4</v>
          </cell>
          <cell r="AF54">
            <v>1.51</v>
          </cell>
          <cell r="AG54">
            <v>1.63</v>
          </cell>
          <cell r="AH54">
            <v>1.68</v>
          </cell>
          <cell r="AI54">
            <v>1.44</v>
          </cell>
          <cell r="AJ54">
            <v>1.33</v>
          </cell>
          <cell r="AK54">
            <v>1.52</v>
          </cell>
          <cell r="AL54">
            <v>1.59</v>
          </cell>
          <cell r="AM54">
            <v>1.74</v>
          </cell>
          <cell r="AN54">
            <v>2.2200000000000002</v>
          </cell>
          <cell r="AO54">
            <v>2.85</v>
          </cell>
          <cell r="AP54">
            <v>2.2000000000000002</v>
          </cell>
          <cell r="AQ54">
            <v>2.73</v>
          </cell>
          <cell r="AR54">
            <v>2.56</v>
          </cell>
          <cell r="AS54">
            <v>2.16</v>
          </cell>
          <cell r="AT54">
            <v>2.31</v>
          </cell>
          <cell r="AU54">
            <v>2.58</v>
          </cell>
          <cell r="AV54">
            <v>2.2200000000000002</v>
          </cell>
          <cell r="AW54">
            <v>1.72</v>
          </cell>
          <cell r="AX54">
            <v>1.77</v>
          </cell>
          <cell r="AY54">
            <v>2.64</v>
          </cell>
          <cell r="AZ54">
            <v>3.81</v>
          </cell>
          <cell r="BA54">
            <v>3.87</v>
          </cell>
          <cell r="BB54">
            <v>2.83</v>
          </cell>
          <cell r="BC54">
            <v>1.68</v>
          </cell>
          <cell r="BD54">
            <v>1.75</v>
          </cell>
          <cell r="BE54">
            <v>2.0499999999999998</v>
          </cell>
          <cell r="BF54">
            <v>2.23</v>
          </cell>
          <cell r="BG54">
            <v>2.08</v>
          </cell>
          <cell r="BH54">
            <v>2.12</v>
          </cell>
          <cell r="BI54">
            <v>2.46</v>
          </cell>
          <cell r="BJ54">
            <v>3.02</v>
          </cell>
          <cell r="BK54">
            <v>3.21</v>
          </cell>
          <cell r="BL54">
            <v>2.46</v>
          </cell>
          <cell r="BM54">
            <v>2.2000000000000002</v>
          </cell>
          <cell r="BN54">
            <v>1.94</v>
          </cell>
          <cell r="BO54">
            <v>2.19</v>
          </cell>
          <cell r="BP54">
            <v>2.2400000000000002</v>
          </cell>
          <cell r="BQ54">
            <v>2.2200000000000002</v>
          </cell>
          <cell r="BR54">
            <v>1.96</v>
          </cell>
          <cell r="BS54">
            <v>2.2999999999999998</v>
          </cell>
          <cell r="BT54">
            <v>1.86</v>
          </cell>
          <cell r="BU54">
            <v>1.54</v>
          </cell>
          <cell r="BV54">
            <v>1.97</v>
          </cell>
          <cell r="BW54">
            <v>1.93</v>
          </cell>
          <cell r="BX54">
            <v>2.0499999999999998</v>
          </cell>
          <cell r="BY54">
            <v>1.72</v>
          </cell>
          <cell r="BZ54">
            <v>1.75</v>
          </cell>
          <cell r="CA54">
            <v>1.57</v>
          </cell>
          <cell r="CB54">
            <v>1.85</v>
          </cell>
          <cell r="CC54">
            <v>2.31</v>
          </cell>
          <cell r="CD54">
            <v>2.16</v>
          </cell>
          <cell r="CE54">
            <v>2.2200000000000002</v>
          </cell>
          <cell r="CF54">
            <v>2.5499999999999998</v>
          </cell>
          <cell r="CG54">
            <v>2.81</v>
          </cell>
        </row>
        <row r="55">
          <cell r="A55" t="str">
            <v>TET-M3</v>
          </cell>
          <cell r="B55">
            <v>52</v>
          </cell>
          <cell r="AU55">
            <v>2.93</v>
          </cell>
          <cell r="AV55">
            <v>2.5499999999999998</v>
          </cell>
          <cell r="AW55">
            <v>2.04</v>
          </cell>
          <cell r="AX55">
            <v>2.08</v>
          </cell>
          <cell r="AY55">
            <v>3.26</v>
          </cell>
          <cell r="AZ55">
            <v>4.9800000000000004</v>
          </cell>
          <cell r="BA55">
            <v>5.15</v>
          </cell>
          <cell r="BB55">
            <v>3.58</v>
          </cell>
          <cell r="BC55">
            <v>2.1</v>
          </cell>
          <cell r="BD55">
            <v>2.13</v>
          </cell>
          <cell r="BE55">
            <v>2.41</v>
          </cell>
          <cell r="BF55">
            <v>2.57</v>
          </cell>
          <cell r="BG55">
            <v>2.41</v>
          </cell>
          <cell r="BH55">
            <v>2.4</v>
          </cell>
          <cell r="BI55">
            <v>2.75</v>
          </cell>
          <cell r="BJ55">
            <v>3.45</v>
          </cell>
          <cell r="BK55">
            <v>3.75</v>
          </cell>
          <cell r="BL55">
            <v>3.24</v>
          </cell>
          <cell r="BM55">
            <v>2.83</v>
          </cell>
          <cell r="BN55">
            <v>2.33</v>
          </cell>
          <cell r="BO55">
            <v>2.4700000000000002</v>
          </cell>
          <cell r="BP55">
            <v>2.57</v>
          </cell>
          <cell r="BQ55">
            <v>2.52</v>
          </cell>
          <cell r="BR55">
            <v>2.25</v>
          </cell>
          <cell r="BS55">
            <v>2.58</v>
          </cell>
          <cell r="BT55">
            <v>2.15</v>
          </cell>
          <cell r="BU55">
            <v>1.78</v>
          </cell>
          <cell r="BV55">
            <v>2.27</v>
          </cell>
          <cell r="BW55">
            <v>2.38</v>
          </cell>
          <cell r="BX55">
            <v>2.4300000000000002</v>
          </cell>
          <cell r="BY55">
            <v>2.19</v>
          </cell>
          <cell r="BZ55">
            <v>2.16</v>
          </cell>
          <cell r="CA55">
            <v>1.84</v>
          </cell>
          <cell r="CB55">
            <v>2.11</v>
          </cell>
          <cell r="CC55">
            <v>2.54</v>
          </cell>
          <cell r="CD55">
            <v>2.42</v>
          </cell>
          <cell r="CE55">
            <v>2.4900000000000002</v>
          </cell>
          <cell r="CF55">
            <v>2.86</v>
          </cell>
          <cell r="CG55">
            <v>3.12</v>
          </cell>
        </row>
        <row r="56">
          <cell r="A56" t="str">
            <v>TRAN-Z1</v>
          </cell>
          <cell r="B56">
            <v>53</v>
          </cell>
          <cell r="C56">
            <v>2.35</v>
          </cell>
          <cell r="D56">
            <v>2.25</v>
          </cell>
          <cell r="E56">
            <v>1.86</v>
          </cell>
          <cell r="F56">
            <v>1.56</v>
          </cell>
          <cell r="G56">
            <v>1.847</v>
          </cell>
          <cell r="H56">
            <v>2.15</v>
          </cell>
          <cell r="I56">
            <v>2.68</v>
          </cell>
          <cell r="J56">
            <v>2.08</v>
          </cell>
          <cell r="K56">
            <v>1.89</v>
          </cell>
          <cell r="L56">
            <v>2.02</v>
          </cell>
          <cell r="M56">
            <v>2.33</v>
          </cell>
          <cell r="N56">
            <v>2.04</v>
          </cell>
          <cell r="O56">
            <v>2.09</v>
          </cell>
          <cell r="P56">
            <v>2.34</v>
          </cell>
          <cell r="Q56">
            <v>2.02</v>
          </cell>
          <cell r="R56">
            <v>2.3199999999999998</v>
          </cell>
          <cell r="S56">
            <v>2.3199999999999998</v>
          </cell>
          <cell r="T56">
            <v>1.93</v>
          </cell>
          <cell r="U56">
            <v>2.02</v>
          </cell>
          <cell r="V56">
            <v>1.81</v>
          </cell>
          <cell r="W56">
            <v>1.92</v>
          </cell>
          <cell r="X56">
            <v>1.76</v>
          </cell>
          <cell r="Y56">
            <v>1.43</v>
          </cell>
          <cell r="Z56">
            <v>1.35</v>
          </cell>
          <cell r="AA56">
            <v>1.61</v>
          </cell>
          <cell r="AB56">
            <v>1.65</v>
          </cell>
          <cell r="AC56">
            <v>1.56</v>
          </cell>
          <cell r="AD56">
            <v>1.36</v>
          </cell>
          <cell r="AE56">
            <v>1.38</v>
          </cell>
          <cell r="AF56">
            <v>1.49</v>
          </cell>
          <cell r="AG56">
            <v>1.6</v>
          </cell>
          <cell r="AH56">
            <v>1.65</v>
          </cell>
          <cell r="AI56">
            <v>1.43</v>
          </cell>
          <cell r="AJ56">
            <v>1.29</v>
          </cell>
          <cell r="AK56">
            <v>1.49</v>
          </cell>
          <cell r="AL56">
            <v>1.56</v>
          </cell>
          <cell r="AM56">
            <v>1.72</v>
          </cell>
          <cell r="AN56">
            <v>2.12</v>
          </cell>
          <cell r="AO56">
            <v>2.15</v>
          </cell>
          <cell r="AP56">
            <v>1.8</v>
          </cell>
          <cell r="AQ56">
            <v>1.96</v>
          </cell>
          <cell r="AR56">
            <v>2.25</v>
          </cell>
          <cell r="AS56">
            <v>2.12</v>
          </cell>
          <cell r="AT56">
            <v>2.27</v>
          </cell>
          <cell r="AU56">
            <v>2.54</v>
          </cell>
          <cell r="AV56">
            <v>2.2200000000000002</v>
          </cell>
          <cell r="AW56">
            <v>1.7</v>
          </cell>
          <cell r="AX56">
            <v>1.73</v>
          </cell>
          <cell r="AY56">
            <v>2.57</v>
          </cell>
          <cell r="AZ56">
            <v>3.67</v>
          </cell>
          <cell r="BA56">
            <v>3.81</v>
          </cell>
          <cell r="BB56">
            <v>2.77</v>
          </cell>
          <cell r="BC56">
            <v>1.62</v>
          </cell>
          <cell r="BD56">
            <v>1.74</v>
          </cell>
          <cell r="BE56">
            <v>2.02</v>
          </cell>
          <cell r="BF56">
            <v>2.2000000000000002</v>
          </cell>
          <cell r="BG56">
            <v>2.06</v>
          </cell>
          <cell r="BH56">
            <v>2.1</v>
          </cell>
          <cell r="BI56">
            <v>2.4500000000000002</v>
          </cell>
          <cell r="BJ56">
            <v>2.97</v>
          </cell>
          <cell r="BK56">
            <v>3.17</v>
          </cell>
          <cell r="BL56">
            <v>2.4</v>
          </cell>
          <cell r="BM56">
            <v>2.17</v>
          </cell>
          <cell r="BN56">
            <v>1.91</v>
          </cell>
          <cell r="BO56">
            <v>2.16</v>
          </cell>
          <cell r="BP56">
            <v>2.23</v>
          </cell>
          <cell r="BQ56">
            <v>2.2000000000000002</v>
          </cell>
          <cell r="BR56">
            <v>1.95</v>
          </cell>
          <cell r="BS56">
            <v>2.29</v>
          </cell>
          <cell r="BT56">
            <v>1.85</v>
          </cell>
          <cell r="BU56">
            <v>1.53</v>
          </cell>
          <cell r="BV56">
            <v>1.96</v>
          </cell>
          <cell r="BW56">
            <v>1.91</v>
          </cell>
          <cell r="BX56">
            <v>2.04</v>
          </cell>
          <cell r="BY56">
            <v>1.71</v>
          </cell>
          <cell r="BZ56">
            <v>1.75</v>
          </cell>
          <cell r="CA56">
            <v>1.58</v>
          </cell>
          <cell r="CB56">
            <v>1.81</v>
          </cell>
          <cell r="CC56">
            <v>2.29</v>
          </cell>
          <cell r="CD56">
            <v>2.16</v>
          </cell>
          <cell r="CE56">
            <v>2.21</v>
          </cell>
          <cell r="CF56">
            <v>2.56</v>
          </cell>
          <cell r="CG56">
            <v>2.83</v>
          </cell>
        </row>
        <row r="57">
          <cell r="A57" t="str">
            <v>TRAN-Z2</v>
          </cell>
          <cell r="B57">
            <v>54</v>
          </cell>
          <cell r="C57">
            <v>2.36</v>
          </cell>
          <cell r="D57">
            <v>2.2799999999999998</v>
          </cell>
          <cell r="E57">
            <v>1.88</v>
          </cell>
          <cell r="F57">
            <v>1.6</v>
          </cell>
          <cell r="G57">
            <v>1.86</v>
          </cell>
          <cell r="H57">
            <v>2.16</v>
          </cell>
          <cell r="I57">
            <v>2.69</v>
          </cell>
          <cell r="J57">
            <v>2.11</v>
          </cell>
          <cell r="K57">
            <v>1.93</v>
          </cell>
          <cell r="L57">
            <v>2.0499999999999998</v>
          </cell>
          <cell r="M57">
            <v>2.36</v>
          </cell>
          <cell r="N57">
            <v>2.06</v>
          </cell>
          <cell r="O57">
            <v>2.11</v>
          </cell>
          <cell r="P57">
            <v>2.37</v>
          </cell>
          <cell r="Q57">
            <v>2.0299999999999998</v>
          </cell>
          <cell r="R57">
            <v>2.36</v>
          </cell>
          <cell r="S57">
            <v>2.36</v>
          </cell>
          <cell r="T57">
            <v>1.97</v>
          </cell>
          <cell r="U57">
            <v>2.04</v>
          </cell>
          <cell r="V57">
            <v>1.83</v>
          </cell>
          <cell r="W57">
            <v>1.93</v>
          </cell>
          <cell r="X57">
            <v>1.8</v>
          </cell>
          <cell r="Y57">
            <v>1.47</v>
          </cell>
          <cell r="Z57">
            <v>1.39</v>
          </cell>
          <cell r="AA57">
            <v>1.66</v>
          </cell>
          <cell r="AB57">
            <v>1.66</v>
          </cell>
          <cell r="AC57">
            <v>1.59</v>
          </cell>
          <cell r="AD57">
            <v>1.4</v>
          </cell>
          <cell r="AE57">
            <v>1.42</v>
          </cell>
          <cell r="AF57">
            <v>1.53</v>
          </cell>
          <cell r="AG57">
            <v>1.64</v>
          </cell>
          <cell r="AH57">
            <v>1.7</v>
          </cell>
          <cell r="AI57">
            <v>1.48</v>
          </cell>
          <cell r="AJ57">
            <v>1.33</v>
          </cell>
          <cell r="AK57">
            <v>1.55</v>
          </cell>
          <cell r="AL57">
            <v>1.61</v>
          </cell>
          <cell r="AM57">
            <v>1.77</v>
          </cell>
          <cell r="AN57">
            <v>2.23</v>
          </cell>
          <cell r="AO57">
            <v>3.29</v>
          </cell>
          <cell r="AP57">
            <v>2.2999999999999998</v>
          </cell>
          <cell r="AQ57">
            <v>2.7</v>
          </cell>
          <cell r="AR57">
            <v>2.58</v>
          </cell>
          <cell r="AS57">
            <v>2.16</v>
          </cell>
          <cell r="AT57">
            <v>2.31</v>
          </cell>
          <cell r="AU57">
            <v>2.6</v>
          </cell>
          <cell r="AV57">
            <v>2.27</v>
          </cell>
          <cell r="AW57">
            <v>1.77</v>
          </cell>
          <cell r="AX57">
            <v>1.8</v>
          </cell>
          <cell r="AY57">
            <v>2.64</v>
          </cell>
          <cell r="AZ57">
            <v>3.77</v>
          </cell>
          <cell r="BA57">
            <v>3.9</v>
          </cell>
          <cell r="BB57">
            <v>2.87</v>
          </cell>
          <cell r="BC57">
            <v>1.71</v>
          </cell>
          <cell r="BD57">
            <v>1.77</v>
          </cell>
          <cell r="BE57">
            <v>2.09</v>
          </cell>
          <cell r="BF57">
            <v>2.25</v>
          </cell>
          <cell r="BG57">
            <v>2.1</v>
          </cell>
          <cell r="BH57">
            <v>2.13</v>
          </cell>
          <cell r="BI57">
            <v>2.48</v>
          </cell>
          <cell r="BJ57">
            <v>3.02</v>
          </cell>
          <cell r="BK57">
            <v>3.21</v>
          </cell>
          <cell r="BL57">
            <v>2.4900000000000002</v>
          </cell>
          <cell r="BM57">
            <v>2.2200000000000002</v>
          </cell>
          <cell r="BN57">
            <v>1.97</v>
          </cell>
          <cell r="BO57">
            <v>2.2200000000000002</v>
          </cell>
          <cell r="BP57">
            <v>2.2799999999999998</v>
          </cell>
          <cell r="BQ57">
            <v>2.25</v>
          </cell>
          <cell r="BR57">
            <v>2</v>
          </cell>
          <cell r="BS57">
            <v>2.33</v>
          </cell>
          <cell r="BT57">
            <v>1.89</v>
          </cell>
          <cell r="BU57">
            <v>1.6</v>
          </cell>
          <cell r="BV57">
            <v>2.04</v>
          </cell>
          <cell r="BW57">
            <v>1.95</v>
          </cell>
          <cell r="BX57">
            <v>2.08</v>
          </cell>
          <cell r="BY57">
            <v>1.74</v>
          </cell>
          <cell r="BZ57">
            <v>1.78</v>
          </cell>
          <cell r="CA57">
            <v>1.61</v>
          </cell>
          <cell r="CB57">
            <v>1.84</v>
          </cell>
          <cell r="CC57">
            <v>2.3199999999999998</v>
          </cell>
          <cell r="CD57">
            <v>2.19</v>
          </cell>
          <cell r="CE57">
            <v>2.2400000000000002</v>
          </cell>
          <cell r="CF57">
            <v>2.58</v>
          </cell>
          <cell r="CG57">
            <v>2.86</v>
          </cell>
        </row>
        <row r="58">
          <cell r="A58" t="str">
            <v>TRAN-Z3</v>
          </cell>
          <cell r="B58">
            <v>55</v>
          </cell>
          <cell r="C58">
            <v>2.38</v>
          </cell>
          <cell r="D58">
            <v>2.29</v>
          </cell>
          <cell r="E58">
            <v>1.9</v>
          </cell>
          <cell r="F58">
            <v>1.62</v>
          </cell>
          <cell r="G58">
            <v>1.86</v>
          </cell>
          <cell r="H58">
            <v>2.19</v>
          </cell>
          <cell r="I58">
            <v>2.7</v>
          </cell>
          <cell r="J58">
            <v>2.16</v>
          </cell>
          <cell r="K58">
            <v>1.95</v>
          </cell>
          <cell r="L58">
            <v>2.0699999999999998</v>
          </cell>
          <cell r="M58">
            <v>2.37</v>
          </cell>
          <cell r="N58">
            <v>2.08</v>
          </cell>
          <cell r="O58">
            <v>2.15</v>
          </cell>
          <cell r="P58">
            <v>2.38</v>
          </cell>
          <cell r="Q58">
            <v>2.0499999999999998</v>
          </cell>
          <cell r="R58">
            <v>2.38</v>
          </cell>
          <cell r="S58">
            <v>2.38</v>
          </cell>
          <cell r="T58">
            <v>2</v>
          </cell>
          <cell r="U58">
            <v>2.06</v>
          </cell>
          <cell r="V58">
            <v>1.86</v>
          </cell>
          <cell r="W58">
            <v>1.96</v>
          </cell>
          <cell r="X58">
            <v>1.82</v>
          </cell>
          <cell r="Y58">
            <v>1.48</v>
          </cell>
          <cell r="Z58">
            <v>1.42</v>
          </cell>
          <cell r="AA58">
            <v>1.7</v>
          </cell>
          <cell r="AB58">
            <v>1.69</v>
          </cell>
          <cell r="AC58">
            <v>1.62</v>
          </cell>
          <cell r="AD58">
            <v>1.43</v>
          </cell>
          <cell r="AE58">
            <v>1.46</v>
          </cell>
          <cell r="AF58">
            <v>1.56</v>
          </cell>
          <cell r="AG58">
            <v>1.67</v>
          </cell>
          <cell r="AH58">
            <v>1.73</v>
          </cell>
          <cell r="AI58">
            <v>1.5</v>
          </cell>
          <cell r="AJ58">
            <v>1.36</v>
          </cell>
          <cell r="AK58">
            <v>1.59</v>
          </cell>
          <cell r="AL58">
            <v>1.64</v>
          </cell>
          <cell r="AM58">
            <v>1.8</v>
          </cell>
          <cell r="AN58">
            <v>2.27</v>
          </cell>
          <cell r="AO58">
            <v>3.38</v>
          </cell>
          <cell r="AP58">
            <v>2.36</v>
          </cell>
          <cell r="AQ58">
            <v>2.81</v>
          </cell>
          <cell r="AR58">
            <v>2.69</v>
          </cell>
          <cell r="AS58">
            <v>2.2000000000000002</v>
          </cell>
          <cell r="AT58">
            <v>2.37</v>
          </cell>
          <cell r="AU58">
            <v>2.65</v>
          </cell>
          <cell r="AV58">
            <v>2.2999999999999998</v>
          </cell>
          <cell r="AW58">
            <v>1.81</v>
          </cell>
          <cell r="AX58">
            <v>1.85</v>
          </cell>
          <cell r="AY58">
            <v>2.69</v>
          </cell>
          <cell r="AZ58">
            <v>3.82</v>
          </cell>
          <cell r="BA58">
            <v>3.98</v>
          </cell>
          <cell r="BB58">
            <v>2.9</v>
          </cell>
          <cell r="BC58">
            <v>1.77</v>
          </cell>
          <cell r="BD58">
            <v>1.81</v>
          </cell>
          <cell r="BE58">
            <v>2.15</v>
          </cell>
          <cell r="BF58">
            <v>2.2999999999999998</v>
          </cell>
          <cell r="BG58">
            <v>2.15</v>
          </cell>
          <cell r="BH58">
            <v>2.17</v>
          </cell>
          <cell r="BI58">
            <v>2.5299999999999998</v>
          </cell>
          <cell r="BJ58">
            <v>3.1</v>
          </cell>
          <cell r="BK58">
            <v>3.27</v>
          </cell>
          <cell r="BL58">
            <v>2.54</v>
          </cell>
          <cell r="BM58">
            <v>2.2799999999999998</v>
          </cell>
          <cell r="BN58">
            <v>2.0299999999999998</v>
          </cell>
          <cell r="BO58">
            <v>2.27</v>
          </cell>
          <cell r="BP58">
            <v>2.3199999999999998</v>
          </cell>
          <cell r="BQ58">
            <v>2.29</v>
          </cell>
          <cell r="BR58">
            <v>2.0299999999999998</v>
          </cell>
          <cell r="BS58">
            <v>2.37</v>
          </cell>
          <cell r="BT58">
            <v>1.93</v>
          </cell>
          <cell r="BU58">
            <v>1.63</v>
          </cell>
          <cell r="BV58">
            <v>2.08</v>
          </cell>
          <cell r="BW58">
            <v>2.0099999999999998</v>
          </cell>
          <cell r="BX58">
            <v>2.11</v>
          </cell>
          <cell r="BY58">
            <v>1.78</v>
          </cell>
          <cell r="BZ58">
            <v>1.81</v>
          </cell>
          <cell r="CA58">
            <v>1.63</v>
          </cell>
          <cell r="CB58">
            <v>1.88</v>
          </cell>
          <cell r="CC58">
            <v>2.36</v>
          </cell>
          <cell r="CD58">
            <v>2.23</v>
          </cell>
          <cell r="CE58">
            <v>2.2599999999999998</v>
          </cell>
          <cell r="CF58">
            <v>2.61</v>
          </cell>
          <cell r="CG58">
            <v>2.89</v>
          </cell>
        </row>
        <row r="59">
          <cell r="A59" t="str">
            <v>TRAN-Z4</v>
          </cell>
          <cell r="B59">
            <v>56</v>
          </cell>
          <cell r="C59">
            <v>2.44</v>
          </cell>
          <cell r="D59">
            <v>2.3199999999999998</v>
          </cell>
          <cell r="E59">
            <v>1.91</v>
          </cell>
          <cell r="F59">
            <v>1.66</v>
          </cell>
          <cell r="G59">
            <v>1.92</v>
          </cell>
          <cell r="H59">
            <v>2.23</v>
          </cell>
          <cell r="I59">
            <v>2.72</v>
          </cell>
          <cell r="J59">
            <v>2.1</v>
          </cell>
          <cell r="K59">
            <v>1.94</v>
          </cell>
          <cell r="L59">
            <v>2.11</v>
          </cell>
          <cell r="M59">
            <v>2.39</v>
          </cell>
          <cell r="N59">
            <v>2.09</v>
          </cell>
          <cell r="O59">
            <v>2.17</v>
          </cell>
          <cell r="P59">
            <v>2.42</v>
          </cell>
          <cell r="Q59">
            <v>2.0699999999999998</v>
          </cell>
          <cell r="R59">
            <v>2.41</v>
          </cell>
          <cell r="S59">
            <v>2.4</v>
          </cell>
          <cell r="T59">
            <v>2</v>
          </cell>
          <cell r="U59">
            <v>2.08</v>
          </cell>
          <cell r="V59">
            <v>1.85</v>
          </cell>
          <cell r="W59">
            <v>1.98</v>
          </cell>
          <cell r="X59">
            <v>1.82</v>
          </cell>
          <cell r="Y59">
            <v>1.49</v>
          </cell>
          <cell r="Z59">
            <v>1.44</v>
          </cell>
          <cell r="AA59">
            <v>1.71</v>
          </cell>
          <cell r="AB59">
            <v>1.69</v>
          </cell>
          <cell r="AC59">
            <v>1.62</v>
          </cell>
          <cell r="AD59">
            <v>1.45</v>
          </cell>
          <cell r="AE59">
            <v>1.45</v>
          </cell>
          <cell r="AF59">
            <v>1.58</v>
          </cell>
          <cell r="AG59">
            <v>1.68</v>
          </cell>
          <cell r="AH59">
            <v>1.74</v>
          </cell>
          <cell r="AI59">
            <v>1.51</v>
          </cell>
          <cell r="AJ59">
            <v>1.39</v>
          </cell>
          <cell r="AK59">
            <v>1.59</v>
          </cell>
          <cell r="AL59">
            <v>1.65</v>
          </cell>
          <cell r="AM59">
            <v>1.82</v>
          </cell>
          <cell r="AN59">
            <v>2.29</v>
          </cell>
          <cell r="AO59">
            <v>3.44</v>
          </cell>
          <cell r="AP59">
            <v>2.41</v>
          </cell>
          <cell r="AQ59">
            <v>2.82</v>
          </cell>
          <cell r="AR59">
            <v>2.74</v>
          </cell>
          <cell r="AS59">
            <v>2.2000000000000002</v>
          </cell>
          <cell r="AT59">
            <v>2.38</v>
          </cell>
          <cell r="AU59">
            <v>2.66</v>
          </cell>
          <cell r="AV59">
            <v>2.34</v>
          </cell>
          <cell r="AW59">
            <v>1.8</v>
          </cell>
          <cell r="AX59">
            <v>1.83</v>
          </cell>
          <cell r="AY59">
            <v>2.69</v>
          </cell>
          <cell r="AZ59">
            <v>3.84</v>
          </cell>
          <cell r="BA59">
            <v>3.8</v>
          </cell>
          <cell r="BB59">
            <v>2.9</v>
          </cell>
          <cell r="BC59">
            <v>1.76</v>
          </cell>
          <cell r="BD59">
            <v>1.81</v>
          </cell>
          <cell r="BE59">
            <v>2.15</v>
          </cell>
          <cell r="BF59">
            <v>2.31</v>
          </cell>
          <cell r="BG59">
            <v>2.15</v>
          </cell>
          <cell r="BH59">
            <v>2.1800000000000002</v>
          </cell>
          <cell r="BI59">
            <v>2.5</v>
          </cell>
          <cell r="BJ59">
            <v>3.01</v>
          </cell>
          <cell r="BK59">
            <v>3.27</v>
          </cell>
          <cell r="BL59">
            <v>2.58</v>
          </cell>
          <cell r="BM59">
            <v>2.34</v>
          </cell>
          <cell r="BN59">
            <v>2.08</v>
          </cell>
          <cell r="BO59">
            <v>2.2999999999999998</v>
          </cell>
          <cell r="BP59">
            <v>2.33</v>
          </cell>
          <cell r="BQ59">
            <v>2.29</v>
          </cell>
          <cell r="BR59">
            <v>2.02</v>
          </cell>
          <cell r="BS59">
            <v>2.37</v>
          </cell>
          <cell r="BT59">
            <v>1.94</v>
          </cell>
          <cell r="BU59">
            <v>1.63</v>
          </cell>
          <cell r="BV59">
            <v>2.09</v>
          </cell>
          <cell r="BW59">
            <v>2.02</v>
          </cell>
          <cell r="BX59">
            <v>2.12</v>
          </cell>
          <cell r="BY59">
            <v>1.81</v>
          </cell>
          <cell r="BZ59">
            <v>1.84</v>
          </cell>
          <cell r="CA59">
            <v>1.66</v>
          </cell>
          <cell r="CB59">
            <v>1.88</v>
          </cell>
          <cell r="CC59">
            <v>2.37</v>
          </cell>
          <cell r="CD59">
            <v>2.2400000000000002</v>
          </cell>
          <cell r="CE59">
            <v>2.27</v>
          </cell>
          <cell r="CF59">
            <v>2.62</v>
          </cell>
          <cell r="CG59">
            <v>2.9</v>
          </cell>
        </row>
        <row r="60">
          <cell r="A60" t="str">
            <v>TRAN-Z6</v>
          </cell>
          <cell r="B60">
            <v>57</v>
          </cell>
          <cell r="AU60">
            <v>2.93</v>
          </cell>
          <cell r="AV60">
            <v>2.58</v>
          </cell>
          <cell r="AW60">
            <v>2.0499999999999998</v>
          </cell>
          <cell r="AX60">
            <v>2.1</v>
          </cell>
          <cell r="AY60">
            <v>3.33</v>
          </cell>
          <cell r="AZ60">
            <v>5.14</v>
          </cell>
          <cell r="BA60">
            <v>5.25</v>
          </cell>
          <cell r="BB60">
            <v>3.65</v>
          </cell>
          <cell r="BC60">
            <v>2.15</v>
          </cell>
          <cell r="BD60">
            <v>2.15</v>
          </cell>
          <cell r="BE60">
            <v>2.42</v>
          </cell>
          <cell r="BF60">
            <v>2.59</v>
          </cell>
          <cell r="BG60">
            <v>2.4300000000000002</v>
          </cell>
          <cell r="BH60">
            <v>2.42</v>
          </cell>
          <cell r="BI60">
            <v>2.75</v>
          </cell>
          <cell r="BJ60">
            <v>3.47</v>
          </cell>
          <cell r="BK60">
            <v>3.76</v>
          </cell>
          <cell r="BL60">
            <v>3.29</v>
          </cell>
          <cell r="BM60">
            <v>2.95</v>
          </cell>
          <cell r="BN60">
            <v>2.4</v>
          </cell>
          <cell r="BO60">
            <v>2.4900000000000002</v>
          </cell>
          <cell r="BP60">
            <v>2.56</v>
          </cell>
          <cell r="BQ60">
            <v>2.5299999999999998</v>
          </cell>
          <cell r="BR60">
            <v>2.2599999999999998</v>
          </cell>
          <cell r="BS60">
            <v>2.59</v>
          </cell>
          <cell r="BT60">
            <v>2.17</v>
          </cell>
          <cell r="BU60">
            <v>1.8</v>
          </cell>
          <cell r="BV60">
            <v>2.2999999999999998</v>
          </cell>
          <cell r="BW60">
            <v>2.41</v>
          </cell>
          <cell r="BX60">
            <v>2.5</v>
          </cell>
          <cell r="BY60">
            <v>2.36</v>
          </cell>
          <cell r="BZ60">
            <v>2.31</v>
          </cell>
          <cell r="CA60">
            <v>1.96</v>
          </cell>
          <cell r="CB60">
            <v>2.15</v>
          </cell>
          <cell r="CC60">
            <v>2.56</v>
          </cell>
          <cell r="CD60">
            <v>2.42</v>
          </cell>
          <cell r="CE60">
            <v>2.5</v>
          </cell>
          <cell r="CF60">
            <v>2.9</v>
          </cell>
          <cell r="CG60">
            <v>3.14</v>
          </cell>
        </row>
        <row r="61">
          <cell r="A61" t="str">
            <v>TRUNK-FZ</v>
          </cell>
          <cell r="B61">
            <v>58</v>
          </cell>
          <cell r="C61">
            <v>2.2599999999999998</v>
          </cell>
          <cell r="D61">
            <v>2.2000000000000002</v>
          </cell>
          <cell r="E61">
            <v>1.9</v>
          </cell>
          <cell r="F61">
            <v>1.6</v>
          </cell>
          <cell r="G61">
            <v>1.85</v>
          </cell>
          <cell r="H61">
            <v>2.15</v>
          </cell>
          <cell r="I61">
            <v>2.67</v>
          </cell>
          <cell r="J61">
            <v>1.95</v>
          </cell>
          <cell r="K61">
            <v>1.92</v>
          </cell>
          <cell r="L61">
            <v>2.0299999999999998</v>
          </cell>
          <cell r="M61">
            <v>2.2999999999999998</v>
          </cell>
          <cell r="N61">
            <v>2</v>
          </cell>
          <cell r="O61">
            <v>2.08</v>
          </cell>
          <cell r="P61">
            <v>2.35</v>
          </cell>
          <cell r="Q61">
            <v>1.99</v>
          </cell>
          <cell r="R61">
            <v>2.2799999999999998</v>
          </cell>
          <cell r="S61">
            <v>2.2999999999999998</v>
          </cell>
          <cell r="T61">
            <v>1.94</v>
          </cell>
          <cell r="U61">
            <v>2.0099999999999998</v>
          </cell>
          <cell r="V61">
            <v>1.75</v>
          </cell>
          <cell r="W61">
            <v>1.87</v>
          </cell>
          <cell r="X61">
            <v>1.71</v>
          </cell>
          <cell r="Y61">
            <v>1.41</v>
          </cell>
          <cell r="Z61">
            <v>1.37</v>
          </cell>
          <cell r="AA61">
            <v>1.6</v>
          </cell>
          <cell r="AB61">
            <v>1.6</v>
          </cell>
          <cell r="AC61">
            <v>1.53</v>
          </cell>
          <cell r="AD61">
            <v>1.33</v>
          </cell>
          <cell r="AE61">
            <v>1.35</v>
          </cell>
          <cell r="AF61">
            <v>1.5</v>
          </cell>
          <cell r="AG61">
            <v>1.61</v>
          </cell>
          <cell r="AH61">
            <v>1.65</v>
          </cell>
          <cell r="AI61">
            <v>1.44</v>
          </cell>
          <cell r="AJ61">
            <v>1.3</v>
          </cell>
          <cell r="AK61">
            <v>1.5</v>
          </cell>
          <cell r="AL61">
            <v>1.59</v>
          </cell>
          <cell r="AM61">
            <v>1.73</v>
          </cell>
          <cell r="AN61">
            <v>2.2000000000000002</v>
          </cell>
          <cell r="AO61">
            <v>3.15</v>
          </cell>
          <cell r="AP61">
            <v>2.27</v>
          </cell>
          <cell r="AQ61">
            <v>2.68</v>
          </cell>
          <cell r="BB61">
            <v>2.83</v>
          </cell>
          <cell r="BD61">
            <v>1.73</v>
          </cell>
          <cell r="BE61">
            <v>2.02</v>
          </cell>
          <cell r="BF61">
            <v>2.23</v>
          </cell>
          <cell r="BG61">
            <v>2.08</v>
          </cell>
          <cell r="BH61">
            <v>2.11</v>
          </cell>
          <cell r="BI61">
            <v>2.46</v>
          </cell>
        </row>
        <row r="62">
          <cell r="A62" t="str">
            <v>TRUNK-LA</v>
          </cell>
          <cell r="B62">
            <v>59</v>
          </cell>
          <cell r="AO62">
            <v>3.2</v>
          </cell>
          <cell r="AP62">
            <v>2.3199999999999998</v>
          </cell>
          <cell r="AQ62">
            <v>2.74</v>
          </cell>
          <cell r="AR62">
            <v>2.6</v>
          </cell>
          <cell r="AS62">
            <v>2.16</v>
          </cell>
          <cell r="AT62">
            <v>2.2999999999999998</v>
          </cell>
          <cell r="AU62">
            <v>2.6</v>
          </cell>
          <cell r="AV62">
            <v>2.2599999999999998</v>
          </cell>
          <cell r="AW62">
            <v>1.76</v>
          </cell>
          <cell r="AX62">
            <v>1.77</v>
          </cell>
          <cell r="AY62">
            <v>2.63</v>
          </cell>
          <cell r="AZ62">
            <v>3.74</v>
          </cell>
          <cell r="BA62">
            <v>3.8</v>
          </cell>
          <cell r="BB62">
            <v>2.76</v>
          </cell>
          <cell r="BC62">
            <v>1.67</v>
          </cell>
          <cell r="BD62">
            <v>1.76</v>
          </cell>
          <cell r="BE62">
            <v>2.06</v>
          </cell>
          <cell r="BF62">
            <v>2.2400000000000002</v>
          </cell>
          <cell r="BG62">
            <v>2.08</v>
          </cell>
          <cell r="BH62">
            <v>2.13</v>
          </cell>
          <cell r="BI62">
            <v>2.4700000000000002</v>
          </cell>
          <cell r="BJ62">
            <v>3.07</v>
          </cell>
          <cell r="BK62">
            <v>3.18</v>
          </cell>
          <cell r="BL62">
            <v>2.44</v>
          </cell>
          <cell r="BM62">
            <v>2.16</v>
          </cell>
          <cell r="BN62">
            <v>1.93</v>
          </cell>
          <cell r="BO62">
            <v>2.1800000000000002</v>
          </cell>
          <cell r="BP62">
            <v>2.2200000000000002</v>
          </cell>
          <cell r="BQ62">
            <v>2.19</v>
          </cell>
          <cell r="BR62">
            <v>1.94</v>
          </cell>
          <cell r="BS62">
            <v>2.2799999999999998</v>
          </cell>
          <cell r="BT62">
            <v>1.84</v>
          </cell>
          <cell r="BU62">
            <v>1.53</v>
          </cell>
          <cell r="BV62">
            <v>1.94</v>
          </cell>
          <cell r="BW62">
            <v>1.91</v>
          </cell>
          <cell r="BX62">
            <v>2.0499999999999998</v>
          </cell>
          <cell r="BY62">
            <v>1.71</v>
          </cell>
          <cell r="BZ62">
            <v>1.75</v>
          </cell>
          <cell r="CA62">
            <v>1.56</v>
          </cell>
          <cell r="CB62">
            <v>1.83</v>
          </cell>
          <cell r="CC62">
            <v>2.2999999999999998</v>
          </cell>
          <cell r="CD62">
            <v>2.16</v>
          </cell>
          <cell r="CE62">
            <v>2.2200000000000002</v>
          </cell>
          <cell r="CF62">
            <v>2.56</v>
          </cell>
          <cell r="CG62">
            <v>2.85</v>
          </cell>
        </row>
        <row r="63">
          <cell r="A63" t="str">
            <v>TRUNK-TX</v>
          </cell>
          <cell r="B63">
            <v>60</v>
          </cell>
          <cell r="AO63">
            <v>2.0499999999999998</v>
          </cell>
          <cell r="AP63">
            <v>1.78</v>
          </cell>
          <cell r="AQ63">
            <v>1.92</v>
          </cell>
          <cell r="AR63">
            <v>2.23</v>
          </cell>
          <cell r="AS63">
            <v>2.11</v>
          </cell>
          <cell r="AT63">
            <v>2.2599999999999998</v>
          </cell>
          <cell r="AU63">
            <v>2.5299999999999998</v>
          </cell>
          <cell r="AV63">
            <v>2.21</v>
          </cell>
          <cell r="AW63">
            <v>1.7</v>
          </cell>
          <cell r="AX63">
            <v>1.74</v>
          </cell>
          <cell r="AY63">
            <v>2.61</v>
          </cell>
          <cell r="AZ63">
            <v>3.68</v>
          </cell>
          <cell r="BA63">
            <v>3.59</v>
          </cell>
          <cell r="BB63">
            <v>2.7</v>
          </cell>
          <cell r="BC63">
            <v>1.64</v>
          </cell>
          <cell r="BD63">
            <v>1.73</v>
          </cell>
          <cell r="BE63">
            <v>2.02</v>
          </cell>
          <cell r="BF63">
            <v>2.2200000000000002</v>
          </cell>
          <cell r="BG63">
            <v>2.0699999999999998</v>
          </cell>
          <cell r="BH63">
            <v>2.11</v>
          </cell>
          <cell r="BI63">
            <v>2.46</v>
          </cell>
          <cell r="BJ63">
            <v>3</v>
          </cell>
          <cell r="BK63">
            <v>3.16</v>
          </cell>
          <cell r="BL63">
            <v>2.35</v>
          </cell>
          <cell r="BM63">
            <v>2.15</v>
          </cell>
          <cell r="BN63">
            <v>1.92</v>
          </cell>
          <cell r="BO63">
            <v>2.17</v>
          </cell>
          <cell r="BP63">
            <v>2.2200000000000002</v>
          </cell>
          <cell r="BQ63">
            <v>2.2000000000000002</v>
          </cell>
          <cell r="BR63">
            <v>1.95</v>
          </cell>
          <cell r="BS63">
            <v>2.2799999999999998</v>
          </cell>
          <cell r="BT63">
            <v>1.83</v>
          </cell>
          <cell r="BU63">
            <v>1.54</v>
          </cell>
          <cell r="BV63">
            <v>1.94</v>
          </cell>
          <cell r="BW63">
            <v>1.89</v>
          </cell>
          <cell r="BX63">
            <v>2.0299999999999998</v>
          </cell>
          <cell r="BY63">
            <v>1.69</v>
          </cell>
          <cell r="BZ63">
            <v>1.74</v>
          </cell>
          <cell r="CA63">
            <v>1.56</v>
          </cell>
          <cell r="CB63">
            <v>1.82</v>
          </cell>
          <cell r="CC63">
            <v>2.2799999999999998</v>
          </cell>
          <cell r="CD63">
            <v>2.14</v>
          </cell>
          <cell r="CE63">
            <v>2.2000000000000002</v>
          </cell>
          <cell r="CF63">
            <v>2.5299999999999998</v>
          </cell>
          <cell r="CG63">
            <v>2.81</v>
          </cell>
        </row>
        <row r="64">
          <cell r="A64" t="str">
            <v>TW-PERM</v>
          </cell>
          <cell r="B64">
            <v>61</v>
          </cell>
          <cell r="C64">
            <v>2.11</v>
          </cell>
          <cell r="D64">
            <v>2.0299999999999998</v>
          </cell>
          <cell r="E64">
            <v>2.0299999999999998</v>
          </cell>
          <cell r="F64">
            <v>1.57</v>
          </cell>
          <cell r="G64">
            <v>1.84</v>
          </cell>
          <cell r="H64">
            <v>1.9</v>
          </cell>
          <cell r="I64">
            <v>2.21</v>
          </cell>
          <cell r="J64">
            <v>1.65</v>
          </cell>
          <cell r="K64">
            <v>1.76</v>
          </cell>
          <cell r="L64">
            <v>1.88</v>
          </cell>
          <cell r="M64">
            <v>2.0299999999999998</v>
          </cell>
          <cell r="N64">
            <v>1.73</v>
          </cell>
          <cell r="O64">
            <v>1.76</v>
          </cell>
          <cell r="P64">
            <v>2.27</v>
          </cell>
          <cell r="Q64">
            <v>1.91</v>
          </cell>
          <cell r="R64">
            <v>1.88</v>
          </cell>
          <cell r="S64">
            <v>2.0099999999999998</v>
          </cell>
          <cell r="T64">
            <v>1.73</v>
          </cell>
          <cell r="U64">
            <v>1.73</v>
          </cell>
          <cell r="V64">
            <v>1.48</v>
          </cell>
          <cell r="W64">
            <v>1.64</v>
          </cell>
          <cell r="X64">
            <v>1.56</v>
          </cell>
          <cell r="Y64">
            <v>1.38</v>
          </cell>
          <cell r="Z64">
            <v>1.21</v>
          </cell>
          <cell r="AA64">
            <v>1.47</v>
          </cell>
          <cell r="AB64">
            <v>1.63</v>
          </cell>
          <cell r="AC64">
            <v>1.44</v>
          </cell>
          <cell r="AD64">
            <v>1.1599999999999999</v>
          </cell>
          <cell r="AE64">
            <v>1.18</v>
          </cell>
          <cell r="AF64">
            <v>1.26</v>
          </cell>
          <cell r="AG64">
            <v>1.35</v>
          </cell>
          <cell r="AH64">
            <v>1.38</v>
          </cell>
          <cell r="AI64">
            <v>1.19</v>
          </cell>
          <cell r="AJ64">
            <v>1.18</v>
          </cell>
          <cell r="AK64">
            <v>1.36</v>
          </cell>
          <cell r="AL64">
            <v>1.42</v>
          </cell>
          <cell r="AM64">
            <v>1.53</v>
          </cell>
          <cell r="AN64">
            <v>1.74</v>
          </cell>
          <cell r="AO64">
            <v>1.89</v>
          </cell>
          <cell r="AP64">
            <v>1.66</v>
          </cell>
          <cell r="AQ64">
            <v>1.76</v>
          </cell>
          <cell r="AR64">
            <v>1.96</v>
          </cell>
          <cell r="AS64">
            <v>1.89</v>
          </cell>
          <cell r="AT64">
            <v>1.95</v>
          </cell>
          <cell r="AU64">
            <v>2.02</v>
          </cell>
          <cell r="AV64">
            <v>2.0099999999999998</v>
          </cell>
          <cell r="AW64">
            <v>1.55</v>
          </cell>
          <cell r="AX64">
            <v>1.62</v>
          </cell>
          <cell r="AY64">
            <v>2.44</v>
          </cell>
          <cell r="AZ64">
            <v>3.5</v>
          </cell>
          <cell r="BA64">
            <v>4.0999999999999996</v>
          </cell>
          <cell r="BB64">
            <v>2.5</v>
          </cell>
          <cell r="BC64">
            <v>1.52</v>
          </cell>
          <cell r="BD64">
            <v>1.61</v>
          </cell>
          <cell r="BE64">
            <v>1.89</v>
          </cell>
          <cell r="BF64">
            <v>2.0499999999999998</v>
          </cell>
          <cell r="BG64">
            <v>1.99</v>
          </cell>
          <cell r="BH64">
            <v>2.0499999999999998</v>
          </cell>
          <cell r="BI64">
            <v>2.35</v>
          </cell>
          <cell r="BJ64">
            <v>2.84</v>
          </cell>
          <cell r="BK64">
            <v>3.06</v>
          </cell>
          <cell r="BL64">
            <v>2.2000000000000002</v>
          </cell>
          <cell r="BM64">
            <v>2.09</v>
          </cell>
          <cell r="BN64">
            <v>1.87</v>
          </cell>
          <cell r="BO64">
            <v>2.0699999999999998</v>
          </cell>
          <cell r="BP64">
            <v>2.15</v>
          </cell>
          <cell r="BQ64">
            <v>2.12</v>
          </cell>
          <cell r="BR64">
            <v>1.89</v>
          </cell>
          <cell r="BS64">
            <v>2.17</v>
          </cell>
          <cell r="BT64">
            <v>1.94</v>
          </cell>
          <cell r="BU64">
            <v>1.59</v>
          </cell>
          <cell r="BV64">
            <v>1.83</v>
          </cell>
          <cell r="BW64">
            <v>1.99</v>
          </cell>
          <cell r="BX64">
            <v>1.99</v>
          </cell>
          <cell r="BY64">
            <v>1.74</v>
          </cell>
          <cell r="BZ64">
            <v>1.67</v>
          </cell>
          <cell r="CA64">
            <v>1.57</v>
          </cell>
          <cell r="CB64">
            <v>1.66</v>
          </cell>
          <cell r="CC64">
            <v>2.16</v>
          </cell>
          <cell r="CD64">
            <v>2.08</v>
          </cell>
          <cell r="CE64">
            <v>2.17</v>
          </cell>
          <cell r="CF64">
            <v>2.4500000000000002</v>
          </cell>
          <cell r="CG64">
            <v>2.77</v>
          </cell>
        </row>
        <row r="65">
          <cell r="A65" t="str">
            <v>TXG-Z1</v>
          </cell>
          <cell r="B65">
            <v>62</v>
          </cell>
          <cell r="C65">
            <v>2.33</v>
          </cell>
          <cell r="D65">
            <v>2.25</v>
          </cell>
          <cell r="E65">
            <v>1.92</v>
          </cell>
          <cell r="F65">
            <v>1.61</v>
          </cell>
          <cell r="G65">
            <v>1.85</v>
          </cell>
          <cell r="H65">
            <v>2.16</v>
          </cell>
          <cell r="I65">
            <v>2.65</v>
          </cell>
          <cell r="J65">
            <v>2</v>
          </cell>
          <cell r="K65">
            <v>1.89</v>
          </cell>
          <cell r="L65">
            <v>2.04</v>
          </cell>
          <cell r="M65">
            <v>2.2999999999999998</v>
          </cell>
          <cell r="N65">
            <v>1.98</v>
          </cell>
          <cell r="O65">
            <v>2.09</v>
          </cell>
          <cell r="P65">
            <v>2.2999999999999998</v>
          </cell>
          <cell r="Q65">
            <v>2.02</v>
          </cell>
          <cell r="R65">
            <v>2.2999999999999998</v>
          </cell>
          <cell r="S65">
            <v>2.33</v>
          </cell>
          <cell r="T65">
            <v>1.94</v>
          </cell>
          <cell r="U65">
            <v>2.02</v>
          </cell>
          <cell r="V65">
            <v>1.78</v>
          </cell>
          <cell r="W65">
            <v>1.91</v>
          </cell>
          <cell r="X65">
            <v>1.76</v>
          </cell>
          <cell r="Y65">
            <v>1.44</v>
          </cell>
          <cell r="Z65">
            <v>1.39</v>
          </cell>
          <cell r="AA65">
            <v>1.63</v>
          </cell>
          <cell r="AB65">
            <v>1.64</v>
          </cell>
          <cell r="AC65">
            <v>1.58</v>
          </cell>
          <cell r="AD65">
            <v>1.38</v>
          </cell>
          <cell r="AE65">
            <v>1.41</v>
          </cell>
          <cell r="AF65">
            <v>1.51</v>
          </cell>
          <cell r="AG65">
            <v>1.62</v>
          </cell>
          <cell r="AH65">
            <v>1.66</v>
          </cell>
          <cell r="AI65">
            <v>1.46</v>
          </cell>
          <cell r="AJ65">
            <v>1.33</v>
          </cell>
          <cell r="AK65">
            <v>1.53</v>
          </cell>
          <cell r="AL65">
            <v>1.62</v>
          </cell>
          <cell r="AM65">
            <v>1.76</v>
          </cell>
          <cell r="AN65">
            <v>2.25</v>
          </cell>
          <cell r="AO65">
            <v>3.32</v>
          </cell>
          <cell r="AP65">
            <v>2.35</v>
          </cell>
          <cell r="AQ65">
            <v>2.74</v>
          </cell>
          <cell r="AR65">
            <v>2.7</v>
          </cell>
          <cell r="AS65">
            <v>2.17</v>
          </cell>
          <cell r="AT65">
            <v>2.2999999999999998</v>
          </cell>
          <cell r="AU65">
            <v>2.61</v>
          </cell>
          <cell r="AV65">
            <v>2.2799999999999998</v>
          </cell>
          <cell r="AW65">
            <v>1.81</v>
          </cell>
          <cell r="AX65">
            <v>1.8</v>
          </cell>
          <cell r="AY65">
            <v>2.62</v>
          </cell>
          <cell r="AZ65">
            <v>3.81</v>
          </cell>
          <cell r="BA65">
            <v>4.01</v>
          </cell>
          <cell r="BB65">
            <v>2.88</v>
          </cell>
          <cell r="BC65">
            <v>1.76</v>
          </cell>
          <cell r="BD65">
            <v>1.78</v>
          </cell>
          <cell r="BE65">
            <v>2.08</v>
          </cell>
          <cell r="BF65">
            <v>2.2999999999999998</v>
          </cell>
          <cell r="BG65">
            <v>2.13</v>
          </cell>
          <cell r="BH65">
            <v>2.17</v>
          </cell>
          <cell r="BI65">
            <v>2.54</v>
          </cell>
          <cell r="BJ65">
            <v>3.08</v>
          </cell>
          <cell r="BK65">
            <v>3.24</v>
          </cell>
          <cell r="BL65">
            <v>2.4700000000000002</v>
          </cell>
          <cell r="BM65">
            <v>2.2400000000000002</v>
          </cell>
          <cell r="BN65">
            <v>1.99</v>
          </cell>
          <cell r="BO65">
            <v>2.2200000000000002</v>
          </cell>
          <cell r="BP65">
            <v>2.2400000000000002</v>
          </cell>
          <cell r="BQ65">
            <v>2.25</v>
          </cell>
          <cell r="BR65">
            <v>2</v>
          </cell>
          <cell r="BS65">
            <v>2.33</v>
          </cell>
          <cell r="BT65">
            <v>1.91</v>
          </cell>
          <cell r="BU65">
            <v>1.59</v>
          </cell>
          <cell r="BV65">
            <v>2.0299999999999998</v>
          </cell>
          <cell r="BW65">
            <v>1.98</v>
          </cell>
          <cell r="BX65">
            <v>2.09</v>
          </cell>
          <cell r="BY65">
            <v>1.74</v>
          </cell>
          <cell r="BZ65">
            <v>1.81</v>
          </cell>
          <cell r="CA65">
            <v>1.62</v>
          </cell>
          <cell r="CB65">
            <v>1.87</v>
          </cell>
          <cell r="CC65">
            <v>2.35</v>
          </cell>
          <cell r="CD65">
            <v>2.21</v>
          </cell>
          <cell r="CE65">
            <v>2.25</v>
          </cell>
          <cell r="CF65">
            <v>2.6</v>
          </cell>
          <cell r="CG65">
            <v>2.88</v>
          </cell>
        </row>
        <row r="66">
          <cell r="A66" t="str">
            <v>TXG-ZSL</v>
          </cell>
          <cell r="B66">
            <v>63</v>
          </cell>
          <cell r="C66">
            <v>2.3199999999999998</v>
          </cell>
          <cell r="D66">
            <v>2.2400000000000002</v>
          </cell>
          <cell r="E66">
            <v>1.9</v>
          </cell>
          <cell r="F66">
            <v>1.6</v>
          </cell>
          <cell r="G66">
            <v>1.85</v>
          </cell>
          <cell r="H66">
            <v>2.15</v>
          </cell>
          <cell r="I66">
            <v>2.65</v>
          </cell>
          <cell r="J66">
            <v>1.98</v>
          </cell>
          <cell r="K66">
            <v>1.87</v>
          </cell>
          <cell r="L66">
            <v>2.0499999999999998</v>
          </cell>
          <cell r="M66">
            <v>2.3199999999999998</v>
          </cell>
          <cell r="N66">
            <v>1.98</v>
          </cell>
          <cell r="O66">
            <v>2.09</v>
          </cell>
          <cell r="P66">
            <v>2.3199999999999998</v>
          </cell>
          <cell r="Q66">
            <v>2.0299999999999998</v>
          </cell>
          <cell r="R66">
            <v>2.3199999999999998</v>
          </cell>
          <cell r="S66">
            <v>2.3199999999999998</v>
          </cell>
          <cell r="T66">
            <v>1.93</v>
          </cell>
          <cell r="U66">
            <v>2.0299999999999998</v>
          </cell>
          <cell r="V66">
            <v>1.77</v>
          </cell>
          <cell r="W66">
            <v>1.91</v>
          </cell>
          <cell r="X66">
            <v>1.75</v>
          </cell>
          <cell r="Y66">
            <v>1.44</v>
          </cell>
          <cell r="Z66">
            <v>1.37</v>
          </cell>
          <cell r="AA66">
            <v>1.63</v>
          </cell>
          <cell r="AB66">
            <v>1.64</v>
          </cell>
          <cell r="AC66">
            <v>1.57</v>
          </cell>
          <cell r="AD66">
            <v>1.38</v>
          </cell>
          <cell r="AE66">
            <v>1.4</v>
          </cell>
          <cell r="AF66">
            <v>1.51</v>
          </cell>
          <cell r="AG66">
            <v>1.62</v>
          </cell>
          <cell r="AH66">
            <v>1.67</v>
          </cell>
          <cell r="AI66">
            <v>1.46</v>
          </cell>
          <cell r="AJ66">
            <v>1.32</v>
          </cell>
          <cell r="AK66">
            <v>1.53</v>
          </cell>
          <cell r="AL66">
            <v>1.61</v>
          </cell>
          <cell r="AM66">
            <v>1.76</v>
          </cell>
          <cell r="AN66">
            <v>2.2400000000000002</v>
          </cell>
          <cell r="AO66">
            <v>3.35</v>
          </cell>
          <cell r="AP66">
            <v>2.35</v>
          </cell>
          <cell r="AQ66">
            <v>2.8</v>
          </cell>
          <cell r="AR66">
            <v>2.72</v>
          </cell>
          <cell r="AS66">
            <v>2.19</v>
          </cell>
          <cell r="AT66">
            <v>2.3199999999999998</v>
          </cell>
          <cell r="AU66">
            <v>2.62</v>
          </cell>
          <cell r="AV66">
            <v>2.2999999999999998</v>
          </cell>
          <cell r="AW66">
            <v>1.79</v>
          </cell>
          <cell r="AX66">
            <v>1.81</v>
          </cell>
          <cell r="AY66">
            <v>2.64</v>
          </cell>
          <cell r="AZ66">
            <v>3.84</v>
          </cell>
          <cell r="BA66">
            <v>4.0199999999999996</v>
          </cell>
          <cell r="BB66">
            <v>2.88</v>
          </cell>
          <cell r="BC66">
            <v>1.77</v>
          </cell>
          <cell r="BD66">
            <v>1.79</v>
          </cell>
          <cell r="BE66">
            <v>2.1</v>
          </cell>
          <cell r="BF66">
            <v>2.31</v>
          </cell>
          <cell r="BG66">
            <v>2.13</v>
          </cell>
          <cell r="BH66">
            <v>2.16</v>
          </cell>
          <cell r="BI66">
            <v>2.5299999999999998</v>
          </cell>
          <cell r="BJ66">
            <v>3.08</v>
          </cell>
          <cell r="BK66">
            <v>3.26</v>
          </cell>
          <cell r="BL66">
            <v>2.5099999999999998</v>
          </cell>
          <cell r="BM66">
            <v>2.25</v>
          </cell>
          <cell r="BN66">
            <v>1.99</v>
          </cell>
          <cell r="BO66">
            <v>2.23</v>
          </cell>
          <cell r="BP66">
            <v>2.2200000000000002</v>
          </cell>
          <cell r="BQ66">
            <v>2.25</v>
          </cell>
          <cell r="BR66">
            <v>2</v>
          </cell>
          <cell r="BS66">
            <v>2.33</v>
          </cell>
          <cell r="BT66">
            <v>1.91</v>
          </cell>
          <cell r="BU66">
            <v>1.58</v>
          </cell>
          <cell r="BV66">
            <v>2.02</v>
          </cell>
          <cell r="BW66">
            <v>1.96</v>
          </cell>
          <cell r="BX66">
            <v>2.0699999999999998</v>
          </cell>
          <cell r="BY66">
            <v>1.74</v>
          </cell>
          <cell r="BZ66">
            <v>1.79</v>
          </cell>
          <cell r="CA66">
            <v>1.61</v>
          </cell>
          <cell r="CB66">
            <v>1.87</v>
          </cell>
          <cell r="CC66">
            <v>2.34</v>
          </cell>
          <cell r="CD66">
            <v>2.2000000000000002</v>
          </cell>
          <cell r="CE66">
            <v>2.2400000000000002</v>
          </cell>
          <cell r="CF66">
            <v>2.59</v>
          </cell>
          <cell r="CG66">
            <v>2.87</v>
          </cell>
        </row>
        <row r="67">
          <cell r="A67" t="str">
            <v>VAL-TX</v>
          </cell>
          <cell r="B67">
            <v>64</v>
          </cell>
          <cell r="C67">
            <v>2.04</v>
          </cell>
          <cell r="D67">
            <v>2.0499999999999998</v>
          </cell>
          <cell r="E67">
            <v>1.9</v>
          </cell>
          <cell r="F67">
            <v>1.56</v>
          </cell>
          <cell r="G67">
            <v>1.8</v>
          </cell>
          <cell r="H67">
            <v>2.15</v>
          </cell>
          <cell r="I67">
            <v>2.5</v>
          </cell>
          <cell r="J67">
            <v>1.81</v>
          </cell>
          <cell r="K67">
            <v>1.82</v>
          </cell>
          <cell r="L67">
            <v>2.02</v>
          </cell>
          <cell r="M67">
            <v>2.2400000000000002</v>
          </cell>
          <cell r="N67">
            <v>1.85</v>
          </cell>
          <cell r="O67">
            <v>1.95</v>
          </cell>
          <cell r="P67">
            <v>2.2999999999999998</v>
          </cell>
          <cell r="Q67">
            <v>1.91</v>
          </cell>
          <cell r="R67">
            <v>2</v>
          </cell>
          <cell r="S67">
            <v>2.09</v>
          </cell>
          <cell r="T67">
            <v>1.84</v>
          </cell>
          <cell r="U67">
            <v>1.9</v>
          </cell>
          <cell r="V67">
            <v>1.64</v>
          </cell>
          <cell r="W67">
            <v>1.85</v>
          </cell>
          <cell r="X67">
            <v>1.65</v>
          </cell>
          <cell r="Y67">
            <v>1.39</v>
          </cell>
          <cell r="Z67">
            <v>1.29</v>
          </cell>
          <cell r="AA67">
            <v>1.56</v>
          </cell>
          <cell r="AB67">
            <v>1.58</v>
          </cell>
          <cell r="AC67">
            <v>1.45</v>
          </cell>
          <cell r="AD67">
            <v>1.26</v>
          </cell>
          <cell r="AE67">
            <v>1.28</v>
          </cell>
          <cell r="AF67">
            <v>1.38</v>
          </cell>
          <cell r="AG67">
            <v>1.5</v>
          </cell>
          <cell r="AH67">
            <v>1.53</v>
          </cell>
          <cell r="AI67">
            <v>1.36</v>
          </cell>
          <cell r="AJ67">
            <v>1.26</v>
          </cell>
          <cell r="AK67">
            <v>1.43</v>
          </cell>
          <cell r="AL67">
            <v>1.5</v>
          </cell>
          <cell r="AM67">
            <v>1.61</v>
          </cell>
          <cell r="AN67">
            <v>1.97</v>
          </cell>
          <cell r="AO67">
            <v>2.04</v>
          </cell>
          <cell r="AP67">
            <v>1.77</v>
          </cell>
          <cell r="AQ67">
            <v>1.89</v>
          </cell>
          <cell r="AR67">
            <v>2.1800000000000002</v>
          </cell>
          <cell r="AS67">
            <v>2.06</v>
          </cell>
          <cell r="AT67">
            <v>2.1800000000000002</v>
          </cell>
          <cell r="AU67">
            <v>2.37</v>
          </cell>
          <cell r="AV67">
            <v>2.16</v>
          </cell>
          <cell r="AW67">
            <v>1.74</v>
          </cell>
          <cell r="AX67">
            <v>1.71</v>
          </cell>
          <cell r="AY67">
            <v>2.4900000000000002</v>
          </cell>
          <cell r="AZ67">
            <v>3.55</v>
          </cell>
          <cell r="BA67">
            <v>3.76</v>
          </cell>
          <cell r="BB67">
            <v>2.64</v>
          </cell>
          <cell r="BC67">
            <v>1.6</v>
          </cell>
          <cell r="BD67">
            <v>1.69</v>
          </cell>
          <cell r="BE67">
            <v>1.96</v>
          </cell>
          <cell r="BF67">
            <v>2.17</v>
          </cell>
          <cell r="BG67">
            <v>2.0299999999999998</v>
          </cell>
          <cell r="BH67">
            <v>2.0699999999999998</v>
          </cell>
          <cell r="BI67">
            <v>2.38</v>
          </cell>
          <cell r="BJ67">
            <v>3</v>
          </cell>
          <cell r="BK67">
            <v>3.15</v>
          </cell>
          <cell r="BL67">
            <v>2.31</v>
          </cell>
          <cell r="BM67">
            <v>2.09</v>
          </cell>
          <cell r="BN67">
            <v>1.88</v>
          </cell>
          <cell r="BO67">
            <v>2.11</v>
          </cell>
          <cell r="BP67">
            <v>2.1800000000000002</v>
          </cell>
          <cell r="BQ67">
            <v>2.17</v>
          </cell>
          <cell r="BR67">
            <v>1.93</v>
          </cell>
        </row>
        <row r="68">
          <cell r="A68" t="str">
            <v>WILL-TOK</v>
          </cell>
          <cell r="B68">
            <v>65</v>
          </cell>
          <cell r="C68">
            <v>1.98</v>
          </cell>
          <cell r="D68">
            <v>2</v>
          </cell>
          <cell r="E68">
            <v>2.0299999999999998</v>
          </cell>
          <cell r="F68">
            <v>1.65</v>
          </cell>
          <cell r="G68">
            <v>1.85</v>
          </cell>
          <cell r="H68">
            <v>2.0699999999999998</v>
          </cell>
          <cell r="I68">
            <v>2.57</v>
          </cell>
          <cell r="J68">
            <v>1.75</v>
          </cell>
          <cell r="K68">
            <v>1.73</v>
          </cell>
          <cell r="L68">
            <v>1.86</v>
          </cell>
          <cell r="M68">
            <v>2.1</v>
          </cell>
          <cell r="N68">
            <v>1.83</v>
          </cell>
          <cell r="O68">
            <v>1.83</v>
          </cell>
          <cell r="P68">
            <v>2.25</v>
          </cell>
          <cell r="Q68">
            <v>1.94</v>
          </cell>
          <cell r="R68">
            <v>2.1</v>
          </cell>
          <cell r="S68">
            <v>2.11</v>
          </cell>
          <cell r="T68">
            <v>1.76</v>
          </cell>
          <cell r="U68">
            <v>1.77</v>
          </cell>
          <cell r="V68">
            <v>1.53</v>
          </cell>
          <cell r="W68">
            <v>1.61</v>
          </cell>
          <cell r="X68">
            <v>1.55</v>
          </cell>
          <cell r="Y68">
            <v>1.33</v>
          </cell>
          <cell r="Z68">
            <v>1.24</v>
          </cell>
          <cell r="AA68">
            <v>1.45</v>
          </cell>
          <cell r="AB68">
            <v>1.6</v>
          </cell>
          <cell r="AC68">
            <v>1.51</v>
          </cell>
          <cell r="AD68">
            <v>1.23</v>
          </cell>
          <cell r="AE68">
            <v>1.24</v>
          </cell>
          <cell r="AF68">
            <v>1.27</v>
          </cell>
          <cell r="AG68">
            <v>1.4</v>
          </cell>
          <cell r="AH68">
            <v>1.44</v>
          </cell>
          <cell r="AI68">
            <v>1.23</v>
          </cell>
          <cell r="AJ68">
            <v>1.18</v>
          </cell>
          <cell r="AK68">
            <v>1.42</v>
          </cell>
          <cell r="AL68">
            <v>1.49</v>
          </cell>
          <cell r="AM68">
            <v>1.6</v>
          </cell>
          <cell r="AN68">
            <v>1.88</v>
          </cell>
          <cell r="AO68">
            <v>2.0299999999999998</v>
          </cell>
          <cell r="AP68">
            <v>1.84</v>
          </cell>
          <cell r="AQ68">
            <v>1.9</v>
          </cell>
          <cell r="AR68">
            <v>2.15</v>
          </cell>
          <cell r="AS68">
            <v>2</v>
          </cell>
          <cell r="AT68">
            <v>2.0299999999999998</v>
          </cell>
          <cell r="AU68">
            <v>2.1800000000000002</v>
          </cell>
          <cell r="AV68">
            <v>2.14</v>
          </cell>
          <cell r="AW68">
            <v>1.67</v>
          </cell>
          <cell r="AX68">
            <v>1.68</v>
          </cell>
          <cell r="AY68">
            <v>2.5</v>
          </cell>
          <cell r="AZ68">
            <v>3.68</v>
          </cell>
          <cell r="BA68">
            <v>4.3</v>
          </cell>
          <cell r="BB68">
            <v>2.81</v>
          </cell>
          <cell r="BC68">
            <v>2.81</v>
          </cell>
          <cell r="BD68">
            <v>1.7</v>
          </cell>
          <cell r="BE68">
            <v>1.92</v>
          </cell>
          <cell r="BG68">
            <v>2.04</v>
          </cell>
          <cell r="BH68">
            <v>2.0499999999999998</v>
          </cell>
          <cell r="BI68">
            <v>2.38</v>
          </cell>
          <cell r="BJ68">
            <v>2.98</v>
          </cell>
          <cell r="BK68">
            <v>3.15</v>
          </cell>
          <cell r="BL68">
            <v>2.37</v>
          </cell>
          <cell r="BM68">
            <v>2.15</v>
          </cell>
          <cell r="BN68">
            <v>1.92</v>
          </cell>
          <cell r="BO68">
            <v>2.15</v>
          </cell>
          <cell r="BP68">
            <v>2.1800000000000002</v>
          </cell>
          <cell r="BQ68">
            <v>2.16</v>
          </cell>
          <cell r="BR68">
            <v>1.93</v>
          </cell>
          <cell r="BS68">
            <v>2.27</v>
          </cell>
          <cell r="BT68">
            <v>1.85</v>
          </cell>
          <cell r="BU68">
            <v>1.56</v>
          </cell>
          <cell r="BV68">
            <v>1.9</v>
          </cell>
          <cell r="BW68">
            <v>1.94</v>
          </cell>
          <cell r="BX68">
            <v>2.0499999999999998</v>
          </cell>
          <cell r="BY68">
            <v>1.78</v>
          </cell>
          <cell r="BZ68">
            <v>1.75</v>
          </cell>
          <cell r="CA68">
            <v>1.57</v>
          </cell>
          <cell r="CB68">
            <v>1.74</v>
          </cell>
          <cell r="CC68">
            <v>2.2200000000000002</v>
          </cell>
          <cell r="CD68">
            <v>2.12</v>
          </cell>
          <cell r="CE68">
            <v>2.17</v>
          </cell>
          <cell r="CF68">
            <v>2.5</v>
          </cell>
          <cell r="CG68">
            <v>2.77</v>
          </cell>
        </row>
      </sheetData>
      <sheetData sheetId="1" refreshError="1">
        <row r="2">
          <cell r="A2">
            <v>33909</v>
          </cell>
          <cell r="B2">
            <v>3</v>
          </cell>
          <cell r="D2" t="str">
            <v>3D</v>
          </cell>
          <cell r="E2" t="str">
            <v>3D Avg</v>
          </cell>
          <cell r="F2">
            <v>2</v>
          </cell>
        </row>
        <row r="3">
          <cell r="A3">
            <v>33939</v>
          </cell>
          <cell r="B3">
            <v>4</v>
          </cell>
          <cell r="D3" t="str">
            <v>2D</v>
          </cell>
          <cell r="E3" t="str">
            <v>2D Avg</v>
          </cell>
          <cell r="F3">
            <v>3</v>
          </cell>
        </row>
        <row r="4">
          <cell r="A4">
            <v>33970</v>
          </cell>
          <cell r="B4">
            <v>5</v>
          </cell>
          <cell r="D4" t="str">
            <v>FD</v>
          </cell>
          <cell r="E4" t="str">
            <v>Settle</v>
          </cell>
          <cell r="F4">
            <v>4</v>
          </cell>
        </row>
        <row r="5">
          <cell r="A5">
            <v>34001</v>
          </cell>
          <cell r="B5">
            <v>6</v>
          </cell>
          <cell r="D5" t="str">
            <v>AECO-NT</v>
          </cell>
          <cell r="E5" t="str">
            <v>AECO Hub</v>
          </cell>
          <cell r="F5">
            <v>5</v>
          </cell>
        </row>
        <row r="6">
          <cell r="A6">
            <v>34029</v>
          </cell>
          <cell r="B6">
            <v>7</v>
          </cell>
          <cell r="D6" t="str">
            <v>ANR-LA</v>
          </cell>
          <cell r="E6" t="str">
            <v>ANR-Louisiana</v>
          </cell>
          <cell r="F6">
            <v>6</v>
          </cell>
        </row>
        <row r="7">
          <cell r="A7">
            <v>34060</v>
          </cell>
          <cell r="B7">
            <v>8</v>
          </cell>
          <cell r="D7" t="str">
            <v>ANR-OFF</v>
          </cell>
          <cell r="E7" t="str">
            <v>ANR-Offshore</v>
          </cell>
          <cell r="F7">
            <v>7</v>
          </cell>
        </row>
        <row r="8">
          <cell r="A8">
            <v>34090</v>
          </cell>
          <cell r="B8">
            <v>9</v>
          </cell>
          <cell r="D8" t="str">
            <v>ANR-OK</v>
          </cell>
          <cell r="E8" t="str">
            <v>ANR-Oklahoma</v>
          </cell>
          <cell r="F8">
            <v>8</v>
          </cell>
        </row>
        <row r="9">
          <cell r="A9">
            <v>34121</v>
          </cell>
          <cell r="B9">
            <v>10</v>
          </cell>
          <cell r="D9" t="str">
            <v>CG-APP</v>
          </cell>
          <cell r="E9" t="str">
            <v>Columbia Gas-App</v>
          </cell>
          <cell r="F9">
            <v>9</v>
          </cell>
        </row>
        <row r="10">
          <cell r="A10">
            <v>34151</v>
          </cell>
          <cell r="B10">
            <v>11</v>
          </cell>
          <cell r="D10" t="str">
            <v>CGLF-LA</v>
          </cell>
          <cell r="E10" t="str">
            <v>Columbia Gulf-Louisiana</v>
          </cell>
          <cell r="F10">
            <v>10</v>
          </cell>
        </row>
        <row r="11">
          <cell r="A11">
            <v>34182</v>
          </cell>
          <cell r="B11">
            <v>12</v>
          </cell>
          <cell r="D11" t="str">
            <v>CGLF-OFS</v>
          </cell>
          <cell r="E11" t="str">
            <v>Columbia Gulf-Offshore</v>
          </cell>
          <cell r="F11">
            <v>11</v>
          </cell>
        </row>
        <row r="12">
          <cell r="A12">
            <v>34213</v>
          </cell>
          <cell r="B12">
            <v>13</v>
          </cell>
          <cell r="D12" t="str">
            <v>CHIC</v>
          </cell>
          <cell r="E12" t="str">
            <v>Chicago City Gate</v>
          </cell>
          <cell r="F12">
            <v>12</v>
          </cell>
        </row>
        <row r="13">
          <cell r="A13">
            <v>34243</v>
          </cell>
          <cell r="B13">
            <v>14</v>
          </cell>
          <cell r="D13" t="str">
            <v>CIG-ROCK</v>
          </cell>
          <cell r="E13" t="str">
            <v>CIG-Rocky Mtn</v>
          </cell>
          <cell r="F13">
            <v>13</v>
          </cell>
        </row>
        <row r="14">
          <cell r="A14">
            <v>34274</v>
          </cell>
          <cell r="B14">
            <v>15</v>
          </cell>
          <cell r="D14" t="str">
            <v>CNG</v>
          </cell>
          <cell r="E14" t="str">
            <v>CNG-Appalacian</v>
          </cell>
          <cell r="F14">
            <v>14</v>
          </cell>
        </row>
        <row r="15">
          <cell r="A15">
            <v>34304</v>
          </cell>
          <cell r="B15">
            <v>16</v>
          </cell>
          <cell r="D15" t="str">
            <v>EPNG-ANAD</v>
          </cell>
          <cell r="E15" t="str">
            <v>El Paso-Anadarko</v>
          </cell>
          <cell r="F15">
            <v>15</v>
          </cell>
        </row>
        <row r="16">
          <cell r="A16">
            <v>34335</v>
          </cell>
          <cell r="B16">
            <v>17</v>
          </cell>
          <cell r="D16" t="str">
            <v>EPNG-PERM</v>
          </cell>
          <cell r="E16" t="str">
            <v>El Paso-Permian</v>
          </cell>
          <cell r="F16">
            <v>16</v>
          </cell>
        </row>
        <row r="17">
          <cell r="A17">
            <v>34366</v>
          </cell>
          <cell r="B17">
            <v>18</v>
          </cell>
          <cell r="D17" t="str">
            <v>EPNG-SJ</v>
          </cell>
          <cell r="E17" t="str">
            <v>El Paso-San Juan</v>
          </cell>
          <cell r="F17">
            <v>17</v>
          </cell>
        </row>
        <row r="18">
          <cell r="A18">
            <v>34394</v>
          </cell>
          <cell r="B18">
            <v>19</v>
          </cell>
          <cell r="D18" t="str">
            <v>FGT-Z1</v>
          </cell>
          <cell r="E18" t="str">
            <v>Florida-Zone 1</v>
          </cell>
          <cell r="F18">
            <v>18</v>
          </cell>
        </row>
        <row r="19">
          <cell r="A19">
            <v>34425</v>
          </cell>
          <cell r="B19">
            <v>20</v>
          </cell>
          <cell r="D19" t="str">
            <v>FGT-Z2</v>
          </cell>
          <cell r="E19" t="str">
            <v>Florida-Zone 2</v>
          </cell>
          <cell r="F19">
            <v>19</v>
          </cell>
        </row>
        <row r="20">
          <cell r="A20">
            <v>34455</v>
          </cell>
          <cell r="B20">
            <v>21</v>
          </cell>
          <cell r="D20" t="str">
            <v>FGT-Z3</v>
          </cell>
          <cell r="E20" t="str">
            <v>Florida-Zone 3</v>
          </cell>
          <cell r="F20">
            <v>20</v>
          </cell>
        </row>
        <row r="21">
          <cell r="A21">
            <v>34486</v>
          </cell>
          <cell r="B21">
            <v>22</v>
          </cell>
          <cell r="D21" t="str">
            <v>HSC</v>
          </cell>
          <cell r="E21" t="str">
            <v>Hous Ship Chan</v>
          </cell>
          <cell r="F21">
            <v>21</v>
          </cell>
        </row>
        <row r="22">
          <cell r="A22">
            <v>34516</v>
          </cell>
          <cell r="B22">
            <v>23</v>
          </cell>
          <cell r="D22" t="str">
            <v>HUB</v>
          </cell>
          <cell r="E22" t="str">
            <v>Henry Hub</v>
          </cell>
          <cell r="F22">
            <v>22</v>
          </cell>
        </row>
        <row r="23">
          <cell r="A23">
            <v>34547</v>
          </cell>
          <cell r="B23">
            <v>24</v>
          </cell>
          <cell r="D23" t="str">
            <v>KERN</v>
          </cell>
          <cell r="E23" t="str">
            <v>Kern River</v>
          </cell>
          <cell r="F23">
            <v>23</v>
          </cell>
        </row>
        <row r="24">
          <cell r="A24">
            <v>34578</v>
          </cell>
          <cell r="B24">
            <v>25</v>
          </cell>
          <cell r="D24" t="str">
            <v>KERN-NGI</v>
          </cell>
          <cell r="E24" t="str">
            <v>Kern River-NGI</v>
          </cell>
          <cell r="F24">
            <v>24</v>
          </cell>
        </row>
        <row r="25">
          <cell r="A25">
            <v>34608</v>
          </cell>
          <cell r="B25">
            <v>26</v>
          </cell>
          <cell r="D25" t="str">
            <v>KOCH-LA</v>
          </cell>
          <cell r="E25" t="str">
            <v>Koch Gateway-LA</v>
          </cell>
          <cell r="F25">
            <v>25</v>
          </cell>
        </row>
        <row r="26">
          <cell r="A26">
            <v>34639</v>
          </cell>
          <cell r="B26">
            <v>27</v>
          </cell>
          <cell r="D26" t="str">
            <v>KOCH-TX</v>
          </cell>
          <cell r="E26" t="str">
            <v>Koch Gateway-TX</v>
          </cell>
          <cell r="F26">
            <v>26</v>
          </cell>
        </row>
        <row r="27">
          <cell r="A27">
            <v>34669</v>
          </cell>
          <cell r="B27">
            <v>28</v>
          </cell>
          <cell r="D27" t="str">
            <v>MALIN-400</v>
          </cell>
          <cell r="E27" t="str">
            <v>Malin-400 Border</v>
          </cell>
          <cell r="F27">
            <v>27</v>
          </cell>
        </row>
        <row r="28">
          <cell r="A28">
            <v>34700</v>
          </cell>
          <cell r="B28">
            <v>29</v>
          </cell>
          <cell r="D28" t="str">
            <v>MALIN-401</v>
          </cell>
          <cell r="E28" t="str">
            <v>Malin-401 Border</v>
          </cell>
          <cell r="F28">
            <v>28</v>
          </cell>
        </row>
        <row r="29">
          <cell r="A29">
            <v>34731</v>
          </cell>
          <cell r="B29">
            <v>30</v>
          </cell>
          <cell r="D29" t="str">
            <v>MICH</v>
          </cell>
          <cell r="E29" t="str">
            <v>MichCon</v>
          </cell>
          <cell r="F29">
            <v>29</v>
          </cell>
        </row>
        <row r="30">
          <cell r="A30">
            <v>34759</v>
          </cell>
          <cell r="B30">
            <v>31</v>
          </cell>
          <cell r="D30" t="str">
            <v>MRC</v>
          </cell>
          <cell r="E30" t="str">
            <v>Miss River Corr</v>
          </cell>
          <cell r="F30">
            <v>30</v>
          </cell>
        </row>
        <row r="31">
          <cell r="A31">
            <v>34790</v>
          </cell>
          <cell r="B31">
            <v>32</v>
          </cell>
          <cell r="D31" t="str">
            <v>NGPL-LA</v>
          </cell>
          <cell r="E31" t="str">
            <v>NGPL-Louisiana</v>
          </cell>
          <cell r="F31">
            <v>31</v>
          </cell>
        </row>
        <row r="32">
          <cell r="A32">
            <v>34820</v>
          </cell>
          <cell r="B32">
            <v>33</v>
          </cell>
          <cell r="D32" t="str">
            <v>NGPL-MC</v>
          </cell>
          <cell r="E32" t="str">
            <v>NGPL-MidContinent</v>
          </cell>
          <cell r="F32">
            <v>32</v>
          </cell>
        </row>
        <row r="33">
          <cell r="A33">
            <v>34851</v>
          </cell>
          <cell r="B33">
            <v>34</v>
          </cell>
          <cell r="D33" t="str">
            <v>NGPL-OK</v>
          </cell>
          <cell r="E33" t="str">
            <v>NGPL-Oklahoma</v>
          </cell>
          <cell r="F33">
            <v>33</v>
          </cell>
        </row>
        <row r="34">
          <cell r="A34">
            <v>34881</v>
          </cell>
          <cell r="B34">
            <v>35</v>
          </cell>
          <cell r="D34" t="str">
            <v>NGPL-STX</v>
          </cell>
          <cell r="E34" t="str">
            <v>NGPL-Texas</v>
          </cell>
          <cell r="F34">
            <v>34</v>
          </cell>
        </row>
        <row r="35">
          <cell r="A35">
            <v>34912</v>
          </cell>
          <cell r="B35">
            <v>36</v>
          </cell>
          <cell r="D35" t="str">
            <v>NNG-DEMARC</v>
          </cell>
          <cell r="E35" t="str">
            <v>Northern-Demarc</v>
          </cell>
          <cell r="F35">
            <v>35</v>
          </cell>
        </row>
        <row r="36">
          <cell r="A36">
            <v>34943</v>
          </cell>
          <cell r="B36">
            <v>37</v>
          </cell>
          <cell r="D36" t="str">
            <v>NNG-TOK</v>
          </cell>
          <cell r="E36" t="str">
            <v>Northern-TOK</v>
          </cell>
          <cell r="F36">
            <v>36</v>
          </cell>
        </row>
        <row r="37">
          <cell r="A37">
            <v>34973</v>
          </cell>
          <cell r="B37">
            <v>38</v>
          </cell>
          <cell r="D37" t="str">
            <v>NNG-VENT</v>
          </cell>
          <cell r="E37" t="str">
            <v>Northern-Ventura</v>
          </cell>
          <cell r="F37">
            <v>37</v>
          </cell>
        </row>
        <row r="38">
          <cell r="A38">
            <v>35004</v>
          </cell>
          <cell r="B38">
            <v>39</v>
          </cell>
          <cell r="D38" t="str">
            <v>NOR-AM</v>
          </cell>
          <cell r="E38" t="str">
            <v>Noram</v>
          </cell>
          <cell r="F38">
            <v>38</v>
          </cell>
        </row>
        <row r="39">
          <cell r="A39">
            <v>35034</v>
          </cell>
          <cell r="B39">
            <v>40</v>
          </cell>
          <cell r="D39" t="str">
            <v>NOR-EAST</v>
          </cell>
          <cell r="E39" t="str">
            <v>Noram East</v>
          </cell>
          <cell r="F39">
            <v>39</v>
          </cell>
        </row>
        <row r="40">
          <cell r="A40">
            <v>35065</v>
          </cell>
          <cell r="B40">
            <v>41</v>
          </cell>
          <cell r="D40" t="str">
            <v>NOR-WEST</v>
          </cell>
          <cell r="E40" t="str">
            <v>Noram West</v>
          </cell>
          <cell r="F40">
            <v>40</v>
          </cell>
        </row>
        <row r="41">
          <cell r="A41">
            <v>35096</v>
          </cell>
          <cell r="B41">
            <v>42</v>
          </cell>
          <cell r="D41" t="str">
            <v>NWPL-CAN</v>
          </cell>
          <cell r="E41" t="str">
            <v>Northwest-Canada</v>
          </cell>
          <cell r="F41">
            <v>41</v>
          </cell>
        </row>
        <row r="42">
          <cell r="A42">
            <v>35125</v>
          </cell>
          <cell r="B42">
            <v>43</v>
          </cell>
          <cell r="D42" t="str">
            <v>NWPL-ROCK</v>
          </cell>
          <cell r="E42" t="str">
            <v>Northwest-Rock Mtn</v>
          </cell>
          <cell r="F42">
            <v>42</v>
          </cell>
        </row>
        <row r="43">
          <cell r="A43">
            <v>35156</v>
          </cell>
          <cell r="B43">
            <v>44</v>
          </cell>
          <cell r="D43" t="str">
            <v>ONG-OKL</v>
          </cell>
          <cell r="E43" t="str">
            <v>ONG-Oklahoma</v>
          </cell>
          <cell r="F43">
            <v>43</v>
          </cell>
        </row>
        <row r="44">
          <cell r="A44">
            <v>35186</v>
          </cell>
          <cell r="B44">
            <v>45</v>
          </cell>
          <cell r="D44" t="str">
            <v>PEPL-FZ</v>
          </cell>
          <cell r="E44" t="str">
            <v>Panhandle-Field Zone</v>
          </cell>
          <cell r="F44">
            <v>44</v>
          </cell>
        </row>
        <row r="45">
          <cell r="A45">
            <v>35217</v>
          </cell>
          <cell r="B45">
            <v>46</v>
          </cell>
          <cell r="D45" t="str">
            <v>QUEST</v>
          </cell>
          <cell r="E45" t="str">
            <v>Questar</v>
          </cell>
          <cell r="F45">
            <v>45</v>
          </cell>
        </row>
        <row r="46">
          <cell r="A46">
            <v>35247</v>
          </cell>
          <cell r="B46">
            <v>47</v>
          </cell>
          <cell r="D46" t="str">
            <v>NGI-Socal</v>
          </cell>
          <cell r="E46" t="str">
            <v>So Cal Border</v>
          </cell>
          <cell r="F46">
            <v>46</v>
          </cell>
        </row>
        <row r="47">
          <cell r="A47">
            <v>35278</v>
          </cell>
          <cell r="B47">
            <v>48</v>
          </cell>
          <cell r="D47" t="str">
            <v>SONAT-LA</v>
          </cell>
          <cell r="E47" t="str">
            <v>Southern-Louisiana</v>
          </cell>
          <cell r="F47">
            <v>47</v>
          </cell>
        </row>
        <row r="48">
          <cell r="A48">
            <v>35309</v>
          </cell>
          <cell r="B48">
            <v>49</v>
          </cell>
          <cell r="D48" t="str">
            <v>TANG</v>
          </cell>
          <cell r="E48" t="str">
            <v>Transamerican</v>
          </cell>
          <cell r="F48">
            <v>48</v>
          </cell>
        </row>
        <row r="49">
          <cell r="A49">
            <v>35339</v>
          </cell>
          <cell r="B49">
            <v>50</v>
          </cell>
          <cell r="D49" t="str">
            <v>TENN-Z0</v>
          </cell>
          <cell r="E49" t="str">
            <v>Tennessee-Zone 0</v>
          </cell>
          <cell r="F49">
            <v>49</v>
          </cell>
        </row>
        <row r="50">
          <cell r="A50">
            <v>35370</v>
          </cell>
          <cell r="B50">
            <v>51</v>
          </cell>
          <cell r="D50" t="str">
            <v>TENN-Z1</v>
          </cell>
          <cell r="E50" t="str">
            <v>Tennessee-Zone 1</v>
          </cell>
          <cell r="F50">
            <v>50</v>
          </cell>
        </row>
        <row r="51">
          <cell r="A51">
            <v>35400</v>
          </cell>
          <cell r="B51">
            <v>52</v>
          </cell>
          <cell r="D51" t="str">
            <v>TET-ELA</v>
          </cell>
          <cell r="E51" t="str">
            <v>Texas Eastern-ELA</v>
          </cell>
          <cell r="F51">
            <v>51</v>
          </cell>
        </row>
        <row r="52">
          <cell r="A52">
            <v>35431</v>
          </cell>
          <cell r="B52">
            <v>53</v>
          </cell>
          <cell r="D52" t="str">
            <v>TET-ETX</v>
          </cell>
          <cell r="E52" t="str">
            <v>Texas Eastern-ETX</v>
          </cell>
          <cell r="F52">
            <v>52</v>
          </cell>
        </row>
        <row r="53">
          <cell r="A53">
            <v>35462</v>
          </cell>
          <cell r="B53">
            <v>54</v>
          </cell>
          <cell r="D53" t="str">
            <v>TET-M3</v>
          </cell>
          <cell r="E53" t="str">
            <v>Texas Eastern-M3</v>
          </cell>
          <cell r="F53">
            <v>53</v>
          </cell>
        </row>
        <row r="54">
          <cell r="A54">
            <v>35490</v>
          </cell>
          <cell r="B54">
            <v>55</v>
          </cell>
          <cell r="D54" t="str">
            <v>TET-STX</v>
          </cell>
          <cell r="E54" t="str">
            <v>Texas Eastern-STX</v>
          </cell>
          <cell r="F54">
            <v>54</v>
          </cell>
        </row>
        <row r="55">
          <cell r="A55">
            <v>35521</v>
          </cell>
          <cell r="B55">
            <v>56</v>
          </cell>
          <cell r="D55" t="str">
            <v>TET-WLA</v>
          </cell>
          <cell r="E55" t="str">
            <v>Texas Eastern-WLA</v>
          </cell>
          <cell r="F55">
            <v>55</v>
          </cell>
        </row>
        <row r="56">
          <cell r="A56">
            <v>35551</v>
          </cell>
          <cell r="B56">
            <v>57</v>
          </cell>
          <cell r="D56" t="str">
            <v>TRAN-Z1</v>
          </cell>
          <cell r="E56" t="str">
            <v>Transco-Zone 1</v>
          </cell>
          <cell r="F56">
            <v>56</v>
          </cell>
        </row>
        <row r="57">
          <cell r="A57">
            <v>35582</v>
          </cell>
          <cell r="B57">
            <v>58</v>
          </cell>
          <cell r="D57" t="str">
            <v>TRAN-Z2</v>
          </cell>
          <cell r="E57" t="str">
            <v>Transco-Zone 2</v>
          </cell>
          <cell r="F57">
            <v>57</v>
          </cell>
        </row>
        <row r="58">
          <cell r="A58">
            <v>35612</v>
          </cell>
          <cell r="B58">
            <v>59</v>
          </cell>
          <cell r="D58" t="str">
            <v>TRAN-Z3</v>
          </cell>
          <cell r="E58" t="str">
            <v>Transco-Zone 3</v>
          </cell>
          <cell r="F58">
            <v>58</v>
          </cell>
        </row>
        <row r="59">
          <cell r="A59">
            <v>35643</v>
          </cell>
          <cell r="B59">
            <v>60</v>
          </cell>
          <cell r="D59" t="str">
            <v>TRAN-Z4</v>
          </cell>
          <cell r="E59" t="str">
            <v>Transco-Zone 4</v>
          </cell>
          <cell r="F59">
            <v>59</v>
          </cell>
        </row>
        <row r="60">
          <cell r="A60">
            <v>35674</v>
          </cell>
          <cell r="B60">
            <v>61</v>
          </cell>
          <cell r="D60" t="str">
            <v>TRAN-Z6</v>
          </cell>
          <cell r="E60" t="str">
            <v>Transco-Zone 6</v>
          </cell>
          <cell r="F60">
            <v>60</v>
          </cell>
        </row>
        <row r="61">
          <cell r="A61">
            <v>35704</v>
          </cell>
          <cell r="B61">
            <v>62</v>
          </cell>
          <cell r="D61" t="str">
            <v>TRUNK-FZ</v>
          </cell>
          <cell r="E61" t="str">
            <v>Trunkline-Field Zone</v>
          </cell>
          <cell r="F61">
            <v>61</v>
          </cell>
        </row>
        <row r="62">
          <cell r="A62">
            <v>35735</v>
          </cell>
          <cell r="B62">
            <v>63</v>
          </cell>
          <cell r="D62" t="str">
            <v>TRUNK-LA</v>
          </cell>
          <cell r="E62" t="str">
            <v>Trunkline-Louisiana</v>
          </cell>
          <cell r="F62">
            <v>62</v>
          </cell>
        </row>
        <row r="63">
          <cell r="A63">
            <v>35765</v>
          </cell>
          <cell r="B63">
            <v>64</v>
          </cell>
          <cell r="D63" t="str">
            <v>TRUNK-TX</v>
          </cell>
          <cell r="E63" t="str">
            <v>Trunkline-Texas</v>
          </cell>
          <cell r="F63">
            <v>63</v>
          </cell>
        </row>
        <row r="64">
          <cell r="A64">
            <v>35796</v>
          </cell>
          <cell r="B64">
            <v>65</v>
          </cell>
          <cell r="D64" t="str">
            <v>TW-PERM</v>
          </cell>
          <cell r="E64" t="str">
            <v>Transwestern-Permian</v>
          </cell>
          <cell r="F64">
            <v>64</v>
          </cell>
        </row>
        <row r="65">
          <cell r="A65">
            <v>35827</v>
          </cell>
          <cell r="B65">
            <v>66</v>
          </cell>
          <cell r="D65" t="str">
            <v>TXG-Z1</v>
          </cell>
          <cell r="E65" t="str">
            <v>Texas Gas-Zone 1</v>
          </cell>
          <cell r="F65">
            <v>65</v>
          </cell>
        </row>
        <row r="66">
          <cell r="A66">
            <v>35855</v>
          </cell>
          <cell r="B66">
            <v>67</v>
          </cell>
          <cell r="D66" t="str">
            <v>TXG-ZSL</v>
          </cell>
          <cell r="E66" t="str">
            <v>Texas Gas-Zone SL</v>
          </cell>
          <cell r="F66">
            <v>66</v>
          </cell>
        </row>
        <row r="67">
          <cell r="A67">
            <v>35886</v>
          </cell>
          <cell r="B67">
            <v>68</v>
          </cell>
          <cell r="D67" t="str">
            <v>VAL-TX</v>
          </cell>
          <cell r="E67" t="str">
            <v>Valero-TX</v>
          </cell>
          <cell r="F67">
            <v>67</v>
          </cell>
        </row>
        <row r="68">
          <cell r="A68">
            <v>35916</v>
          </cell>
          <cell r="B68">
            <v>69</v>
          </cell>
          <cell r="D68" t="str">
            <v>KRS (SOCAL)-NGI</v>
          </cell>
          <cell r="E68" t="str">
            <v>Kern River Station</v>
          </cell>
          <cell r="F68">
            <v>68</v>
          </cell>
        </row>
        <row r="69">
          <cell r="A69">
            <v>35947</v>
          </cell>
          <cell r="B69">
            <v>70</v>
          </cell>
        </row>
        <row r="70">
          <cell r="A70">
            <v>35977</v>
          </cell>
          <cell r="B70">
            <v>71</v>
          </cell>
        </row>
        <row r="71">
          <cell r="A71">
            <v>36008</v>
          </cell>
          <cell r="B71">
            <v>72</v>
          </cell>
        </row>
        <row r="72">
          <cell r="A72">
            <v>36039</v>
          </cell>
          <cell r="B72">
            <v>73</v>
          </cell>
        </row>
        <row r="73">
          <cell r="A73">
            <v>36069</v>
          </cell>
          <cell r="B73">
            <v>74</v>
          </cell>
        </row>
        <row r="74">
          <cell r="A74">
            <v>36100</v>
          </cell>
          <cell r="B74">
            <v>75</v>
          </cell>
        </row>
        <row r="75">
          <cell r="A75">
            <v>36130</v>
          </cell>
          <cell r="B75">
            <v>76</v>
          </cell>
        </row>
        <row r="76">
          <cell r="A76">
            <v>36161</v>
          </cell>
          <cell r="B76">
            <v>77</v>
          </cell>
        </row>
        <row r="77">
          <cell r="A77">
            <v>36192</v>
          </cell>
          <cell r="B77">
            <v>78</v>
          </cell>
        </row>
        <row r="78">
          <cell r="A78">
            <v>36220</v>
          </cell>
          <cell r="B78">
            <v>79</v>
          </cell>
        </row>
        <row r="79">
          <cell r="A79">
            <v>36251</v>
          </cell>
          <cell r="B79">
            <v>80</v>
          </cell>
        </row>
        <row r="80">
          <cell r="A80">
            <v>36281</v>
          </cell>
          <cell r="B80">
            <v>81</v>
          </cell>
        </row>
        <row r="81">
          <cell r="A81">
            <v>36312</v>
          </cell>
          <cell r="B81">
            <v>82</v>
          </cell>
        </row>
        <row r="82">
          <cell r="A82">
            <v>36342</v>
          </cell>
          <cell r="B82">
            <v>83</v>
          </cell>
        </row>
        <row r="83">
          <cell r="A83">
            <v>36373</v>
          </cell>
          <cell r="B83">
            <v>84</v>
          </cell>
        </row>
        <row r="84">
          <cell r="A84">
            <v>36404</v>
          </cell>
          <cell r="B84">
            <v>85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DWtoGTdirectSetup_"/>
      <sheetName val="_UnregulatedCurves_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8"/>
  <dimension ref="A1:S1137"/>
  <sheetViews>
    <sheetView tabSelected="1" zoomScale="50" zoomScaleNormal="50" workbookViewId="0">
      <pane xSplit="1" ySplit="16" topLeftCell="B17" activePane="bottomRight" state="frozen"/>
      <selection activeCell="J39" sqref="J39"/>
      <selection pane="topRight" activeCell="J39" sqref="J39"/>
      <selection pane="bottomLeft" activeCell="J39" sqref="J39"/>
      <selection pane="bottomRight" sqref="A1:A6"/>
    </sheetView>
  </sheetViews>
  <sheetFormatPr defaultColWidth="7.109375" defaultRowHeight="15"/>
  <cols>
    <col min="1" max="1" width="7.5546875" style="2" bestFit="1" customWidth="1"/>
    <col min="2" max="5" width="10" style="1" customWidth="1"/>
    <col min="6" max="6" width="9.33203125" style="2" customWidth="1"/>
    <col min="7" max="7" width="13.33203125" style="1" customWidth="1"/>
    <col min="8" max="8" width="12.6640625" style="2" customWidth="1"/>
    <col min="9" max="9" width="10" style="1" customWidth="1"/>
    <col min="10" max="10" width="9.6640625" style="1" customWidth="1"/>
    <col min="11" max="11" width="13.33203125" style="1" customWidth="1"/>
    <col min="12" max="12" width="7.88671875" style="1" bestFit="1" customWidth="1"/>
    <col min="13" max="13" width="13.6640625" style="1" bestFit="1" customWidth="1"/>
    <col min="14" max="14" width="6.109375" style="1" bestFit="1" customWidth="1"/>
    <col min="15" max="15" width="10.21875" style="1" customWidth="1"/>
    <col min="16" max="16" width="9.21875" style="1" customWidth="1"/>
    <col min="17" max="17" width="9.88671875" style="1" customWidth="1"/>
    <col min="18" max="18" width="9.33203125" style="1" customWidth="1"/>
    <col min="19" max="19" width="9.21875" style="1" customWidth="1"/>
    <col min="20" max="20" width="10.21875" style="1" customWidth="1"/>
    <col min="21" max="21" width="11.77734375" style="1" customWidth="1"/>
    <col min="22" max="22" width="7.109375" style="1" customWidth="1"/>
    <col min="23" max="23" width="8.77734375" style="1" customWidth="1"/>
    <col min="24" max="24" width="9.21875" style="1" customWidth="1"/>
    <col min="25" max="25" width="11.77734375" style="1" customWidth="1"/>
    <col min="26" max="26" width="7.109375" style="1" customWidth="1"/>
    <col min="27" max="27" width="9.21875" style="1" customWidth="1"/>
    <col min="28" max="28" width="9.33203125" style="1" customWidth="1"/>
    <col min="29" max="29" width="8.21875" style="1" customWidth="1"/>
    <col min="30" max="30" width="9" style="1" customWidth="1"/>
    <col min="31" max="16384" width="7.109375" style="1"/>
  </cols>
  <sheetData>
    <row r="1" spans="1:19" ht="15.75">
      <c r="A1" s="81" t="s">
        <v>64</v>
      </c>
    </row>
    <row r="2" spans="1:19" ht="15.75">
      <c r="A2" s="81" t="s">
        <v>65</v>
      </c>
    </row>
    <row r="3" spans="1:19" ht="15.75">
      <c r="A3" s="81" t="s">
        <v>66</v>
      </c>
    </row>
    <row r="4" spans="1:19" ht="15.75">
      <c r="A4" s="81" t="s">
        <v>67</v>
      </c>
    </row>
    <row r="5" spans="1:19" ht="15.75">
      <c r="A5" s="81" t="s">
        <v>68</v>
      </c>
    </row>
    <row r="6" spans="1:19" ht="15.75">
      <c r="A6" s="81" t="s">
        <v>69</v>
      </c>
    </row>
    <row r="8" spans="1:19" ht="24.75" customHeight="1">
      <c r="A8" s="28" t="s">
        <v>26</v>
      </c>
    </row>
    <row r="9" spans="1:19" ht="15" customHeight="1">
      <c r="A9" s="27" t="s">
        <v>25</v>
      </c>
    </row>
    <row r="10" spans="1:19" ht="15" customHeight="1">
      <c r="A10" s="1"/>
      <c r="G10" s="26"/>
      <c r="N10" s="25"/>
    </row>
    <row r="11" spans="1:19" ht="15" customHeight="1">
      <c r="C11" s="24" t="s">
        <v>24</v>
      </c>
      <c r="D11" s="23">
        <f>1-0.196</f>
        <v>0.80400000000000005</v>
      </c>
      <c r="E11" s="24" t="s">
        <v>23</v>
      </c>
      <c r="F11" s="23">
        <f>1+0.196</f>
        <v>1.196</v>
      </c>
    </row>
    <row r="12" spans="1:19" ht="15" customHeight="1">
      <c r="A12" s="1"/>
    </row>
    <row r="13" spans="1:19" ht="15" customHeight="1">
      <c r="D13" s="10"/>
      <c r="E13" s="10"/>
      <c r="F13" s="10"/>
      <c r="G13" s="10"/>
      <c r="I13" s="10"/>
      <c r="K13" s="22"/>
      <c r="L13" s="82" t="s">
        <v>22</v>
      </c>
      <c r="M13" s="82"/>
      <c r="N13" s="82"/>
      <c r="O13" s="82"/>
      <c r="P13" s="82"/>
      <c r="Q13" s="82"/>
      <c r="R13" s="82"/>
      <c r="S13" s="82"/>
    </row>
    <row r="14" spans="1:19" ht="15" customHeight="1">
      <c r="B14" s="10"/>
      <c r="C14" s="10"/>
      <c r="D14" s="10"/>
      <c r="E14" s="10"/>
      <c r="F14" s="10"/>
      <c r="G14" s="10"/>
      <c r="I14" s="10"/>
      <c r="K14" s="21"/>
      <c r="L14" s="82" t="s">
        <v>21</v>
      </c>
      <c r="M14" s="82"/>
      <c r="N14" s="82"/>
      <c r="O14" s="82"/>
      <c r="P14" s="82"/>
      <c r="Q14" s="82"/>
      <c r="R14" s="82"/>
      <c r="S14" s="82"/>
    </row>
    <row r="15" spans="1:19" s="15" customFormat="1" ht="112.5" customHeight="1">
      <c r="B15" s="18" t="s">
        <v>20</v>
      </c>
      <c r="C15" s="18" t="s">
        <v>19</v>
      </c>
      <c r="D15" s="18" t="s">
        <v>18</v>
      </c>
      <c r="E15" s="18" t="s">
        <v>17</v>
      </c>
      <c r="F15" s="17" t="s">
        <v>16</v>
      </c>
      <c r="G15" s="18" t="s">
        <v>15</v>
      </c>
      <c r="H15" s="17" t="s">
        <v>14</v>
      </c>
      <c r="I15" s="18" t="s">
        <v>13</v>
      </c>
      <c r="J15" s="17" t="s">
        <v>12</v>
      </c>
      <c r="K15" s="20" t="s">
        <v>11</v>
      </c>
      <c r="L15" s="16" t="s">
        <v>10</v>
      </c>
      <c r="M15" s="16" t="s">
        <v>9</v>
      </c>
      <c r="N15" s="16" t="s">
        <v>8</v>
      </c>
      <c r="O15" s="16" t="s">
        <v>7</v>
      </c>
      <c r="P15" s="16" t="s">
        <v>6</v>
      </c>
      <c r="Q15" s="16" t="s">
        <v>5</v>
      </c>
      <c r="R15" s="16" t="s">
        <v>4</v>
      </c>
      <c r="S15" s="19" t="s">
        <v>3</v>
      </c>
    </row>
    <row r="16" spans="1:19" s="15" customFormat="1" ht="15" customHeight="1">
      <c r="A16" s="17" t="s">
        <v>2</v>
      </c>
      <c r="B16" s="18" t="s">
        <v>1</v>
      </c>
      <c r="C16" s="18" t="s">
        <v>1</v>
      </c>
      <c r="D16" s="18" t="s">
        <v>1</v>
      </c>
      <c r="E16" s="18" t="s">
        <v>1</v>
      </c>
      <c r="F16" s="17" t="s">
        <v>1</v>
      </c>
      <c r="G16" s="18" t="s">
        <v>1</v>
      </c>
      <c r="H16" s="17" t="s">
        <v>1</v>
      </c>
      <c r="I16" s="18" t="s">
        <v>1</v>
      </c>
      <c r="J16" s="17" t="s">
        <v>1</v>
      </c>
      <c r="K16" s="17" t="s">
        <v>1</v>
      </c>
      <c r="L16" s="16" t="s">
        <v>0</v>
      </c>
      <c r="M16" s="16" t="s">
        <v>0</v>
      </c>
      <c r="N16" s="16" t="s">
        <v>0</v>
      </c>
      <c r="O16" s="16" t="s">
        <v>0</v>
      </c>
      <c r="P16" s="16" t="s">
        <v>0</v>
      </c>
      <c r="Q16" s="16" t="s">
        <v>0</v>
      </c>
      <c r="R16" s="16" t="s">
        <v>0</v>
      </c>
      <c r="S16" s="16" t="s">
        <v>0</v>
      </c>
    </row>
    <row r="17" spans="1:19" ht="15" customHeight="1">
      <c r="A17" s="13">
        <v>42370</v>
      </c>
      <c r="B17" s="8">
        <f>2.4804 * CHOOSE(CONTROL!$C$12, $D$11, 100%, $F$11)</f>
        <v>1.9942416000000001</v>
      </c>
      <c r="C17" s="8">
        <f>2.4909 * CHOOSE(CONTROL!$C$12, $D$11, 100%, $F$11)</f>
        <v>2.0026836000000001</v>
      </c>
      <c r="D17" s="8">
        <f>2.4897 * CHOOSE( CONTROL!$C$12, $D$11, 100%, $F$11)</f>
        <v>2.0017188000000004</v>
      </c>
      <c r="E17" s="12">
        <f>2.489 * CHOOSE( CONTROL!$C$12, $D$11, 100%, $F$11)</f>
        <v>2.0011559999999999</v>
      </c>
      <c r="F17" s="4">
        <f>3.5033 * CHOOSE(CONTROL!$C$12, $D$11, 100%, $F$11)</f>
        <v>2.8166532000000002</v>
      </c>
      <c r="G17" s="8">
        <f>2.4456 * CHOOSE( CONTROL!$C$12, $D$11, 100%, $F$11)</f>
        <v>1.9662624000000002</v>
      </c>
      <c r="H17" s="4">
        <f>3.3387 * CHOOSE(CONTROL!$C$12, $D$11, 100%, $F$11)</f>
        <v>2.6843148000000001</v>
      </c>
      <c r="I17" s="8"/>
      <c r="J17" s="4">
        <f>2.372 * CHOOSE(CONTROL!$C$12, $D$11, 100%, $F$11)</f>
        <v>1.9070880000000001</v>
      </c>
      <c r="K17" s="4"/>
      <c r="L17" s="9">
        <v>29.306000000000001</v>
      </c>
      <c r="M17" s="9">
        <v>12.063700000000001</v>
      </c>
      <c r="N17" s="9">
        <v>4.9444999999999997</v>
      </c>
      <c r="O17" s="9">
        <v>0.61660000000000004</v>
      </c>
      <c r="P17" s="9">
        <v>1.2939000000000001</v>
      </c>
      <c r="Q17" s="9"/>
      <c r="R17" s="9">
        <f t="shared" ref="R17:R32" si="0">(0.1*4000000)/1000000</f>
        <v>0.4</v>
      </c>
      <c r="S17" s="11"/>
    </row>
    <row r="18" spans="1:19" ht="15" customHeight="1">
      <c r="A18" s="13">
        <v>42401</v>
      </c>
      <c r="B18" s="8">
        <f>2.2895 * CHOOSE(CONTROL!$C$12, $D$11, 100%, $F$11)</f>
        <v>1.8407579999999999</v>
      </c>
      <c r="C18" s="8">
        <f>2.2999 * CHOOSE(CONTROL!$C$12, $D$11, 100%, $F$11)</f>
        <v>1.8491196000000001</v>
      </c>
      <c r="D18" s="8">
        <f>2.3012 * CHOOSE( CONTROL!$C$12, $D$11, 100%, $F$11)</f>
        <v>1.8501648000000002</v>
      </c>
      <c r="E18" s="12">
        <f>2.2996 * CHOOSE( CONTROL!$C$12, $D$11, 100%, $F$11)</f>
        <v>1.8488784</v>
      </c>
      <c r="F18" s="4">
        <f>3.3045 * CHOOSE(CONTROL!$C$12, $D$11, 100%, $F$11)</f>
        <v>2.6568180000000003</v>
      </c>
      <c r="G18" s="8">
        <f>2.2592 * CHOOSE( CONTROL!$C$12, $D$11, 100%, $F$11)</f>
        <v>1.8163967999999999</v>
      </c>
      <c r="H18" s="4">
        <f>3.1449 * CHOOSE(CONTROL!$C$12, $D$11, 100%, $F$11)</f>
        <v>2.5284996</v>
      </c>
      <c r="I18" s="8"/>
      <c r="J18" s="4">
        <f>2.189 * CHOOSE(CONTROL!$C$12, $D$11, 100%, $F$11)</f>
        <v>1.7599560000000001</v>
      </c>
      <c r="K18" s="4"/>
      <c r="L18" s="9">
        <v>27.0672</v>
      </c>
      <c r="M18" s="9">
        <v>11.285299999999999</v>
      </c>
      <c r="N18" s="9">
        <v>4.6254999999999997</v>
      </c>
      <c r="O18" s="9">
        <v>0.57679999999999998</v>
      </c>
      <c r="P18" s="9">
        <v>1.2104999999999999</v>
      </c>
      <c r="Q18" s="9"/>
      <c r="R18" s="9">
        <f t="shared" si="0"/>
        <v>0.4</v>
      </c>
      <c r="S18" s="11"/>
    </row>
    <row r="19" spans="1:19" ht="15" customHeight="1">
      <c r="A19" s="13">
        <v>42430</v>
      </c>
      <c r="B19" s="8">
        <f>1.7906 * CHOOSE(CONTROL!$C$12, $D$11, 100%, $F$11)</f>
        <v>1.4396424000000001</v>
      </c>
      <c r="C19" s="8">
        <f>1.801 * CHOOSE(CONTROL!$C$12, $D$11, 100%, $F$11)</f>
        <v>1.4480040000000001</v>
      </c>
      <c r="D19" s="8">
        <f>1.7807 * CHOOSE( CONTROL!$C$12, $D$11, 100%, $F$11)</f>
        <v>1.4316828000000001</v>
      </c>
      <c r="E19" s="12">
        <f>1.787 * CHOOSE( CONTROL!$C$12, $D$11, 100%, $F$11)</f>
        <v>1.4367479999999999</v>
      </c>
      <c r="F19" s="4">
        <f>2.7895 * CHOOSE(CONTROL!$C$12, $D$11, 100%, $F$11)</f>
        <v>2.2427579999999998</v>
      </c>
      <c r="G19" s="8">
        <f>1.7528 * CHOOSE( CONTROL!$C$12, $D$11, 100%, $F$11)</f>
        <v>1.4092511999999999</v>
      </c>
      <c r="H19" s="4">
        <f>2.6429 * CHOOSE(CONTROL!$C$12, $D$11, 100%, $F$11)</f>
        <v>2.1248916000000002</v>
      </c>
      <c r="I19" s="8"/>
      <c r="J19" s="4">
        <f>1.711 * CHOOSE(CONTROL!$C$12, $D$11, 100%, $F$11)</f>
        <v>1.3756440000000001</v>
      </c>
      <c r="K19" s="4"/>
      <c r="L19" s="9">
        <v>28.933900000000001</v>
      </c>
      <c r="M19" s="9">
        <v>12.063700000000001</v>
      </c>
      <c r="N19" s="9">
        <v>4.9444999999999997</v>
      </c>
      <c r="O19" s="9">
        <v>0.61660000000000004</v>
      </c>
      <c r="P19" s="9">
        <v>1.2939000000000001</v>
      </c>
      <c r="Q19" s="9"/>
      <c r="R19" s="9">
        <f t="shared" si="0"/>
        <v>0.4</v>
      </c>
      <c r="S19" s="11"/>
    </row>
    <row r="20" spans="1:19" ht="15" customHeight="1">
      <c r="A20" s="13">
        <v>42461</v>
      </c>
      <c r="B20" s="8">
        <f>1.991 * CHOOSE(CONTROL!$C$12, $D$11, 100%, $F$11)</f>
        <v>1.6007640000000001</v>
      </c>
      <c r="C20" s="8">
        <f>2.0014 * CHOOSE(CONTROL!$C$12, $D$11, 100%, $F$11)</f>
        <v>1.6091256</v>
      </c>
      <c r="D20" s="8">
        <f>1.9874 * CHOOSE( CONTROL!$C$12, $D$11, 100%, $F$11)</f>
        <v>1.5978696000000001</v>
      </c>
      <c r="E20" s="12">
        <f>1.9908 * CHOOSE( CONTROL!$C$12, $D$11, 100%, $F$11)</f>
        <v>1.6006032000000001</v>
      </c>
      <c r="F20" s="4">
        <f>2.9982 * CHOOSE(CONTROL!$C$12, $D$11, 100%, $F$11)</f>
        <v>2.4105528000000005</v>
      </c>
      <c r="G20" s="8">
        <f>1.9367 * CHOOSE( CONTROL!$C$12, $D$11, 100%, $F$11)</f>
        <v>1.5571068000000001</v>
      </c>
      <c r="H20" s="4">
        <f>2.8463 * CHOOSE(CONTROL!$C$12, $D$11, 100%, $F$11)</f>
        <v>2.2884251999999998</v>
      </c>
      <c r="I20" s="8"/>
      <c r="J20" s="4">
        <f>1.903 * CHOOSE(CONTROL!$C$12, $D$11, 100%, $F$11)</f>
        <v>1.5300120000000001</v>
      </c>
      <c r="K20" s="4"/>
      <c r="L20" s="9">
        <v>29.665800000000001</v>
      </c>
      <c r="M20" s="9">
        <v>11.6745</v>
      </c>
      <c r="N20" s="9">
        <v>4.7850000000000001</v>
      </c>
      <c r="O20" s="9">
        <v>0.59670000000000001</v>
      </c>
      <c r="P20" s="9">
        <v>2.0352000000000001</v>
      </c>
      <c r="Q20" s="9"/>
      <c r="R20" s="9">
        <f t="shared" si="0"/>
        <v>0.4</v>
      </c>
      <c r="S20" s="11"/>
    </row>
    <row r="21" spans="1:19" ht="15" customHeight="1">
      <c r="A21" s="13">
        <v>42491</v>
      </c>
      <c r="B21" s="8">
        <f>CHOOSE( CONTROL!$C$29, 2.0917, 2.087) * CHOOSE(CONTROL!$C$12, $D$11, 100%, $F$11)</f>
        <v>1.6817268000000001</v>
      </c>
      <c r="C21" s="8">
        <f>CHOOSE( CONTROL!$C$29, 2.1021, 2.0974) * CHOOSE(CONTROL!$C$12, $D$11, 100%, $F$11)</f>
        <v>1.6900884000000003</v>
      </c>
      <c r="D21" s="8">
        <f>CHOOSE( CONTROL!$C$29, 2.0723, 2.0676) * CHOOSE( CONTROL!$C$12, $D$11, 100%, $F$11)</f>
        <v>1.6661291999999999</v>
      </c>
      <c r="E21" s="12">
        <f>CHOOSE( CONTROL!$C$29, 2.0807, 2.076) * CHOOSE( CONTROL!$C$12, $D$11, 100%, $F$11)</f>
        <v>1.6728828000000002</v>
      </c>
      <c r="F21" s="4">
        <f>CHOOSE( CONTROL!$C$29, 3.0666, 3.0619) * CHOOSE(CONTROL!$C$12, $D$11, 100%, $F$11)</f>
        <v>2.4655464000000005</v>
      </c>
      <c r="G21" s="8">
        <f>CHOOSE( CONTROL!$C$29, 2.015, 2.0104) * CHOOSE( CONTROL!$C$12, $D$11, 100%, $F$11)</f>
        <v>1.6200600000000003</v>
      </c>
      <c r="H21" s="4">
        <f>CHOOSE( CONTROL!$C$29, 2.913, 2.9084) * CHOOSE(CONTROL!$C$12, $D$11, 100%, $F$11)</f>
        <v>2.3420519999999998</v>
      </c>
      <c r="I21" s="8"/>
      <c r="J21" s="4">
        <f>CHOOSE( CONTROL!$C$29, 1.9995, 1.995) * CHOOSE(CONTROL!$C$12, $D$11, 100%, $F$11)</f>
        <v>1.6075980000000001</v>
      </c>
      <c r="K21" s="4"/>
      <c r="L21" s="9">
        <v>34.542499999999997</v>
      </c>
      <c r="M21" s="9">
        <v>12.063700000000001</v>
      </c>
      <c r="N21" s="9">
        <v>4.9444999999999997</v>
      </c>
      <c r="O21" s="9">
        <v>0.37459999999999999</v>
      </c>
      <c r="P21" s="9">
        <v>1.3714999999999999</v>
      </c>
      <c r="Q21" s="9"/>
      <c r="R21" s="9">
        <f t="shared" si="0"/>
        <v>0.4</v>
      </c>
      <c r="S21" s="11"/>
    </row>
    <row r="22" spans="1:19" ht="15" customHeight="1">
      <c r="A22" s="13">
        <v>42522</v>
      </c>
      <c r="B22" s="8">
        <f>CHOOSE( CONTROL!$C$29, 2.0583, 2.0536) * CHOOSE(CONTROL!$C$12, $D$11, 100%, $F$11)</f>
        <v>1.6548732000000002</v>
      </c>
      <c r="C22" s="8">
        <f>CHOOSE( CONTROL!$C$29, 2.0687, 2.064) * CHOOSE(CONTROL!$C$12, $D$11, 100%, $F$11)</f>
        <v>1.6632348000000003</v>
      </c>
      <c r="D22" s="8">
        <f>CHOOSE( CONTROL!$C$29, 2.0345, 2.0297) * CHOOSE( CONTROL!$C$12, $D$11, 100%, $F$11)</f>
        <v>1.6357380000000001</v>
      </c>
      <c r="E22" s="12">
        <f>CHOOSE( CONTROL!$C$29, 2.0444, 2.0396) * CHOOSE( CONTROL!$C$12, $D$11, 100%, $F$11)</f>
        <v>1.6436976000000001</v>
      </c>
      <c r="F22" s="4">
        <f>CHOOSE( CONTROL!$C$29, 3.0228, 3.0181) * CHOOSE(CONTROL!$C$12, $D$11, 100%, $F$11)</f>
        <v>2.4303312000000004</v>
      </c>
      <c r="G22" s="8">
        <f>CHOOSE( CONTROL!$C$29, 1.9812, 1.9766) * CHOOSE( CONTROL!$C$12, $D$11, 100%, $F$11)</f>
        <v>1.5928848000000002</v>
      </c>
      <c r="H22" s="4">
        <f>CHOOSE( CONTROL!$C$29, 2.8703, 2.8657) * CHOOSE(CONTROL!$C$12, $D$11, 100%, $F$11)</f>
        <v>2.3077212</v>
      </c>
      <c r="I22" s="8"/>
      <c r="J22" s="4">
        <f>CHOOSE( CONTROL!$C$29, 1.9675, 1.963) * CHOOSE(CONTROL!$C$12, $D$11, 100%, $F$11)</f>
        <v>1.5818700000000001</v>
      </c>
      <c r="K22" s="4"/>
      <c r="L22" s="9">
        <v>33.428199999999997</v>
      </c>
      <c r="M22" s="9">
        <v>11.6745</v>
      </c>
      <c r="N22" s="9">
        <v>4.7850000000000001</v>
      </c>
      <c r="O22" s="9">
        <v>0.36249999999999999</v>
      </c>
      <c r="P22" s="9">
        <v>1.3272999999999999</v>
      </c>
      <c r="Q22" s="9"/>
      <c r="R22" s="9">
        <f t="shared" si="0"/>
        <v>0.4</v>
      </c>
      <c r="S22" s="11"/>
    </row>
    <row r="23" spans="1:19" ht="15" customHeight="1">
      <c r="A23" s="13">
        <v>42552</v>
      </c>
      <c r="B23" s="8">
        <f>CHOOSE( CONTROL!$C$29, 2.5832, 2.5785) * CHOOSE(CONTROL!$C$12, $D$11, 100%, $F$11)</f>
        <v>2.0768928000000004</v>
      </c>
      <c r="C23" s="8">
        <f>CHOOSE( CONTROL!$C$29, 2.5937, 2.589) * CHOOSE(CONTROL!$C$12, $D$11, 100%, $F$11)</f>
        <v>2.0853348</v>
      </c>
      <c r="D23" s="8">
        <f>CHOOSE( CONTROL!$C$29, 2.5768, 2.5721) * CHOOSE( CONTROL!$C$12, $D$11, 100%, $F$11)</f>
        <v>2.0717471999999999</v>
      </c>
      <c r="E23" s="12">
        <f>CHOOSE( CONTROL!$C$29, 2.5809, 2.5762) * CHOOSE( CONTROL!$C$12, $D$11, 100%, $F$11)</f>
        <v>2.0750436000000003</v>
      </c>
      <c r="F23" s="4">
        <f>CHOOSE( CONTROL!$C$29, 3.5748, 3.5701) * CHOOSE(CONTROL!$C$12, $D$11, 100%, $F$11)</f>
        <v>2.8741392000000001</v>
      </c>
      <c r="G23" s="8">
        <f>CHOOSE( CONTROL!$C$29, 2.5056, 2.501) * CHOOSE( CONTROL!$C$12, $D$11, 100%, $F$11)</f>
        <v>2.0145024</v>
      </c>
      <c r="H23" s="4">
        <f>CHOOSE( CONTROL!$C$29, 3.4084, 3.4038) * CHOOSE(CONTROL!$C$12, $D$11, 100%, $F$11)</f>
        <v>2.7403536000000002</v>
      </c>
      <c r="I23" s="8"/>
      <c r="J23" s="4">
        <f>CHOOSE( CONTROL!$C$29, 2.4705, 2.466) * CHOOSE(CONTROL!$C$12, $D$11, 100%, $F$11)</f>
        <v>1.9862820000000001</v>
      </c>
      <c r="K23" s="4"/>
      <c r="L23" s="9">
        <v>34.542499999999997</v>
      </c>
      <c r="M23" s="9">
        <v>12.063700000000001</v>
      </c>
      <c r="N23" s="9">
        <v>4.9444999999999997</v>
      </c>
      <c r="O23" s="9">
        <v>0.37459999999999999</v>
      </c>
      <c r="P23" s="9">
        <v>1.3714999999999999</v>
      </c>
      <c r="Q23" s="9"/>
      <c r="R23" s="9">
        <f t="shared" si="0"/>
        <v>0.4</v>
      </c>
      <c r="S23" s="11"/>
    </row>
    <row r="24" spans="1:19" ht="15" customHeight="1">
      <c r="A24" s="13">
        <v>42583</v>
      </c>
      <c r="B24" s="8">
        <f>CHOOSE( CONTROL!$C$29, 2.6573, 2.6526) * CHOOSE(CONTROL!$C$12, $D$11, 100%, $F$11)</f>
        <v>2.1364692000000005</v>
      </c>
      <c r="C24" s="8">
        <f>CHOOSE( CONTROL!$C$29, 2.6678, 2.6631) * CHOOSE(CONTROL!$C$12, $D$11, 100%, $F$11)</f>
        <v>2.1449112000000001</v>
      </c>
      <c r="D24" s="8">
        <f>CHOOSE( CONTROL!$C$29, 2.6538, 2.6491) * CHOOSE( CONTROL!$C$12, $D$11, 100%, $F$11)</f>
        <v>2.1336552000000002</v>
      </c>
      <c r="E24" s="12">
        <f>CHOOSE( CONTROL!$C$29, 2.657, 2.6523) * CHOOSE( CONTROL!$C$12, $D$11, 100%, $F$11)</f>
        <v>2.136228</v>
      </c>
      <c r="F24" s="4">
        <f>CHOOSE( CONTROL!$C$29, 3.6542, 3.6495) * CHOOSE(CONTROL!$C$12, $D$11, 100%, $F$11)</f>
        <v>2.9379767999999999</v>
      </c>
      <c r="G24" s="8">
        <f>CHOOSE( CONTROL!$C$29, 2.5799, 2.5753) * CHOOSE( CONTROL!$C$12, $D$11, 100%, $F$11)</f>
        <v>2.0742395999999999</v>
      </c>
      <c r="H24" s="4">
        <f>CHOOSE( CONTROL!$C$29, 3.4857, 3.4811) * CHOOSE(CONTROL!$C$12, $D$11, 100%, $F$11)</f>
        <v>2.8025028000000001</v>
      </c>
      <c r="I24" s="8"/>
      <c r="J24" s="4">
        <f>CHOOSE( CONTROL!$C$29, 2.5415, 2.537) * CHOOSE(CONTROL!$C$12, $D$11, 100%, $F$11)</f>
        <v>2.0433660000000002</v>
      </c>
      <c r="K24" s="4"/>
      <c r="L24" s="9">
        <v>34.542499999999997</v>
      </c>
      <c r="M24" s="9">
        <v>12.063700000000001</v>
      </c>
      <c r="N24" s="9">
        <v>4.9444999999999997</v>
      </c>
      <c r="O24" s="9">
        <v>0.37459999999999999</v>
      </c>
      <c r="P24" s="9">
        <v>1.3714999999999999</v>
      </c>
      <c r="Q24" s="9"/>
      <c r="R24" s="9">
        <f t="shared" si="0"/>
        <v>0.4</v>
      </c>
      <c r="S24" s="11"/>
    </row>
    <row r="25" spans="1:19" ht="15" customHeight="1">
      <c r="A25" s="13">
        <v>42614</v>
      </c>
      <c r="B25" s="8">
        <f>CHOOSE( CONTROL!$C$29, 2.696, 2.6913) * CHOOSE(CONTROL!$C$12, $D$11, 100%, $F$11)</f>
        <v>2.1675840000000002</v>
      </c>
      <c r="C25" s="8">
        <f>CHOOSE( CONTROL!$C$29, 2.7064, 2.7017) * CHOOSE(CONTROL!$C$12, $D$11, 100%, $F$11)</f>
        <v>2.1759455999999999</v>
      </c>
      <c r="D25" s="8">
        <f>CHOOSE( CONTROL!$C$29, 2.689, 2.6843) * CHOOSE( CONTROL!$C$12, $D$11, 100%, $F$11)</f>
        <v>2.161956</v>
      </c>
      <c r="E25" s="12">
        <f>CHOOSE( CONTROL!$C$29, 2.6933, 2.6886) * CHOOSE( CONTROL!$C$12, $D$11, 100%, $F$11)</f>
        <v>2.1654132000000001</v>
      </c>
      <c r="F25" s="4">
        <f>CHOOSE( CONTROL!$C$29, 3.6849, 3.6802) * CHOOSE(CONTROL!$C$12, $D$11, 100%, $F$11)</f>
        <v>2.9626595999999998</v>
      </c>
      <c r="G25" s="8">
        <f>CHOOSE( CONTROL!$C$29, 2.6163, 2.6117) * CHOOSE( CONTROL!$C$12, $D$11, 100%, $F$11)</f>
        <v>2.1035051999999999</v>
      </c>
      <c r="H25" s="4">
        <f>CHOOSE( CONTROL!$C$29, 3.5157, 3.5111) * CHOOSE(CONTROL!$C$12, $D$11, 100%, $F$11)</f>
        <v>2.8266228</v>
      </c>
      <c r="I25" s="8"/>
      <c r="J25" s="4">
        <f>CHOOSE( CONTROL!$C$29, 2.5785, 2.574) * CHOOSE(CONTROL!$C$12, $D$11, 100%, $F$11)</f>
        <v>2.0731140000000003</v>
      </c>
      <c r="K25" s="4"/>
      <c r="L25" s="9">
        <v>33.428199999999997</v>
      </c>
      <c r="M25" s="9">
        <v>11.6745</v>
      </c>
      <c r="N25" s="9">
        <v>4.7850000000000001</v>
      </c>
      <c r="O25" s="9">
        <v>0.36249999999999999</v>
      </c>
      <c r="P25" s="9">
        <v>1.3272999999999999</v>
      </c>
      <c r="Q25" s="9"/>
      <c r="R25" s="9">
        <f t="shared" si="0"/>
        <v>0.4</v>
      </c>
      <c r="S25" s="11"/>
    </row>
    <row r="26" spans="1:19" ht="15" customHeight="1">
      <c r="A26" s="13">
        <v>42644</v>
      </c>
      <c r="B26" s="8">
        <f>2.7653 * CHOOSE(CONTROL!$C$12, $D$11, 100%, $F$11)</f>
        <v>2.2233011999999999</v>
      </c>
      <c r="C26" s="8">
        <f>2.7758 * CHOOSE(CONTROL!$C$12, $D$11, 100%, $F$11)</f>
        <v>2.2317431999999999</v>
      </c>
      <c r="D26" s="8">
        <f>2.7593 * CHOOSE( CONTROL!$C$12, $D$11, 100%, $F$11)</f>
        <v>2.2184772000000001</v>
      </c>
      <c r="E26" s="12">
        <f>2.7632 * CHOOSE( CONTROL!$C$12, $D$11, 100%, $F$11)</f>
        <v>2.2216127999999999</v>
      </c>
      <c r="F26" s="4">
        <f>3.7543 * CHOOSE(CONTROL!$C$12, $D$11, 100%, $F$11)</f>
        <v>3.0184572000000003</v>
      </c>
      <c r="G26" s="8">
        <f>2.6835 * CHOOSE( CONTROL!$C$12, $D$11, 100%, $F$11)</f>
        <v>2.1575340000000001</v>
      </c>
      <c r="H26" s="4">
        <f>3.5834 * CHOOSE(CONTROL!$C$12, $D$11, 100%, $F$11)</f>
        <v>2.8810536000000004</v>
      </c>
      <c r="I26" s="8"/>
      <c r="J26" s="4">
        <f>2.645 * CHOOSE(CONTROL!$C$12, $D$11, 100%, $F$11)</f>
        <v>2.1265800000000001</v>
      </c>
      <c r="K26" s="4"/>
      <c r="L26" s="9">
        <v>34.3003</v>
      </c>
      <c r="M26" s="9">
        <v>12.063700000000001</v>
      </c>
      <c r="N26" s="9">
        <v>4.9444999999999997</v>
      </c>
      <c r="O26" s="9">
        <v>0.37459999999999999</v>
      </c>
      <c r="P26" s="9">
        <v>1.3714999999999999</v>
      </c>
      <c r="Q26" s="9"/>
      <c r="R26" s="9">
        <f t="shared" si="0"/>
        <v>0.4</v>
      </c>
      <c r="S26" s="11"/>
    </row>
    <row r="27" spans="1:19" ht="15" customHeight="1">
      <c r="A27" s="13">
        <v>42675</v>
      </c>
      <c r="B27" s="8">
        <f>2.9365 * CHOOSE(CONTROL!$C$12, $D$11, 100%, $F$11)</f>
        <v>2.3609460000000002</v>
      </c>
      <c r="C27" s="8">
        <f>2.9469 * CHOOSE(CONTROL!$C$12, $D$11, 100%, $F$11)</f>
        <v>2.3693076</v>
      </c>
      <c r="D27" s="8">
        <f>2.9272 * CHOOSE( CONTROL!$C$12, $D$11, 100%, $F$11)</f>
        <v>2.3534688000000004</v>
      </c>
      <c r="E27" s="12">
        <f>2.9333 * CHOOSE( CONTROL!$C$12, $D$11, 100%, $F$11)</f>
        <v>2.3583731999999999</v>
      </c>
      <c r="F27" s="4">
        <f>3.9281 * CHOOSE(CONTROL!$C$12, $D$11, 100%, $F$11)</f>
        <v>3.1581924000000003</v>
      </c>
      <c r="G27" s="8">
        <f>2.8694 * CHOOSE( CONTROL!$C$12, $D$11, 100%, $F$11)</f>
        <v>2.3069976000000003</v>
      </c>
      <c r="H27" s="4">
        <f>3.7528 * CHOOSE(CONTROL!$C$12, $D$11, 100%, $F$11)</f>
        <v>3.0172512000000005</v>
      </c>
      <c r="I27" s="8"/>
      <c r="J27" s="4">
        <f>2.809 * CHOOSE(CONTROL!$C$12, $D$11, 100%, $F$11)</f>
        <v>2.2584360000000001</v>
      </c>
      <c r="K27" s="4"/>
      <c r="L27" s="9">
        <v>28.000499999999999</v>
      </c>
      <c r="M27" s="9">
        <v>11.6745</v>
      </c>
      <c r="N27" s="9">
        <v>4.7850000000000001</v>
      </c>
      <c r="O27" s="9">
        <v>0.36249999999999999</v>
      </c>
      <c r="P27" s="9">
        <v>1.2522</v>
      </c>
      <c r="Q27" s="9"/>
      <c r="R27" s="9">
        <f t="shared" si="0"/>
        <v>0.4</v>
      </c>
      <c r="S27" s="11"/>
    </row>
    <row r="28" spans="1:19" ht="15" customHeight="1">
      <c r="A28" s="13">
        <v>42705</v>
      </c>
      <c r="B28" s="8">
        <f>3.1849 * CHOOSE(CONTROL!$C$12, $D$11, 100%, $F$11)</f>
        <v>2.5606596000000001</v>
      </c>
      <c r="C28" s="8">
        <f>3.1953 * CHOOSE(CONTROL!$C$12, $D$11, 100%, $F$11)</f>
        <v>2.5690212000000003</v>
      </c>
      <c r="D28" s="8">
        <f>3.1775 * CHOOSE( CONTROL!$C$12, $D$11, 100%, $F$11)</f>
        <v>2.5547100000000005</v>
      </c>
      <c r="E28" s="12">
        <f>3.1829 * CHOOSE( CONTROL!$C$12, $D$11, 100%, $F$11)</f>
        <v>2.5590516000000001</v>
      </c>
      <c r="F28" s="4">
        <f>4.1765 * CHOOSE(CONTROL!$C$12, $D$11, 100%, $F$11)</f>
        <v>3.3579060000000003</v>
      </c>
      <c r="G28" s="8">
        <f>3.113 * CHOOSE( CONTROL!$C$12, $D$11, 100%, $F$11)</f>
        <v>2.5028520000000003</v>
      </c>
      <c r="H28" s="4">
        <f>3.9949 * CHOOSE(CONTROL!$C$12, $D$11, 100%, $F$11)</f>
        <v>3.2118996000000002</v>
      </c>
      <c r="I28" s="8"/>
      <c r="J28" s="4">
        <f>3.047 * CHOOSE(CONTROL!$C$12, $D$11, 100%, $F$11)</f>
        <v>2.4497880000000003</v>
      </c>
      <c r="K28" s="4"/>
      <c r="L28" s="9">
        <v>28.933900000000001</v>
      </c>
      <c r="M28" s="9">
        <v>12.063700000000001</v>
      </c>
      <c r="N28" s="9">
        <v>4.9444999999999997</v>
      </c>
      <c r="O28" s="9">
        <v>0.37459999999999999</v>
      </c>
      <c r="P28" s="9">
        <v>1.2939000000000001</v>
      </c>
      <c r="Q28" s="9"/>
      <c r="R28" s="9">
        <f t="shared" si="0"/>
        <v>0.4</v>
      </c>
      <c r="S28" s="11"/>
    </row>
    <row r="29" spans="1:19" ht="15" customHeight="1">
      <c r="A29" s="13">
        <v>42736</v>
      </c>
      <c r="B29" s="8">
        <f>3.3164 * CHOOSE(CONTROL!$C$12, $D$11, 100%, $F$11)</f>
        <v>2.6663855999999999</v>
      </c>
      <c r="C29" s="8">
        <f>3.3268 * CHOOSE(CONTROL!$C$12, $D$11, 100%, $F$11)</f>
        <v>2.6747472000000001</v>
      </c>
      <c r="D29" s="8">
        <f>3.3245 * CHOOSE( CONTROL!$C$12, $D$11, 100%, $F$11)</f>
        <v>2.672898</v>
      </c>
      <c r="E29" s="12">
        <f>3.3242 * CHOOSE( CONTROL!$C$12, $D$11, 100%, $F$11)</f>
        <v>2.6726567999999999</v>
      </c>
      <c r="F29" s="4">
        <f>4.3393 * CHOOSE(CONTROL!$C$12, $D$11, 100%, $F$11)</f>
        <v>3.4887972</v>
      </c>
      <c r="G29" s="8">
        <f>3.2602 * CHOOSE( CONTROL!$C$12, $D$11, 100%, $F$11)</f>
        <v>2.6212008000000004</v>
      </c>
      <c r="H29" s="4">
        <f>4.1536 * CHOOSE(CONTROL!$C$12, $D$11, 100%, $F$11)</f>
        <v>3.3394944</v>
      </c>
      <c r="I29" s="8"/>
      <c r="J29" s="4">
        <f>3.173 * CHOOSE(CONTROL!$C$12, $D$11, 100%, $F$11)</f>
        <v>2.5510920000000001</v>
      </c>
      <c r="K29" s="4"/>
      <c r="L29" s="9">
        <v>28.933900000000001</v>
      </c>
      <c r="M29" s="9">
        <v>12.063700000000001</v>
      </c>
      <c r="N29" s="9">
        <v>4.9444999999999997</v>
      </c>
      <c r="O29" s="9">
        <v>0.37459999999999999</v>
      </c>
      <c r="P29" s="9">
        <v>1.2939000000000001</v>
      </c>
      <c r="Q29" s="9"/>
      <c r="R29" s="9">
        <f t="shared" si="0"/>
        <v>0.4</v>
      </c>
      <c r="S29" s="11"/>
    </row>
    <row r="30" spans="1:19" ht="15" customHeight="1">
      <c r="A30" s="13">
        <v>42767</v>
      </c>
      <c r="B30" s="8">
        <f>3.308 * CHOOSE(CONTROL!$C$12, $D$11, 100%, $F$11)</f>
        <v>2.6596320000000002</v>
      </c>
      <c r="C30" s="8">
        <f>3.3185 * CHOOSE(CONTROL!$C$12, $D$11, 100%, $F$11)</f>
        <v>2.6680739999999998</v>
      </c>
      <c r="D30" s="8">
        <f>3.3184 * CHOOSE( CONTROL!$C$12, $D$11, 100%, $F$11)</f>
        <v>2.6679936</v>
      </c>
      <c r="E30" s="12">
        <f>3.3173 * CHOOSE( CONTROL!$C$12, $D$11, 100%, $F$11)</f>
        <v>2.6671092000000001</v>
      </c>
      <c r="F30" s="4">
        <f>4.3231 * CHOOSE(CONTROL!$C$12, $D$11, 100%, $F$11)</f>
        <v>3.4757724000000003</v>
      </c>
      <c r="G30" s="8">
        <f>3.2519 * CHOOSE( CONTROL!$C$12, $D$11, 100%, $F$11)</f>
        <v>2.6145276000000002</v>
      </c>
      <c r="H30" s="4">
        <f>4.1378 * CHOOSE(CONTROL!$C$12, $D$11, 100%, $F$11)</f>
        <v>3.3267912000000006</v>
      </c>
      <c r="I30" s="8"/>
      <c r="J30" s="4">
        <f>3.165 * CHOOSE(CONTROL!$C$12, $D$11, 100%, $F$11)</f>
        <v>2.5446600000000004</v>
      </c>
      <c r="K30" s="4"/>
      <c r="L30" s="9">
        <v>26.133800000000001</v>
      </c>
      <c r="M30" s="9">
        <v>10.8962</v>
      </c>
      <c r="N30" s="9">
        <v>4.4660000000000002</v>
      </c>
      <c r="O30" s="9">
        <v>0.33829999999999999</v>
      </c>
      <c r="P30" s="9">
        <v>1.1687000000000001</v>
      </c>
      <c r="Q30" s="9"/>
      <c r="R30" s="9">
        <f t="shared" si="0"/>
        <v>0.4</v>
      </c>
      <c r="S30" s="11"/>
    </row>
    <row r="31" spans="1:19" ht="15" customHeight="1">
      <c r="A31" s="13">
        <v>42795</v>
      </c>
      <c r="B31" s="8">
        <f>3.2579 * CHOOSE(CONTROL!$C$12, $D$11, 100%, $F$11)</f>
        <v>2.6193515999999999</v>
      </c>
      <c r="C31" s="8">
        <f>3.2684 * CHOOSE(CONTROL!$C$12, $D$11, 100%, $F$11)</f>
        <v>2.6277936000000004</v>
      </c>
      <c r="D31" s="8">
        <f>3.2482 * CHOOSE( CONTROL!$C$12, $D$11, 100%, $F$11)</f>
        <v>2.6115528000000001</v>
      </c>
      <c r="E31" s="12">
        <f>3.2545 * CHOOSE( CONTROL!$C$12, $D$11, 100%, $F$11)</f>
        <v>2.6166180000000003</v>
      </c>
      <c r="F31" s="4">
        <f>4.2568 * CHOOSE(CONTROL!$C$12, $D$11, 100%, $F$11)</f>
        <v>3.4224672000000003</v>
      </c>
      <c r="G31" s="8">
        <f>3.1826 * CHOOSE( CONTROL!$C$12, $D$11, 100%, $F$11)</f>
        <v>2.5588104</v>
      </c>
      <c r="H31" s="4">
        <f>4.0732 * CHOOSE(CONTROL!$C$12, $D$11, 100%, $F$11)</f>
        <v>3.2748528000000001</v>
      </c>
      <c r="I31" s="8"/>
      <c r="J31" s="4">
        <f>3.117 * CHOOSE(CONTROL!$C$12, $D$11, 100%, $F$11)</f>
        <v>2.506068</v>
      </c>
      <c r="K31" s="4"/>
      <c r="L31" s="9">
        <v>28.933900000000001</v>
      </c>
      <c r="M31" s="9">
        <v>12.063700000000001</v>
      </c>
      <c r="N31" s="9">
        <v>4.9444999999999997</v>
      </c>
      <c r="O31" s="9">
        <v>0.37459999999999999</v>
      </c>
      <c r="P31" s="9">
        <v>1.2939000000000001</v>
      </c>
      <c r="Q31" s="9"/>
      <c r="R31" s="9">
        <f t="shared" si="0"/>
        <v>0.4</v>
      </c>
      <c r="S31" s="11"/>
    </row>
    <row r="32" spans="1:19" ht="15" customHeight="1">
      <c r="A32" s="13">
        <v>42826</v>
      </c>
      <c r="B32" s="8">
        <f>3.0315 * CHOOSE(CONTROL!$C$12, $D$11, 100%, $F$11)</f>
        <v>2.4373260000000001</v>
      </c>
      <c r="C32" s="8">
        <f>3.0419 * CHOOSE(CONTROL!$C$12, $D$11, 100%, $F$11)</f>
        <v>2.4456876000000003</v>
      </c>
      <c r="D32" s="8">
        <f>3.0309 * CHOOSE( CONTROL!$C$12, $D$11, 100%, $F$11)</f>
        <v>2.4368436</v>
      </c>
      <c r="E32" s="12">
        <f>3.0333 * CHOOSE( CONTROL!$C$12, $D$11, 100%, $F$11)</f>
        <v>2.4387732000000004</v>
      </c>
      <c r="F32" s="4">
        <f>4.0387 * CHOOSE(CONTROL!$C$12, $D$11, 100%, $F$11)</f>
        <v>3.2471148000000003</v>
      </c>
      <c r="G32" s="8">
        <f>2.9497 * CHOOSE( CONTROL!$C$12, $D$11, 100%, $F$11)</f>
        <v>2.3715588000000003</v>
      </c>
      <c r="H32" s="4">
        <f>3.8606 * CHOOSE(CONTROL!$C$12, $D$11, 100%, $F$11)</f>
        <v>3.1039224000000001</v>
      </c>
      <c r="I32" s="8"/>
      <c r="J32" s="4">
        <f>2.9 * CHOOSE(CONTROL!$C$12, $D$11, 100%, $F$11)</f>
        <v>2.3315999999999999</v>
      </c>
      <c r="K32" s="4"/>
      <c r="L32" s="9">
        <v>29.665800000000001</v>
      </c>
      <c r="M32" s="9">
        <v>11.6745</v>
      </c>
      <c r="N32" s="9">
        <v>4.7850000000000001</v>
      </c>
      <c r="O32" s="9">
        <v>0.36249999999999999</v>
      </c>
      <c r="P32" s="9">
        <v>2.0352000000000001</v>
      </c>
      <c r="Q32" s="9"/>
      <c r="R32" s="9">
        <f t="shared" si="0"/>
        <v>0.4</v>
      </c>
      <c r="S32" s="11"/>
    </row>
    <row r="33" spans="1:19" ht="15" customHeight="1">
      <c r="A33" s="13">
        <v>42856</v>
      </c>
      <c r="B33" s="8">
        <f>CHOOSE( CONTROL!$C$29, 3.0184, 3.0137) * CHOOSE(CONTROL!$C$12, $D$11, 100%, $F$11)</f>
        <v>2.4267936000000003</v>
      </c>
      <c r="C33" s="8">
        <f>CHOOSE( CONTROL!$C$29, 3.0289, 3.0242) * CHOOSE(CONTROL!$C$12, $D$11, 100%, $F$11)</f>
        <v>2.4352356000000004</v>
      </c>
      <c r="D33" s="8">
        <f>CHOOSE( CONTROL!$C$29, 2.9963, 2.9916) * CHOOSE( CONTROL!$C$12, $D$11, 100%, $F$11)</f>
        <v>2.4090252000000003</v>
      </c>
      <c r="E33" s="12">
        <f>CHOOSE( CONTROL!$C$29, 3.0065, 3.0018) * CHOOSE( CONTROL!$C$12, $D$11, 100%, $F$11)</f>
        <v>2.4172260000000003</v>
      </c>
      <c r="F33" s="4">
        <f>CHOOSE( CONTROL!$C$29, 3.9933, 3.9886) * CHOOSE(CONTROL!$C$12, $D$11, 100%, $F$11)</f>
        <v>3.2106132000000001</v>
      </c>
      <c r="G33" s="8">
        <f>CHOOSE( CONTROL!$C$29, 2.9183, 2.9138) * CHOOSE( CONTROL!$C$12, $D$11, 100%, $F$11)</f>
        <v>2.3463132</v>
      </c>
      <c r="H33" s="4">
        <f>CHOOSE( CONTROL!$C$29, 3.8163, 3.8118) * CHOOSE(CONTROL!$C$12, $D$11, 100%, $F$11)</f>
        <v>3.0683052000000002</v>
      </c>
      <c r="I33" s="8">
        <f>CHOOSE( CONTROL!$C$29, 2.9156, 2.9111) * CHOOSE(CONTROL!$C$12, $D$11, 100%, $F$11)</f>
        <v>2.3441424</v>
      </c>
      <c r="J33" s="4">
        <f>CHOOSE( CONTROL!$C$29, 2.8875, 2.883) * CHOOSE(CONTROL!$C$12, $D$11, 100%, $F$11)</f>
        <v>2.3215500000000002</v>
      </c>
      <c r="K33" s="4"/>
      <c r="L33" s="9">
        <v>30.896899999999999</v>
      </c>
      <c r="M33" s="9">
        <v>12.063700000000001</v>
      </c>
      <c r="N33" s="9">
        <v>4.9444999999999997</v>
      </c>
      <c r="O33" s="9">
        <v>0.37459999999999999</v>
      </c>
      <c r="P33" s="9">
        <v>2.1030000000000002</v>
      </c>
      <c r="Q33" s="9">
        <v>25.076499999999999</v>
      </c>
      <c r="R33" s="9"/>
      <c r="S33" s="11"/>
    </row>
    <row r="34" spans="1:19" ht="15" customHeight="1">
      <c r="A34" s="13">
        <v>42887</v>
      </c>
      <c r="B34" s="8">
        <f>CHOOSE( CONTROL!$C$29, 3.0508, 3.0461) * CHOOSE(CONTROL!$C$12, $D$11, 100%, $F$11)</f>
        <v>2.4528432000000002</v>
      </c>
      <c r="C34" s="8">
        <f>CHOOSE( CONTROL!$C$29, 3.0612, 3.0565) * CHOOSE(CONTROL!$C$12, $D$11, 100%, $F$11)</f>
        <v>2.4612048</v>
      </c>
      <c r="D34" s="8">
        <f>CHOOSE( CONTROL!$C$29, 3.025, 3.0203) * CHOOSE( CONTROL!$C$12, $D$11, 100%, $F$11)</f>
        <v>2.4321000000000002</v>
      </c>
      <c r="E34" s="12">
        <f>CHOOSE( CONTROL!$C$29, 3.0365, 3.0318) * CHOOSE( CONTROL!$C$12, $D$11, 100%, $F$11)</f>
        <v>2.4413460000000002</v>
      </c>
      <c r="F34" s="4">
        <f>CHOOSE( CONTROL!$C$29, 4.0153, 4.0105) * CHOOSE(CONTROL!$C$12, $D$11, 100%, $F$11)</f>
        <v>3.2283012000000002</v>
      </c>
      <c r="G34" s="8">
        <f>CHOOSE( CONTROL!$C$29, 2.9486, 2.944) * CHOOSE( CONTROL!$C$12, $D$11, 100%, $F$11)</f>
        <v>2.3706744</v>
      </c>
      <c r="H34" s="4">
        <f>CHOOSE( CONTROL!$C$29, 3.8377, 3.8331) * CHOOSE(CONTROL!$C$12, $D$11, 100%, $F$11)</f>
        <v>3.0855108000000002</v>
      </c>
      <c r="I34" s="8">
        <f>CHOOSE( CONTROL!$C$29, 2.9488, 2.9443) * CHOOSE(CONTROL!$C$12, $D$11, 100%, $F$11)</f>
        <v>2.3708352000000001</v>
      </c>
      <c r="J34" s="4">
        <f>CHOOSE( CONTROL!$C$29, 2.9185, 2.914) * CHOOSE(CONTROL!$C$12, $D$11, 100%, $F$11)</f>
        <v>2.3464740000000002</v>
      </c>
      <c r="K34" s="4"/>
      <c r="L34" s="9">
        <v>29.900200000000002</v>
      </c>
      <c r="M34" s="9">
        <v>11.6745</v>
      </c>
      <c r="N34" s="9">
        <v>4.7850000000000001</v>
      </c>
      <c r="O34" s="9">
        <v>0.36249999999999999</v>
      </c>
      <c r="P34" s="9">
        <v>2.0352000000000001</v>
      </c>
      <c r="Q34" s="9">
        <v>24.267600000000002</v>
      </c>
      <c r="R34" s="9"/>
      <c r="S34" s="11"/>
    </row>
    <row r="35" spans="1:19" ht="15" customHeight="1">
      <c r="A35" s="13">
        <v>42917</v>
      </c>
      <c r="B35" s="8">
        <f>CHOOSE( CONTROL!$C$29, 3.0915, 3.0868) * CHOOSE(CONTROL!$C$12, $D$11, 100%, $F$11)</f>
        <v>2.4855659999999999</v>
      </c>
      <c r="C35" s="8">
        <f>CHOOSE( CONTROL!$C$29, 3.1019, 3.0972) * CHOOSE(CONTROL!$C$12, $D$11, 100%, $F$11)</f>
        <v>2.4939276000000001</v>
      </c>
      <c r="D35" s="8">
        <f>CHOOSE( CONTROL!$C$29, 3.0817, 3.077) * CHOOSE( CONTROL!$C$12, $D$11, 100%, $F$11)</f>
        <v>2.4776868000000003</v>
      </c>
      <c r="E35" s="12">
        <f>CHOOSE( CONTROL!$C$29, 3.0874, 3.0827) * CHOOSE( CONTROL!$C$12, $D$11, 100%, $F$11)</f>
        <v>2.4822696000000004</v>
      </c>
      <c r="F35" s="4">
        <f>CHOOSE( CONTROL!$C$29, 4.0831, 4.0784) * CHOOSE(CONTROL!$C$12, $D$11, 100%, $F$11)</f>
        <v>3.2828124000000001</v>
      </c>
      <c r="G35" s="8">
        <f>CHOOSE( CONTROL!$C$29, 3.001, 2.9964) * CHOOSE( CONTROL!$C$12, $D$11, 100%, $F$11)</f>
        <v>2.4128039999999999</v>
      </c>
      <c r="H35" s="4">
        <f>CHOOSE( CONTROL!$C$29, 3.9038, 3.8992) * CHOOSE(CONTROL!$C$12, $D$11, 100%, $F$11)</f>
        <v>3.1386552000000001</v>
      </c>
      <c r="I35" s="8">
        <f>CHOOSE( CONTROL!$C$29, 3.0106, 3.0061) * CHOOSE(CONTROL!$C$12, $D$11, 100%, $F$11)</f>
        <v>2.4205224000000003</v>
      </c>
      <c r="J35" s="4">
        <f>CHOOSE( CONTROL!$C$29, 2.9575, 2.953) * CHOOSE(CONTROL!$C$12, $D$11, 100%, $F$11)</f>
        <v>2.3778300000000003</v>
      </c>
      <c r="K35" s="4"/>
      <c r="L35" s="9">
        <v>30.896899999999999</v>
      </c>
      <c r="M35" s="9">
        <v>12.063700000000001</v>
      </c>
      <c r="N35" s="9">
        <v>4.9444999999999997</v>
      </c>
      <c r="O35" s="9">
        <v>0.37459999999999999</v>
      </c>
      <c r="P35" s="9">
        <v>2.1030000000000002</v>
      </c>
      <c r="Q35" s="9">
        <v>25.076499999999999</v>
      </c>
      <c r="R35" s="9"/>
      <c r="S35" s="11"/>
    </row>
    <row r="36" spans="1:19" ht="15" customHeight="1">
      <c r="A36" s="13">
        <v>42948</v>
      </c>
      <c r="B36" s="8">
        <f>CHOOSE( CONTROL!$C$29, 3.1009, 3.0962) * CHOOSE(CONTROL!$C$12, $D$11, 100%, $F$11)</f>
        <v>2.4931236000000001</v>
      </c>
      <c r="C36" s="8">
        <f>CHOOSE( CONTROL!$C$29, 3.1113, 3.1066) * CHOOSE(CONTROL!$C$12, $D$11, 100%, $F$11)</f>
        <v>2.5014852000000003</v>
      </c>
      <c r="D36" s="8">
        <f>CHOOSE( CONTROL!$C$29, 3.0937, 3.089) * CHOOSE( CONTROL!$C$12, $D$11, 100%, $F$11)</f>
        <v>2.4873348000000002</v>
      </c>
      <c r="E36" s="12">
        <f>CHOOSE( CONTROL!$C$29, 3.0985, 3.0938) * CHOOSE( CONTROL!$C$12, $D$11, 100%, $F$11)</f>
        <v>2.4911940000000001</v>
      </c>
      <c r="F36" s="4">
        <f>CHOOSE( CONTROL!$C$29, 4.0977, 4.093) * CHOOSE(CONTROL!$C$12, $D$11, 100%, $F$11)</f>
        <v>3.2945508000000001</v>
      </c>
      <c r="G36" s="8">
        <f>CHOOSE( CONTROL!$C$29, 3.0123, 3.0077) * CHOOSE( CONTROL!$C$12, $D$11, 100%, $F$11)</f>
        <v>2.4218892000000003</v>
      </c>
      <c r="H36" s="4">
        <f>CHOOSE( CONTROL!$C$29, 3.9181, 3.9135) * CHOOSE(CONTROL!$C$12, $D$11, 100%, $F$11)</f>
        <v>3.1501524000000001</v>
      </c>
      <c r="I36" s="8">
        <f>CHOOSE( CONTROL!$C$29, 3.0242, 3.0197) * CHOOSE(CONTROL!$C$12, $D$11, 100%, $F$11)</f>
        <v>2.4314568000000003</v>
      </c>
      <c r="J36" s="4">
        <f>CHOOSE( CONTROL!$C$29, 2.9665, 2.962) * CHOOSE(CONTROL!$C$12, $D$11, 100%, $F$11)</f>
        <v>2.3850660000000001</v>
      </c>
      <c r="K36" s="4"/>
      <c r="L36" s="9">
        <v>30.896899999999999</v>
      </c>
      <c r="M36" s="9">
        <v>12.063700000000001</v>
      </c>
      <c r="N36" s="9">
        <v>4.9444999999999997</v>
      </c>
      <c r="O36" s="9">
        <v>0.37459999999999999</v>
      </c>
      <c r="P36" s="9">
        <v>2.1030000000000002</v>
      </c>
      <c r="Q36" s="9">
        <v>25.076499999999999</v>
      </c>
      <c r="R36" s="9"/>
      <c r="S36" s="11"/>
    </row>
    <row r="37" spans="1:19" ht="15" customHeight="1">
      <c r="A37" s="13">
        <v>42979</v>
      </c>
      <c r="B37" s="8">
        <f>CHOOSE( CONTROL!$C$29, 3.0925, 3.0878) * CHOOSE(CONTROL!$C$12, $D$11, 100%, $F$11)</f>
        <v>2.48637</v>
      </c>
      <c r="C37" s="8">
        <f>CHOOSE( CONTROL!$C$29, 3.103, 3.0983) * CHOOSE(CONTROL!$C$12, $D$11, 100%, $F$11)</f>
        <v>2.4948120000000005</v>
      </c>
      <c r="D37" s="8">
        <f>CHOOSE( CONTROL!$C$29, 3.0826, 3.0779) * CHOOSE( CONTROL!$C$12, $D$11, 100%, $F$11)</f>
        <v>2.4784104</v>
      </c>
      <c r="E37" s="12">
        <f>CHOOSE( CONTROL!$C$29, 3.0884, 3.0837) * CHOOSE( CONTROL!$C$12, $D$11, 100%, $F$11)</f>
        <v>2.4830736</v>
      </c>
      <c r="F37" s="4">
        <f>CHOOSE( CONTROL!$C$29, 4.0815, 4.0768) * CHOOSE(CONTROL!$C$12, $D$11, 100%, $F$11)</f>
        <v>3.2815260000000004</v>
      </c>
      <c r="G37" s="8">
        <f>CHOOSE( CONTROL!$C$29, 3.0028, 2.9982) * CHOOSE( CONTROL!$C$12, $D$11, 100%, $F$11)</f>
        <v>2.4142512000000003</v>
      </c>
      <c r="H37" s="4">
        <f>CHOOSE( CONTROL!$C$29, 3.9023, 3.8977) * CHOOSE(CONTROL!$C$12, $D$11, 100%, $F$11)</f>
        <v>3.1374492000000003</v>
      </c>
      <c r="I37" s="8">
        <f>CHOOSE( CONTROL!$C$29, 3.0175, 3.013) * CHOOSE(CONTROL!$C$12, $D$11, 100%, $F$11)</f>
        <v>2.4260700000000002</v>
      </c>
      <c r="J37" s="4">
        <f>CHOOSE( CONTROL!$C$29, 2.9585, 2.954) * CHOOSE(CONTROL!$C$12, $D$11, 100%, $F$11)</f>
        <v>2.3786339999999999</v>
      </c>
      <c r="K37" s="4"/>
      <c r="L37" s="9">
        <v>29.900200000000002</v>
      </c>
      <c r="M37" s="9">
        <v>11.6745</v>
      </c>
      <c r="N37" s="9">
        <v>4.7850000000000001</v>
      </c>
      <c r="O37" s="9">
        <v>0.36249999999999999</v>
      </c>
      <c r="P37" s="9">
        <v>2.0352000000000001</v>
      </c>
      <c r="Q37" s="9">
        <v>24.267600000000002</v>
      </c>
      <c r="R37" s="9"/>
      <c r="S37" s="11"/>
    </row>
    <row r="38" spans="1:19" ht="15" customHeight="1">
      <c r="A38" s="13">
        <v>43009</v>
      </c>
      <c r="B38" s="8">
        <f>3.116 * CHOOSE(CONTROL!$C$12, $D$11, 100%, $F$11)</f>
        <v>2.5052640000000004</v>
      </c>
      <c r="C38" s="8">
        <f>3.1264 * CHOOSE(CONTROL!$C$12, $D$11, 100%, $F$11)</f>
        <v>2.5136256000000001</v>
      </c>
      <c r="D38" s="8">
        <f>3.1065 * CHOOSE( CONTROL!$C$12, $D$11, 100%, $F$11)</f>
        <v>2.4976260000000003</v>
      </c>
      <c r="E38" s="12">
        <f>3.112 * CHOOSE( CONTROL!$C$12, $D$11, 100%, $F$11)</f>
        <v>2.5020480000000003</v>
      </c>
      <c r="F38" s="4">
        <f>4.105 * CHOOSE(CONTROL!$C$12, $D$11, 100%, $F$11)</f>
        <v>3.3004200000000004</v>
      </c>
      <c r="G38" s="8">
        <f>3.0253 * CHOOSE( CONTROL!$C$12, $D$11, 100%, $F$11)</f>
        <v>2.4323412000000002</v>
      </c>
      <c r="H38" s="4">
        <f>3.9252 * CHOOSE(CONTROL!$C$12, $D$11, 100%, $F$11)</f>
        <v>3.1558608000000001</v>
      </c>
      <c r="I38" s="8">
        <f>3.0421 * CHOOSE(CONTROL!$C$12, $D$11, 100%, $F$11)</f>
        <v>2.4458484</v>
      </c>
      <c r="J38" s="4">
        <f>2.981 * CHOOSE(CONTROL!$C$12, $D$11, 100%, $F$11)</f>
        <v>2.3967239999999999</v>
      </c>
      <c r="K38" s="4"/>
      <c r="L38" s="9">
        <v>30.654699999999998</v>
      </c>
      <c r="M38" s="9">
        <v>12.063700000000001</v>
      </c>
      <c r="N38" s="9">
        <v>4.9444999999999997</v>
      </c>
      <c r="O38" s="9">
        <v>0.37459999999999999</v>
      </c>
      <c r="P38" s="9">
        <v>2.1030000000000002</v>
      </c>
      <c r="Q38" s="9">
        <v>25.076499999999999</v>
      </c>
      <c r="R38" s="9"/>
      <c r="S38" s="11"/>
    </row>
    <row r="39" spans="1:19" ht="15" customHeight="1">
      <c r="A39" s="13">
        <v>43040</v>
      </c>
      <c r="B39" s="8">
        <f>3.1995 * CHOOSE(CONTROL!$C$12, $D$11, 100%, $F$11)</f>
        <v>2.5723980000000002</v>
      </c>
      <c r="C39" s="8">
        <f>3.2099 * CHOOSE(CONTROL!$C$12, $D$11, 100%, $F$11)</f>
        <v>2.5807596000000004</v>
      </c>
      <c r="D39" s="8">
        <f>3.1902 * CHOOSE( CONTROL!$C$12, $D$11, 100%, $F$11)</f>
        <v>2.5649207999999999</v>
      </c>
      <c r="E39" s="12">
        <f>3.1963 * CHOOSE( CONTROL!$C$12, $D$11, 100%, $F$11)</f>
        <v>2.5698251999999999</v>
      </c>
      <c r="F39" s="4">
        <f>4.1911 * CHOOSE(CONTROL!$C$12, $D$11, 100%, $F$11)</f>
        <v>3.3696443999999999</v>
      </c>
      <c r="G39" s="8">
        <f>3.1257 * CHOOSE( CONTROL!$C$12, $D$11, 100%, $F$11)</f>
        <v>2.5130628000000002</v>
      </c>
      <c r="H39" s="4">
        <f>4.0091 * CHOOSE(CONTROL!$C$12, $D$11, 100%, $F$11)</f>
        <v>3.2233164000000003</v>
      </c>
      <c r="I39" s="8">
        <f>3.1523 * CHOOSE(CONTROL!$C$12, $D$11, 100%, $F$11)</f>
        <v>2.5344492000000001</v>
      </c>
      <c r="J39" s="4">
        <f>3.061 * CHOOSE(CONTROL!$C$12, $D$11, 100%, $F$11)</f>
        <v>2.4610440000000002</v>
      </c>
      <c r="K39" s="4"/>
      <c r="L39" s="9">
        <v>28.000499999999999</v>
      </c>
      <c r="M39" s="9">
        <v>11.6745</v>
      </c>
      <c r="N39" s="9">
        <v>4.7850000000000001</v>
      </c>
      <c r="O39" s="9">
        <v>0.36249999999999999</v>
      </c>
      <c r="P39" s="9">
        <v>1.2522</v>
      </c>
      <c r="Q39" s="9">
        <v>24.267600000000002</v>
      </c>
      <c r="R39" s="9"/>
      <c r="S39" s="11"/>
    </row>
    <row r="40" spans="1:19" ht="15" customHeight="1">
      <c r="A40" s="13">
        <v>43070</v>
      </c>
      <c r="B40" s="8">
        <f>3.354 * CHOOSE(CONTROL!$C$12, $D$11, 100%, $F$11)</f>
        <v>2.6966160000000001</v>
      </c>
      <c r="C40" s="8">
        <f>3.3644 * CHOOSE(CONTROL!$C$12, $D$11, 100%, $F$11)</f>
        <v>2.7049775999999999</v>
      </c>
      <c r="D40" s="8">
        <f>3.3466 * CHOOSE( CONTROL!$C$12, $D$11, 100%, $F$11)</f>
        <v>2.6906664</v>
      </c>
      <c r="E40" s="12">
        <f>3.352 * CHOOSE( CONTROL!$C$12, $D$11, 100%, $F$11)</f>
        <v>2.6950080000000001</v>
      </c>
      <c r="F40" s="4">
        <f>4.3456 * CHOOSE(CONTROL!$C$12, $D$11, 100%, $F$11)</f>
        <v>3.4938624000000003</v>
      </c>
      <c r="G40" s="8">
        <f>3.2778 * CHOOSE( CONTROL!$C$12, $D$11, 100%, $F$11)</f>
        <v>2.6353512000000001</v>
      </c>
      <c r="H40" s="4">
        <f>4.1597 * CHOOSE(CONTROL!$C$12, $D$11, 100%, $F$11)</f>
        <v>3.3443988</v>
      </c>
      <c r="I40" s="8">
        <f>3.3073 * CHOOSE(CONTROL!$C$12, $D$11, 100%, $F$11)</f>
        <v>2.6590692000000002</v>
      </c>
      <c r="J40" s="4">
        <f>3.209 * CHOOSE(CONTROL!$C$12, $D$11, 100%, $F$11)</f>
        <v>2.5800360000000002</v>
      </c>
      <c r="K40" s="4"/>
      <c r="L40" s="9">
        <v>28.933900000000001</v>
      </c>
      <c r="M40" s="9">
        <v>12.063700000000001</v>
      </c>
      <c r="N40" s="9">
        <v>4.9444999999999997</v>
      </c>
      <c r="O40" s="9">
        <v>0.37459999999999999</v>
      </c>
      <c r="P40" s="9">
        <v>1.2939000000000001</v>
      </c>
      <c r="Q40" s="9">
        <v>25.076499999999999</v>
      </c>
      <c r="R40" s="9"/>
      <c r="S40" s="11"/>
    </row>
    <row r="41" spans="1:19" ht="15" customHeight="1">
      <c r="A41" s="13">
        <v>43101</v>
      </c>
      <c r="B41" s="8">
        <f>3.4781 * CHOOSE(CONTROL!$C$12, $D$11, 100%, $F$11)</f>
        <v>2.7963924000000002</v>
      </c>
      <c r="C41" s="8">
        <f>3.4886 * CHOOSE(CONTROL!$C$12, $D$11, 100%, $F$11)</f>
        <v>2.8048344000000003</v>
      </c>
      <c r="D41" s="8">
        <f>3.4862 * CHOOSE( CONTROL!$C$12, $D$11, 100%, $F$11)</f>
        <v>2.8029048000000003</v>
      </c>
      <c r="E41" s="12">
        <f>3.486 * CHOOSE( CONTROL!$C$12, $D$11, 100%, $F$11)</f>
        <v>2.8027440000000001</v>
      </c>
      <c r="F41" s="4">
        <f>4.5011 * CHOOSE(CONTROL!$C$12, $D$11, 100%, $F$11)</f>
        <v>3.6188844000000002</v>
      </c>
      <c r="G41" s="8">
        <f>3.4179 * CHOOSE( CONTROL!$C$12, $D$11, 100%, $F$11)</f>
        <v>2.7479916000000002</v>
      </c>
      <c r="H41" s="4">
        <f>4.3113 * CHOOSE(CONTROL!$C$12, $D$11, 100%, $F$11)</f>
        <v>3.4662852000000002</v>
      </c>
      <c r="I41" s="8">
        <f>3.4382 * CHOOSE(CONTROL!$C$12, $D$11, 100%, $F$11)</f>
        <v>2.7643128000000003</v>
      </c>
      <c r="J41" s="4">
        <f>3.328 * CHOOSE(CONTROL!$C$12, $D$11, 100%, $F$11)</f>
        <v>2.6757119999999999</v>
      </c>
      <c r="K41" s="4"/>
      <c r="L41" s="9">
        <v>28.933900000000001</v>
      </c>
      <c r="M41" s="9">
        <v>12.063700000000001</v>
      </c>
      <c r="N41" s="9">
        <v>4.9444999999999997</v>
      </c>
      <c r="O41" s="9">
        <v>0.37459999999999999</v>
      </c>
      <c r="P41" s="9">
        <v>1.2939000000000001</v>
      </c>
      <c r="Q41" s="9">
        <v>24.901700000000002</v>
      </c>
      <c r="R41" s="9"/>
      <c r="S41" s="11"/>
    </row>
    <row r="42" spans="1:19" ht="15" customHeight="1">
      <c r="A42" s="13">
        <v>43132</v>
      </c>
      <c r="B42" s="8">
        <f>3.4437 * CHOOSE(CONTROL!$C$12, $D$11, 100%, $F$11)</f>
        <v>2.7687348000000003</v>
      </c>
      <c r="C42" s="8">
        <f>3.4541 * CHOOSE(CONTROL!$C$12, $D$11, 100%, $F$11)</f>
        <v>2.7770964</v>
      </c>
      <c r="D42" s="8">
        <f>3.4541 * CHOOSE( CONTROL!$C$12, $D$11, 100%, $F$11)</f>
        <v>2.7770964</v>
      </c>
      <c r="E42" s="12">
        <f>3.453 * CHOOSE( CONTROL!$C$12, $D$11, 100%, $F$11)</f>
        <v>2.7762120000000001</v>
      </c>
      <c r="F42" s="4">
        <f>4.4588 * CHOOSE(CONTROL!$C$12, $D$11, 100%, $F$11)</f>
        <v>3.5848752000000004</v>
      </c>
      <c r="G42" s="8">
        <f>3.3842 * CHOOSE( CONTROL!$C$12, $D$11, 100%, $F$11)</f>
        <v>2.7208968000000002</v>
      </c>
      <c r="H42" s="4">
        <f>4.2701 * CHOOSE(CONTROL!$C$12, $D$11, 100%, $F$11)</f>
        <v>3.4331604000000002</v>
      </c>
      <c r="I42" s="8">
        <f>3.3943 * CHOOSE(CONTROL!$C$12, $D$11, 100%, $F$11)</f>
        <v>2.7290171999999999</v>
      </c>
      <c r="J42" s="4">
        <f>3.295 * CHOOSE(CONTROL!$C$12, $D$11, 100%, $F$11)</f>
        <v>2.6491800000000003</v>
      </c>
      <c r="K42" s="4"/>
      <c r="L42" s="9">
        <v>26.133800000000001</v>
      </c>
      <c r="M42" s="9">
        <v>10.8962</v>
      </c>
      <c r="N42" s="9">
        <v>4.4660000000000002</v>
      </c>
      <c r="O42" s="9">
        <v>0.33829999999999999</v>
      </c>
      <c r="P42" s="9">
        <v>1.1687000000000001</v>
      </c>
      <c r="Q42" s="9">
        <v>22.491800000000001</v>
      </c>
      <c r="R42" s="9"/>
      <c r="S42" s="11"/>
    </row>
    <row r="43" spans="1:19" ht="15" customHeight="1">
      <c r="A43" s="13">
        <v>43160</v>
      </c>
      <c r="B43" s="8">
        <f>3.3738 * CHOOSE(CONTROL!$C$12, $D$11, 100%, $F$11)</f>
        <v>2.7125352000000005</v>
      </c>
      <c r="C43" s="8">
        <f>3.3842 * CHOOSE(CONTROL!$C$12, $D$11, 100%, $F$11)</f>
        <v>2.7208968000000002</v>
      </c>
      <c r="D43" s="8">
        <f>3.3641 * CHOOSE( CONTROL!$C$12, $D$11, 100%, $F$11)</f>
        <v>2.7047364000000003</v>
      </c>
      <c r="E43" s="12">
        <f>3.3703 * CHOOSE( CONTROL!$C$12, $D$11, 100%, $F$11)</f>
        <v>2.7097212000000002</v>
      </c>
      <c r="F43" s="4">
        <f>4.3727 * CHOOSE(CONTROL!$C$12, $D$11, 100%, $F$11)</f>
        <v>3.5156508000000004</v>
      </c>
      <c r="G43" s="8">
        <f>3.2955 * CHOOSE( CONTROL!$C$12, $D$11, 100%, $F$11)</f>
        <v>2.6495820000000001</v>
      </c>
      <c r="H43" s="4">
        <f>4.1861 * CHOOSE(CONTROL!$C$12, $D$11, 100%, $F$11)</f>
        <v>3.3656244000000002</v>
      </c>
      <c r="I43" s="8">
        <f>3.2878 * CHOOSE(CONTROL!$C$12, $D$11, 100%, $F$11)</f>
        <v>2.6433911999999999</v>
      </c>
      <c r="J43" s="4">
        <f>3.228 * CHOOSE(CONTROL!$C$12, $D$11, 100%, $F$11)</f>
        <v>2.5953120000000003</v>
      </c>
      <c r="K43" s="4"/>
      <c r="L43" s="9">
        <v>28.933900000000001</v>
      </c>
      <c r="M43" s="9">
        <v>12.063700000000001</v>
      </c>
      <c r="N43" s="9">
        <v>4.9444999999999997</v>
      </c>
      <c r="O43" s="9">
        <v>0.37459999999999999</v>
      </c>
      <c r="P43" s="9">
        <v>1.2939000000000001</v>
      </c>
      <c r="Q43" s="9">
        <v>24.901700000000002</v>
      </c>
      <c r="R43" s="9"/>
      <c r="S43" s="11"/>
    </row>
    <row r="44" spans="1:19" ht="15" customHeight="1">
      <c r="A44" s="13">
        <v>43191</v>
      </c>
      <c r="B44" s="8">
        <f>3.0137 * CHOOSE(CONTROL!$C$12, $D$11, 100%, $F$11)</f>
        <v>2.4230148000000002</v>
      </c>
      <c r="C44" s="8">
        <f>3.0242 * CHOOSE(CONTROL!$C$12, $D$11, 100%, $F$11)</f>
        <v>2.4314568000000003</v>
      </c>
      <c r="D44" s="8">
        <f>3.0274 * CHOOSE( CONTROL!$C$12, $D$11, 100%, $F$11)</f>
        <v>2.4340296000000001</v>
      </c>
      <c r="E44" s="12">
        <f>3.0251 * CHOOSE( CONTROL!$C$12, $D$11, 100%, $F$11)</f>
        <v>2.4321804000000005</v>
      </c>
      <c r="F44" s="4">
        <f>4.021 * CHOOSE(CONTROL!$C$12, $D$11, 100%, $F$11)</f>
        <v>3.2328840000000003</v>
      </c>
      <c r="G44" s="8">
        <f>2.9324 * CHOOSE( CONTROL!$C$12, $D$11, 100%, $F$11)</f>
        <v>2.3576496000000002</v>
      </c>
      <c r="H44" s="4">
        <f>3.8433 * CHOOSE(CONTROL!$C$12, $D$11, 100%, $F$11)</f>
        <v>3.0900132000000005</v>
      </c>
      <c r="I44" s="8">
        <f>2.9327 * CHOOSE(CONTROL!$C$12, $D$11, 100%, $F$11)</f>
        <v>2.3578908000000003</v>
      </c>
      <c r="J44" s="4">
        <f>2.883 * CHOOSE(CONTROL!$C$12, $D$11, 100%, $F$11)</f>
        <v>2.3179320000000003</v>
      </c>
      <c r="K44" s="4"/>
      <c r="L44" s="9">
        <v>29.665800000000001</v>
      </c>
      <c r="M44" s="9">
        <v>11.6745</v>
      </c>
      <c r="N44" s="9">
        <v>4.7850000000000001</v>
      </c>
      <c r="O44" s="9">
        <v>0.36249999999999999</v>
      </c>
      <c r="P44" s="9">
        <v>1.1798</v>
      </c>
      <c r="Q44" s="9">
        <v>24.098400000000002</v>
      </c>
      <c r="R44" s="9"/>
      <c r="S44" s="11"/>
    </row>
    <row r="45" spans="1:19" ht="15" customHeight="1">
      <c r="A45" s="13">
        <v>43221</v>
      </c>
      <c r="B45" s="8">
        <f>CHOOSE( CONTROL!$C$29, 3.0038, 2.9991) * CHOOSE(CONTROL!$C$12, $D$11, 100%, $F$11)</f>
        <v>2.4150552000000003</v>
      </c>
      <c r="C45" s="8">
        <f>CHOOSE( CONTROL!$C$29, 3.0143, 3.0096) * CHOOSE(CONTROL!$C$12, $D$11, 100%, $F$11)</f>
        <v>2.4234971999999999</v>
      </c>
      <c r="D45" s="8">
        <f>CHOOSE( CONTROL!$C$29, 2.9922, 2.9875) * CHOOSE( CONTROL!$C$12, $D$11, 100%, $F$11)</f>
        <v>2.4057288000000003</v>
      </c>
      <c r="E45" s="12">
        <f>CHOOSE( CONTROL!$C$29, 2.9986, 2.9939) * CHOOSE( CONTROL!$C$12, $D$11, 100%, $F$11)</f>
        <v>2.4108744000000004</v>
      </c>
      <c r="F45" s="4">
        <f>CHOOSE( CONTROL!$C$29, 3.9787, 3.974) * CHOOSE(CONTROL!$C$12, $D$11, 100%, $F$11)</f>
        <v>3.1988748</v>
      </c>
      <c r="G45" s="8">
        <f>CHOOSE( CONTROL!$C$29, 2.9041, 2.8995) * CHOOSE( CONTROL!$C$12, $D$11, 100%, $F$11)</f>
        <v>2.3348964000000003</v>
      </c>
      <c r="H45" s="4">
        <f>CHOOSE( CONTROL!$C$29, 3.8021, 3.7975) * CHOOSE(CONTROL!$C$12, $D$11, 100%, $F$11)</f>
        <v>3.0568884000000001</v>
      </c>
      <c r="I45" s="8">
        <f>CHOOSE( CONTROL!$C$29, 2.9016, 2.8971) * CHOOSE(CONTROL!$C$12, $D$11, 100%, $F$11)</f>
        <v>2.3328864000000005</v>
      </c>
      <c r="J45" s="4">
        <f>CHOOSE( CONTROL!$C$29, 2.8735, 2.869) * CHOOSE(CONTROL!$C$12, $D$11, 100%, $F$11)</f>
        <v>2.3102940000000003</v>
      </c>
      <c r="K45" s="4"/>
      <c r="L45" s="9">
        <v>30.896899999999999</v>
      </c>
      <c r="M45" s="9">
        <v>12.063700000000001</v>
      </c>
      <c r="N45" s="9">
        <v>4.9444999999999997</v>
      </c>
      <c r="O45" s="9">
        <v>0.37459999999999999</v>
      </c>
      <c r="P45" s="9">
        <v>1.2192000000000001</v>
      </c>
      <c r="Q45" s="9">
        <v>24.901700000000002</v>
      </c>
      <c r="R45" s="9"/>
      <c r="S45" s="11"/>
    </row>
    <row r="46" spans="1:19" ht="15" customHeight="1">
      <c r="A46" s="13">
        <v>43252</v>
      </c>
      <c r="B46" s="8">
        <f>CHOOSE( CONTROL!$C$29, 3.0351, 3.0304) * CHOOSE(CONTROL!$C$12, $D$11, 100%, $F$11)</f>
        <v>2.4402204000000003</v>
      </c>
      <c r="C46" s="8">
        <f>CHOOSE( CONTROL!$C$29, 3.0456, 3.0409) * CHOOSE(CONTROL!$C$12, $D$11, 100%, $F$11)</f>
        <v>2.4486623999999999</v>
      </c>
      <c r="D46" s="8">
        <f>CHOOSE( CONTROL!$C$29, 3.0179, 3.0132) * CHOOSE( CONTROL!$C$12, $D$11, 100%, $F$11)</f>
        <v>2.4263916000000001</v>
      </c>
      <c r="E46" s="12">
        <f>CHOOSE( CONTROL!$C$29, 3.0263, 3.0216) * CHOOSE( CONTROL!$C$12, $D$11, 100%, $F$11)</f>
        <v>2.4331452000000002</v>
      </c>
      <c r="F46" s="4">
        <f>CHOOSE( CONTROL!$C$29, 3.9996, 3.9949) * CHOOSE(CONTROL!$C$12, $D$11, 100%, $F$11)</f>
        <v>3.2156784000000003</v>
      </c>
      <c r="G46" s="8">
        <f>CHOOSE( CONTROL!$C$29, 2.9334, 2.9288) * CHOOSE( CONTROL!$C$12, $D$11, 100%, $F$11)</f>
        <v>2.3584535999999998</v>
      </c>
      <c r="H46" s="4">
        <f>CHOOSE( CONTROL!$C$29, 3.8224, 3.8179) * CHOOSE(CONTROL!$C$12, $D$11, 100%, $F$11)</f>
        <v>3.0732096000000002</v>
      </c>
      <c r="I46" s="8">
        <f>CHOOSE( CONTROL!$C$29, 2.9338, 2.9293) * CHOOSE(CONTROL!$C$12, $D$11, 100%, $F$11)</f>
        <v>2.3587752000000002</v>
      </c>
      <c r="J46" s="4">
        <f>CHOOSE( CONTROL!$C$29, 2.9035, 2.899) * CHOOSE(CONTROL!$C$12, $D$11, 100%, $F$11)</f>
        <v>2.3344140000000002</v>
      </c>
      <c r="K46" s="4"/>
      <c r="L46" s="9">
        <v>29.900200000000002</v>
      </c>
      <c r="M46" s="9">
        <v>11.6745</v>
      </c>
      <c r="N46" s="9">
        <v>4.7850000000000001</v>
      </c>
      <c r="O46" s="9">
        <v>0.36249999999999999</v>
      </c>
      <c r="P46" s="9">
        <v>1.1798</v>
      </c>
      <c r="Q46" s="9">
        <v>24.098400000000002</v>
      </c>
      <c r="R46" s="9"/>
      <c r="S46" s="11"/>
    </row>
    <row r="47" spans="1:19" ht="15" customHeight="1">
      <c r="A47" s="13">
        <v>43282</v>
      </c>
      <c r="B47" s="8">
        <f>CHOOSE( CONTROL!$C$29, 3.0717, 3.067) * CHOOSE(CONTROL!$C$12, $D$11, 100%, $F$11)</f>
        <v>2.4696468</v>
      </c>
      <c r="C47" s="8">
        <f>CHOOSE( CONTROL!$C$29, 3.0821, 3.0774) * CHOOSE(CONTROL!$C$12, $D$11, 100%, $F$11)</f>
        <v>2.4780084000000002</v>
      </c>
      <c r="D47" s="8">
        <f>CHOOSE( CONTROL!$C$29, 3.0736, 3.0689) * CHOOSE( CONTROL!$C$12, $D$11, 100%, $F$11)</f>
        <v>2.4711744000000002</v>
      </c>
      <c r="E47" s="12">
        <f>CHOOSE( CONTROL!$C$29, 3.0751, 3.0704) * CHOOSE( CONTROL!$C$12, $D$11, 100%, $F$11)</f>
        <v>2.4723804</v>
      </c>
      <c r="F47" s="4">
        <f>CHOOSE( CONTROL!$C$29, 4.0633, 4.0586) * CHOOSE(CONTROL!$C$12, $D$11, 100%, $F$11)</f>
        <v>3.2668932000000002</v>
      </c>
      <c r="G47" s="8">
        <f>CHOOSE( CONTROL!$C$29, 2.9817, 2.9771) * CHOOSE( CONTROL!$C$12, $D$11, 100%, $F$11)</f>
        <v>2.3972868000000003</v>
      </c>
      <c r="H47" s="4">
        <f>CHOOSE( CONTROL!$C$29, 3.8845, 3.8799) * CHOOSE(CONTROL!$C$12, $D$11, 100%, $F$11)</f>
        <v>3.1231380000000004</v>
      </c>
      <c r="I47" s="8">
        <f>CHOOSE( CONTROL!$C$29, 2.9916, 2.9871) * CHOOSE(CONTROL!$C$12, $D$11, 100%, $F$11)</f>
        <v>2.4052464000000002</v>
      </c>
      <c r="J47" s="4">
        <f>CHOOSE( CONTROL!$C$29, 2.9385, 2.934) * CHOOSE(CONTROL!$C$12, $D$11, 100%, $F$11)</f>
        <v>2.3625540000000003</v>
      </c>
      <c r="K47" s="4"/>
      <c r="L47" s="9">
        <v>30.896899999999999</v>
      </c>
      <c r="M47" s="9">
        <v>12.063700000000001</v>
      </c>
      <c r="N47" s="9">
        <v>4.9444999999999997</v>
      </c>
      <c r="O47" s="9">
        <v>0.37459999999999999</v>
      </c>
      <c r="P47" s="9">
        <v>1.2192000000000001</v>
      </c>
      <c r="Q47" s="9">
        <v>24.901700000000002</v>
      </c>
      <c r="R47" s="9"/>
      <c r="S47" s="11"/>
    </row>
    <row r="48" spans="1:19" ht="15" customHeight="1">
      <c r="A48" s="13">
        <v>43313</v>
      </c>
      <c r="B48" s="8">
        <f>CHOOSE( CONTROL!$C$29, 3.0769, 3.0722) * CHOOSE(CONTROL!$C$12, $D$11, 100%, $F$11)</f>
        <v>2.4738276000000003</v>
      </c>
      <c r="C48" s="8">
        <f>CHOOSE( CONTROL!$C$29, 3.0873, 3.0826) * CHOOSE(CONTROL!$C$12, $D$11, 100%, $F$11)</f>
        <v>2.4821892000000001</v>
      </c>
      <c r="D48" s="8">
        <f>CHOOSE( CONTROL!$C$29, 3.0822, 3.0775) * CHOOSE( CONTROL!$C$12, $D$11, 100%, $F$11)</f>
        <v>2.4780888000000001</v>
      </c>
      <c r="E48" s="12">
        <f>CHOOSE( CONTROL!$C$29, 3.0825, 3.0778) * CHOOSE( CONTROL!$C$12, $D$11, 100%, $F$11)</f>
        <v>2.4783300000000001</v>
      </c>
      <c r="F48" s="4">
        <f>CHOOSE( CONTROL!$C$29, 4.0737, 4.069) * CHOOSE(CONTROL!$C$12, $D$11, 100%, $F$11)</f>
        <v>3.2752547999999999</v>
      </c>
      <c r="G48" s="8">
        <f>CHOOSE( CONTROL!$C$29, 2.9889, 2.9843) * CHOOSE( CONTROL!$C$12, $D$11, 100%, $F$11)</f>
        <v>2.4030756000000002</v>
      </c>
      <c r="H48" s="4">
        <f>CHOOSE( CONTROL!$C$29, 3.8947, 3.8901) * CHOOSE(CONTROL!$C$12, $D$11, 100%, $F$11)</f>
        <v>3.1313388</v>
      </c>
      <c r="I48" s="8">
        <f>CHOOSE( CONTROL!$C$29, 3.0012, 2.9967) * CHOOSE(CONTROL!$C$12, $D$11, 100%, $F$11)</f>
        <v>2.4129648000000001</v>
      </c>
      <c r="J48" s="4">
        <f>CHOOSE( CONTROL!$C$29, 2.9435, 2.939) * CHOOSE(CONTROL!$C$12, $D$11, 100%, $F$11)</f>
        <v>2.366574</v>
      </c>
      <c r="K48" s="4"/>
      <c r="L48" s="9">
        <v>30.896899999999999</v>
      </c>
      <c r="M48" s="9">
        <v>12.063700000000001</v>
      </c>
      <c r="N48" s="9">
        <v>4.9444999999999997</v>
      </c>
      <c r="O48" s="9">
        <v>0.37459999999999999</v>
      </c>
      <c r="P48" s="9">
        <v>1.2192000000000001</v>
      </c>
      <c r="Q48" s="9">
        <v>24.901700000000002</v>
      </c>
      <c r="R48" s="9"/>
      <c r="S48" s="11"/>
    </row>
    <row r="49" spans="1:19" ht="15" customHeight="1">
      <c r="A49" s="13">
        <v>43344</v>
      </c>
      <c r="B49" s="8">
        <f>CHOOSE( CONTROL!$C$29, 3.0675, 3.0628) * CHOOSE(CONTROL!$C$12, $D$11, 100%, $F$11)</f>
        <v>2.4662700000000002</v>
      </c>
      <c r="C49" s="8">
        <f>CHOOSE( CONTROL!$C$29, 3.0779, 3.0732) * CHOOSE(CONTROL!$C$12, $D$11, 100%, $F$11)</f>
        <v>2.4746316000000004</v>
      </c>
      <c r="D49" s="8">
        <f>CHOOSE( CONTROL!$C$29, 3.0686, 3.0639) * CHOOSE( CONTROL!$C$12, $D$11, 100%, $F$11)</f>
        <v>2.4671544000000001</v>
      </c>
      <c r="E49" s="12">
        <f>CHOOSE( CONTROL!$C$29, 3.0704, 3.0657) * CHOOSE( CONTROL!$C$12, $D$11, 100%, $F$11)</f>
        <v>2.4686016</v>
      </c>
      <c r="F49" s="4">
        <f>CHOOSE( CONTROL!$C$29, 4.0565, 4.0518) * CHOOSE(CONTROL!$C$12, $D$11, 100%, $F$11)</f>
        <v>3.2614260000000002</v>
      </c>
      <c r="G49" s="8">
        <f>CHOOSE( CONTROL!$C$29, 2.9784, 2.9738) * CHOOSE( CONTROL!$C$12, $D$11, 100%, $F$11)</f>
        <v>2.3946336000000001</v>
      </c>
      <c r="H49" s="4">
        <f>CHOOSE( CONTROL!$C$29, 3.8779, 3.8733) * CHOOSE(CONTROL!$C$12, $D$11, 100%, $F$11)</f>
        <v>3.1178316000000001</v>
      </c>
      <c r="I49" s="8">
        <f>CHOOSE( CONTROL!$C$29, 2.9935, 2.989) * CHOOSE(CONTROL!$C$12, $D$11, 100%, $F$11)</f>
        <v>2.406774</v>
      </c>
      <c r="J49" s="4">
        <f>CHOOSE( CONTROL!$C$29, 2.9345, 2.93) * CHOOSE(CONTROL!$C$12, $D$11, 100%, $F$11)</f>
        <v>2.3593380000000002</v>
      </c>
      <c r="K49" s="4"/>
      <c r="L49" s="9">
        <v>29.900200000000002</v>
      </c>
      <c r="M49" s="9">
        <v>11.6745</v>
      </c>
      <c r="N49" s="9">
        <v>4.7850000000000001</v>
      </c>
      <c r="O49" s="9">
        <v>0.36249999999999999</v>
      </c>
      <c r="P49" s="9">
        <v>1.1798</v>
      </c>
      <c r="Q49" s="9">
        <v>24.098400000000002</v>
      </c>
      <c r="R49" s="9"/>
      <c r="S49" s="11"/>
    </row>
    <row r="50" spans="1:19" ht="15" customHeight="1">
      <c r="A50" s="13">
        <v>43374</v>
      </c>
      <c r="B50" s="8">
        <f>3.0837 * CHOOSE(CONTROL!$C$12, $D$11, 100%, $F$11)</f>
        <v>2.4792947999999999</v>
      </c>
      <c r="C50" s="8">
        <f>3.0941 * CHOOSE(CONTROL!$C$12, $D$11, 100%, $F$11)</f>
        <v>2.4876564000000001</v>
      </c>
      <c r="D50" s="8">
        <f>3.0856 * CHOOSE( CONTROL!$C$12, $D$11, 100%, $F$11)</f>
        <v>2.4808224000000001</v>
      </c>
      <c r="E50" s="12">
        <f>3.0873 * CHOOSE( CONTROL!$C$12, $D$11, 100%, $F$11)</f>
        <v>2.4821892000000001</v>
      </c>
      <c r="F50" s="4">
        <f>4.0726 * CHOOSE(CONTROL!$C$12, $D$11, 100%, $F$11)</f>
        <v>3.2743704000000005</v>
      </c>
      <c r="G50" s="8">
        <f>2.9938 * CHOOSE( CONTROL!$C$12, $D$11, 100%, $F$11)</f>
        <v>2.4070152</v>
      </c>
      <c r="H50" s="4">
        <f>3.8937 * CHOOSE(CONTROL!$C$12, $D$11, 100%, $F$11)</f>
        <v>3.1305348</v>
      </c>
      <c r="I50" s="8">
        <f>3.0111 * CHOOSE(CONTROL!$C$12, $D$11, 100%, $F$11)</f>
        <v>2.4209244000000001</v>
      </c>
      <c r="J50" s="4">
        <f>2.95 * CHOOSE(CONTROL!$C$12, $D$11, 100%, $F$11)</f>
        <v>2.3718000000000004</v>
      </c>
      <c r="K50" s="4"/>
      <c r="L50" s="9">
        <v>30.654699999999998</v>
      </c>
      <c r="M50" s="9">
        <v>12.063700000000001</v>
      </c>
      <c r="N50" s="9">
        <v>4.9444999999999997</v>
      </c>
      <c r="O50" s="9">
        <v>0.37459999999999999</v>
      </c>
      <c r="P50" s="9">
        <v>1.2192000000000001</v>
      </c>
      <c r="Q50" s="9">
        <v>24.901700000000002</v>
      </c>
      <c r="R50" s="9"/>
      <c r="S50" s="11"/>
    </row>
    <row r="51" spans="1:19" ht="15" customHeight="1">
      <c r="A51" s="13">
        <v>43405</v>
      </c>
      <c r="B51" s="8">
        <f>3.1619 * CHOOSE(CONTROL!$C$12, $D$11, 100%, $F$11)</f>
        <v>2.5421676000000004</v>
      </c>
      <c r="C51" s="8">
        <f>3.1724 * CHOOSE(CONTROL!$C$12, $D$11, 100%, $F$11)</f>
        <v>2.5506096</v>
      </c>
      <c r="D51" s="8">
        <f>3.1526 * CHOOSE( CONTROL!$C$12, $D$11, 100%, $F$11)</f>
        <v>2.5346904000000001</v>
      </c>
      <c r="E51" s="12">
        <f>3.1587 * CHOOSE( CONTROL!$C$12, $D$11, 100%, $F$11)</f>
        <v>2.5395948000000002</v>
      </c>
      <c r="F51" s="4">
        <f>4.1535 * CHOOSE(CONTROL!$C$12, $D$11, 100%, $F$11)</f>
        <v>3.3394140000000005</v>
      </c>
      <c r="G51" s="8">
        <f>3.0891 * CHOOSE( CONTROL!$C$12, $D$11, 100%, $F$11)</f>
        <v>2.4836364000000004</v>
      </c>
      <c r="H51" s="4">
        <f>3.9725 * CHOOSE(CONTROL!$C$12, $D$11, 100%, $F$11)</f>
        <v>3.1938900000000001</v>
      </c>
      <c r="I51" s="8">
        <f>3.1163 * CHOOSE(CONTROL!$C$12, $D$11, 100%, $F$11)</f>
        <v>2.5055052</v>
      </c>
      <c r="J51" s="4">
        <f>3.025 * CHOOSE(CONTROL!$C$12, $D$11, 100%, $F$11)</f>
        <v>2.4321000000000002</v>
      </c>
      <c r="K51" s="4"/>
      <c r="L51" s="9">
        <v>28.000499999999999</v>
      </c>
      <c r="M51" s="9">
        <v>11.6745</v>
      </c>
      <c r="N51" s="9">
        <v>4.7850000000000001</v>
      </c>
      <c r="O51" s="9">
        <v>0.36249999999999999</v>
      </c>
      <c r="P51" s="9">
        <v>1.2522</v>
      </c>
      <c r="Q51" s="9">
        <v>24.098400000000002</v>
      </c>
      <c r="R51" s="9"/>
      <c r="S51" s="11"/>
    </row>
    <row r="52" spans="1:19" ht="15" customHeight="1">
      <c r="A52" s="13">
        <v>43435</v>
      </c>
      <c r="B52" s="8">
        <f>3.3133 * CHOOSE(CONTROL!$C$12, $D$11, 100%, $F$11)</f>
        <v>2.6638932</v>
      </c>
      <c r="C52" s="8">
        <f>3.3237 * CHOOSE(CONTROL!$C$12, $D$11, 100%, $F$11)</f>
        <v>2.6722548000000002</v>
      </c>
      <c r="D52" s="8">
        <f>3.3059 * CHOOSE( CONTROL!$C$12, $D$11, 100%, $F$11)</f>
        <v>2.6579435999999999</v>
      </c>
      <c r="E52" s="12">
        <f>3.3113 * CHOOSE( CONTROL!$C$12, $D$11, 100%, $F$11)</f>
        <v>2.6622852000000004</v>
      </c>
      <c r="F52" s="4">
        <f>4.3048 * CHOOSE(CONTROL!$C$12, $D$11, 100%, $F$11)</f>
        <v>3.4610592000000002</v>
      </c>
      <c r="G52" s="8">
        <f>3.2381 * CHOOSE( CONTROL!$C$12, $D$11, 100%, $F$11)</f>
        <v>2.6034324000000004</v>
      </c>
      <c r="H52" s="4">
        <f>4.12 * CHOOSE(CONTROL!$C$12, $D$11, 100%, $F$11)</f>
        <v>3.3124800000000003</v>
      </c>
      <c r="I52" s="8">
        <f>3.2682 * CHOOSE(CONTROL!$C$12, $D$11, 100%, $F$11)</f>
        <v>2.6276328000000002</v>
      </c>
      <c r="J52" s="4">
        <f>3.17 * CHOOSE(CONTROL!$C$12, $D$11, 100%, $F$11)</f>
        <v>2.5486800000000001</v>
      </c>
      <c r="K52" s="4"/>
      <c r="L52" s="9">
        <v>28.933900000000001</v>
      </c>
      <c r="M52" s="9">
        <v>12.063700000000001</v>
      </c>
      <c r="N52" s="9">
        <v>4.9444999999999997</v>
      </c>
      <c r="O52" s="9">
        <v>0.37459999999999999</v>
      </c>
      <c r="P52" s="9">
        <v>1.2939000000000001</v>
      </c>
      <c r="Q52" s="9">
        <v>24.901700000000002</v>
      </c>
      <c r="R52" s="9"/>
      <c r="S52" s="11"/>
    </row>
    <row r="53" spans="1:19" ht="15" customHeight="1">
      <c r="A53" s="13">
        <v>43466</v>
      </c>
      <c r="B53" s="8">
        <f>4.0069 * CHOOSE(CONTROL!$C$12, $D$11, 100%, $F$11)</f>
        <v>3.2215476000000001</v>
      </c>
      <c r="C53" s="8">
        <f>4.0173 * CHOOSE(CONTROL!$C$12, $D$11, 100%, $F$11)</f>
        <v>3.2299091999999998</v>
      </c>
      <c r="D53" s="8">
        <f>4.0149 * CHOOSE( CONTROL!$C$12, $D$11, 100%, $F$11)</f>
        <v>3.2279796000000003</v>
      </c>
      <c r="E53" s="12">
        <f>4.0147 * CHOOSE( CONTROL!$C$12, $D$11, 100%, $F$11)</f>
        <v>3.2278188000000005</v>
      </c>
      <c r="F53" s="4">
        <f>5.0298 * CHOOSE(CONTROL!$C$12, $D$11, 100%, $F$11)</f>
        <v>4.0439591999999998</v>
      </c>
      <c r="G53" s="8">
        <f>3.9333 * CHOOSE( CONTROL!$C$12, $D$11, 100%, $F$11)</f>
        <v>3.1623732000000002</v>
      </c>
      <c r="H53" s="4">
        <f>4.8266 * CHOOSE(CONTROL!$C$12, $D$11, 100%, $F$11)</f>
        <v>3.8805864000000003</v>
      </c>
      <c r="I53" s="8">
        <f>3.9451 * CHOOSE(CONTROL!$C$12, $D$11, 100%, $F$11)</f>
        <v>3.1718604000000004</v>
      </c>
      <c r="J53" s="4">
        <f>3.8346 * CHOOSE(CONTROL!$C$12, $D$11, 100%, $F$11)</f>
        <v>3.0830184000000003</v>
      </c>
      <c r="K53" s="4"/>
      <c r="L53" s="9">
        <v>28.933900000000001</v>
      </c>
      <c r="M53" s="9">
        <v>12.063700000000001</v>
      </c>
      <c r="N53" s="9">
        <v>4.9444999999999997</v>
      </c>
      <c r="O53" s="9">
        <v>0.37459999999999999</v>
      </c>
      <c r="P53" s="9">
        <v>1.2939000000000001</v>
      </c>
      <c r="Q53" s="9">
        <v>24.651199999999999</v>
      </c>
      <c r="R53" s="9"/>
      <c r="S53" s="11"/>
    </row>
    <row r="54" spans="1:19" ht="15" customHeight="1">
      <c r="A54" s="13">
        <v>43497</v>
      </c>
      <c r="B54" s="8">
        <f>3.7481 * CHOOSE(CONTROL!$C$12, $D$11, 100%, $F$11)</f>
        <v>3.0134724000000004</v>
      </c>
      <c r="C54" s="8">
        <f>3.7586 * CHOOSE(CONTROL!$C$12, $D$11, 100%, $F$11)</f>
        <v>3.0219144</v>
      </c>
      <c r="D54" s="8">
        <f>3.7585 * CHOOSE( CONTROL!$C$12, $D$11, 100%, $F$11)</f>
        <v>3.0218340000000001</v>
      </c>
      <c r="E54" s="12">
        <f>3.7574 * CHOOSE( CONTROL!$C$12, $D$11, 100%, $F$11)</f>
        <v>3.0209496000000002</v>
      </c>
      <c r="F54" s="4">
        <f>4.7632 * CHOOSE(CONTROL!$C$12, $D$11, 100%, $F$11)</f>
        <v>3.8296128000000005</v>
      </c>
      <c r="G54" s="8">
        <f>3.6809 * CHOOSE( CONTROL!$C$12, $D$11, 100%, $F$11)</f>
        <v>2.9594436000000002</v>
      </c>
      <c r="H54" s="4">
        <f>4.5668 * CHOOSE(CONTROL!$C$12, $D$11, 100%, $F$11)</f>
        <v>3.6717072000000002</v>
      </c>
      <c r="I54" s="8">
        <f>3.6862 * CHOOSE(CONTROL!$C$12, $D$11, 100%, $F$11)</f>
        <v>2.9637047999999999</v>
      </c>
      <c r="J54" s="4">
        <f>3.5867 * CHOOSE(CONTROL!$C$12, $D$11, 100%, $F$11)</f>
        <v>2.8837068000000001</v>
      </c>
      <c r="K54" s="4"/>
      <c r="L54" s="9">
        <v>26.133800000000001</v>
      </c>
      <c r="M54" s="9">
        <v>10.8962</v>
      </c>
      <c r="N54" s="9">
        <v>4.4660000000000002</v>
      </c>
      <c r="O54" s="9">
        <v>0.33829999999999999</v>
      </c>
      <c r="P54" s="9">
        <v>1.1687000000000001</v>
      </c>
      <c r="Q54" s="9">
        <v>22.265599999999999</v>
      </c>
      <c r="R54" s="9"/>
      <c r="S54" s="11"/>
    </row>
    <row r="55" spans="1:19" ht="15" customHeight="1">
      <c r="A55" s="13">
        <v>43525</v>
      </c>
      <c r="B55" s="8">
        <f>3.6685 * CHOOSE(CONTROL!$C$12, $D$11, 100%, $F$11)</f>
        <v>2.9494739999999999</v>
      </c>
      <c r="C55" s="8">
        <f>3.6789 * CHOOSE(CONTROL!$C$12, $D$11, 100%, $F$11)</f>
        <v>2.9578356000000001</v>
      </c>
      <c r="D55" s="8">
        <f>3.6587 * CHOOSE( CONTROL!$C$12, $D$11, 100%, $F$11)</f>
        <v>2.9415948000000003</v>
      </c>
      <c r="E55" s="12">
        <f>3.665 * CHOOSE( CONTROL!$C$12, $D$11, 100%, $F$11)</f>
        <v>2.9466600000000001</v>
      </c>
      <c r="F55" s="4">
        <f>4.6674 * CHOOSE(CONTROL!$C$12, $D$11, 100%, $F$11)</f>
        <v>3.7525895999999999</v>
      </c>
      <c r="G55" s="8">
        <f>3.5828 * CHOOSE( CONTROL!$C$12, $D$11, 100%, $F$11)</f>
        <v>2.8805712000000003</v>
      </c>
      <c r="H55" s="4">
        <f>4.4734 * CHOOSE(CONTROL!$C$12, $D$11, 100%, $F$11)</f>
        <v>3.5966136</v>
      </c>
      <c r="I55" s="8">
        <f>3.5703 * CHOOSE(CONTROL!$C$12, $D$11, 100%, $F$11)</f>
        <v>2.8705212000000002</v>
      </c>
      <c r="J55" s="4">
        <f>3.5104 * CHOOSE(CONTROL!$C$12, $D$11, 100%, $F$11)</f>
        <v>2.8223616000000002</v>
      </c>
      <c r="K55" s="4"/>
      <c r="L55" s="9">
        <v>28.933900000000001</v>
      </c>
      <c r="M55" s="9">
        <v>12.063700000000001</v>
      </c>
      <c r="N55" s="9">
        <v>4.9444999999999997</v>
      </c>
      <c r="O55" s="9">
        <v>0.37459999999999999</v>
      </c>
      <c r="P55" s="9">
        <v>1.2939000000000001</v>
      </c>
      <c r="Q55" s="9">
        <v>24.651199999999999</v>
      </c>
      <c r="R55" s="9"/>
      <c r="S55" s="11"/>
    </row>
    <row r="56" spans="1:19" ht="15" customHeight="1">
      <c r="A56" s="13">
        <v>43556</v>
      </c>
      <c r="B56" s="8">
        <f>3.7241 * CHOOSE(CONTROL!$C$12, $D$11, 100%, $F$11)</f>
        <v>2.9941764000000002</v>
      </c>
      <c r="C56" s="8">
        <f>3.7346 * CHOOSE(CONTROL!$C$12, $D$11, 100%, $F$11)</f>
        <v>3.0026184000000002</v>
      </c>
      <c r="D56" s="8">
        <f>3.7378 * CHOOSE( CONTROL!$C$12, $D$11, 100%, $F$11)</f>
        <v>3.0051912000000001</v>
      </c>
      <c r="E56" s="12">
        <f>3.7355 * CHOOSE( CONTROL!$C$12, $D$11, 100%, $F$11)</f>
        <v>3.0033420000000004</v>
      </c>
      <c r="F56" s="4">
        <f>4.7314 * CHOOSE(CONTROL!$C$12, $D$11, 100%, $F$11)</f>
        <v>3.8040456000000002</v>
      </c>
      <c r="G56" s="8">
        <f>3.6249 * CHOOSE( CONTROL!$C$12, $D$11, 100%, $F$11)</f>
        <v>2.9144196</v>
      </c>
      <c r="H56" s="4">
        <f>4.5358 * CHOOSE(CONTROL!$C$12, $D$11, 100%, $F$11)</f>
        <v>3.6467832000000002</v>
      </c>
      <c r="I56" s="8">
        <f>3.6137 * CHOOSE(CONTROL!$C$12, $D$11, 100%, $F$11)</f>
        <v>2.9054148000000004</v>
      </c>
      <c r="J56" s="4">
        <f>3.5637 * CHOOSE(CONTROL!$C$12, $D$11, 100%, $F$11)</f>
        <v>2.8652148</v>
      </c>
      <c r="K56" s="4"/>
      <c r="L56" s="9">
        <v>29.665800000000001</v>
      </c>
      <c r="M56" s="9">
        <v>11.6745</v>
      </c>
      <c r="N56" s="9">
        <v>4.7850000000000001</v>
      </c>
      <c r="O56" s="9">
        <v>0.36249999999999999</v>
      </c>
      <c r="P56" s="9">
        <v>1.1798</v>
      </c>
      <c r="Q56" s="9">
        <v>23.856000000000002</v>
      </c>
      <c r="R56" s="9"/>
      <c r="S56" s="11"/>
    </row>
    <row r="57" spans="1:19" ht="15" customHeight="1">
      <c r="A57" s="13">
        <v>43586</v>
      </c>
      <c r="B57" s="8">
        <f>CHOOSE( CONTROL!$C$29, 3.8279, 3.8232) * CHOOSE(CONTROL!$C$12, $D$11, 100%, $F$11)</f>
        <v>3.0776316000000001</v>
      </c>
      <c r="C57" s="8">
        <f>CHOOSE( CONTROL!$C$29, 3.8384, 3.8337) * CHOOSE(CONTROL!$C$12, $D$11, 100%, $F$11)</f>
        <v>3.0860736000000002</v>
      </c>
      <c r="D57" s="8">
        <f>CHOOSE( CONTROL!$C$29, 3.8163, 3.8116) * CHOOSE( CONTROL!$C$12, $D$11, 100%, $F$11)</f>
        <v>3.0683052000000002</v>
      </c>
      <c r="E57" s="12">
        <f>CHOOSE( CONTROL!$C$29, 3.8227, 3.818) * CHOOSE( CONTROL!$C$12, $D$11, 100%, $F$11)</f>
        <v>3.0734508000000003</v>
      </c>
      <c r="F57" s="4">
        <f>CHOOSE( CONTROL!$C$29, 4.8028, 4.7981) * CHOOSE(CONTROL!$C$12, $D$11, 100%, $F$11)</f>
        <v>3.8614512000000007</v>
      </c>
      <c r="G57" s="8">
        <f>CHOOSE( CONTROL!$C$29, 3.7074, 3.7028) * CHOOSE( CONTROL!$C$12, $D$11, 100%, $F$11)</f>
        <v>2.9807496000000002</v>
      </c>
      <c r="H57" s="4">
        <f>CHOOSE( CONTROL!$C$29, 4.6054, 4.6008) * CHOOSE(CONTROL!$C$12, $D$11, 100%, $F$11)</f>
        <v>3.7027416000000004</v>
      </c>
      <c r="I57" s="8">
        <f>CHOOSE( CONTROL!$C$29, 3.6917, 3.6872) * CHOOSE(CONTROL!$C$12, $D$11, 100%, $F$11)</f>
        <v>2.9681268000000003</v>
      </c>
      <c r="J57" s="4">
        <f>CHOOSE( CONTROL!$C$29, 3.6632, 3.6587) * CHOOSE(CONTROL!$C$12, $D$11, 100%, $F$11)</f>
        <v>2.9452128000000002</v>
      </c>
      <c r="K57" s="4"/>
      <c r="L57" s="9">
        <v>30.896899999999999</v>
      </c>
      <c r="M57" s="9">
        <v>12.063700000000001</v>
      </c>
      <c r="N57" s="9">
        <v>4.9444999999999997</v>
      </c>
      <c r="O57" s="9">
        <v>0.37459999999999999</v>
      </c>
      <c r="P57" s="9">
        <v>1.2192000000000001</v>
      </c>
      <c r="Q57" s="9">
        <v>24.651199999999999</v>
      </c>
      <c r="R57" s="9"/>
      <c r="S57" s="11"/>
    </row>
    <row r="58" spans="1:19" ht="15" customHeight="1">
      <c r="A58" s="13">
        <v>43617</v>
      </c>
      <c r="B58" s="8">
        <f>CHOOSE( CONTROL!$C$29, 3.7665, 3.7618) * CHOOSE(CONTROL!$C$12, $D$11, 100%, $F$11)</f>
        <v>3.0282660000000003</v>
      </c>
      <c r="C58" s="8">
        <f>CHOOSE( CONTROL!$C$29, 3.777, 3.7723) * CHOOSE(CONTROL!$C$12, $D$11, 100%, $F$11)</f>
        <v>3.0367080000000004</v>
      </c>
      <c r="D58" s="8">
        <f>CHOOSE( CONTROL!$C$29, 3.7493, 3.7446) * CHOOSE( CONTROL!$C$12, $D$11, 100%, $F$11)</f>
        <v>3.0144372000000001</v>
      </c>
      <c r="E58" s="12">
        <f>CHOOSE( CONTROL!$C$29, 3.7577, 3.753) * CHOOSE( CONTROL!$C$12, $D$11, 100%, $F$11)</f>
        <v>3.0211907999999998</v>
      </c>
      <c r="F58" s="4">
        <f>CHOOSE( CONTROL!$C$29, 4.731, 4.7263) * CHOOSE(CONTROL!$C$12, $D$11, 100%, $F$11)</f>
        <v>3.8037240000000003</v>
      </c>
      <c r="G58" s="8">
        <f>CHOOSE( CONTROL!$C$29, 3.6463, 3.6417) * CHOOSE( CONTROL!$C$12, $D$11, 100%, $F$11)</f>
        <v>2.9316252</v>
      </c>
      <c r="H58" s="4">
        <f>CHOOSE( CONTROL!$C$29, 4.5354, 4.5308) * CHOOSE(CONTROL!$C$12, $D$11, 100%, $F$11)</f>
        <v>3.6464616000000003</v>
      </c>
      <c r="I58" s="8">
        <f>CHOOSE( CONTROL!$C$29, 3.635, 3.6305) * CHOOSE(CONTROL!$C$12, $D$11, 100%, $F$11)</f>
        <v>2.9225400000000001</v>
      </c>
      <c r="J58" s="4">
        <f>CHOOSE( CONTROL!$C$29, 3.6043, 3.5998) * CHOOSE(CONTROL!$C$12, $D$11, 100%, $F$11)</f>
        <v>2.8978572000000002</v>
      </c>
      <c r="K58" s="4"/>
      <c r="L58" s="9">
        <v>29.900200000000002</v>
      </c>
      <c r="M58" s="9">
        <v>11.6745</v>
      </c>
      <c r="N58" s="9">
        <v>4.7850000000000001</v>
      </c>
      <c r="O58" s="9">
        <v>0.36249999999999999</v>
      </c>
      <c r="P58" s="9">
        <v>1.1798</v>
      </c>
      <c r="Q58" s="9">
        <v>23.856000000000002</v>
      </c>
      <c r="R58" s="9"/>
      <c r="S58" s="11"/>
    </row>
    <row r="59" spans="1:19" ht="15" customHeight="1">
      <c r="A59" s="13">
        <v>43647</v>
      </c>
      <c r="B59" s="8">
        <f>CHOOSE( CONTROL!$C$29, 3.9282, 3.9235) * CHOOSE(CONTROL!$C$12, $D$11, 100%, $F$11)</f>
        <v>3.1582728000000002</v>
      </c>
      <c r="C59" s="8">
        <f>CHOOSE( CONTROL!$C$29, 3.9386, 3.9339) * CHOOSE(CONTROL!$C$12, $D$11, 100%, $F$11)</f>
        <v>3.1666344000000004</v>
      </c>
      <c r="D59" s="8">
        <f>CHOOSE( CONTROL!$C$29, 3.9302, 3.9255) * CHOOSE( CONTROL!$C$12, $D$11, 100%, $F$11)</f>
        <v>3.1598808000000003</v>
      </c>
      <c r="E59" s="12">
        <f>CHOOSE( CONTROL!$C$29, 3.9317, 3.927) * CHOOSE( CONTROL!$C$12, $D$11, 100%, $F$11)</f>
        <v>3.1610868000000005</v>
      </c>
      <c r="F59" s="4">
        <f>CHOOSE( CONTROL!$C$29, 4.9198, 4.9151) * CHOOSE(CONTROL!$C$12, $D$11, 100%, $F$11)</f>
        <v>3.9555192000000003</v>
      </c>
      <c r="G59" s="8">
        <f>CHOOSE( CONTROL!$C$29, 3.8166, 3.812) * CHOOSE( CONTROL!$C$12, $D$11, 100%, $F$11)</f>
        <v>3.0685464000000002</v>
      </c>
      <c r="H59" s="4">
        <f>CHOOSE( CONTROL!$C$29, 4.7194, 4.7149) * CHOOSE(CONTROL!$C$12, $D$11, 100%, $F$11)</f>
        <v>3.7943976000000004</v>
      </c>
      <c r="I59" s="8">
        <f>CHOOSE( CONTROL!$C$29, 3.8127, 3.8082) * CHOOSE(CONTROL!$C$12, $D$11, 100%, $F$11)</f>
        <v>3.0654108</v>
      </c>
      <c r="J59" s="4">
        <f>CHOOSE( CONTROL!$C$29, 3.7593, 3.7547) * CHOOSE(CONTROL!$C$12, $D$11, 100%, $F$11)</f>
        <v>3.0224772000000004</v>
      </c>
      <c r="K59" s="4"/>
      <c r="L59" s="9">
        <v>30.896899999999999</v>
      </c>
      <c r="M59" s="9">
        <v>12.063700000000001</v>
      </c>
      <c r="N59" s="9">
        <v>4.9444999999999997</v>
      </c>
      <c r="O59" s="9">
        <v>0.37459999999999999</v>
      </c>
      <c r="P59" s="9">
        <v>1.2192000000000001</v>
      </c>
      <c r="Q59" s="9">
        <v>24.651199999999999</v>
      </c>
      <c r="R59" s="9"/>
      <c r="S59" s="11"/>
    </row>
    <row r="60" spans="1:19" ht="15" customHeight="1">
      <c r="A60" s="13">
        <v>43678</v>
      </c>
      <c r="B60" s="8">
        <f>CHOOSE( CONTROL!$C$29, 3.6257, 3.621) * CHOOSE(CONTROL!$C$12, $D$11, 100%, $F$11)</f>
        <v>2.9150628000000003</v>
      </c>
      <c r="C60" s="8">
        <f>CHOOSE( CONTROL!$C$29, 3.6362, 3.6315) * CHOOSE(CONTROL!$C$12, $D$11, 100%, $F$11)</f>
        <v>2.9235048000000003</v>
      </c>
      <c r="D60" s="8">
        <f>CHOOSE( CONTROL!$C$29, 3.631, 3.6263) * CHOOSE( CONTROL!$C$12, $D$11, 100%, $F$11)</f>
        <v>2.919324</v>
      </c>
      <c r="E60" s="12">
        <f>CHOOSE( CONTROL!$C$29, 3.6313, 3.6266) * CHOOSE( CONTROL!$C$12, $D$11, 100%, $F$11)</f>
        <v>2.9195652000000001</v>
      </c>
      <c r="F60" s="4">
        <f>CHOOSE( CONTROL!$C$29, 4.6225, 4.6178) * CHOOSE(CONTROL!$C$12, $D$11, 100%, $F$11)</f>
        <v>3.7164899999999998</v>
      </c>
      <c r="G60" s="8">
        <f>CHOOSE( CONTROL!$C$29, 3.5239, 3.5193) * CHOOSE( CONTROL!$C$12, $D$11, 100%, $F$11)</f>
        <v>2.8332155999999999</v>
      </c>
      <c r="H60" s="4">
        <f>CHOOSE( CONTROL!$C$29, 4.4297, 4.4251) * CHOOSE(CONTROL!$C$12, $D$11, 100%, $F$11)</f>
        <v>3.5614788000000006</v>
      </c>
      <c r="I60" s="8">
        <f>CHOOSE( CONTROL!$C$29, 3.5274, 3.5229) * CHOOSE(CONTROL!$C$12, $D$11, 100%, $F$11)</f>
        <v>2.8360296000000003</v>
      </c>
      <c r="J60" s="4">
        <f>CHOOSE( CONTROL!$C$29, 3.4694, 3.4649) * CHOOSE(CONTROL!$C$12, $D$11, 100%, $F$11)</f>
        <v>2.7893976</v>
      </c>
      <c r="K60" s="4"/>
      <c r="L60" s="9">
        <v>30.896899999999999</v>
      </c>
      <c r="M60" s="9">
        <v>12.063700000000001</v>
      </c>
      <c r="N60" s="9">
        <v>4.9444999999999997</v>
      </c>
      <c r="O60" s="9">
        <v>0.37459999999999999</v>
      </c>
      <c r="P60" s="9">
        <v>1.2192000000000001</v>
      </c>
      <c r="Q60" s="9">
        <v>24.651199999999999</v>
      </c>
      <c r="R60" s="9"/>
      <c r="S60" s="11"/>
    </row>
    <row r="61" spans="1:19" ht="15" customHeight="1">
      <c r="A61" s="13">
        <v>43709</v>
      </c>
      <c r="B61" s="8">
        <f>CHOOSE( CONTROL!$C$29, 3.55, 3.5453) * CHOOSE(CONTROL!$C$12, $D$11, 100%, $F$11)</f>
        <v>2.8542000000000001</v>
      </c>
      <c r="C61" s="8">
        <f>CHOOSE( CONTROL!$C$29, 3.5604, 3.5557) * CHOOSE(CONTROL!$C$12, $D$11, 100%, $F$11)</f>
        <v>2.8625616000000003</v>
      </c>
      <c r="D61" s="8">
        <f>CHOOSE( CONTROL!$C$29, 3.5511, 3.5464) * CHOOSE( CONTROL!$C$12, $D$11, 100%, $F$11)</f>
        <v>2.8550844</v>
      </c>
      <c r="E61" s="12">
        <f>CHOOSE( CONTROL!$C$29, 3.5529, 3.5482) * CHOOSE( CONTROL!$C$12, $D$11, 100%, $F$11)</f>
        <v>2.8565316000000003</v>
      </c>
      <c r="F61" s="4">
        <f>CHOOSE( CONTROL!$C$29, 4.539, 4.5343) * CHOOSE(CONTROL!$C$12, $D$11, 100%, $F$11)</f>
        <v>3.649356</v>
      </c>
      <c r="G61" s="8">
        <f>CHOOSE( CONTROL!$C$29, 3.4487, 3.4441) * CHOOSE( CONTROL!$C$12, $D$11, 100%, $F$11)</f>
        <v>2.7727548000000004</v>
      </c>
      <c r="H61" s="4">
        <f>CHOOSE( CONTROL!$C$29, 4.3482, 4.3436) * CHOOSE(CONTROL!$C$12, $D$11, 100%, $F$11)</f>
        <v>3.4959528000000004</v>
      </c>
      <c r="I61" s="8">
        <f>CHOOSE( CONTROL!$C$29, 3.4561, 3.4516) * CHOOSE(CONTROL!$C$12, $D$11, 100%, $F$11)</f>
        <v>2.7787044000000005</v>
      </c>
      <c r="J61" s="4">
        <f>CHOOSE( CONTROL!$C$29, 3.3968, 3.3923) * CHOOSE(CONTROL!$C$12, $D$11, 100%, $F$11)</f>
        <v>2.7310272000000002</v>
      </c>
      <c r="K61" s="4"/>
      <c r="L61" s="9">
        <v>29.900200000000002</v>
      </c>
      <c r="M61" s="9">
        <v>11.6745</v>
      </c>
      <c r="N61" s="9">
        <v>4.7850000000000001</v>
      </c>
      <c r="O61" s="9">
        <v>0.36249999999999999</v>
      </c>
      <c r="P61" s="9">
        <v>1.1798</v>
      </c>
      <c r="Q61" s="9">
        <v>23.856000000000002</v>
      </c>
      <c r="R61" s="9"/>
      <c r="S61" s="11"/>
    </row>
    <row r="62" spans="1:19" ht="15" customHeight="1">
      <c r="A62" s="13">
        <v>43739</v>
      </c>
      <c r="B62" s="8">
        <f>3.7025 * CHOOSE(CONTROL!$C$12, $D$11, 100%, $F$11)</f>
        <v>2.9768100000000004</v>
      </c>
      <c r="C62" s="8">
        <f>3.713 * CHOOSE(CONTROL!$C$12, $D$11, 100%, $F$11)</f>
        <v>2.9852520000000005</v>
      </c>
      <c r="D62" s="8">
        <f>3.7045 * CHOOSE( CONTROL!$C$12, $D$11, 100%, $F$11)</f>
        <v>2.978418</v>
      </c>
      <c r="E62" s="12">
        <f>3.7062 * CHOOSE( CONTROL!$C$12, $D$11, 100%, $F$11)</f>
        <v>2.9797848</v>
      </c>
      <c r="F62" s="4">
        <f>4.6915 * CHOOSE(CONTROL!$C$12, $D$11, 100%, $F$11)</f>
        <v>3.7719659999999999</v>
      </c>
      <c r="G62" s="8">
        <f>3.5971 * CHOOSE( CONTROL!$C$12, $D$11, 100%, $F$11)</f>
        <v>2.8920684000000003</v>
      </c>
      <c r="H62" s="4">
        <f>4.4969 * CHOOSE(CONTROL!$C$12, $D$11, 100%, $F$11)</f>
        <v>3.6155076000000004</v>
      </c>
      <c r="I62" s="8">
        <f>3.6044 * CHOOSE(CONTROL!$C$12, $D$11, 100%, $F$11)</f>
        <v>2.8979376000000001</v>
      </c>
      <c r="J62" s="4">
        <f>3.543 * CHOOSE(CONTROL!$C$12, $D$11, 100%, $F$11)</f>
        <v>2.8485720000000003</v>
      </c>
      <c r="K62" s="4"/>
      <c r="L62" s="9">
        <v>30.654699999999998</v>
      </c>
      <c r="M62" s="9">
        <v>12.063700000000001</v>
      </c>
      <c r="N62" s="9">
        <v>4.9444999999999997</v>
      </c>
      <c r="O62" s="9">
        <v>0.37459999999999999</v>
      </c>
      <c r="P62" s="9">
        <v>1.2192000000000001</v>
      </c>
      <c r="Q62" s="9">
        <v>24.651199999999999</v>
      </c>
      <c r="R62" s="9"/>
      <c r="S62" s="11"/>
    </row>
    <row r="63" spans="1:19" ht="15" customHeight="1">
      <c r="A63" s="13">
        <v>43770</v>
      </c>
      <c r="B63" s="8">
        <f>3.9928 * CHOOSE(CONTROL!$C$12, $D$11, 100%, $F$11)</f>
        <v>3.2102112000000003</v>
      </c>
      <c r="C63" s="8">
        <f>4.0033 * CHOOSE(CONTROL!$C$12, $D$11, 100%, $F$11)</f>
        <v>3.2186532000000003</v>
      </c>
      <c r="D63" s="8">
        <f>3.9835 * CHOOSE( CONTROL!$C$12, $D$11, 100%, $F$11)</f>
        <v>3.202734</v>
      </c>
      <c r="E63" s="12">
        <f>3.9896 * CHOOSE( CONTROL!$C$12, $D$11, 100%, $F$11)</f>
        <v>3.2076384</v>
      </c>
      <c r="F63" s="4">
        <f>4.9844 * CHOOSE(CONTROL!$C$12, $D$11, 100%, $F$11)</f>
        <v>4.0074576000000004</v>
      </c>
      <c r="G63" s="8">
        <f>3.8991 * CHOOSE( CONTROL!$C$12, $D$11, 100%, $F$11)</f>
        <v>3.1348764</v>
      </c>
      <c r="H63" s="4">
        <f>4.7824 * CHOOSE(CONTROL!$C$12, $D$11, 100%, $F$11)</f>
        <v>3.8450496000000003</v>
      </c>
      <c r="I63" s="8">
        <f>3.9129 * CHOOSE(CONTROL!$C$12, $D$11, 100%, $F$11)</f>
        <v>3.1459716000000002</v>
      </c>
      <c r="J63" s="4">
        <f>3.8212 * CHOOSE(CONTROL!$C$12, $D$11, 100%, $F$11)</f>
        <v>3.0722448000000004</v>
      </c>
      <c r="K63" s="4"/>
      <c r="L63" s="9">
        <v>28.000499999999999</v>
      </c>
      <c r="M63" s="9">
        <v>11.6745</v>
      </c>
      <c r="N63" s="9">
        <v>4.7850000000000001</v>
      </c>
      <c r="O63" s="9">
        <v>0.36249999999999999</v>
      </c>
      <c r="P63" s="9">
        <v>1.2522</v>
      </c>
      <c r="Q63" s="9">
        <v>23.856000000000002</v>
      </c>
      <c r="R63" s="9"/>
      <c r="S63" s="11"/>
    </row>
    <row r="64" spans="1:19" ht="15.75">
      <c r="A64" s="13">
        <v>43800</v>
      </c>
      <c r="B64" s="8">
        <f>3.9856 * CHOOSE(CONTROL!$C$12, $D$11, 100%, $F$11)</f>
        <v>3.2044223999999999</v>
      </c>
      <c r="C64" s="8">
        <f>3.996 * CHOOSE(CONTROL!$C$12, $D$11, 100%, $F$11)</f>
        <v>3.2127840000000001</v>
      </c>
      <c r="D64" s="8">
        <f>3.9782 * CHOOSE( CONTROL!$C$12, $D$11, 100%, $F$11)</f>
        <v>3.1984728000000002</v>
      </c>
      <c r="E64" s="12">
        <f>3.9836 * CHOOSE( CONTROL!$C$12, $D$11, 100%, $F$11)</f>
        <v>3.2028144000000003</v>
      </c>
      <c r="F64" s="4">
        <f>4.9772 * CHOOSE(CONTROL!$C$12, $D$11, 100%, $F$11)</f>
        <v>4.0016688</v>
      </c>
      <c r="G64" s="8">
        <f>3.8935 * CHOOSE( CONTROL!$C$12, $D$11, 100%, $F$11)</f>
        <v>3.1303740000000002</v>
      </c>
      <c r="H64" s="4">
        <f>4.7754 * CHOOSE(CONTROL!$C$12, $D$11, 100%, $F$11)</f>
        <v>3.8394216000000005</v>
      </c>
      <c r="I64" s="8">
        <f>3.9128 * CHOOSE(CONTROL!$C$12, $D$11, 100%, $F$11)</f>
        <v>3.1458911999999999</v>
      </c>
      <c r="J64" s="4">
        <f>3.8142 * CHOOSE(CONTROL!$C$12, $D$11, 100%, $F$11)</f>
        <v>3.0666168000000003</v>
      </c>
      <c r="K64" s="4"/>
      <c r="L64" s="9">
        <v>28.933900000000001</v>
      </c>
      <c r="M64" s="9">
        <v>12.063700000000001</v>
      </c>
      <c r="N64" s="9">
        <v>4.9444999999999997</v>
      </c>
      <c r="O64" s="9">
        <v>0.37459999999999999</v>
      </c>
      <c r="P64" s="9">
        <v>1.2939000000000001</v>
      </c>
      <c r="Q64" s="9">
        <v>24.651199999999999</v>
      </c>
      <c r="R64" s="9"/>
      <c r="S64" s="11"/>
    </row>
    <row r="65" spans="1:19" ht="15.75">
      <c r="A65" s="13">
        <v>43831</v>
      </c>
      <c r="B65" s="8">
        <f>3.9937 * CHOOSE(CONTROL!$C$12, $D$11, 100%, $F$11)</f>
        <v>3.2109348000000004</v>
      </c>
      <c r="C65" s="8">
        <f>4.0042 * CHOOSE(CONTROL!$C$12, $D$11, 100%, $F$11)</f>
        <v>3.2193768</v>
      </c>
      <c r="D65" s="8">
        <f>4.0018 * CHOOSE( CONTROL!$C$12, $D$11, 100%, $F$11)</f>
        <v>3.2174472000000005</v>
      </c>
      <c r="E65" s="12">
        <f>4.0016 * CHOOSE( CONTROL!$C$12, $D$11, 100%, $F$11)</f>
        <v>3.2172863999999999</v>
      </c>
      <c r="F65" s="4">
        <f>5.0167 * CHOOSE(CONTROL!$C$12, $D$11, 100%, $F$11)</f>
        <v>4.0334268</v>
      </c>
      <c r="G65" s="8">
        <f>3.9205 * CHOOSE( CONTROL!$C$12, $D$11, 100%, $F$11)</f>
        <v>3.1520820000000001</v>
      </c>
      <c r="H65" s="4">
        <f>4.8138 * CHOOSE(CONTROL!$C$12, $D$11, 100%, $F$11)</f>
        <v>3.8702952000000002</v>
      </c>
      <c r="I65" s="8">
        <f>3.9326 * CHOOSE(CONTROL!$C$12, $D$11, 100%, $F$11)</f>
        <v>3.1618104000000002</v>
      </c>
      <c r="J65" s="4">
        <f>3.8221 * CHOOSE(CONTROL!$C$12, $D$11, 100%, $F$11)</f>
        <v>3.0729684000000002</v>
      </c>
      <c r="K65" s="4"/>
      <c r="L65" s="9">
        <v>28.933900000000001</v>
      </c>
      <c r="M65" s="9">
        <v>12.063700000000001</v>
      </c>
      <c r="N65" s="9">
        <v>4.9444999999999997</v>
      </c>
      <c r="O65" s="9">
        <v>0.37459999999999999</v>
      </c>
      <c r="P65" s="9">
        <v>1.2939000000000001</v>
      </c>
      <c r="Q65" s="9">
        <v>22.150099999999998</v>
      </c>
      <c r="R65" s="9"/>
      <c r="S65" s="11"/>
    </row>
    <row r="66" spans="1:19" ht="15.75">
      <c r="A66" s="13">
        <v>43862</v>
      </c>
      <c r="B66" s="8">
        <f>3.7359 * CHOOSE(CONTROL!$C$12, $D$11, 100%, $F$11)</f>
        <v>3.0036636000000003</v>
      </c>
      <c r="C66" s="8">
        <f>3.7463 * CHOOSE(CONTROL!$C$12, $D$11, 100%, $F$11)</f>
        <v>3.0120252000000005</v>
      </c>
      <c r="D66" s="8">
        <f>3.7463 * CHOOSE( CONTROL!$C$12, $D$11, 100%, $F$11)</f>
        <v>3.0120252000000005</v>
      </c>
      <c r="E66" s="12">
        <f>3.7452 * CHOOSE( CONTROL!$C$12, $D$11, 100%, $F$11)</f>
        <v>3.0111408000000002</v>
      </c>
      <c r="F66" s="4">
        <f>4.751 * CHOOSE(CONTROL!$C$12, $D$11, 100%, $F$11)</f>
        <v>3.8198040000000004</v>
      </c>
      <c r="G66" s="8">
        <f>3.669 * CHOOSE( CONTROL!$C$12, $D$11, 100%, $F$11)</f>
        <v>2.9498760000000002</v>
      </c>
      <c r="H66" s="4">
        <f>4.5549 * CHOOSE(CONTROL!$C$12, $D$11, 100%, $F$11)</f>
        <v>3.6621396000000002</v>
      </c>
      <c r="I66" s="8">
        <f>3.6744 * CHOOSE(CONTROL!$C$12, $D$11, 100%, $F$11)</f>
        <v>2.9542176000000002</v>
      </c>
      <c r="J66" s="4">
        <f>3.575 * CHOOSE(CONTROL!$C$12, $D$11, 100%, $F$11)</f>
        <v>2.8743000000000003</v>
      </c>
      <c r="K66" s="4"/>
      <c r="L66" s="9">
        <v>27.0672</v>
      </c>
      <c r="M66" s="9">
        <v>11.285299999999999</v>
      </c>
      <c r="N66" s="9">
        <v>4.6254999999999997</v>
      </c>
      <c r="O66" s="9">
        <v>0.35039999999999999</v>
      </c>
      <c r="P66" s="9">
        <v>1.2104999999999999</v>
      </c>
      <c r="Q66" s="9">
        <v>20.7211</v>
      </c>
      <c r="R66" s="9"/>
      <c r="S66" s="11"/>
    </row>
    <row r="67" spans="1:19" ht="15.75">
      <c r="A67" s="13">
        <v>43891</v>
      </c>
      <c r="B67" s="8">
        <f>3.6565 * CHOOSE(CONTROL!$C$12, $D$11, 100%, $F$11)</f>
        <v>2.9398260000000001</v>
      </c>
      <c r="C67" s="8">
        <f>3.6669 * CHOOSE(CONTROL!$C$12, $D$11, 100%, $F$11)</f>
        <v>2.9481876000000002</v>
      </c>
      <c r="D67" s="8">
        <f>3.6467 * CHOOSE( CONTROL!$C$12, $D$11, 100%, $F$11)</f>
        <v>2.9319468000000004</v>
      </c>
      <c r="E67" s="12">
        <f>3.653 * CHOOSE( CONTROL!$C$12, $D$11, 100%, $F$11)</f>
        <v>2.9370120000000002</v>
      </c>
      <c r="F67" s="4">
        <f>4.6554 * CHOOSE(CONTROL!$C$12, $D$11, 100%, $F$11)</f>
        <v>3.7429416000000004</v>
      </c>
      <c r="G67" s="8">
        <f>3.5711 * CHOOSE( CONTROL!$C$12, $D$11, 100%, $F$11)</f>
        <v>2.8711644000000001</v>
      </c>
      <c r="H67" s="4">
        <f>4.4617 * CHOOSE(CONTROL!$C$12, $D$11, 100%, $F$11)</f>
        <v>3.5872068000000006</v>
      </c>
      <c r="I67" s="8">
        <f>3.5588 * CHOOSE(CONTROL!$C$12, $D$11, 100%, $F$11)</f>
        <v>2.8612752000000001</v>
      </c>
      <c r="J67" s="4">
        <f>3.4989 * CHOOSE(CONTROL!$C$12, $D$11, 100%, $F$11)</f>
        <v>2.8131156000000002</v>
      </c>
      <c r="K67" s="4"/>
      <c r="L67" s="9">
        <v>28.933900000000001</v>
      </c>
      <c r="M67" s="9">
        <v>12.063700000000001</v>
      </c>
      <c r="N67" s="9">
        <v>4.9444999999999997</v>
      </c>
      <c r="O67" s="9">
        <v>0.37459999999999999</v>
      </c>
      <c r="P67" s="9">
        <v>1.2939000000000001</v>
      </c>
      <c r="Q67" s="9">
        <v>22.150099999999998</v>
      </c>
      <c r="R67" s="9"/>
      <c r="S67" s="11"/>
    </row>
    <row r="68" spans="1:19" ht="15.75">
      <c r="A68" s="13">
        <v>43922</v>
      </c>
      <c r="B68" s="8">
        <f>3.712 * CHOOSE(CONTROL!$C$12, $D$11, 100%, $F$11)</f>
        <v>2.9844480000000004</v>
      </c>
      <c r="C68" s="8">
        <f>3.7224 * CHOOSE(CONTROL!$C$12, $D$11, 100%, $F$11)</f>
        <v>2.9928096000000002</v>
      </c>
      <c r="D68" s="8">
        <f>3.7256 * CHOOSE( CONTROL!$C$12, $D$11, 100%, $F$11)</f>
        <v>2.9953824</v>
      </c>
      <c r="E68" s="12">
        <f>3.7234 * CHOOSE( CONTROL!$C$12, $D$11, 100%, $F$11)</f>
        <v>2.9936136000000002</v>
      </c>
      <c r="F68" s="4">
        <f>4.7192 * CHOOSE(CONTROL!$C$12, $D$11, 100%, $F$11)</f>
        <v>3.7942368000000002</v>
      </c>
      <c r="G68" s="8">
        <f>3.613 * CHOOSE( CONTROL!$C$12, $D$11, 100%, $F$11)</f>
        <v>2.904852</v>
      </c>
      <c r="H68" s="4">
        <f>4.5239 * CHOOSE(CONTROL!$C$12, $D$11, 100%, $F$11)</f>
        <v>3.6372156000000002</v>
      </c>
      <c r="I68" s="8">
        <f>3.6021 * CHOOSE(CONTROL!$C$12, $D$11, 100%, $F$11)</f>
        <v>2.8960884000000005</v>
      </c>
      <c r="J68" s="4">
        <f>3.552 * CHOOSE(CONTROL!$C$12, $D$11, 100%, $F$11)</f>
        <v>2.8558080000000001</v>
      </c>
      <c r="K68" s="4"/>
      <c r="L68" s="9">
        <v>29.665800000000001</v>
      </c>
      <c r="M68" s="9">
        <v>11.6745</v>
      </c>
      <c r="N68" s="9">
        <v>4.7850000000000001</v>
      </c>
      <c r="O68" s="9">
        <v>0.36249999999999999</v>
      </c>
      <c r="P68" s="9">
        <v>1.1798</v>
      </c>
      <c r="Q68" s="9">
        <v>21.435600000000001</v>
      </c>
      <c r="R68" s="9"/>
      <c r="S68" s="11"/>
    </row>
    <row r="69" spans="1:19" ht="15.75">
      <c r="A69" s="13">
        <v>43952</v>
      </c>
      <c r="B69" s="8">
        <f>CHOOSE( CONTROL!$C$29, 3.8154, 3.8107) * CHOOSE(CONTROL!$C$12, $D$11, 100%, $F$11)</f>
        <v>3.0675816</v>
      </c>
      <c r="C69" s="8">
        <f>CHOOSE( CONTROL!$C$29, 3.8259, 3.8212) * CHOOSE(CONTROL!$C$12, $D$11, 100%, $F$11)</f>
        <v>3.0760236000000001</v>
      </c>
      <c r="D69" s="8">
        <f>CHOOSE( CONTROL!$C$29, 3.8038, 3.7991) * CHOOSE( CONTROL!$C$12, $D$11, 100%, $F$11)</f>
        <v>3.0582552000000001</v>
      </c>
      <c r="E69" s="12">
        <f>CHOOSE( CONTROL!$C$29, 3.8102, 3.8055) * CHOOSE( CONTROL!$C$12, $D$11, 100%, $F$11)</f>
        <v>3.0634008000000001</v>
      </c>
      <c r="F69" s="4">
        <f>CHOOSE( CONTROL!$C$29, 4.7903, 4.7856) * CHOOSE(CONTROL!$C$12, $D$11, 100%, $F$11)</f>
        <v>3.8514012000000002</v>
      </c>
      <c r="G69" s="8">
        <f>CHOOSE( CONTROL!$C$29, 3.6952, 3.6906) * CHOOSE( CONTROL!$C$12, $D$11, 100%, $F$11)</f>
        <v>2.9709408000000002</v>
      </c>
      <c r="H69" s="4">
        <f>CHOOSE( CONTROL!$C$29, 4.5932, 4.5887) * CHOOSE(CONTROL!$C$12, $D$11, 100%, $F$11)</f>
        <v>3.6929328000000003</v>
      </c>
      <c r="I69" s="8">
        <f>CHOOSE( CONTROL!$C$29, 3.6797, 3.6752) * CHOOSE(CONTROL!$C$12, $D$11, 100%, $F$11)</f>
        <v>2.9584788</v>
      </c>
      <c r="J69" s="4">
        <f>CHOOSE( CONTROL!$C$29, 3.6512, 3.6467) * CHOOSE(CONTROL!$C$12, $D$11, 100%, $F$11)</f>
        <v>2.9355647999999999</v>
      </c>
      <c r="K69" s="4"/>
      <c r="L69" s="9">
        <v>30.896899999999999</v>
      </c>
      <c r="M69" s="9">
        <v>12.063700000000001</v>
      </c>
      <c r="N69" s="9">
        <v>4.9444999999999997</v>
      </c>
      <c r="O69" s="9">
        <v>0.37459999999999999</v>
      </c>
      <c r="P69" s="9">
        <v>1.2192000000000001</v>
      </c>
      <c r="Q69" s="9">
        <v>33.225200000000001</v>
      </c>
      <c r="R69" s="9"/>
      <c r="S69" s="11"/>
    </row>
    <row r="70" spans="1:19" ht="15.75">
      <c r="A70" s="13">
        <v>43983</v>
      </c>
      <c r="B70" s="8">
        <f>CHOOSE( CONTROL!$C$29, 3.7542, 3.7495) * CHOOSE(CONTROL!$C$12, $D$11, 100%, $F$11)</f>
        <v>3.0183768</v>
      </c>
      <c r="C70" s="8">
        <f>CHOOSE( CONTROL!$C$29, 3.7647, 3.76) * CHOOSE(CONTROL!$C$12, $D$11, 100%, $F$11)</f>
        <v>3.0268188</v>
      </c>
      <c r="D70" s="8">
        <f>CHOOSE( CONTROL!$C$29, 3.737, 3.7323) * CHOOSE( CONTROL!$C$12, $D$11, 100%, $F$11)</f>
        <v>3.0045480000000002</v>
      </c>
      <c r="E70" s="12">
        <f>CHOOSE( CONTROL!$C$29, 3.7454, 3.7407) * CHOOSE( CONTROL!$C$12, $D$11, 100%, $F$11)</f>
        <v>3.0113016000000004</v>
      </c>
      <c r="F70" s="4">
        <f>CHOOSE( CONTROL!$C$29, 4.7187, 4.714) * CHOOSE(CONTROL!$C$12, $D$11, 100%, $F$11)</f>
        <v>3.7938348000000004</v>
      </c>
      <c r="G70" s="8">
        <f>CHOOSE( CONTROL!$C$29, 3.6343, 3.6297) * CHOOSE( CONTROL!$C$12, $D$11, 100%, $F$11)</f>
        <v>2.9219772000000002</v>
      </c>
      <c r="H70" s="4">
        <f>CHOOSE( CONTROL!$C$29, 4.5234, 4.5188) * CHOOSE(CONTROL!$C$12, $D$11, 100%, $F$11)</f>
        <v>3.6368136</v>
      </c>
      <c r="I70" s="8">
        <f>CHOOSE( CONTROL!$C$29, 3.6232, 3.6187) * CHOOSE(CONTROL!$C$12, $D$11, 100%, $F$11)</f>
        <v>2.9130528000000004</v>
      </c>
      <c r="J70" s="4">
        <f>CHOOSE( CONTROL!$C$29, 3.5926, 3.5881) * CHOOSE(CONTROL!$C$12, $D$11, 100%, $F$11)</f>
        <v>2.8884504</v>
      </c>
      <c r="K70" s="4"/>
      <c r="L70" s="9">
        <v>29.900200000000002</v>
      </c>
      <c r="M70" s="9">
        <v>11.6745</v>
      </c>
      <c r="N70" s="9">
        <v>4.7850000000000001</v>
      </c>
      <c r="O70" s="9">
        <v>0.36249999999999999</v>
      </c>
      <c r="P70" s="9">
        <v>1.1798</v>
      </c>
      <c r="Q70" s="9">
        <v>32.153399999999998</v>
      </c>
      <c r="R70" s="9"/>
      <c r="S70" s="11"/>
    </row>
    <row r="71" spans="1:19" ht="15.75">
      <c r="A71" s="13">
        <v>44013</v>
      </c>
      <c r="B71" s="8">
        <f>CHOOSE( CONTROL!$C$29, 3.9154, 3.9107) * CHOOSE(CONTROL!$C$12, $D$11, 100%, $F$11)</f>
        <v>3.1479816</v>
      </c>
      <c r="C71" s="8">
        <f>CHOOSE( CONTROL!$C$29, 3.9258, 3.9211) * CHOOSE(CONTROL!$C$12, $D$11, 100%, $F$11)</f>
        <v>3.1563432000000002</v>
      </c>
      <c r="D71" s="8">
        <f>CHOOSE( CONTROL!$C$29, 3.9174, 3.9127) * CHOOSE( CONTROL!$C$12, $D$11, 100%, $F$11)</f>
        <v>3.1495896000000005</v>
      </c>
      <c r="E71" s="12">
        <f>CHOOSE( CONTROL!$C$29, 3.9189, 3.9142) * CHOOSE( CONTROL!$C$12, $D$11, 100%, $F$11)</f>
        <v>3.1507955999999999</v>
      </c>
      <c r="F71" s="4">
        <f>CHOOSE( CONTROL!$C$29, 4.907, 4.9023) * CHOOSE(CONTROL!$C$12, $D$11, 100%, $F$11)</f>
        <v>3.9452280000000002</v>
      </c>
      <c r="G71" s="8">
        <f>CHOOSE( CONTROL!$C$29, 3.8041, 3.7995) * CHOOSE( CONTROL!$C$12, $D$11, 100%, $F$11)</f>
        <v>3.0584964000000001</v>
      </c>
      <c r="H71" s="4">
        <f>CHOOSE( CONTROL!$C$29, 4.7069, 4.7024) * CHOOSE(CONTROL!$C$12, $D$11, 100%, $F$11)</f>
        <v>3.7843476000000003</v>
      </c>
      <c r="I71" s="8">
        <f>CHOOSE( CONTROL!$C$29, 3.8004, 3.7959) * CHOOSE(CONTROL!$C$12, $D$11, 100%, $F$11)</f>
        <v>3.0555216000000001</v>
      </c>
      <c r="J71" s="4">
        <f>CHOOSE( CONTROL!$C$29, 3.747, 3.7425) * CHOOSE(CONTROL!$C$12, $D$11, 100%, $F$11)</f>
        <v>3.012588</v>
      </c>
      <c r="K71" s="4"/>
      <c r="L71" s="9">
        <v>30.896899999999999</v>
      </c>
      <c r="M71" s="9">
        <v>12.063700000000001</v>
      </c>
      <c r="N71" s="9">
        <v>4.9444999999999997</v>
      </c>
      <c r="O71" s="9">
        <v>0.37459999999999999</v>
      </c>
      <c r="P71" s="9">
        <v>1.2192000000000001</v>
      </c>
      <c r="Q71" s="9">
        <v>33.225200000000001</v>
      </c>
      <c r="R71" s="9"/>
      <c r="S71" s="11"/>
    </row>
    <row r="72" spans="1:19" ht="15.75">
      <c r="A72" s="13">
        <v>44044</v>
      </c>
      <c r="B72" s="8">
        <f>CHOOSE( CONTROL!$C$29, 3.6139, 3.6092) * CHOOSE(CONTROL!$C$12, $D$11, 100%, $F$11)</f>
        <v>2.9055756000000001</v>
      </c>
      <c r="C72" s="8">
        <f>CHOOSE( CONTROL!$C$29, 3.6243, 3.6196) * CHOOSE(CONTROL!$C$12, $D$11, 100%, $F$11)</f>
        <v>2.9139371999999999</v>
      </c>
      <c r="D72" s="8">
        <f>CHOOSE( CONTROL!$C$29, 3.6192, 3.6145) * CHOOSE( CONTROL!$C$12, $D$11, 100%, $F$11)</f>
        <v>2.9098368000000003</v>
      </c>
      <c r="E72" s="12">
        <f>CHOOSE( CONTROL!$C$29, 3.6195, 3.6148) * CHOOSE( CONTROL!$C$12, $D$11, 100%, $F$11)</f>
        <v>2.9100779999999999</v>
      </c>
      <c r="F72" s="4">
        <f>CHOOSE( CONTROL!$C$29, 4.6107, 4.606) * CHOOSE(CONTROL!$C$12, $D$11, 100%, $F$11)</f>
        <v>3.7070027999999997</v>
      </c>
      <c r="G72" s="8">
        <f>CHOOSE( CONTROL!$C$29, 3.5123, 3.5077) * CHOOSE( CONTROL!$C$12, $D$11, 100%, $F$11)</f>
        <v>2.8238892000000004</v>
      </c>
      <c r="H72" s="4">
        <f>CHOOSE( CONTROL!$C$29, 4.4181, 4.4136) * CHOOSE(CONTROL!$C$12, $D$11, 100%, $F$11)</f>
        <v>3.5521524000000002</v>
      </c>
      <c r="I72" s="8">
        <f>CHOOSE( CONTROL!$C$29, 3.516, 3.5115) * CHOOSE(CONTROL!$C$12, $D$11, 100%, $F$11)</f>
        <v>2.826864</v>
      </c>
      <c r="J72" s="4">
        <f>CHOOSE( CONTROL!$C$29, 3.4581, 3.4536) * CHOOSE(CONTROL!$C$12, $D$11, 100%, $F$11)</f>
        <v>2.7803124000000001</v>
      </c>
      <c r="K72" s="4"/>
      <c r="L72" s="9">
        <v>30.896899999999999</v>
      </c>
      <c r="M72" s="9">
        <v>12.063700000000001</v>
      </c>
      <c r="N72" s="9">
        <v>4.9444999999999997</v>
      </c>
      <c r="O72" s="9">
        <v>0.37459999999999999</v>
      </c>
      <c r="P72" s="9">
        <v>1.2192000000000001</v>
      </c>
      <c r="Q72" s="9">
        <v>33.225200000000001</v>
      </c>
      <c r="R72" s="9"/>
      <c r="S72" s="11"/>
    </row>
    <row r="73" spans="1:19" ht="15.75">
      <c r="A73" s="13">
        <v>44075</v>
      </c>
      <c r="B73" s="8">
        <f>CHOOSE( CONTROL!$C$29, 3.5384, 3.5337) * CHOOSE(CONTROL!$C$12, $D$11, 100%, $F$11)</f>
        <v>2.8448736000000006</v>
      </c>
      <c r="C73" s="8">
        <f>CHOOSE( CONTROL!$C$29, 3.5488, 3.5441) * CHOOSE(CONTROL!$C$12, $D$11, 100%, $F$11)</f>
        <v>2.8532352000000003</v>
      </c>
      <c r="D73" s="8">
        <f>CHOOSE( CONTROL!$C$29, 3.5395, 3.5348) * CHOOSE( CONTROL!$C$12, $D$11, 100%, $F$11)</f>
        <v>2.845758</v>
      </c>
      <c r="E73" s="12">
        <f>CHOOSE( CONTROL!$C$29, 3.5413, 3.5366) * CHOOSE( CONTROL!$C$12, $D$11, 100%, $F$11)</f>
        <v>2.8472052000000003</v>
      </c>
      <c r="F73" s="4">
        <f>CHOOSE( CONTROL!$C$29, 4.5274, 4.5227) * CHOOSE(CONTROL!$C$12, $D$11, 100%, $F$11)</f>
        <v>3.6400296000000001</v>
      </c>
      <c r="G73" s="8">
        <f>CHOOSE( CONTROL!$C$29, 3.4374, 3.4328) * CHOOSE( CONTROL!$C$12, $D$11, 100%, $F$11)</f>
        <v>2.7636696000000001</v>
      </c>
      <c r="H73" s="4">
        <f>CHOOSE( CONTROL!$C$29, 4.3369, 4.3323) * CHOOSE(CONTROL!$C$12, $D$11, 100%, $F$11)</f>
        <v>3.4868676000000001</v>
      </c>
      <c r="I73" s="8">
        <f>CHOOSE( CONTROL!$C$29, 3.445, 3.4404) * CHOOSE(CONTROL!$C$12, $D$11, 100%, $F$11)</f>
        <v>2.7697799999999999</v>
      </c>
      <c r="J73" s="4">
        <f>CHOOSE( CONTROL!$C$29, 3.3857, 3.3812) * CHOOSE(CONTROL!$C$12, $D$11, 100%, $F$11)</f>
        <v>2.7221028</v>
      </c>
      <c r="K73" s="4"/>
      <c r="L73" s="9">
        <v>29.900200000000002</v>
      </c>
      <c r="M73" s="9">
        <v>11.6745</v>
      </c>
      <c r="N73" s="9">
        <v>4.7850000000000001</v>
      </c>
      <c r="O73" s="9">
        <v>0.36249999999999999</v>
      </c>
      <c r="P73" s="9">
        <v>1.1798</v>
      </c>
      <c r="Q73" s="9">
        <v>32.153399999999998</v>
      </c>
      <c r="R73" s="9"/>
      <c r="S73" s="11"/>
    </row>
    <row r="74" spans="1:19" ht="15.75">
      <c r="A74" s="13">
        <v>44105</v>
      </c>
      <c r="B74" s="8">
        <f>3.6904 * CHOOSE(CONTROL!$C$12, $D$11, 100%, $F$11)</f>
        <v>2.9670816000000002</v>
      </c>
      <c r="C74" s="8">
        <f>3.7009 * CHOOSE(CONTROL!$C$12, $D$11, 100%, $F$11)</f>
        <v>2.9755236000000003</v>
      </c>
      <c r="D74" s="8">
        <f>3.6924 * CHOOSE( CONTROL!$C$12, $D$11, 100%, $F$11)</f>
        <v>2.9686896000000003</v>
      </c>
      <c r="E74" s="12">
        <f>3.6941 * CHOOSE( CONTROL!$C$12, $D$11, 100%, $F$11)</f>
        <v>2.9700564000000003</v>
      </c>
      <c r="F74" s="4">
        <f>4.6794 * CHOOSE(CONTROL!$C$12, $D$11, 100%, $F$11)</f>
        <v>3.7622376000000006</v>
      </c>
      <c r="G74" s="8">
        <f>3.5853 * CHOOSE( CONTROL!$C$12, $D$11, 100%, $F$11)</f>
        <v>2.8825812000000002</v>
      </c>
      <c r="H74" s="4">
        <f>4.4851 * CHOOSE(CONTROL!$C$12, $D$11, 100%, $F$11)</f>
        <v>3.6060204000000002</v>
      </c>
      <c r="I74" s="8">
        <f>3.5928 * CHOOSE(CONTROL!$C$12, $D$11, 100%, $F$11)</f>
        <v>2.8886112000000002</v>
      </c>
      <c r="J74" s="4">
        <f>3.5314 * CHOOSE(CONTROL!$C$12, $D$11, 100%, $F$11)</f>
        <v>2.8392456000000004</v>
      </c>
      <c r="K74" s="4"/>
      <c r="L74" s="9">
        <v>30.654699999999998</v>
      </c>
      <c r="M74" s="9">
        <v>12.063700000000001</v>
      </c>
      <c r="N74" s="9">
        <v>4.9444999999999997</v>
      </c>
      <c r="O74" s="9">
        <v>0.37459999999999999</v>
      </c>
      <c r="P74" s="9">
        <v>1.2192000000000001</v>
      </c>
      <c r="Q74" s="9">
        <v>33.225200000000001</v>
      </c>
      <c r="R74" s="9"/>
      <c r="S74" s="11"/>
    </row>
    <row r="75" spans="1:19" ht="15.75">
      <c r="A75" s="13">
        <v>44136</v>
      </c>
      <c r="B75" s="8">
        <f>3.9798 * CHOOSE(CONTROL!$C$12, $D$11, 100%, $F$11)</f>
        <v>3.1997592000000004</v>
      </c>
      <c r="C75" s="8">
        <f>3.9902 * CHOOSE(CONTROL!$C$12, $D$11, 100%, $F$11)</f>
        <v>3.2081208000000005</v>
      </c>
      <c r="D75" s="8">
        <f>3.9705 * CHOOSE( CONTROL!$C$12, $D$11, 100%, $F$11)</f>
        <v>3.1922820000000001</v>
      </c>
      <c r="E75" s="12">
        <f>3.9766 * CHOOSE( CONTROL!$C$12, $D$11, 100%, $F$11)</f>
        <v>3.1971864000000001</v>
      </c>
      <c r="F75" s="4">
        <f>4.9714 * CHOOSE(CONTROL!$C$12, $D$11, 100%, $F$11)</f>
        <v>3.9970056000000005</v>
      </c>
      <c r="G75" s="8">
        <f>3.8863 * CHOOSE( CONTROL!$C$12, $D$11, 100%, $F$11)</f>
        <v>3.1245852000000003</v>
      </c>
      <c r="H75" s="4">
        <f>4.7697 * CHOOSE(CONTROL!$C$12, $D$11, 100%, $F$11)</f>
        <v>3.8348388000000004</v>
      </c>
      <c r="I75" s="8">
        <f>3.9004 * CHOOSE(CONTROL!$C$12, $D$11, 100%, $F$11)</f>
        <v>3.1359216000000001</v>
      </c>
      <c r="J75" s="4">
        <f>3.8087 * CHOOSE(CONTROL!$C$12, $D$11, 100%, $F$11)</f>
        <v>3.0621948000000003</v>
      </c>
      <c r="K75" s="4"/>
      <c r="L75" s="9">
        <v>28.000499999999999</v>
      </c>
      <c r="M75" s="9">
        <v>11.6745</v>
      </c>
      <c r="N75" s="9">
        <v>4.7850000000000001</v>
      </c>
      <c r="O75" s="9">
        <v>0.36249999999999999</v>
      </c>
      <c r="P75" s="9">
        <v>1.2522</v>
      </c>
      <c r="Q75" s="9">
        <v>32.153399999999998</v>
      </c>
      <c r="R75" s="9"/>
      <c r="S75" s="11"/>
    </row>
    <row r="76" spans="1:19" ht="15.75">
      <c r="A76" s="13">
        <v>44166</v>
      </c>
      <c r="B76" s="8">
        <f>3.9726 * CHOOSE(CONTROL!$C$12, $D$11, 100%, $F$11)</f>
        <v>3.1939704</v>
      </c>
      <c r="C76" s="8">
        <f>3.983 * CHOOSE(CONTROL!$C$12, $D$11, 100%, $F$11)</f>
        <v>3.2023320000000002</v>
      </c>
      <c r="D76" s="8">
        <f>3.9652 * CHOOSE( CONTROL!$C$12, $D$11, 100%, $F$11)</f>
        <v>3.1880207999999999</v>
      </c>
      <c r="E76" s="12">
        <f>3.9706 * CHOOSE( CONTROL!$C$12, $D$11, 100%, $F$11)</f>
        <v>3.1923624000000004</v>
      </c>
      <c r="F76" s="4">
        <f>4.9642 * CHOOSE(CONTROL!$C$12, $D$11, 100%, $F$11)</f>
        <v>3.9912168000000001</v>
      </c>
      <c r="G76" s="8">
        <f>3.8808 * CHOOSE( CONTROL!$C$12, $D$11, 100%, $F$11)</f>
        <v>3.1201631999999999</v>
      </c>
      <c r="H76" s="4">
        <f>4.7627 * CHOOSE(CONTROL!$C$12, $D$11, 100%, $F$11)</f>
        <v>3.8292107999999998</v>
      </c>
      <c r="I76" s="8">
        <f>3.9003 * CHOOSE(CONTROL!$C$12, $D$11, 100%, $F$11)</f>
        <v>3.1358412000000002</v>
      </c>
      <c r="J76" s="4">
        <f>3.8017 * CHOOSE(CONTROL!$C$12, $D$11, 100%, $F$11)</f>
        <v>3.0565668000000001</v>
      </c>
      <c r="K76" s="4"/>
      <c r="L76" s="9">
        <v>28.933900000000001</v>
      </c>
      <c r="M76" s="9">
        <v>12.063700000000001</v>
      </c>
      <c r="N76" s="9">
        <v>4.9444999999999997</v>
      </c>
      <c r="O76" s="9">
        <v>0.37459999999999999</v>
      </c>
      <c r="P76" s="9">
        <v>1.2939000000000001</v>
      </c>
      <c r="Q76" s="9">
        <v>33.225200000000001</v>
      </c>
      <c r="R76" s="9"/>
      <c r="S76" s="11"/>
    </row>
    <row r="77" spans="1:19" ht="15.75">
      <c r="A77" s="13">
        <v>44197</v>
      </c>
      <c r="B77" s="8">
        <f>4.4683 * CHOOSE(CONTROL!$C$12, $D$11, 100%, $F$11)</f>
        <v>3.5925132000000004</v>
      </c>
      <c r="C77" s="8">
        <f>4.4788 * CHOOSE(CONTROL!$C$12, $D$11, 100%, $F$11)</f>
        <v>3.6009552</v>
      </c>
      <c r="D77" s="8">
        <f>4.4764 * CHOOSE( CONTROL!$C$12, $D$11, 100%, $F$11)</f>
        <v>3.5990256</v>
      </c>
      <c r="E77" s="12">
        <f>4.4762 * CHOOSE( CONTROL!$C$12, $D$11, 100%, $F$11)</f>
        <v>3.5988648000000008</v>
      </c>
      <c r="F77" s="4">
        <f>5.4913 * CHOOSE(CONTROL!$C$12, $D$11, 100%, $F$11)</f>
        <v>4.4150052000000004</v>
      </c>
      <c r="G77" s="8">
        <f>4.3831 * CHOOSE( CONTROL!$C$12, $D$11, 100%, $F$11)</f>
        <v>3.5240124000000002</v>
      </c>
      <c r="H77" s="4">
        <f>5.2765 * CHOOSE(CONTROL!$C$12, $D$11, 100%, $F$11)</f>
        <v>4.242306000000001</v>
      </c>
      <c r="I77" s="8">
        <f>4.3875 * CHOOSE(CONTROL!$C$12, $D$11, 100%, $F$11)</f>
        <v>3.5275500000000002</v>
      </c>
      <c r="J77" s="4">
        <f>4.2768 * CHOOSE(CONTROL!$C$12, $D$11, 100%, $F$11)</f>
        <v>3.4385471999999999</v>
      </c>
      <c r="K77" s="4"/>
      <c r="L77" s="9">
        <v>28.933900000000001</v>
      </c>
      <c r="M77" s="9">
        <v>12.063700000000001</v>
      </c>
      <c r="N77" s="9">
        <v>4.9444999999999997</v>
      </c>
      <c r="O77" s="9">
        <v>0.37459999999999999</v>
      </c>
      <c r="P77" s="9">
        <v>1.2939000000000001</v>
      </c>
      <c r="Q77" s="9">
        <v>33.011299999999999</v>
      </c>
      <c r="R77" s="9"/>
      <c r="S77" s="11"/>
    </row>
    <row r="78" spans="1:19" ht="15.75">
      <c r="A78" s="13">
        <v>44228</v>
      </c>
      <c r="B78" s="8">
        <f>4.1798 * CHOOSE(CONTROL!$C$12, $D$11, 100%, $F$11)</f>
        <v>3.3605592000000004</v>
      </c>
      <c r="C78" s="8">
        <f>4.1902 * CHOOSE(CONTROL!$C$12, $D$11, 100%, $F$11)</f>
        <v>3.3689208000000002</v>
      </c>
      <c r="D78" s="8">
        <f>4.1902 * CHOOSE( CONTROL!$C$12, $D$11, 100%, $F$11)</f>
        <v>3.3689208000000002</v>
      </c>
      <c r="E78" s="12">
        <f>4.1891 * CHOOSE( CONTROL!$C$12, $D$11, 100%, $F$11)</f>
        <v>3.3680364000000003</v>
      </c>
      <c r="F78" s="4">
        <f>5.1949 * CHOOSE(CONTROL!$C$12, $D$11, 100%, $F$11)</f>
        <v>4.1766996000000001</v>
      </c>
      <c r="G78" s="8">
        <f>4.1017 * CHOOSE( CONTROL!$C$12, $D$11, 100%, $F$11)</f>
        <v>3.2977668000000002</v>
      </c>
      <c r="H78" s="4">
        <f>4.9876 * CHOOSE(CONTROL!$C$12, $D$11, 100%, $F$11)</f>
        <v>4.0100303999999998</v>
      </c>
      <c r="I78" s="8">
        <f>4.1 * CHOOSE(CONTROL!$C$12, $D$11, 100%, $F$11)</f>
        <v>3.2963999999999998</v>
      </c>
      <c r="J78" s="4">
        <f>4.0003 * CHOOSE(CONTROL!$C$12, $D$11, 100%, $F$11)</f>
        <v>3.2162412000000002</v>
      </c>
      <c r="K78" s="4"/>
      <c r="L78" s="9">
        <v>26.133800000000001</v>
      </c>
      <c r="M78" s="9">
        <v>10.8962</v>
      </c>
      <c r="N78" s="9">
        <v>4.4660000000000002</v>
      </c>
      <c r="O78" s="9">
        <v>0.33829999999999999</v>
      </c>
      <c r="P78" s="9">
        <v>1.1687000000000001</v>
      </c>
      <c r="Q78" s="9">
        <v>29.816600000000001</v>
      </c>
      <c r="R78" s="9"/>
      <c r="S78" s="11"/>
    </row>
    <row r="79" spans="1:19" ht="15.75">
      <c r="A79" s="13">
        <v>44256</v>
      </c>
      <c r="B79" s="8">
        <f>4.0909 * CHOOSE(CONTROL!$C$12, $D$11, 100%, $F$11)</f>
        <v>3.2890836000000006</v>
      </c>
      <c r="C79" s="8">
        <f>4.1014 * CHOOSE(CONTROL!$C$12, $D$11, 100%, $F$11)</f>
        <v>3.2975256000000002</v>
      </c>
      <c r="D79" s="8">
        <f>4.0812 * CHOOSE( CONTROL!$C$12, $D$11, 100%, $F$11)</f>
        <v>3.2812848000000003</v>
      </c>
      <c r="E79" s="12">
        <f>4.0875 * CHOOSE( CONTROL!$C$12, $D$11, 100%, $F$11)</f>
        <v>3.2863500000000005</v>
      </c>
      <c r="F79" s="4">
        <f>5.0898 * CHOOSE(CONTROL!$C$12, $D$11, 100%, $F$11)</f>
        <v>4.0921992000000005</v>
      </c>
      <c r="G79" s="8">
        <f>3.9946 * CHOOSE( CONTROL!$C$12, $D$11, 100%, $F$11)</f>
        <v>3.2116584000000001</v>
      </c>
      <c r="H79" s="4">
        <f>4.8852 * CHOOSE(CONTROL!$C$12, $D$11, 100%, $F$11)</f>
        <v>3.9277008000000002</v>
      </c>
      <c r="I79" s="8">
        <f>3.9753 * CHOOSE(CONTROL!$C$12, $D$11, 100%, $F$11)</f>
        <v>3.1961412</v>
      </c>
      <c r="J79" s="4">
        <f>3.9152 * CHOOSE(CONTROL!$C$12, $D$11, 100%, $F$11)</f>
        <v>3.1478208000000003</v>
      </c>
      <c r="K79" s="4"/>
      <c r="L79" s="9">
        <v>28.933900000000001</v>
      </c>
      <c r="M79" s="9">
        <v>12.063700000000001</v>
      </c>
      <c r="N79" s="9">
        <v>4.9444999999999997</v>
      </c>
      <c r="O79" s="9">
        <v>0.37459999999999999</v>
      </c>
      <c r="P79" s="9">
        <v>1.2939000000000001</v>
      </c>
      <c r="Q79" s="9">
        <v>33.011299999999999</v>
      </c>
      <c r="R79" s="9"/>
      <c r="S79" s="11"/>
    </row>
    <row r="80" spans="1:19" ht="15.75">
      <c r="A80" s="13">
        <v>44287</v>
      </c>
      <c r="B80" s="8">
        <f>4.153 * CHOOSE(CONTROL!$C$12, $D$11, 100%, $F$11)</f>
        <v>3.3390119999999999</v>
      </c>
      <c r="C80" s="8">
        <f>4.1635 * CHOOSE(CONTROL!$C$12, $D$11, 100%, $F$11)</f>
        <v>3.3474540000000004</v>
      </c>
      <c r="D80" s="8">
        <f>4.1667 * CHOOSE( CONTROL!$C$12, $D$11, 100%, $F$11)</f>
        <v>3.3500267999999997</v>
      </c>
      <c r="E80" s="12">
        <f>4.1644 * CHOOSE( CONTROL!$C$12, $D$11, 100%, $F$11)</f>
        <v>3.3481776000000001</v>
      </c>
      <c r="F80" s="4">
        <f>5.1603 * CHOOSE(CONTROL!$C$12, $D$11, 100%, $F$11)</f>
        <v>4.1488812000000008</v>
      </c>
      <c r="G80" s="8">
        <f>4.043 * CHOOSE( CONTROL!$C$12, $D$11, 100%, $F$11)</f>
        <v>3.2505720000000005</v>
      </c>
      <c r="H80" s="4">
        <f>4.9538 * CHOOSE(CONTROL!$C$12, $D$11, 100%, $F$11)</f>
        <v>3.9828552000000004</v>
      </c>
      <c r="I80" s="8">
        <f>4.0249 * CHOOSE(CONTROL!$C$12, $D$11, 100%, $F$11)</f>
        <v>3.2360196000000001</v>
      </c>
      <c r="J80" s="4">
        <f>3.9747 * CHOOSE(CONTROL!$C$12, $D$11, 100%, $F$11)</f>
        <v>3.1956587999999999</v>
      </c>
      <c r="K80" s="4"/>
      <c r="L80" s="9">
        <v>29.665800000000001</v>
      </c>
      <c r="M80" s="9">
        <v>11.6745</v>
      </c>
      <c r="N80" s="9">
        <v>4.7850000000000001</v>
      </c>
      <c r="O80" s="9">
        <v>0.36249999999999999</v>
      </c>
      <c r="P80" s="9">
        <v>1.1798</v>
      </c>
      <c r="Q80" s="9">
        <v>31.946400000000001</v>
      </c>
      <c r="R80" s="9"/>
      <c r="S80" s="11"/>
    </row>
    <row r="81" spans="1:19" ht="15.75">
      <c r="A81" s="13">
        <v>44317</v>
      </c>
      <c r="B81" s="8">
        <f>CHOOSE( CONTROL!$C$29, 4.2683, 4.2636) * CHOOSE(CONTROL!$C$12, $D$11, 100%, $F$11)</f>
        <v>3.4317132000000004</v>
      </c>
      <c r="C81" s="8">
        <f>CHOOSE( CONTROL!$C$29, 4.2787, 4.274) * CHOOSE(CONTROL!$C$12, $D$11, 100%, $F$11)</f>
        <v>3.4400748000000001</v>
      </c>
      <c r="D81" s="8">
        <f>CHOOSE( CONTROL!$C$29, 4.2566, 4.2519) * CHOOSE( CONTROL!$C$12, $D$11, 100%, $F$11)</f>
        <v>3.4223064000000001</v>
      </c>
      <c r="E81" s="12">
        <f>CHOOSE( CONTROL!$C$29, 4.263, 4.2583) * CHOOSE( CONTROL!$C$12, $D$11, 100%, $F$11)</f>
        <v>3.4274520000000002</v>
      </c>
      <c r="F81" s="4">
        <f>CHOOSE( CONTROL!$C$29, 5.2432, 5.2385) * CHOOSE(CONTROL!$C$12, $D$11, 100%, $F$11)</f>
        <v>4.2155328000000001</v>
      </c>
      <c r="G81" s="8">
        <f>CHOOSE( CONTROL!$C$29, 4.1366, 4.132) * CHOOSE( CONTROL!$C$12, $D$11, 100%, $F$11)</f>
        <v>3.3258264</v>
      </c>
      <c r="H81" s="4">
        <f>CHOOSE( CONTROL!$C$29, 5.0346, 5.0301) * CHOOSE(CONTROL!$C$12, $D$11, 100%, $F$11)</f>
        <v>4.0478184000000006</v>
      </c>
      <c r="I81" s="8">
        <f>CHOOSE( CONTROL!$C$29, 4.1138, 4.1093) * CHOOSE(CONTROL!$C$12, $D$11, 100%, $F$11)</f>
        <v>3.3074952000000004</v>
      </c>
      <c r="J81" s="4">
        <f>CHOOSE( CONTROL!$C$29, 4.0851, 4.0806) * CHOOSE(CONTROL!$C$12, $D$11, 100%, $F$11)</f>
        <v>3.2844204000000001</v>
      </c>
      <c r="K81" s="4"/>
      <c r="L81" s="9">
        <v>30.896899999999999</v>
      </c>
      <c r="M81" s="9">
        <v>12.063700000000001</v>
      </c>
      <c r="N81" s="9">
        <v>4.9444999999999997</v>
      </c>
      <c r="O81" s="9">
        <v>0.37459999999999999</v>
      </c>
      <c r="P81" s="9">
        <v>1.2192000000000001</v>
      </c>
      <c r="Q81" s="9">
        <v>33.011299999999999</v>
      </c>
      <c r="R81" s="9"/>
      <c r="S81" s="11"/>
    </row>
    <row r="82" spans="1:19" ht="15.75">
      <c r="A82" s="13">
        <v>44348</v>
      </c>
      <c r="B82" s="8">
        <f>CHOOSE( CONTROL!$C$29, 4.1998, 4.1951) * CHOOSE(CONTROL!$C$12, $D$11, 100%, $F$11)</f>
        <v>3.3766392000000001</v>
      </c>
      <c r="C82" s="8">
        <f>CHOOSE( CONTROL!$C$29, 4.2102, 4.2055) * CHOOSE(CONTROL!$C$12, $D$11, 100%, $F$11)</f>
        <v>3.3850008000000007</v>
      </c>
      <c r="D82" s="8">
        <f>CHOOSE( CONTROL!$C$29, 4.1826, 4.1779) * CHOOSE( CONTROL!$C$12, $D$11, 100%, $F$11)</f>
        <v>3.3628104000000003</v>
      </c>
      <c r="E82" s="12">
        <f>CHOOSE( CONTROL!$C$29, 4.191, 4.1863) * CHOOSE( CONTROL!$C$12, $D$11, 100%, $F$11)</f>
        <v>3.369564</v>
      </c>
      <c r="F82" s="4">
        <f>CHOOSE( CONTROL!$C$29, 5.1643, 5.1595) * CHOOSE(CONTROL!$C$12, $D$11, 100%, $F$11)</f>
        <v>4.1520972</v>
      </c>
      <c r="G82" s="8">
        <f>CHOOSE( CONTROL!$C$29, 4.0686, 4.064) * CHOOSE( CONTROL!$C$12, $D$11, 100%, $F$11)</f>
        <v>3.2711544000000004</v>
      </c>
      <c r="H82" s="4">
        <f>CHOOSE( CONTROL!$C$29, 4.9577, 4.9531) * CHOOSE(CONTROL!$C$12, $D$11, 100%, $F$11)</f>
        <v>3.9859908000000002</v>
      </c>
      <c r="I82" s="8">
        <f>CHOOSE( CONTROL!$C$29, 4.0504, 4.0458) * CHOOSE(CONTROL!$C$12, $D$11, 100%, $F$11)</f>
        <v>3.2565216000000001</v>
      </c>
      <c r="J82" s="4">
        <f>CHOOSE( CONTROL!$C$29, 4.0195, 4.015) * CHOOSE(CONTROL!$C$12, $D$11, 100%, $F$11)</f>
        <v>3.2316780000000001</v>
      </c>
      <c r="K82" s="4"/>
      <c r="L82" s="9">
        <v>29.900200000000002</v>
      </c>
      <c r="M82" s="9">
        <v>11.6745</v>
      </c>
      <c r="N82" s="9">
        <v>4.7850000000000001</v>
      </c>
      <c r="O82" s="9">
        <v>0.36249999999999999</v>
      </c>
      <c r="P82" s="9">
        <v>1.1798</v>
      </c>
      <c r="Q82" s="9">
        <v>31.946400000000001</v>
      </c>
      <c r="R82" s="9"/>
      <c r="S82" s="11"/>
    </row>
    <row r="83" spans="1:19" ht="15.75">
      <c r="A83" s="13">
        <v>44378</v>
      </c>
      <c r="B83" s="8">
        <f>CHOOSE( CONTROL!$C$29, 4.3801, 4.3754) * CHOOSE(CONTROL!$C$12, $D$11, 100%, $F$11)</f>
        <v>3.5216004000000001</v>
      </c>
      <c r="C83" s="8">
        <f>CHOOSE( CONTROL!$C$29, 4.3905, 4.3858) * CHOOSE(CONTROL!$C$12, $D$11, 100%, $F$11)</f>
        <v>3.5299620000000003</v>
      </c>
      <c r="D83" s="8">
        <f>CHOOSE( CONTROL!$C$29, 4.3821, 4.3774) * CHOOSE( CONTROL!$C$12, $D$11, 100%, $F$11)</f>
        <v>3.5232084000000006</v>
      </c>
      <c r="E83" s="12">
        <f>CHOOSE( CONTROL!$C$29, 4.3836, 4.3789) * CHOOSE( CONTROL!$C$12, $D$11, 100%, $F$11)</f>
        <v>3.5244144000000004</v>
      </c>
      <c r="F83" s="4">
        <f>CHOOSE( CONTROL!$C$29, 5.3717, 5.367) * CHOOSE(CONTROL!$C$12, $D$11, 100%, $F$11)</f>
        <v>4.3188468000000002</v>
      </c>
      <c r="G83" s="8">
        <f>CHOOSE( CONTROL!$C$29, 4.2571, 4.2525) * CHOOSE( CONTROL!$C$12, $D$11, 100%, $F$11)</f>
        <v>3.4227084000000003</v>
      </c>
      <c r="H83" s="4">
        <f>CHOOSE( CONTROL!$C$29, 5.1599, 5.1553) * CHOOSE(CONTROL!$C$12, $D$11, 100%, $F$11)</f>
        <v>4.1485596000000005</v>
      </c>
      <c r="I83" s="8">
        <f>CHOOSE( CONTROL!$C$29, 4.2459, 4.2414) * CHOOSE(CONTROL!$C$12, $D$11, 100%, $F$11)</f>
        <v>3.4137035999999998</v>
      </c>
      <c r="J83" s="4">
        <f>CHOOSE( CONTROL!$C$29, 4.1922, 4.1877) * CHOOSE(CONTROL!$C$12, $D$11, 100%, $F$11)</f>
        <v>3.3705287999999998</v>
      </c>
      <c r="K83" s="4"/>
      <c r="L83" s="9">
        <v>30.896899999999999</v>
      </c>
      <c r="M83" s="9">
        <v>12.063700000000001</v>
      </c>
      <c r="N83" s="9">
        <v>4.9444999999999997</v>
      </c>
      <c r="O83" s="9">
        <v>0.37459999999999999</v>
      </c>
      <c r="P83" s="9">
        <v>1.2192000000000001</v>
      </c>
      <c r="Q83" s="9">
        <v>33.011299999999999</v>
      </c>
      <c r="R83" s="9"/>
      <c r="S83" s="11"/>
    </row>
    <row r="84" spans="1:19" ht="15.75">
      <c r="A84" s="13">
        <v>44409</v>
      </c>
      <c r="B84" s="8">
        <f>CHOOSE( CONTROL!$C$29, 4.0427, 4.038) * CHOOSE(CONTROL!$C$12, $D$11, 100%, $F$11)</f>
        <v>3.2503308</v>
      </c>
      <c r="C84" s="8">
        <f>CHOOSE( CONTROL!$C$29, 4.0532, 4.0485) * CHOOSE(CONTROL!$C$12, $D$11, 100%, $F$11)</f>
        <v>3.2587728000000005</v>
      </c>
      <c r="D84" s="8">
        <f>CHOOSE( CONTROL!$C$29, 4.048, 4.0433) * CHOOSE( CONTROL!$C$12, $D$11, 100%, $F$11)</f>
        <v>3.2545920000000002</v>
      </c>
      <c r="E84" s="12">
        <f>CHOOSE( CONTROL!$C$29, 4.0483, 4.0436) * CHOOSE( CONTROL!$C$12, $D$11, 100%, $F$11)</f>
        <v>3.2548332000000002</v>
      </c>
      <c r="F84" s="4">
        <f>CHOOSE( CONTROL!$C$29, 5.0395, 5.0348) * CHOOSE(CONTROL!$C$12, $D$11, 100%, $F$11)</f>
        <v>4.0517580000000004</v>
      </c>
      <c r="G84" s="8">
        <f>CHOOSE( CONTROL!$C$29, 3.9303, 3.9257) * CHOOSE( CONTROL!$C$12, $D$11, 100%, $F$11)</f>
        <v>3.1599612000000001</v>
      </c>
      <c r="H84" s="4">
        <f>CHOOSE( CONTROL!$C$29, 4.8362, 4.8316) * CHOOSE(CONTROL!$C$12, $D$11, 100%, $F$11)</f>
        <v>3.8883048000000002</v>
      </c>
      <c r="I84" s="8">
        <f>CHOOSE( CONTROL!$C$29, 3.9271, 3.9226) * CHOOSE(CONTROL!$C$12, $D$11, 100%, $F$11)</f>
        <v>3.1573883999999999</v>
      </c>
      <c r="J84" s="4">
        <f>CHOOSE( CONTROL!$C$29, 3.869, 3.8645) * CHOOSE(CONTROL!$C$12, $D$11, 100%, $F$11)</f>
        <v>3.1106760000000002</v>
      </c>
      <c r="K84" s="4"/>
      <c r="L84" s="9">
        <v>30.896899999999999</v>
      </c>
      <c r="M84" s="9">
        <v>12.063700000000001</v>
      </c>
      <c r="N84" s="9">
        <v>4.9444999999999997</v>
      </c>
      <c r="O84" s="9">
        <v>0.37459999999999999</v>
      </c>
      <c r="P84" s="9">
        <v>1.2192000000000001</v>
      </c>
      <c r="Q84" s="9">
        <v>33.011299999999999</v>
      </c>
      <c r="R84" s="9"/>
      <c r="S84" s="11"/>
    </row>
    <row r="85" spans="1:19" ht="15.75">
      <c r="A85" s="13">
        <v>44440</v>
      </c>
      <c r="B85" s="8">
        <f>CHOOSE( CONTROL!$C$29, 3.9582, 3.9535) * CHOOSE(CONTROL!$C$12, $D$11, 100%, $F$11)</f>
        <v>3.1823928000000001</v>
      </c>
      <c r="C85" s="8">
        <f>CHOOSE( CONTROL!$C$29, 3.9687, 3.964) * CHOOSE(CONTROL!$C$12, $D$11, 100%, $F$11)</f>
        <v>3.1908348000000002</v>
      </c>
      <c r="D85" s="8">
        <f>CHOOSE( CONTROL!$C$29, 3.9594, 3.9547) * CHOOSE( CONTROL!$C$12, $D$11, 100%, $F$11)</f>
        <v>3.1833576000000003</v>
      </c>
      <c r="E85" s="12">
        <f>CHOOSE( CONTROL!$C$29, 3.9612, 3.9565) * CHOOSE( CONTROL!$C$12, $D$11, 100%, $F$11)</f>
        <v>3.1848048000000002</v>
      </c>
      <c r="F85" s="4">
        <f>CHOOSE( CONTROL!$C$29, 4.9472, 4.9425) * CHOOSE(CONTROL!$C$12, $D$11, 100%, $F$11)</f>
        <v>3.9775488000000001</v>
      </c>
      <c r="G85" s="8">
        <f>CHOOSE( CONTROL!$C$29, 3.8467, 3.8421) * CHOOSE( CONTROL!$C$12, $D$11, 100%, $F$11)</f>
        <v>3.0927468</v>
      </c>
      <c r="H85" s="4">
        <f>CHOOSE( CONTROL!$C$29, 4.7462, 4.7416) * CHOOSE(CONTROL!$C$12, $D$11, 100%, $F$11)</f>
        <v>3.8159448</v>
      </c>
      <c r="I85" s="8">
        <f>CHOOSE( CONTROL!$C$29, 3.8475, 3.843) * CHOOSE(CONTROL!$C$12, $D$11, 100%, $F$11)</f>
        <v>3.0933900000000003</v>
      </c>
      <c r="J85" s="4">
        <f>CHOOSE( CONTROL!$C$29, 3.788, 3.7835) * CHOOSE(CONTROL!$C$12, $D$11, 100%, $F$11)</f>
        <v>3.0455519999999998</v>
      </c>
      <c r="K85" s="4"/>
      <c r="L85" s="9">
        <v>29.900200000000002</v>
      </c>
      <c r="M85" s="9">
        <v>11.6745</v>
      </c>
      <c r="N85" s="9">
        <v>4.7850000000000001</v>
      </c>
      <c r="O85" s="9">
        <v>0.36249999999999999</v>
      </c>
      <c r="P85" s="9">
        <v>1.1798</v>
      </c>
      <c r="Q85" s="9">
        <v>31.946400000000001</v>
      </c>
      <c r="R85" s="9"/>
      <c r="S85" s="11"/>
    </row>
    <row r="86" spans="1:19" ht="15.75">
      <c r="A86" s="13">
        <v>44470</v>
      </c>
      <c r="B86" s="8">
        <f>4.129 * CHOOSE(CONTROL!$C$12, $D$11, 100%, $F$11)</f>
        <v>3.3197159999999997</v>
      </c>
      <c r="C86" s="8">
        <f>4.1394 * CHOOSE(CONTROL!$C$12, $D$11, 100%, $F$11)</f>
        <v>3.3280776000000003</v>
      </c>
      <c r="D86" s="8">
        <f>4.1309 * CHOOSE( CONTROL!$C$12, $D$11, 100%, $F$11)</f>
        <v>3.3212435999999999</v>
      </c>
      <c r="E86" s="12">
        <f>4.1326 * CHOOSE( CONTROL!$C$12, $D$11, 100%, $F$11)</f>
        <v>3.3226104000000003</v>
      </c>
      <c r="F86" s="4">
        <f>5.1179 * CHOOSE(CONTROL!$C$12, $D$11, 100%, $F$11)</f>
        <v>4.1147916000000002</v>
      </c>
      <c r="G86" s="8">
        <f>4.0127 * CHOOSE( CONTROL!$C$12, $D$11, 100%, $F$11)</f>
        <v>3.2262108</v>
      </c>
      <c r="H86" s="4">
        <f>4.9126 * CHOOSE(CONTROL!$C$12, $D$11, 100%, $F$11)</f>
        <v>3.9497304000000004</v>
      </c>
      <c r="I86" s="8">
        <f>4.0132 * CHOOSE(CONTROL!$C$12, $D$11, 100%, $F$11)</f>
        <v>3.2266128000000003</v>
      </c>
      <c r="J86" s="4">
        <f>3.9516 * CHOOSE(CONTROL!$C$12, $D$11, 100%, $F$11)</f>
        <v>3.1770864000000003</v>
      </c>
      <c r="K86" s="4"/>
      <c r="L86" s="9">
        <v>30.654699999999998</v>
      </c>
      <c r="M86" s="9">
        <v>12.063700000000001</v>
      </c>
      <c r="N86" s="9">
        <v>4.9444999999999997</v>
      </c>
      <c r="O86" s="9">
        <v>0.37459999999999999</v>
      </c>
      <c r="P86" s="9">
        <v>1.2192000000000001</v>
      </c>
      <c r="Q86" s="9">
        <v>33.011299999999999</v>
      </c>
      <c r="R86" s="9"/>
      <c r="S86" s="11"/>
    </row>
    <row r="87" spans="1:19" ht="15.75">
      <c r="A87" s="13">
        <v>44501</v>
      </c>
      <c r="B87" s="8">
        <f>4.4527 * CHOOSE(CONTROL!$C$12, $D$11, 100%, $F$11)</f>
        <v>3.5799708000000003</v>
      </c>
      <c r="C87" s="8">
        <f>4.4632 * CHOOSE(CONTROL!$C$12, $D$11, 100%, $F$11)</f>
        <v>3.5884128</v>
      </c>
      <c r="D87" s="8">
        <f>4.4434 * CHOOSE( CONTROL!$C$12, $D$11, 100%, $F$11)</f>
        <v>3.5724936</v>
      </c>
      <c r="E87" s="12">
        <f>4.4495 * CHOOSE( CONTROL!$C$12, $D$11, 100%, $F$11)</f>
        <v>3.5773980000000001</v>
      </c>
      <c r="F87" s="4">
        <f>5.4443 * CHOOSE(CONTROL!$C$12, $D$11, 100%, $F$11)</f>
        <v>4.3772172000000005</v>
      </c>
      <c r="G87" s="8">
        <f>4.3473 * CHOOSE( CONTROL!$C$12, $D$11, 100%, $F$11)</f>
        <v>3.4952291999999998</v>
      </c>
      <c r="H87" s="4">
        <f>5.2307 * CHOOSE(CONTROL!$C$12, $D$11, 100%, $F$11)</f>
        <v>4.2054828000000004</v>
      </c>
      <c r="I87" s="8">
        <f>4.3538 * CHOOSE(CONTROL!$C$12, $D$11, 100%, $F$11)</f>
        <v>3.5004551999999998</v>
      </c>
      <c r="J87" s="4">
        <f>4.2618 * CHOOSE(CONTROL!$C$12, $D$11, 100%, $F$11)</f>
        <v>3.4264872000000004</v>
      </c>
      <c r="K87" s="4"/>
      <c r="L87" s="9">
        <v>28.000499999999999</v>
      </c>
      <c r="M87" s="9">
        <v>11.6745</v>
      </c>
      <c r="N87" s="9">
        <v>4.7850000000000001</v>
      </c>
      <c r="O87" s="9">
        <v>0.36249999999999999</v>
      </c>
      <c r="P87" s="9">
        <v>1.2522</v>
      </c>
      <c r="Q87" s="9">
        <v>31.946400000000001</v>
      </c>
      <c r="R87" s="9"/>
      <c r="S87" s="11"/>
    </row>
    <row r="88" spans="1:19" ht="15.75">
      <c r="A88" s="13">
        <v>44531</v>
      </c>
      <c r="B88" s="8">
        <f>4.4446 * CHOOSE(CONTROL!$C$12, $D$11, 100%, $F$11)</f>
        <v>3.5734584000000003</v>
      </c>
      <c r="C88" s="8">
        <f>4.4551 * CHOOSE(CONTROL!$C$12, $D$11, 100%, $F$11)</f>
        <v>3.5819003999999999</v>
      </c>
      <c r="D88" s="8">
        <f>4.4372 * CHOOSE( CONTROL!$C$12, $D$11, 100%, $F$11)</f>
        <v>3.5675088000000001</v>
      </c>
      <c r="E88" s="12">
        <f>4.4426 * CHOOSE( CONTROL!$C$12, $D$11, 100%, $F$11)</f>
        <v>3.5718503999999998</v>
      </c>
      <c r="F88" s="4">
        <f>5.4362 * CHOOSE(CONTROL!$C$12, $D$11, 100%, $F$11)</f>
        <v>4.3707048000000004</v>
      </c>
      <c r="G88" s="8">
        <f>4.3409 * CHOOSE( CONTROL!$C$12, $D$11, 100%, $F$11)</f>
        <v>3.4900836000000006</v>
      </c>
      <c r="H88" s="4">
        <f>5.2228 * CHOOSE(CONTROL!$C$12, $D$11, 100%, $F$11)</f>
        <v>4.199131200000001</v>
      </c>
      <c r="I88" s="8">
        <f>4.3529 * CHOOSE(CONTROL!$C$12, $D$11, 100%, $F$11)</f>
        <v>3.4997316000000001</v>
      </c>
      <c r="J88" s="4">
        <f>4.2541 * CHOOSE(CONTROL!$C$12, $D$11, 100%, $F$11)</f>
        <v>3.4202964000000002</v>
      </c>
      <c r="K88" s="4"/>
      <c r="L88" s="9">
        <v>28.933900000000001</v>
      </c>
      <c r="M88" s="9">
        <v>12.063700000000001</v>
      </c>
      <c r="N88" s="9">
        <v>4.9444999999999997</v>
      </c>
      <c r="O88" s="9">
        <v>0.37459999999999999</v>
      </c>
      <c r="P88" s="9">
        <v>1.2939000000000001</v>
      </c>
      <c r="Q88" s="9">
        <v>33.011299999999999</v>
      </c>
      <c r="R88" s="9"/>
      <c r="S88" s="11"/>
    </row>
    <row r="89" spans="1:19" ht="15.75">
      <c r="A89" s="13">
        <v>44562</v>
      </c>
      <c r="B89" s="8">
        <f>4.4311 * CHOOSE(CONTROL!$C$12, $D$11, 100%, $F$11)</f>
        <v>3.5626044000000001</v>
      </c>
      <c r="C89" s="8">
        <f>4.4416 * CHOOSE(CONTROL!$C$12, $D$11, 100%, $F$11)</f>
        <v>3.5710464000000002</v>
      </c>
      <c r="D89" s="8">
        <f>4.4392 * CHOOSE( CONTROL!$C$12, $D$11, 100%, $F$11)</f>
        <v>3.5691167999999998</v>
      </c>
      <c r="E89" s="12">
        <f>4.439 * CHOOSE( CONTROL!$C$12, $D$11, 100%, $F$11)</f>
        <v>3.5689560000000005</v>
      </c>
      <c r="F89" s="4">
        <f>5.4541 * CHOOSE(CONTROL!$C$12, $D$11, 100%, $F$11)</f>
        <v>4.385096400000001</v>
      </c>
      <c r="G89" s="8">
        <f>4.3468 * CHOOSE( CONTROL!$C$12, $D$11, 100%, $F$11)</f>
        <v>3.4948272</v>
      </c>
      <c r="H89" s="4">
        <f>5.2402 * CHOOSE(CONTROL!$C$12, $D$11, 100%, $F$11)</f>
        <v>4.2131208000000004</v>
      </c>
      <c r="I89" s="8">
        <f>4.3519 * CHOOSE(CONTROL!$C$12, $D$11, 100%, $F$11)</f>
        <v>3.4989276</v>
      </c>
      <c r="J89" s="4">
        <f>4.2412 * CHOOSE(CONTROL!$C$12, $D$11, 100%, $F$11)</f>
        <v>3.4099248000000002</v>
      </c>
      <c r="K89" s="4"/>
      <c r="L89" s="9">
        <v>28.933900000000001</v>
      </c>
      <c r="M89" s="9">
        <v>12.063700000000001</v>
      </c>
      <c r="N89" s="9">
        <v>4.9444999999999997</v>
      </c>
      <c r="O89" s="9">
        <v>0.37459999999999999</v>
      </c>
      <c r="P89" s="9">
        <v>1.2939000000000001</v>
      </c>
      <c r="Q89" s="9">
        <v>32.8123</v>
      </c>
      <c r="R89" s="9"/>
      <c r="S89" s="11"/>
    </row>
    <row r="90" spans="1:19" ht="15.75">
      <c r="A90" s="13">
        <v>44593</v>
      </c>
      <c r="B90" s="8">
        <f>4.145 * CHOOSE(CONTROL!$C$12, $D$11, 100%, $F$11)</f>
        <v>3.3325799999999997</v>
      </c>
      <c r="C90" s="8">
        <f>4.1554 * CHOOSE(CONTROL!$C$12, $D$11, 100%, $F$11)</f>
        <v>3.3409416000000003</v>
      </c>
      <c r="D90" s="8">
        <f>4.1554 * CHOOSE( CONTROL!$C$12, $D$11, 100%, $F$11)</f>
        <v>3.3409416000000003</v>
      </c>
      <c r="E90" s="12">
        <f>4.1543 * CHOOSE( CONTROL!$C$12, $D$11, 100%, $F$11)</f>
        <v>3.3400572000000004</v>
      </c>
      <c r="F90" s="4">
        <f>5.1601 * CHOOSE(CONTROL!$C$12, $D$11, 100%, $F$11)</f>
        <v>4.1487204000000002</v>
      </c>
      <c r="G90" s="8">
        <f>4.0678 * CHOOSE( CONTROL!$C$12, $D$11, 100%, $F$11)</f>
        <v>3.2705112000000001</v>
      </c>
      <c r="H90" s="4">
        <f>4.9537 * CHOOSE(CONTROL!$C$12, $D$11, 100%, $F$11)</f>
        <v>3.9827748000000005</v>
      </c>
      <c r="I90" s="8">
        <f>4.0666 * CHOOSE(CONTROL!$C$12, $D$11, 100%, $F$11)</f>
        <v>3.2695464000000003</v>
      </c>
      <c r="J90" s="4">
        <f>3.967 * CHOOSE(CONTROL!$C$12, $D$11, 100%, $F$11)</f>
        <v>3.1894680000000002</v>
      </c>
      <c r="K90" s="4"/>
      <c r="L90" s="9">
        <v>26.133800000000001</v>
      </c>
      <c r="M90" s="9">
        <v>10.8962</v>
      </c>
      <c r="N90" s="9">
        <v>4.4660000000000002</v>
      </c>
      <c r="O90" s="9">
        <v>0.33829999999999999</v>
      </c>
      <c r="P90" s="9">
        <v>1.1687000000000001</v>
      </c>
      <c r="Q90" s="9">
        <v>29.636900000000001</v>
      </c>
      <c r="R90" s="9"/>
      <c r="S90" s="11"/>
    </row>
    <row r="91" spans="1:19" ht="15.75">
      <c r="A91" s="13">
        <v>44621</v>
      </c>
      <c r="B91" s="8">
        <f>4.0569 * CHOOSE(CONTROL!$C$12, $D$11, 100%, $F$11)</f>
        <v>3.2617476000000001</v>
      </c>
      <c r="C91" s="8">
        <f>4.0673 * CHOOSE(CONTROL!$C$12, $D$11, 100%, $F$11)</f>
        <v>3.2701092000000003</v>
      </c>
      <c r="D91" s="8">
        <f>4.0471 * CHOOSE( CONTROL!$C$12, $D$11, 100%, $F$11)</f>
        <v>3.2538684000000004</v>
      </c>
      <c r="E91" s="12">
        <f>4.0534 * CHOOSE( CONTROL!$C$12, $D$11, 100%, $F$11)</f>
        <v>3.2589336000000002</v>
      </c>
      <c r="F91" s="4">
        <f>5.0558 * CHOOSE(CONTROL!$C$12, $D$11, 100%, $F$11)</f>
        <v>4.0648631999999996</v>
      </c>
      <c r="G91" s="8">
        <f>3.9614 * CHOOSE( CONTROL!$C$12, $D$11, 100%, $F$11)</f>
        <v>3.1849656</v>
      </c>
      <c r="H91" s="4">
        <f>4.852 * CHOOSE(CONTROL!$C$12, $D$11, 100%, $F$11)</f>
        <v>3.9010080000000005</v>
      </c>
      <c r="I91" s="8">
        <f>3.9426 * CHOOSE(CONTROL!$C$12, $D$11, 100%, $F$11)</f>
        <v>3.1698504000000001</v>
      </c>
      <c r="J91" s="4">
        <f>3.8825 * CHOOSE(CONTROL!$C$12, $D$11, 100%, $F$11)</f>
        <v>3.1215299999999999</v>
      </c>
      <c r="K91" s="4"/>
      <c r="L91" s="9">
        <v>28.933900000000001</v>
      </c>
      <c r="M91" s="9">
        <v>12.063700000000001</v>
      </c>
      <c r="N91" s="9">
        <v>4.9444999999999997</v>
      </c>
      <c r="O91" s="9">
        <v>0.37459999999999999</v>
      </c>
      <c r="P91" s="9">
        <v>1.2939000000000001</v>
      </c>
      <c r="Q91" s="9">
        <v>32.8123</v>
      </c>
      <c r="R91" s="9"/>
      <c r="S91" s="11"/>
    </row>
    <row r="92" spans="1:19" ht="15.75">
      <c r="A92" s="13">
        <v>44652</v>
      </c>
      <c r="B92" s="8">
        <f>4.1185 * CHOOSE(CONTROL!$C$12, $D$11, 100%, $F$11)</f>
        <v>3.3112740000000001</v>
      </c>
      <c r="C92" s="8">
        <f>4.1289 * CHOOSE(CONTROL!$C$12, $D$11, 100%, $F$11)</f>
        <v>3.3196356000000002</v>
      </c>
      <c r="D92" s="8">
        <f>4.1321 * CHOOSE( CONTROL!$C$12, $D$11, 100%, $F$11)</f>
        <v>3.3222084000000005</v>
      </c>
      <c r="E92" s="12">
        <f>4.1299 * CHOOSE( CONTROL!$C$12, $D$11, 100%, $F$11)</f>
        <v>3.3204396000000003</v>
      </c>
      <c r="F92" s="4">
        <f>5.1257 * CHOOSE(CONTROL!$C$12, $D$11, 100%, $F$11)</f>
        <v>4.1210628000000007</v>
      </c>
      <c r="G92" s="8">
        <f>4.0093 * CHOOSE( CONTROL!$C$12, $D$11, 100%, $F$11)</f>
        <v>3.2234772</v>
      </c>
      <c r="H92" s="4">
        <f>4.9202 * CHOOSE(CONTROL!$C$12, $D$11, 100%, $F$11)</f>
        <v>3.9558408000000007</v>
      </c>
      <c r="I92" s="8">
        <f>3.9918 * CHOOSE(CONTROL!$C$12, $D$11, 100%, $F$11)</f>
        <v>3.2094072000000002</v>
      </c>
      <c r="J92" s="4">
        <f>3.9415 * CHOOSE(CONTROL!$C$12, $D$11, 100%, $F$11)</f>
        <v>3.1689660000000002</v>
      </c>
      <c r="K92" s="4"/>
      <c r="L92" s="9">
        <v>29.665800000000001</v>
      </c>
      <c r="M92" s="9">
        <v>11.6745</v>
      </c>
      <c r="N92" s="9">
        <v>4.7850000000000001</v>
      </c>
      <c r="O92" s="9">
        <v>0.36249999999999999</v>
      </c>
      <c r="P92" s="9">
        <v>1.1798</v>
      </c>
      <c r="Q92" s="9">
        <v>31.753799999999998</v>
      </c>
      <c r="R92" s="9"/>
      <c r="S92" s="11"/>
    </row>
    <row r="93" spans="1:19" ht="15.75">
      <c r="A93" s="13">
        <v>44682</v>
      </c>
      <c r="B93" s="8">
        <f>CHOOSE( CONTROL!$C$29, 4.2328, 4.2281) * CHOOSE(CONTROL!$C$12, $D$11, 100%, $F$11)</f>
        <v>3.4031712000000005</v>
      </c>
      <c r="C93" s="8">
        <f>CHOOSE( CONTROL!$C$29, 4.2432, 4.2385) * CHOOSE(CONTROL!$C$12, $D$11, 100%, $F$11)</f>
        <v>3.4115328000000003</v>
      </c>
      <c r="D93" s="8">
        <f>CHOOSE( CONTROL!$C$29, 4.2212, 4.2164) * CHOOSE( CONTROL!$C$12, $D$11, 100%, $F$11)</f>
        <v>3.3938448000000001</v>
      </c>
      <c r="E93" s="12">
        <f>CHOOSE( CONTROL!$C$29, 4.2276, 4.2228) * CHOOSE( CONTROL!$C$12, $D$11, 100%, $F$11)</f>
        <v>3.3989904000000002</v>
      </c>
      <c r="F93" s="4">
        <f>CHOOSE( CONTROL!$C$29, 5.2077, 5.203) * CHOOSE(CONTROL!$C$12, $D$11, 100%, $F$11)</f>
        <v>4.1869908000000002</v>
      </c>
      <c r="G93" s="8">
        <f>CHOOSE( CONTROL!$C$29, 4.102, 4.0975) * CHOOSE( CONTROL!$C$12, $D$11, 100%, $F$11)</f>
        <v>3.2980080000000003</v>
      </c>
      <c r="H93" s="4">
        <f>CHOOSE( CONTROL!$C$29, 5, 4.9955) * CHOOSE(CONTROL!$C$12, $D$11, 100%, $F$11)</f>
        <v>4.0200000000000005</v>
      </c>
      <c r="I93" s="8">
        <f>CHOOSE( CONTROL!$C$29, 4.0798, 4.0753) * CHOOSE(CONTROL!$C$12, $D$11, 100%, $F$11)</f>
        <v>3.2801591999999999</v>
      </c>
      <c r="J93" s="4">
        <f>CHOOSE( CONTROL!$C$29, 4.0511, 4.0466) * CHOOSE(CONTROL!$C$12, $D$11, 100%, $F$11)</f>
        <v>3.2570844000000001</v>
      </c>
      <c r="K93" s="4"/>
      <c r="L93" s="9">
        <v>30.896899999999999</v>
      </c>
      <c r="M93" s="9">
        <v>12.063700000000001</v>
      </c>
      <c r="N93" s="9">
        <v>4.9444999999999997</v>
      </c>
      <c r="O93" s="9">
        <v>0.37459999999999999</v>
      </c>
      <c r="P93" s="9">
        <v>1.2192000000000001</v>
      </c>
      <c r="Q93" s="9">
        <v>32.8123</v>
      </c>
      <c r="R93" s="9"/>
      <c r="S93" s="11"/>
    </row>
    <row r="94" spans="1:19" ht="15.75">
      <c r="A94" s="13">
        <v>44713</v>
      </c>
      <c r="B94" s="8">
        <f>CHOOSE( CONTROL!$C$29, 4.1649, 4.1602) * CHOOSE(CONTROL!$C$12, $D$11, 100%, $F$11)</f>
        <v>3.3485796000000003</v>
      </c>
      <c r="C94" s="8">
        <f>CHOOSE( CONTROL!$C$29, 4.1753, 4.1706) * CHOOSE(CONTROL!$C$12, $D$11, 100%, $F$11)</f>
        <v>3.3569412000000001</v>
      </c>
      <c r="D94" s="8">
        <f>CHOOSE( CONTROL!$C$29, 4.1477, 4.143) * CHOOSE( CONTROL!$C$12, $D$11, 100%, $F$11)</f>
        <v>3.3347508000000006</v>
      </c>
      <c r="E94" s="12">
        <f>CHOOSE( CONTROL!$C$29, 4.1561, 4.1514) * CHOOSE( CONTROL!$C$12, $D$11, 100%, $F$11)</f>
        <v>3.3415044000000003</v>
      </c>
      <c r="F94" s="4">
        <f>CHOOSE( CONTROL!$C$29, 5.1293, 5.1246) * CHOOSE(CONTROL!$C$12, $D$11, 100%, $F$11)</f>
        <v>4.1239572000000004</v>
      </c>
      <c r="G94" s="8">
        <f>CHOOSE( CONTROL!$C$29, 4.0346, 4.03) * CHOOSE( CONTROL!$C$12, $D$11, 100%, $F$11)</f>
        <v>3.2438184000000003</v>
      </c>
      <c r="H94" s="4">
        <f>CHOOSE( CONTROL!$C$29, 4.9237, 4.9191) * CHOOSE(CONTROL!$C$12, $D$11, 100%, $F$11)</f>
        <v>3.9586548000000006</v>
      </c>
      <c r="I94" s="8">
        <f>CHOOSE( CONTROL!$C$29, 4.0169, 4.0124) * CHOOSE(CONTROL!$C$12, $D$11, 100%, $F$11)</f>
        <v>3.2295875999999999</v>
      </c>
      <c r="J94" s="4">
        <f>CHOOSE( CONTROL!$C$29, 3.986, 3.9815) * CHOOSE(CONTROL!$C$12, $D$11, 100%, $F$11)</f>
        <v>3.2047440000000003</v>
      </c>
      <c r="K94" s="4"/>
      <c r="L94" s="9">
        <v>29.900200000000002</v>
      </c>
      <c r="M94" s="9">
        <v>11.6745</v>
      </c>
      <c r="N94" s="9">
        <v>4.7850000000000001</v>
      </c>
      <c r="O94" s="9">
        <v>0.36249999999999999</v>
      </c>
      <c r="P94" s="9">
        <v>1.1798</v>
      </c>
      <c r="Q94" s="9">
        <v>31.753799999999998</v>
      </c>
      <c r="R94" s="9"/>
      <c r="S94" s="11"/>
    </row>
    <row r="95" spans="1:19" ht="15.75">
      <c r="A95" s="13">
        <v>44743</v>
      </c>
      <c r="B95" s="8">
        <f>CHOOSE( CONTROL!$C$29, 4.3437, 4.339) * CHOOSE(CONTROL!$C$12, $D$11, 100%, $F$11)</f>
        <v>3.4923348000000005</v>
      </c>
      <c r="C95" s="8">
        <f>CHOOSE( CONTROL!$C$29, 4.3541, 4.3494) * CHOOSE(CONTROL!$C$12, $D$11, 100%, $F$11)</f>
        <v>3.5006964000000003</v>
      </c>
      <c r="D95" s="8">
        <f>CHOOSE( CONTROL!$C$29, 4.3457, 4.341) * CHOOSE( CONTROL!$C$12, $D$11, 100%, $F$11)</f>
        <v>3.4939428000000001</v>
      </c>
      <c r="E95" s="12">
        <f>CHOOSE( CONTROL!$C$29, 4.3472, 4.3425) * CHOOSE( CONTROL!$C$12, $D$11, 100%, $F$11)</f>
        <v>3.4951488000000004</v>
      </c>
      <c r="F95" s="4">
        <f>CHOOSE( CONTROL!$C$29, 5.3353, 5.3306) * CHOOSE(CONTROL!$C$12, $D$11, 100%, $F$11)</f>
        <v>4.2895812000000006</v>
      </c>
      <c r="G95" s="8">
        <f>CHOOSE( CONTROL!$C$29, 4.2216, 4.217) * CHOOSE( CONTROL!$C$12, $D$11, 100%, $F$11)</f>
        <v>3.3941664</v>
      </c>
      <c r="H95" s="4">
        <f>CHOOSE( CONTROL!$C$29, 5.1244, 5.1198) * CHOOSE(CONTROL!$C$12, $D$11, 100%, $F$11)</f>
        <v>4.1200175999999997</v>
      </c>
      <c r="I95" s="8">
        <f>CHOOSE( CONTROL!$C$29, 4.211, 4.2065) * CHOOSE(CONTROL!$C$12, $D$11, 100%, $F$11)</f>
        <v>3.3856440000000005</v>
      </c>
      <c r="J95" s="4">
        <f>CHOOSE( CONTROL!$C$29, 4.1573, 4.1528) * CHOOSE(CONTROL!$C$12, $D$11, 100%, $F$11)</f>
        <v>3.3424692000000005</v>
      </c>
      <c r="K95" s="4"/>
      <c r="L95" s="9">
        <v>30.896899999999999</v>
      </c>
      <c r="M95" s="9">
        <v>12.063700000000001</v>
      </c>
      <c r="N95" s="9">
        <v>4.9444999999999997</v>
      </c>
      <c r="O95" s="9">
        <v>0.37459999999999999</v>
      </c>
      <c r="P95" s="9">
        <v>1.2192000000000001</v>
      </c>
      <c r="Q95" s="9">
        <v>32.8123</v>
      </c>
      <c r="R95" s="9"/>
      <c r="S95" s="11"/>
    </row>
    <row r="96" spans="1:19" ht="15.75">
      <c r="A96" s="13">
        <v>44774</v>
      </c>
      <c r="B96" s="8">
        <f>CHOOSE( CONTROL!$C$29, 4.0091, 4.0044) * CHOOSE(CONTROL!$C$12, $D$11, 100%, $F$11)</f>
        <v>3.2233164000000003</v>
      </c>
      <c r="C96" s="8">
        <f>CHOOSE( CONTROL!$C$29, 4.0196, 4.0148) * CHOOSE(CONTROL!$C$12, $D$11, 100%, $F$11)</f>
        <v>3.2317583999999999</v>
      </c>
      <c r="D96" s="8">
        <f>CHOOSE( CONTROL!$C$29, 4.0144, 4.0097) * CHOOSE( CONTROL!$C$12, $D$11, 100%, $F$11)</f>
        <v>3.2275776000000005</v>
      </c>
      <c r="E96" s="12">
        <f>CHOOSE( CONTROL!$C$29, 4.0147, 4.01) * CHOOSE( CONTROL!$C$12, $D$11, 100%, $F$11)</f>
        <v>3.2278188000000005</v>
      </c>
      <c r="F96" s="4">
        <f>CHOOSE( CONTROL!$C$29, 5.0059, 5.0012) * CHOOSE(CONTROL!$C$12, $D$11, 100%, $F$11)</f>
        <v>4.0247435999999999</v>
      </c>
      <c r="G96" s="8">
        <f>CHOOSE( CONTROL!$C$29, 3.8976, 3.893) * CHOOSE( CONTROL!$C$12, $D$11, 100%, $F$11)</f>
        <v>3.1336704000000002</v>
      </c>
      <c r="H96" s="4">
        <f>CHOOSE( CONTROL!$C$29, 4.8034, 4.7988) * CHOOSE(CONTROL!$C$12, $D$11, 100%, $F$11)</f>
        <v>3.8619336</v>
      </c>
      <c r="I96" s="8">
        <f>CHOOSE( CONTROL!$C$29, 3.8949, 3.8904) * CHOOSE(CONTROL!$C$12, $D$11, 100%, $F$11)</f>
        <v>3.1314996000000002</v>
      </c>
      <c r="J96" s="4">
        <f>CHOOSE( CONTROL!$C$29, 3.8368, 3.8323) * CHOOSE(CONTROL!$C$12, $D$11, 100%, $F$11)</f>
        <v>3.0847872000000005</v>
      </c>
      <c r="K96" s="4"/>
      <c r="L96" s="9">
        <v>29.520499999999998</v>
      </c>
      <c r="M96" s="9">
        <v>12.063700000000001</v>
      </c>
      <c r="N96" s="9">
        <v>4.9444999999999997</v>
      </c>
      <c r="O96" s="9">
        <v>0.37459999999999999</v>
      </c>
      <c r="P96" s="9">
        <v>1.2192000000000001</v>
      </c>
      <c r="Q96" s="9">
        <v>32.8123</v>
      </c>
      <c r="R96" s="9"/>
      <c r="S96" s="11"/>
    </row>
    <row r="97" spans="1:19" ht="15.75">
      <c r="A97" s="13">
        <v>44805</v>
      </c>
      <c r="B97" s="8">
        <f>CHOOSE( CONTROL!$C$29, 3.9253, 3.9206) * CHOOSE(CONTROL!$C$12, $D$11, 100%, $F$11)</f>
        <v>3.1559412</v>
      </c>
      <c r="C97" s="8">
        <f>CHOOSE( CONTROL!$C$29, 3.9358, 3.9311) * CHOOSE(CONTROL!$C$12, $D$11, 100%, $F$11)</f>
        <v>3.1643832000000001</v>
      </c>
      <c r="D97" s="8">
        <f>CHOOSE( CONTROL!$C$29, 3.9265, 3.9217) * CHOOSE( CONTROL!$C$12, $D$11, 100%, $F$11)</f>
        <v>3.1569060000000002</v>
      </c>
      <c r="E97" s="12">
        <f>CHOOSE( CONTROL!$C$29, 3.9283, 3.9235) * CHOOSE( CONTROL!$C$12, $D$11, 100%, $F$11)</f>
        <v>3.1583532000000001</v>
      </c>
      <c r="F97" s="4">
        <f>CHOOSE( CONTROL!$C$29, 4.9143, 4.9096) * CHOOSE(CONTROL!$C$12, $D$11, 100%, $F$11)</f>
        <v>3.9510972</v>
      </c>
      <c r="G97" s="8">
        <f>CHOOSE( CONTROL!$C$29, 3.8146, 3.81) * CHOOSE( CONTROL!$C$12, $D$11, 100%, $F$11)</f>
        <v>3.0669384000000002</v>
      </c>
      <c r="H97" s="4">
        <f>CHOOSE( CONTROL!$C$29, 4.7141, 4.7095) * CHOOSE(CONTROL!$C$12, $D$11, 100%, $F$11)</f>
        <v>3.7901364000000002</v>
      </c>
      <c r="I97" s="8">
        <f>CHOOSE( CONTROL!$C$29, 3.8159, 3.8114) * CHOOSE(CONTROL!$C$12, $D$11, 100%, $F$11)</f>
        <v>3.0679836000000003</v>
      </c>
      <c r="J97" s="4">
        <f>CHOOSE( CONTROL!$C$29, 3.7565, 3.752) * CHOOSE(CONTROL!$C$12, $D$11, 100%, $F$11)</f>
        <v>3.0202260000000001</v>
      </c>
      <c r="K97" s="4"/>
      <c r="L97" s="9">
        <v>28.568200000000001</v>
      </c>
      <c r="M97" s="9">
        <v>11.6745</v>
      </c>
      <c r="N97" s="9">
        <v>4.7850000000000001</v>
      </c>
      <c r="O97" s="9">
        <v>0.36249999999999999</v>
      </c>
      <c r="P97" s="9">
        <v>1.1798</v>
      </c>
      <c r="Q97" s="9">
        <v>31.753799999999998</v>
      </c>
      <c r="R97" s="9"/>
      <c r="S97" s="11"/>
    </row>
    <row r="98" spans="1:19" ht="15.75">
      <c r="A98" s="13">
        <v>44835</v>
      </c>
      <c r="B98" s="8">
        <f>4.0946 * CHOOSE(CONTROL!$C$12, $D$11, 100%, $F$11)</f>
        <v>3.2920584000000002</v>
      </c>
      <c r="C98" s="8">
        <f>4.105 * CHOOSE(CONTROL!$C$12, $D$11, 100%, $F$11)</f>
        <v>3.3004200000000004</v>
      </c>
      <c r="D98" s="8">
        <f>4.0966 * CHOOSE( CONTROL!$C$12, $D$11, 100%, $F$11)</f>
        <v>3.2936663999999998</v>
      </c>
      <c r="E98" s="12">
        <f>4.0983 * CHOOSE( CONTROL!$C$12, $D$11, 100%, $F$11)</f>
        <v>3.2950332000000002</v>
      </c>
      <c r="F98" s="4">
        <f>5.0836 * CHOOSE(CONTROL!$C$12, $D$11, 100%, $F$11)</f>
        <v>4.0872143999999997</v>
      </c>
      <c r="G98" s="8">
        <f>3.9792 * CHOOSE( CONTROL!$C$12, $D$11, 100%, $F$11)</f>
        <v>3.1992768000000003</v>
      </c>
      <c r="H98" s="4">
        <f>4.8791 * CHOOSE(CONTROL!$C$12, $D$11, 100%, $F$11)</f>
        <v>3.9227964000000006</v>
      </c>
      <c r="I98" s="8">
        <f>3.9802 * CHOOSE(CONTROL!$C$12, $D$11, 100%, $F$11)</f>
        <v>3.2000808000000003</v>
      </c>
      <c r="J98" s="4">
        <f>3.9187 * CHOOSE(CONTROL!$C$12, $D$11, 100%, $F$11)</f>
        <v>3.1506348000000002</v>
      </c>
      <c r="K98" s="4"/>
      <c r="L98" s="9">
        <v>28.921800000000001</v>
      </c>
      <c r="M98" s="9">
        <v>12.063700000000001</v>
      </c>
      <c r="N98" s="9">
        <v>4.9444999999999997</v>
      </c>
      <c r="O98" s="9">
        <v>0.37459999999999999</v>
      </c>
      <c r="P98" s="9">
        <v>1.2192000000000001</v>
      </c>
      <c r="Q98" s="9">
        <v>32.8123</v>
      </c>
      <c r="R98" s="9"/>
      <c r="S98" s="11"/>
    </row>
    <row r="99" spans="1:19" ht="15.75">
      <c r="A99" s="13">
        <v>44866</v>
      </c>
      <c r="B99" s="8">
        <f>4.4157 * CHOOSE(CONTROL!$C$12, $D$11, 100%, $F$11)</f>
        <v>3.5502228000000002</v>
      </c>
      <c r="C99" s="8">
        <f>4.4261 * CHOOSE(CONTROL!$C$12, $D$11, 100%, $F$11)</f>
        <v>3.5585844</v>
      </c>
      <c r="D99" s="8">
        <f>4.4064 * CHOOSE( CONTROL!$C$12, $D$11, 100%, $F$11)</f>
        <v>3.5427455999999999</v>
      </c>
      <c r="E99" s="12">
        <f>4.4125 * CHOOSE( CONTROL!$C$12, $D$11, 100%, $F$11)</f>
        <v>3.54765</v>
      </c>
      <c r="F99" s="4">
        <f>5.4073 * CHOOSE(CONTROL!$C$12, $D$11, 100%, $F$11)</f>
        <v>4.3474692000000008</v>
      </c>
      <c r="G99" s="8">
        <f>4.3112 * CHOOSE( CONTROL!$C$12, $D$11, 100%, $F$11)</f>
        <v>3.4662048000000003</v>
      </c>
      <c r="H99" s="4">
        <f>5.1946 * CHOOSE(CONTROL!$C$12, $D$11, 100%, $F$11)</f>
        <v>4.1764584000000005</v>
      </c>
      <c r="I99" s="8">
        <f>4.3182 * CHOOSE(CONTROL!$C$12, $D$11, 100%, $F$11)</f>
        <v>3.4718328000000001</v>
      </c>
      <c r="J99" s="4">
        <f>4.2263 * CHOOSE(CONTROL!$C$12, $D$11, 100%, $F$11)</f>
        <v>3.3979452000000006</v>
      </c>
      <c r="K99" s="4"/>
      <c r="L99" s="9">
        <v>26.515499999999999</v>
      </c>
      <c r="M99" s="9">
        <v>11.6745</v>
      </c>
      <c r="N99" s="9">
        <v>4.7850000000000001</v>
      </c>
      <c r="O99" s="9">
        <v>0.36249999999999999</v>
      </c>
      <c r="P99" s="9">
        <v>1.2522</v>
      </c>
      <c r="Q99" s="9">
        <v>31.753799999999998</v>
      </c>
      <c r="R99" s="9"/>
      <c r="S99" s="11"/>
    </row>
    <row r="100" spans="1:19" ht="15.75">
      <c r="A100" s="13">
        <v>44896</v>
      </c>
      <c r="B100" s="8">
        <f>4.4076 * CHOOSE(CONTROL!$C$12, $D$11, 100%, $F$11)</f>
        <v>3.5437104000000006</v>
      </c>
      <c r="C100" s="8">
        <f>4.4181 * CHOOSE(CONTROL!$C$12, $D$11, 100%, $F$11)</f>
        <v>3.5521524000000002</v>
      </c>
      <c r="D100" s="8">
        <f>4.4002 * CHOOSE( CONTROL!$C$12, $D$11, 100%, $F$11)</f>
        <v>3.5377608</v>
      </c>
      <c r="E100" s="12">
        <f>4.4056 * CHOOSE( CONTROL!$C$12, $D$11, 100%, $F$11)</f>
        <v>3.5421024000000001</v>
      </c>
      <c r="F100" s="4">
        <f>5.3992 * CHOOSE(CONTROL!$C$12, $D$11, 100%, $F$11)</f>
        <v>4.3409568000000007</v>
      </c>
      <c r="G100" s="8">
        <f>4.3049 * CHOOSE( CONTROL!$C$12, $D$11, 100%, $F$11)</f>
        <v>3.4611396000000001</v>
      </c>
      <c r="H100" s="4">
        <f>5.1868 * CHOOSE(CONTROL!$C$12, $D$11, 100%, $F$11)</f>
        <v>4.1701872</v>
      </c>
      <c r="I100" s="8">
        <f>4.3174 * CHOOSE(CONTROL!$C$12, $D$11, 100%, $F$11)</f>
        <v>3.4711896000000002</v>
      </c>
      <c r="J100" s="4">
        <f>4.2186 * CHOOSE(CONTROL!$C$12, $D$11, 100%, $F$11)</f>
        <v>3.3917544000000004</v>
      </c>
      <c r="K100" s="4"/>
      <c r="L100" s="9">
        <v>27.3993</v>
      </c>
      <c r="M100" s="9">
        <v>12.063700000000001</v>
      </c>
      <c r="N100" s="9">
        <v>4.9444999999999997</v>
      </c>
      <c r="O100" s="9">
        <v>0.37459999999999999</v>
      </c>
      <c r="P100" s="9">
        <v>1.2939000000000001</v>
      </c>
      <c r="Q100" s="9">
        <v>32.8123</v>
      </c>
      <c r="R100" s="9"/>
      <c r="S100" s="11"/>
    </row>
    <row r="101" spans="1:19" ht="15.75">
      <c r="A101" s="13">
        <v>44927</v>
      </c>
      <c r="B101" s="8">
        <f>4.7777 * CHOOSE(CONTROL!$C$12, $D$11, 100%, $F$11)</f>
        <v>3.8412708000000007</v>
      </c>
      <c r="C101" s="8">
        <f>4.7881 * CHOOSE(CONTROL!$C$12, $D$11, 100%, $F$11)</f>
        <v>3.8496324000000004</v>
      </c>
      <c r="D101" s="8">
        <f>4.7857 * CHOOSE( CONTROL!$C$12, $D$11, 100%, $F$11)</f>
        <v>3.8477028000000004</v>
      </c>
      <c r="E101" s="12">
        <f>4.7855 * CHOOSE( CONTROL!$C$12, $D$11, 100%, $F$11)</f>
        <v>3.8475420000000002</v>
      </c>
      <c r="F101" s="4">
        <f>5.8006 * CHOOSE(CONTROL!$C$12, $D$11, 100%, $F$11)</f>
        <v>4.6636824000000008</v>
      </c>
      <c r="G101" s="8">
        <f>4.6846 * CHOOSE( CONTROL!$C$12, $D$11, 100%, $F$11)</f>
        <v>3.7664184000000001</v>
      </c>
      <c r="H101" s="4">
        <f>5.578 * CHOOSE(CONTROL!$C$12, $D$11, 100%, $F$11)</f>
        <v>4.4847120000000009</v>
      </c>
      <c r="I101" s="8">
        <f>4.6841 * CHOOSE(CONTROL!$C$12, $D$11, 100%, $F$11)</f>
        <v>3.7660164000000003</v>
      </c>
      <c r="J101" s="4">
        <f>4.5732 * CHOOSE(CONTROL!$C$12, $D$11, 100%, $F$11)</f>
        <v>3.6768528000000003</v>
      </c>
      <c r="K101" s="4"/>
      <c r="L101" s="9">
        <v>27.3993</v>
      </c>
      <c r="M101" s="9">
        <v>12.063700000000001</v>
      </c>
      <c r="N101" s="9">
        <v>4.9444999999999997</v>
      </c>
      <c r="O101" s="9">
        <v>0.37459999999999999</v>
      </c>
      <c r="P101" s="9">
        <v>1.2939000000000001</v>
      </c>
      <c r="Q101" s="9">
        <v>32.624400000000001</v>
      </c>
      <c r="R101" s="9"/>
      <c r="S101" s="11"/>
    </row>
    <row r="102" spans="1:19" ht="15.75">
      <c r="A102" s="13">
        <v>44958</v>
      </c>
      <c r="B102" s="8">
        <f>4.4691 * CHOOSE(CONTROL!$C$12, $D$11, 100%, $F$11)</f>
        <v>3.5931564000000003</v>
      </c>
      <c r="C102" s="8">
        <f>4.4795 * CHOOSE(CONTROL!$C$12, $D$11, 100%, $F$11)</f>
        <v>3.601518</v>
      </c>
      <c r="D102" s="8">
        <f>4.4795 * CHOOSE( CONTROL!$C$12, $D$11, 100%, $F$11)</f>
        <v>3.601518</v>
      </c>
      <c r="E102" s="12">
        <f>4.4784 * CHOOSE( CONTROL!$C$12, $D$11, 100%, $F$11)</f>
        <v>3.6006336000000001</v>
      </c>
      <c r="F102" s="4">
        <f>5.4842 * CHOOSE(CONTROL!$C$12, $D$11, 100%, $F$11)</f>
        <v>4.4092968000000008</v>
      </c>
      <c r="G102" s="8">
        <f>4.3837 * CHOOSE( CONTROL!$C$12, $D$11, 100%, $F$11)</f>
        <v>3.5244948000000003</v>
      </c>
      <c r="H102" s="4">
        <f>5.2696 * CHOOSE(CONTROL!$C$12, $D$11, 100%, $F$11)</f>
        <v>4.2367584000000003</v>
      </c>
      <c r="I102" s="8">
        <f>4.3773 * CHOOSE(CONTROL!$C$12, $D$11, 100%, $F$11)</f>
        <v>3.5193492000000002</v>
      </c>
      <c r="J102" s="4">
        <f>4.2775 * CHOOSE(CONTROL!$C$12, $D$11, 100%, $F$11)</f>
        <v>3.4391099999999999</v>
      </c>
      <c r="K102" s="4"/>
      <c r="L102" s="9">
        <v>24.747800000000002</v>
      </c>
      <c r="M102" s="9">
        <v>10.8962</v>
      </c>
      <c r="N102" s="9">
        <v>4.4660000000000002</v>
      </c>
      <c r="O102" s="9">
        <v>0.33829999999999999</v>
      </c>
      <c r="P102" s="9">
        <v>1.1687000000000001</v>
      </c>
      <c r="Q102" s="9">
        <v>29.467199999999998</v>
      </c>
      <c r="R102" s="9"/>
      <c r="S102" s="11"/>
    </row>
    <row r="103" spans="1:19" ht="15.75">
      <c r="A103" s="13">
        <v>44986</v>
      </c>
      <c r="B103" s="8">
        <f>4.3741 * CHOOSE(CONTROL!$C$12, $D$11, 100%, $F$11)</f>
        <v>3.5167764000000004</v>
      </c>
      <c r="C103" s="8">
        <f>4.3845 * CHOOSE(CONTROL!$C$12, $D$11, 100%, $F$11)</f>
        <v>3.5251380000000001</v>
      </c>
      <c r="D103" s="8">
        <f>4.3644 * CHOOSE( CONTROL!$C$12, $D$11, 100%, $F$11)</f>
        <v>3.5089776000000001</v>
      </c>
      <c r="E103" s="12">
        <f>4.3706 * CHOOSE( CONTROL!$C$12, $D$11, 100%, $F$11)</f>
        <v>3.5139624</v>
      </c>
      <c r="F103" s="4">
        <f>5.373 * CHOOSE(CONTROL!$C$12, $D$11, 100%, $F$11)</f>
        <v>4.3198920000000003</v>
      </c>
      <c r="G103" s="8">
        <f>4.2706 * CHOOSE( CONTROL!$C$12, $D$11, 100%, $F$11)</f>
        <v>3.4335624</v>
      </c>
      <c r="H103" s="4">
        <f>5.1612 * CHOOSE(CONTROL!$C$12, $D$11, 100%, $F$11)</f>
        <v>4.1496048000000005</v>
      </c>
      <c r="I103" s="8">
        <f>4.2467 * CHOOSE(CONTROL!$C$12, $D$11, 100%, $F$11)</f>
        <v>3.4143468000000001</v>
      </c>
      <c r="J103" s="4">
        <f>4.1865 * CHOOSE(CONTROL!$C$12, $D$11, 100%, $F$11)</f>
        <v>3.3659460000000001</v>
      </c>
      <c r="K103" s="4"/>
      <c r="L103" s="9">
        <v>27.3993</v>
      </c>
      <c r="M103" s="9">
        <v>12.063700000000001</v>
      </c>
      <c r="N103" s="9">
        <v>4.9444999999999997</v>
      </c>
      <c r="O103" s="9">
        <v>0.37459999999999999</v>
      </c>
      <c r="P103" s="9">
        <v>1.2939000000000001</v>
      </c>
      <c r="Q103" s="9">
        <v>32.624400000000001</v>
      </c>
      <c r="R103" s="9"/>
      <c r="S103" s="11"/>
    </row>
    <row r="104" spans="1:19" ht="15.75">
      <c r="A104" s="13">
        <v>45017</v>
      </c>
      <c r="B104" s="8">
        <f>4.4405 * CHOOSE(CONTROL!$C$12, $D$11, 100%, $F$11)</f>
        <v>3.5701620000000003</v>
      </c>
      <c r="C104" s="8">
        <f>4.4509 * CHOOSE(CONTROL!$C$12, $D$11, 100%, $F$11)</f>
        <v>3.5785236</v>
      </c>
      <c r="D104" s="8">
        <f>4.4541 * CHOOSE( CONTROL!$C$12, $D$11, 100%, $F$11)</f>
        <v>3.5810964000000007</v>
      </c>
      <c r="E104" s="12">
        <f>4.4519 * CHOOSE( CONTROL!$C$12, $D$11, 100%, $F$11)</f>
        <v>3.5793276000000005</v>
      </c>
      <c r="F104" s="4">
        <f>5.4477 * CHOOSE(CONTROL!$C$12, $D$11, 100%, $F$11)</f>
        <v>4.3799508000000005</v>
      </c>
      <c r="G104" s="8">
        <f>4.3232 * CHOOSE( CONTROL!$C$12, $D$11, 100%, $F$11)</f>
        <v>3.4758528000000002</v>
      </c>
      <c r="H104" s="4">
        <f>5.2341 * CHOOSE(CONTROL!$C$12, $D$11, 100%, $F$11)</f>
        <v>4.2082164000000004</v>
      </c>
      <c r="I104" s="8">
        <f>4.3005 * CHOOSE(CONTROL!$C$12, $D$11, 100%, $F$11)</f>
        <v>3.4576020000000005</v>
      </c>
      <c r="J104" s="4">
        <f>4.2501 * CHOOSE(CONTROL!$C$12, $D$11, 100%, $F$11)</f>
        <v>3.4170804000000001</v>
      </c>
      <c r="K104" s="4"/>
      <c r="L104" s="9">
        <v>27.988800000000001</v>
      </c>
      <c r="M104" s="9">
        <v>11.6745</v>
      </c>
      <c r="N104" s="9">
        <v>4.7850000000000001</v>
      </c>
      <c r="O104" s="9">
        <v>0.36249999999999999</v>
      </c>
      <c r="P104" s="9">
        <v>1.1798</v>
      </c>
      <c r="Q104" s="9">
        <v>31.571999999999999</v>
      </c>
      <c r="R104" s="9"/>
      <c r="S104" s="11"/>
    </row>
    <row r="105" spans="1:19" ht="15.75">
      <c r="A105" s="13">
        <v>45047</v>
      </c>
      <c r="B105" s="8">
        <f>CHOOSE( CONTROL!$C$29, 4.5634, 4.5587) * CHOOSE(CONTROL!$C$12, $D$11, 100%, $F$11)</f>
        <v>3.6689736000000002</v>
      </c>
      <c r="C105" s="8">
        <f>CHOOSE( CONTROL!$C$29, 4.5738, 4.5691) * CHOOSE(CONTROL!$C$12, $D$11, 100%, $F$11)</f>
        <v>3.6773352000000004</v>
      </c>
      <c r="D105" s="8">
        <f>CHOOSE( CONTROL!$C$29, 4.5518, 4.5471) * CHOOSE( CONTROL!$C$12, $D$11, 100%, $F$11)</f>
        <v>3.6596472000000002</v>
      </c>
      <c r="E105" s="12">
        <f>CHOOSE( CONTROL!$C$29, 4.5582, 4.5535) * CHOOSE( CONTROL!$C$12, $D$11, 100%, $F$11)</f>
        <v>3.6647928000000003</v>
      </c>
      <c r="F105" s="4">
        <f>CHOOSE( CONTROL!$C$29, 5.5383, 5.5336) * CHOOSE(CONTROL!$C$12, $D$11, 100%, $F$11)</f>
        <v>4.4527932000000003</v>
      </c>
      <c r="G105" s="8">
        <f>CHOOSE( CONTROL!$C$29, 4.4243, 4.4197) * CHOOSE( CONTROL!$C$12, $D$11, 100%, $F$11)</f>
        <v>3.5571372000000001</v>
      </c>
      <c r="H105" s="4">
        <f>CHOOSE( CONTROL!$C$29, 5.3223, 5.3177) * CHOOSE(CONTROL!$C$12, $D$11, 100%, $F$11)</f>
        <v>4.2791292000000007</v>
      </c>
      <c r="I105" s="8">
        <f>CHOOSE( CONTROL!$C$29, 4.3968, 4.3922) * CHOOSE(CONTROL!$C$12, $D$11, 100%, $F$11)</f>
        <v>3.5350272</v>
      </c>
      <c r="J105" s="4">
        <f>CHOOSE( CONTROL!$C$29, 4.3679, 4.3634) * CHOOSE(CONTROL!$C$12, $D$11, 100%, $F$11)</f>
        <v>3.5117916</v>
      </c>
      <c r="K105" s="4"/>
      <c r="L105" s="9">
        <v>29.520499999999998</v>
      </c>
      <c r="M105" s="9">
        <v>12.063700000000001</v>
      </c>
      <c r="N105" s="9">
        <v>4.9444999999999997</v>
      </c>
      <c r="O105" s="9">
        <v>0.37459999999999999</v>
      </c>
      <c r="P105" s="9">
        <v>1.2192000000000001</v>
      </c>
      <c r="Q105" s="9">
        <v>32.624400000000001</v>
      </c>
      <c r="R105" s="9"/>
      <c r="S105" s="11"/>
    </row>
    <row r="106" spans="1:19" ht="15.75">
      <c r="A106" s="13">
        <v>45078</v>
      </c>
      <c r="B106" s="8">
        <f>CHOOSE( CONTROL!$C$29, 4.4902, 4.4855) * CHOOSE(CONTROL!$C$12, $D$11, 100%, $F$11)</f>
        <v>3.6101207999999998</v>
      </c>
      <c r="C106" s="8">
        <f>CHOOSE( CONTROL!$C$29, 4.5006, 4.4959) * CHOOSE(CONTROL!$C$12, $D$11, 100%, $F$11)</f>
        <v>3.6184824000000004</v>
      </c>
      <c r="D106" s="8">
        <f>CHOOSE( CONTROL!$C$29, 4.473, 4.4683) * CHOOSE( CONTROL!$C$12, $D$11, 100%, $F$11)</f>
        <v>3.596292</v>
      </c>
      <c r="E106" s="12">
        <f>CHOOSE( CONTROL!$C$29, 4.4814, 4.4767) * CHOOSE( CONTROL!$C$12, $D$11, 100%, $F$11)</f>
        <v>3.6030456000000002</v>
      </c>
      <c r="F106" s="4">
        <f>CHOOSE( CONTROL!$C$29, 5.4546, 5.4499) * CHOOSE(CONTROL!$C$12, $D$11, 100%, $F$11)</f>
        <v>4.3854984000000004</v>
      </c>
      <c r="G106" s="8">
        <f>CHOOSE( CONTROL!$C$29, 4.3517, 4.3471) * CHOOSE( CONTROL!$C$12, $D$11, 100%, $F$11)</f>
        <v>3.4987668000000003</v>
      </c>
      <c r="H106" s="4">
        <f>CHOOSE( CONTROL!$C$29, 5.2408, 5.2362) * CHOOSE(CONTROL!$C$12, $D$11, 100%, $F$11)</f>
        <v>4.2136032000000005</v>
      </c>
      <c r="I106" s="8">
        <f>CHOOSE( CONTROL!$C$29, 4.3287, 4.3242) * CHOOSE(CONTROL!$C$12, $D$11, 100%, $F$11)</f>
        <v>3.4802748000000006</v>
      </c>
      <c r="J106" s="4">
        <f>CHOOSE( CONTROL!$C$29, 4.2977, 4.2932) * CHOOSE(CONTROL!$C$12, $D$11, 100%, $F$11)</f>
        <v>3.4553508000000002</v>
      </c>
      <c r="K106" s="4"/>
      <c r="L106" s="9">
        <v>28.568200000000001</v>
      </c>
      <c r="M106" s="9">
        <v>11.6745</v>
      </c>
      <c r="N106" s="9">
        <v>4.7850000000000001</v>
      </c>
      <c r="O106" s="9">
        <v>0.36249999999999999</v>
      </c>
      <c r="P106" s="9">
        <v>1.1798</v>
      </c>
      <c r="Q106" s="9">
        <v>31.571999999999999</v>
      </c>
      <c r="R106" s="9"/>
      <c r="S106" s="11"/>
    </row>
    <row r="107" spans="1:19" ht="15.75">
      <c r="A107" s="13">
        <v>45108</v>
      </c>
      <c r="B107" s="8">
        <f>CHOOSE( CONTROL!$C$29, 4.683, 4.6783) * CHOOSE(CONTROL!$C$12, $D$11, 100%, $F$11)</f>
        <v>3.7651319999999999</v>
      </c>
      <c r="C107" s="8">
        <f>CHOOSE( CONTROL!$C$29, 4.6934, 4.6887) * CHOOSE(CONTROL!$C$12, $D$11, 100%, $F$11)</f>
        <v>3.7734935999999997</v>
      </c>
      <c r="D107" s="8">
        <f>CHOOSE( CONTROL!$C$29, 4.6849, 4.6802) * CHOOSE( CONTROL!$C$12, $D$11, 100%, $F$11)</f>
        <v>3.7666596000000001</v>
      </c>
      <c r="E107" s="12">
        <f>CHOOSE( CONTROL!$C$29, 4.6864, 4.6817) * CHOOSE( CONTROL!$C$12, $D$11, 100%, $F$11)</f>
        <v>3.7678655999999999</v>
      </c>
      <c r="F107" s="4">
        <f>CHOOSE( CONTROL!$C$29, 5.6746, 5.6699) * CHOOSE(CONTROL!$C$12, $D$11, 100%, $F$11)</f>
        <v>4.5623784000000001</v>
      </c>
      <c r="G107" s="8">
        <f>CHOOSE( CONTROL!$C$29, 4.5523, 4.5477) * CHOOSE( CONTROL!$C$12, $D$11, 100%, $F$11)</f>
        <v>3.6600492</v>
      </c>
      <c r="H107" s="4">
        <f>CHOOSE( CONTROL!$C$29, 5.4552, 5.4506) * CHOOSE(CONTROL!$C$12, $D$11, 100%, $F$11)</f>
        <v>4.3859807999999996</v>
      </c>
      <c r="I107" s="8">
        <f>CHOOSE( CONTROL!$C$29, 4.5363, 4.5318) * CHOOSE(CONTROL!$C$12, $D$11, 100%, $F$11)</f>
        <v>3.6471852</v>
      </c>
      <c r="J107" s="4">
        <f>CHOOSE( CONTROL!$C$29, 4.4825, 4.4779) * CHOOSE(CONTROL!$C$12, $D$11, 100%, $F$11)</f>
        <v>3.6039300000000001</v>
      </c>
      <c r="K107" s="4"/>
      <c r="L107" s="9">
        <v>29.520499999999998</v>
      </c>
      <c r="M107" s="9">
        <v>12.063700000000001</v>
      </c>
      <c r="N107" s="9">
        <v>4.9444999999999997</v>
      </c>
      <c r="O107" s="9">
        <v>0.37459999999999999</v>
      </c>
      <c r="P107" s="9">
        <v>1.2192000000000001</v>
      </c>
      <c r="Q107" s="9">
        <v>32.624400000000001</v>
      </c>
      <c r="R107" s="9"/>
      <c r="S107" s="11"/>
    </row>
    <row r="108" spans="1:19" ht="15.75">
      <c r="A108" s="13">
        <v>45139</v>
      </c>
      <c r="B108" s="8">
        <f>CHOOSE( CONTROL!$C$29, 4.3222, 4.3175) * CHOOSE(CONTROL!$C$12, $D$11, 100%, $F$11)</f>
        <v>3.4750487999999997</v>
      </c>
      <c r="C108" s="8">
        <f>CHOOSE( CONTROL!$C$29, 4.3327, 4.3279) * CHOOSE(CONTROL!$C$12, $D$11, 100%, $F$11)</f>
        <v>3.4834908000000002</v>
      </c>
      <c r="D108" s="8">
        <f>CHOOSE( CONTROL!$C$29, 4.3275, 4.3228) * CHOOSE( CONTROL!$C$12, $D$11, 100%, $F$11)</f>
        <v>3.4793099999999999</v>
      </c>
      <c r="E108" s="12">
        <f>CHOOSE( CONTROL!$C$29, 4.3278, 4.3231) * CHOOSE( CONTROL!$C$12, $D$11, 100%, $F$11)</f>
        <v>3.4795512</v>
      </c>
      <c r="F108" s="4">
        <f>CHOOSE( CONTROL!$C$29, 5.319, 5.3143) * CHOOSE(CONTROL!$C$12, $D$11, 100%, $F$11)</f>
        <v>4.2764760000000006</v>
      </c>
      <c r="G108" s="8">
        <f>CHOOSE( CONTROL!$C$29, 4.2028, 4.1982) * CHOOSE( CONTROL!$C$12, $D$11, 100%, $F$11)</f>
        <v>3.3790512000000001</v>
      </c>
      <c r="H108" s="4">
        <f>CHOOSE( CONTROL!$C$29, 5.1086, 5.104) * CHOOSE(CONTROL!$C$12, $D$11, 100%, $F$11)</f>
        <v>4.1073143999999999</v>
      </c>
      <c r="I108" s="8">
        <f>CHOOSE( CONTROL!$C$29, 4.1951, 4.1906) * CHOOSE(CONTROL!$C$12, $D$11, 100%, $F$11)</f>
        <v>3.3728604000000004</v>
      </c>
      <c r="J108" s="4">
        <f>CHOOSE( CONTROL!$C$29, 4.1368, 4.1323) * CHOOSE(CONTROL!$C$12, $D$11, 100%, $F$11)</f>
        <v>3.3259872000000001</v>
      </c>
      <c r="K108" s="4"/>
      <c r="L108" s="9">
        <v>29.520499999999998</v>
      </c>
      <c r="M108" s="9">
        <v>12.063700000000001</v>
      </c>
      <c r="N108" s="9">
        <v>4.9444999999999997</v>
      </c>
      <c r="O108" s="9">
        <v>0.37459999999999999</v>
      </c>
      <c r="P108" s="9">
        <v>1.2192000000000001</v>
      </c>
      <c r="Q108" s="9">
        <v>32.624400000000001</v>
      </c>
      <c r="R108" s="9"/>
      <c r="S108" s="11"/>
    </row>
    <row r="109" spans="1:19" ht="15.75">
      <c r="A109" s="13">
        <v>45170</v>
      </c>
      <c r="B109" s="8">
        <f>CHOOSE( CONTROL!$C$29, 4.2319, 4.2272) * CHOOSE(CONTROL!$C$12, $D$11, 100%, $F$11)</f>
        <v>3.4024476000000003</v>
      </c>
      <c r="C109" s="8">
        <f>CHOOSE( CONTROL!$C$29, 4.2423, 4.2376) * CHOOSE(CONTROL!$C$12, $D$11, 100%, $F$11)</f>
        <v>3.4108092000000005</v>
      </c>
      <c r="D109" s="8">
        <f>CHOOSE( CONTROL!$C$29, 4.233, 4.2283) * CHOOSE( CONTROL!$C$12, $D$11, 100%, $F$11)</f>
        <v>3.4033319999999998</v>
      </c>
      <c r="E109" s="12">
        <f>CHOOSE( CONTROL!$C$29, 4.2348, 4.2301) * CHOOSE( CONTROL!$C$12, $D$11, 100%, $F$11)</f>
        <v>3.4047792000000001</v>
      </c>
      <c r="F109" s="4">
        <f>CHOOSE( CONTROL!$C$29, 5.2209, 5.2162) * CHOOSE(CONTROL!$C$12, $D$11, 100%, $F$11)</f>
        <v>4.1976036000000008</v>
      </c>
      <c r="G109" s="8">
        <f>CHOOSE( CONTROL!$C$29, 4.1134, 4.1088) * CHOOSE( CONTROL!$C$12, $D$11, 100%, $F$11)</f>
        <v>3.3071736000000005</v>
      </c>
      <c r="H109" s="4">
        <f>CHOOSE( CONTROL!$C$29, 5.0129, 5.0083) * CHOOSE(CONTROL!$C$12, $D$11, 100%, $F$11)</f>
        <v>4.0303716000000005</v>
      </c>
      <c r="I109" s="8">
        <f>CHOOSE( CONTROL!$C$29, 4.1098, 4.1053) * CHOOSE(CONTROL!$C$12, $D$11, 100%, $F$11)</f>
        <v>3.3042792000000003</v>
      </c>
      <c r="J109" s="4">
        <f>CHOOSE( CONTROL!$C$29, 4.0502, 4.0457) * CHOOSE(CONTROL!$C$12, $D$11, 100%, $F$11)</f>
        <v>3.2563608000000004</v>
      </c>
      <c r="K109" s="4"/>
      <c r="L109" s="9">
        <v>28.568200000000001</v>
      </c>
      <c r="M109" s="9">
        <v>11.6745</v>
      </c>
      <c r="N109" s="9">
        <v>4.7850000000000001</v>
      </c>
      <c r="O109" s="9">
        <v>0.36249999999999999</v>
      </c>
      <c r="P109" s="9">
        <v>1.1798</v>
      </c>
      <c r="Q109" s="9">
        <v>31.571999999999999</v>
      </c>
      <c r="R109" s="9"/>
      <c r="S109" s="11"/>
    </row>
    <row r="110" spans="1:19" ht="15.75">
      <c r="A110" s="13">
        <v>45200</v>
      </c>
      <c r="B110" s="8">
        <f>4.4147 * CHOOSE(CONTROL!$C$12, $D$11, 100%, $F$11)</f>
        <v>3.5494188000000002</v>
      </c>
      <c r="C110" s="8">
        <f>4.4252 * CHOOSE(CONTROL!$C$12, $D$11, 100%, $F$11)</f>
        <v>3.5578608000000003</v>
      </c>
      <c r="D110" s="8">
        <f>4.4167 * CHOOSE( CONTROL!$C$12, $D$11, 100%, $F$11)</f>
        <v>3.5510267999999998</v>
      </c>
      <c r="E110" s="12">
        <f>4.4184 * CHOOSE( CONTROL!$C$12, $D$11, 100%, $F$11)</f>
        <v>3.5523936000000003</v>
      </c>
      <c r="F110" s="4">
        <f>5.4037 * CHOOSE(CONTROL!$C$12, $D$11, 100%, $F$11)</f>
        <v>4.3445748000000002</v>
      </c>
      <c r="G110" s="8">
        <f>4.2913 * CHOOSE( CONTROL!$C$12, $D$11, 100%, $F$11)</f>
        <v>3.4502052000000001</v>
      </c>
      <c r="H110" s="4">
        <f>5.1912 * CHOOSE(CONTROL!$C$12, $D$11, 100%, $F$11)</f>
        <v>4.1737248000000005</v>
      </c>
      <c r="I110" s="8">
        <f>4.2871 * CHOOSE(CONTROL!$C$12, $D$11, 100%, $F$11)</f>
        <v>3.4468283999999998</v>
      </c>
      <c r="J110" s="4">
        <f>4.2255 * CHOOSE(CONTROL!$C$12, $D$11, 100%, $F$11)</f>
        <v>3.3973020000000003</v>
      </c>
      <c r="K110" s="4"/>
      <c r="L110" s="9">
        <v>28.921800000000001</v>
      </c>
      <c r="M110" s="9">
        <v>12.063700000000001</v>
      </c>
      <c r="N110" s="9">
        <v>4.9444999999999997</v>
      </c>
      <c r="O110" s="9">
        <v>0.37459999999999999</v>
      </c>
      <c r="P110" s="9">
        <v>1.2192000000000001</v>
      </c>
      <c r="Q110" s="9">
        <v>32.624400000000001</v>
      </c>
      <c r="R110" s="9"/>
      <c r="S110" s="11"/>
    </row>
    <row r="111" spans="1:19" ht="15.75">
      <c r="A111" s="13">
        <v>45231</v>
      </c>
      <c r="B111" s="8">
        <f>4.761 * CHOOSE(CONTROL!$C$12, $D$11, 100%, $F$11)</f>
        <v>3.8278440000000002</v>
      </c>
      <c r="C111" s="8">
        <f>4.7714 * CHOOSE(CONTROL!$C$12, $D$11, 100%, $F$11)</f>
        <v>3.8362056</v>
      </c>
      <c r="D111" s="8">
        <f>4.7516 * CHOOSE( CONTROL!$C$12, $D$11, 100%, $F$11)</f>
        <v>3.8202864000000001</v>
      </c>
      <c r="E111" s="12">
        <f>4.7577 * CHOOSE( CONTROL!$C$12, $D$11, 100%, $F$11)</f>
        <v>3.8251908000000001</v>
      </c>
      <c r="F111" s="4">
        <f>5.7526 * CHOOSE(CONTROL!$C$12, $D$11, 100%, $F$11)</f>
        <v>4.6250904000000004</v>
      </c>
      <c r="G111" s="8">
        <f>4.6478 * CHOOSE( CONTROL!$C$12, $D$11, 100%, $F$11)</f>
        <v>3.7368312000000001</v>
      </c>
      <c r="H111" s="4">
        <f>5.5312 * CHOOSE(CONTROL!$C$12, $D$11, 100%, $F$11)</f>
        <v>4.4470848000000007</v>
      </c>
      <c r="I111" s="8">
        <f>4.6493 * CHOOSE(CONTROL!$C$12, $D$11, 100%, $F$11)</f>
        <v>3.7380372000000004</v>
      </c>
      <c r="J111" s="4">
        <f>4.5572 * CHOOSE(CONTROL!$C$12, $D$11, 100%, $F$11)</f>
        <v>3.6639888000000003</v>
      </c>
      <c r="K111" s="4"/>
      <c r="L111" s="9">
        <v>26.515499999999999</v>
      </c>
      <c r="M111" s="9">
        <v>11.6745</v>
      </c>
      <c r="N111" s="9">
        <v>4.7850000000000001</v>
      </c>
      <c r="O111" s="9">
        <v>0.36249999999999999</v>
      </c>
      <c r="P111" s="9">
        <v>1.2522</v>
      </c>
      <c r="Q111" s="9">
        <v>31.571999999999999</v>
      </c>
      <c r="R111" s="9"/>
      <c r="S111" s="11"/>
    </row>
    <row r="112" spans="1:19" ht="15.75">
      <c r="A112" s="13">
        <v>45261</v>
      </c>
      <c r="B112" s="8">
        <f>4.7523 * CHOOSE(CONTROL!$C$12, $D$11, 100%, $F$11)</f>
        <v>3.8208492000000001</v>
      </c>
      <c r="C112" s="8">
        <f>4.7627 * CHOOSE(CONTROL!$C$12, $D$11, 100%, $F$11)</f>
        <v>3.8292107999999998</v>
      </c>
      <c r="D112" s="8">
        <f>4.7449 * CHOOSE( CONTROL!$C$12, $D$11, 100%, $F$11)</f>
        <v>3.8148996000000004</v>
      </c>
      <c r="E112" s="12">
        <f>4.7503 * CHOOSE( CONTROL!$C$12, $D$11, 100%, $F$11)</f>
        <v>3.8192412000000004</v>
      </c>
      <c r="F112" s="4">
        <f>5.7439 * CHOOSE(CONTROL!$C$12, $D$11, 100%, $F$11)</f>
        <v>4.6180956000000002</v>
      </c>
      <c r="G112" s="8">
        <f>4.6408 * CHOOSE( CONTROL!$C$12, $D$11, 100%, $F$11)</f>
        <v>3.7312031999999999</v>
      </c>
      <c r="H112" s="4">
        <f>5.5227 * CHOOSE(CONTROL!$C$12, $D$11, 100%, $F$11)</f>
        <v>4.4402508000000003</v>
      </c>
      <c r="I112" s="8">
        <f>4.6478 * CHOOSE(CONTROL!$C$12, $D$11, 100%, $F$11)</f>
        <v>3.7368312000000001</v>
      </c>
      <c r="J112" s="4">
        <f>4.5489 * CHOOSE(CONTROL!$C$12, $D$11, 100%, $F$11)</f>
        <v>3.6573156</v>
      </c>
      <c r="K112" s="4"/>
      <c r="L112" s="9">
        <v>27.3993</v>
      </c>
      <c r="M112" s="9">
        <v>12.063700000000001</v>
      </c>
      <c r="N112" s="9">
        <v>4.9444999999999997</v>
      </c>
      <c r="O112" s="9">
        <v>0.37459999999999999</v>
      </c>
      <c r="P112" s="9">
        <v>1.2939000000000001</v>
      </c>
      <c r="Q112" s="9">
        <v>32.624400000000001</v>
      </c>
      <c r="R112" s="9"/>
      <c r="S112" s="11"/>
    </row>
    <row r="113" spans="1:19" ht="15.75">
      <c r="A113" s="13">
        <v>45292</v>
      </c>
      <c r="B113" s="8">
        <f>5.0705 * CHOOSE(CONTROL!$C$12, $D$11, 100%, $F$11)</f>
        <v>4.0766819999999999</v>
      </c>
      <c r="C113" s="8">
        <f>5.0809 * CHOOSE(CONTROL!$C$12, $D$11, 100%, $F$11)</f>
        <v>4.0850435999999997</v>
      </c>
      <c r="D113" s="8">
        <f>5.0786 * CHOOSE( CONTROL!$C$12, $D$11, 100%, $F$11)</f>
        <v>4.0831944</v>
      </c>
      <c r="E113" s="12">
        <f>5.0783 * CHOOSE( CONTROL!$C$12, $D$11, 100%, $F$11)</f>
        <v>4.0829531999999995</v>
      </c>
      <c r="F113" s="4">
        <f>6.0934 * CHOOSE(CONTROL!$C$12, $D$11, 100%, $F$11)</f>
        <v>4.8990936000000005</v>
      </c>
      <c r="G113" s="8">
        <f>4.97 * CHOOSE( CONTROL!$C$12, $D$11, 100%, $F$11)</f>
        <v>3.9958800000000001</v>
      </c>
      <c r="H113" s="4">
        <f>5.8634 * CHOOSE(CONTROL!$C$12, $D$11, 100%, $F$11)</f>
        <v>4.7141736000000005</v>
      </c>
      <c r="I113" s="8">
        <f>4.9648 * CHOOSE(CONTROL!$C$12, $D$11, 100%, $F$11)</f>
        <v>3.9916992000000007</v>
      </c>
      <c r="J113" s="4">
        <f>4.8538 * CHOOSE(CONTROL!$C$12, $D$11, 100%, $F$11)</f>
        <v>3.9024551999999999</v>
      </c>
      <c r="K113" s="4"/>
      <c r="L113" s="9">
        <v>27.3993</v>
      </c>
      <c r="M113" s="9">
        <v>12.063700000000001</v>
      </c>
      <c r="N113" s="9">
        <v>4.9444999999999997</v>
      </c>
      <c r="O113" s="9">
        <v>0.37459999999999999</v>
      </c>
      <c r="P113" s="9">
        <v>1.2939000000000001</v>
      </c>
      <c r="Q113" s="9">
        <v>32.440300000000001</v>
      </c>
      <c r="R113" s="9"/>
      <c r="S113" s="11"/>
    </row>
    <row r="114" spans="1:19" ht="15.75">
      <c r="A114" s="13">
        <v>45323</v>
      </c>
      <c r="B114" s="8">
        <f>4.743 * CHOOSE(CONTROL!$C$12, $D$11, 100%, $F$11)</f>
        <v>3.8133720000000007</v>
      </c>
      <c r="C114" s="8">
        <f>4.7534 * CHOOSE(CONTROL!$C$12, $D$11, 100%, $F$11)</f>
        <v>3.8217336000000004</v>
      </c>
      <c r="D114" s="8">
        <f>4.7534 * CHOOSE( CONTROL!$C$12, $D$11, 100%, $F$11)</f>
        <v>3.8217336000000004</v>
      </c>
      <c r="E114" s="12">
        <f>4.7523 * CHOOSE( CONTROL!$C$12, $D$11, 100%, $F$11)</f>
        <v>3.8208492000000001</v>
      </c>
      <c r="F114" s="4">
        <f>5.7581 * CHOOSE(CONTROL!$C$12, $D$11, 100%, $F$11)</f>
        <v>4.6295124000000003</v>
      </c>
      <c r="G114" s="8">
        <f>4.6507 * CHOOSE( CONTROL!$C$12, $D$11, 100%, $F$11)</f>
        <v>3.7391627999999999</v>
      </c>
      <c r="H114" s="4">
        <f>5.5366 * CHOOSE(CONTROL!$C$12, $D$11, 100%, $F$11)</f>
        <v>4.4514263999999999</v>
      </c>
      <c r="I114" s="8">
        <f>4.6399 * CHOOSE(CONTROL!$C$12, $D$11, 100%, $F$11)</f>
        <v>3.7304796000000002</v>
      </c>
      <c r="J114" s="4">
        <f>4.54 * CHOOSE(CONTROL!$C$12, $D$11, 100%, $F$11)</f>
        <v>3.6501600000000001</v>
      </c>
      <c r="K114" s="4"/>
      <c r="L114" s="9">
        <v>25.631599999999999</v>
      </c>
      <c r="M114" s="9">
        <v>11.285299999999999</v>
      </c>
      <c r="N114" s="9">
        <v>4.6254999999999997</v>
      </c>
      <c r="O114" s="9">
        <v>0.35039999999999999</v>
      </c>
      <c r="P114" s="9">
        <v>1.2104999999999999</v>
      </c>
      <c r="Q114" s="9">
        <v>30.347300000000001</v>
      </c>
      <c r="R114" s="9"/>
      <c r="S114" s="11"/>
    </row>
    <row r="115" spans="1:19" ht="15.75">
      <c r="A115" s="13">
        <v>45352</v>
      </c>
      <c r="B115" s="8">
        <f>4.6421 * CHOOSE(CONTROL!$C$12, $D$11, 100%, $F$11)</f>
        <v>3.7322484000000005</v>
      </c>
      <c r="C115" s="8">
        <f>4.6526 * CHOOSE(CONTROL!$C$12, $D$11, 100%, $F$11)</f>
        <v>3.7406904000000001</v>
      </c>
      <c r="D115" s="8">
        <f>4.6324 * CHOOSE( CONTROL!$C$12, $D$11, 100%, $F$11)</f>
        <v>3.7244495999999998</v>
      </c>
      <c r="E115" s="12">
        <f>4.6387 * CHOOSE( CONTROL!$C$12, $D$11, 100%, $F$11)</f>
        <v>3.7295148000000005</v>
      </c>
      <c r="F115" s="4">
        <f>5.641 * CHOOSE(CONTROL!$C$12, $D$11, 100%, $F$11)</f>
        <v>4.5353640000000004</v>
      </c>
      <c r="G115" s="8">
        <f>4.5319 * CHOOSE( CONTROL!$C$12, $D$11, 100%, $F$11)</f>
        <v>3.6436476000000004</v>
      </c>
      <c r="H115" s="4">
        <f>5.4225 * CHOOSE(CONTROL!$C$12, $D$11, 100%, $F$11)</f>
        <v>4.3596900000000005</v>
      </c>
      <c r="I115" s="8">
        <f>4.5037 * CHOOSE(CONTROL!$C$12, $D$11, 100%, $F$11)</f>
        <v>3.6209748000000004</v>
      </c>
      <c r="J115" s="4">
        <f>4.4433 * CHOOSE(CONTROL!$C$12, $D$11, 100%, $F$11)</f>
        <v>3.5724132000000002</v>
      </c>
      <c r="K115" s="4"/>
      <c r="L115" s="9">
        <v>27.3993</v>
      </c>
      <c r="M115" s="9">
        <v>12.063700000000001</v>
      </c>
      <c r="N115" s="9">
        <v>4.9444999999999997</v>
      </c>
      <c r="O115" s="9">
        <v>0.37459999999999999</v>
      </c>
      <c r="P115" s="9">
        <v>1.2939000000000001</v>
      </c>
      <c r="Q115" s="9">
        <v>32.440300000000001</v>
      </c>
      <c r="R115" s="9"/>
      <c r="S115" s="11"/>
    </row>
    <row r="116" spans="1:19" ht="15.75">
      <c r="A116" s="13">
        <v>45383</v>
      </c>
      <c r="B116" s="8">
        <f>4.7126 * CHOOSE(CONTROL!$C$12, $D$11, 100%, $F$11)</f>
        <v>3.7889304000000004</v>
      </c>
      <c r="C116" s="8">
        <f>4.723 * CHOOSE(CONTROL!$C$12, $D$11, 100%, $F$11)</f>
        <v>3.7972920000000001</v>
      </c>
      <c r="D116" s="8">
        <f>4.7262 * CHOOSE( CONTROL!$C$12, $D$11, 100%, $F$11)</f>
        <v>3.7998648000000004</v>
      </c>
      <c r="E116" s="12">
        <f>4.724 * CHOOSE( CONTROL!$C$12, $D$11, 100%, $F$11)</f>
        <v>3.7980960000000006</v>
      </c>
      <c r="F116" s="4">
        <f>5.7199 * CHOOSE(CONTROL!$C$12, $D$11, 100%, $F$11)</f>
        <v>4.5987996000000004</v>
      </c>
      <c r="G116" s="8">
        <f>4.5885 * CHOOSE( CONTROL!$C$12, $D$11, 100%, $F$11)</f>
        <v>3.6891540000000003</v>
      </c>
      <c r="H116" s="4">
        <f>5.4993 * CHOOSE(CONTROL!$C$12, $D$11, 100%, $F$11)</f>
        <v>4.4214371999999997</v>
      </c>
      <c r="I116" s="8">
        <f>4.5614 * CHOOSE(CONTROL!$C$12, $D$11, 100%, $F$11)</f>
        <v>3.6673656000000001</v>
      </c>
      <c r="J116" s="4">
        <f>4.5109 * CHOOSE(CONTROL!$C$12, $D$11, 100%, $F$11)</f>
        <v>3.6267636000000003</v>
      </c>
      <c r="K116" s="4"/>
      <c r="L116" s="9">
        <v>27.988800000000001</v>
      </c>
      <c r="M116" s="9">
        <v>11.6745</v>
      </c>
      <c r="N116" s="9">
        <v>4.7850000000000001</v>
      </c>
      <c r="O116" s="9">
        <v>0.36249999999999999</v>
      </c>
      <c r="P116" s="9">
        <v>1.1798</v>
      </c>
      <c r="Q116" s="9">
        <v>31.393799999999999</v>
      </c>
      <c r="R116" s="9"/>
      <c r="S116" s="11"/>
    </row>
    <row r="117" spans="1:19" ht="15.75">
      <c r="A117" s="13">
        <v>45413</v>
      </c>
      <c r="B117" s="8">
        <f>CHOOSE( CONTROL!$C$29, 4.8428, 4.838) * CHOOSE(CONTROL!$C$12, $D$11, 100%, $F$11)</f>
        <v>3.8936112000000005</v>
      </c>
      <c r="C117" s="8">
        <f>CHOOSE( CONTROL!$C$29, 4.8532, 4.8485) * CHOOSE(CONTROL!$C$12, $D$11, 100%, $F$11)</f>
        <v>3.9019728000000002</v>
      </c>
      <c r="D117" s="8">
        <f>CHOOSE( CONTROL!$C$29, 4.8311, 4.8264) * CHOOSE( CONTROL!$C$12, $D$11, 100%, $F$11)</f>
        <v>3.8842044000000002</v>
      </c>
      <c r="E117" s="12">
        <f>CHOOSE( CONTROL!$C$29, 4.8375, 4.8328) * CHOOSE( CONTROL!$C$12, $D$11, 100%, $F$11)</f>
        <v>3.8893500000000003</v>
      </c>
      <c r="F117" s="4">
        <f>CHOOSE( CONTROL!$C$29, 5.8177, 5.8129) * CHOOSE(CONTROL!$C$12, $D$11, 100%, $F$11)</f>
        <v>4.6774308000000007</v>
      </c>
      <c r="G117" s="8">
        <f>CHOOSE( CONTROL!$C$29, 4.6966, 4.692) * CHOOSE( CONTROL!$C$12, $D$11, 100%, $F$11)</f>
        <v>3.7760664000000004</v>
      </c>
      <c r="H117" s="4">
        <f>CHOOSE( CONTROL!$C$29, 5.5946, 5.5901) * CHOOSE(CONTROL!$C$12, $D$11, 100%, $F$11)</f>
        <v>4.4980583999999997</v>
      </c>
      <c r="I117" s="8">
        <f>CHOOSE( CONTROL!$C$29, 4.6646, 4.6601) * CHOOSE(CONTROL!$C$12, $D$11, 100%, $F$11)</f>
        <v>3.7503384000000004</v>
      </c>
      <c r="J117" s="4">
        <f>CHOOSE( CONTROL!$C$29, 4.6356, 4.6311) * CHOOSE(CONTROL!$C$12, $D$11, 100%, $F$11)</f>
        <v>3.7270224000000005</v>
      </c>
      <c r="K117" s="4"/>
      <c r="L117" s="9">
        <v>29.520499999999998</v>
      </c>
      <c r="M117" s="9">
        <v>12.063700000000001</v>
      </c>
      <c r="N117" s="9">
        <v>4.9444999999999997</v>
      </c>
      <c r="O117" s="9">
        <v>0.37459999999999999</v>
      </c>
      <c r="P117" s="9">
        <v>1.2192000000000001</v>
      </c>
      <c r="Q117" s="9">
        <v>32.440300000000001</v>
      </c>
      <c r="R117" s="9"/>
      <c r="S117" s="11"/>
    </row>
    <row r="118" spans="1:19" ht="15.75">
      <c r="A118" s="13">
        <v>45444</v>
      </c>
      <c r="B118" s="8">
        <f>CHOOSE( CONTROL!$C$29, 4.765, 4.7603) * CHOOSE(CONTROL!$C$12, $D$11, 100%, $F$11)</f>
        <v>3.8310599999999999</v>
      </c>
      <c r="C118" s="8">
        <f>CHOOSE( CONTROL!$C$29, 4.7755, 4.7708) * CHOOSE(CONTROL!$C$12, $D$11, 100%, $F$11)</f>
        <v>3.8395020000000004</v>
      </c>
      <c r="D118" s="8">
        <f>CHOOSE( CONTROL!$C$29, 4.7478, 4.7431) * CHOOSE( CONTROL!$C$12, $D$11, 100%, $F$11)</f>
        <v>3.8172312000000002</v>
      </c>
      <c r="E118" s="12">
        <f>CHOOSE( CONTROL!$C$29, 4.7562, 4.7515) * CHOOSE( CONTROL!$C$12, $D$11, 100%, $F$11)</f>
        <v>3.8239847999999999</v>
      </c>
      <c r="F118" s="4">
        <f>CHOOSE( CONTROL!$C$29, 5.7295, 5.7248) * CHOOSE(CONTROL!$C$12, $D$11, 100%, $F$11)</f>
        <v>4.6065180000000003</v>
      </c>
      <c r="G118" s="8">
        <f>CHOOSE( CONTROL!$C$29, 4.6196, 4.615) * CHOOSE( CONTROL!$C$12, $D$11, 100%, $F$11)</f>
        <v>3.7141584000000005</v>
      </c>
      <c r="H118" s="4">
        <f>CHOOSE( CONTROL!$C$29, 5.5087, 5.5041) * CHOOSE(CONTROL!$C$12, $D$11, 100%, $F$11)</f>
        <v>4.4289948000000008</v>
      </c>
      <c r="I118" s="8">
        <f>CHOOSE( CONTROL!$C$29, 4.5923, 4.5877) * CHOOSE(CONTROL!$C$12, $D$11, 100%, $F$11)</f>
        <v>3.6922092000000002</v>
      </c>
      <c r="J118" s="4">
        <f>CHOOSE( CONTROL!$C$29, 4.5611, 4.5566) * CHOOSE(CONTROL!$C$12, $D$11, 100%, $F$11)</f>
        <v>3.6671244000000001</v>
      </c>
      <c r="K118" s="4"/>
      <c r="L118" s="9">
        <v>28.568200000000001</v>
      </c>
      <c r="M118" s="9">
        <v>11.6745</v>
      </c>
      <c r="N118" s="9">
        <v>4.7850000000000001</v>
      </c>
      <c r="O118" s="9">
        <v>0.36249999999999999</v>
      </c>
      <c r="P118" s="9">
        <v>1.1798</v>
      </c>
      <c r="Q118" s="9">
        <v>31.393799999999999</v>
      </c>
      <c r="R118" s="9"/>
      <c r="S118" s="11"/>
    </row>
    <row r="119" spans="1:19" ht="15.75">
      <c r="A119" s="13">
        <v>45474</v>
      </c>
      <c r="B119" s="8">
        <f>CHOOSE( CONTROL!$C$29, 4.9697, 4.965) * CHOOSE(CONTROL!$C$12, $D$11, 100%, $F$11)</f>
        <v>3.9956388</v>
      </c>
      <c r="C119" s="8">
        <f>CHOOSE( CONTROL!$C$29, 4.9801, 4.9754) * CHOOSE(CONTROL!$C$12, $D$11, 100%, $F$11)</f>
        <v>4.0040004000000007</v>
      </c>
      <c r="D119" s="8">
        <f>CHOOSE( CONTROL!$C$29, 4.9717, 4.967) * CHOOSE( CONTROL!$C$12, $D$11, 100%, $F$11)</f>
        <v>3.9972468000000005</v>
      </c>
      <c r="E119" s="12">
        <f>CHOOSE( CONTROL!$C$29, 4.9732, 4.9685) * CHOOSE( CONTROL!$C$12, $D$11, 100%, $F$11)</f>
        <v>3.9984528000000004</v>
      </c>
      <c r="F119" s="4">
        <f>CHOOSE( CONTROL!$C$29, 5.9613, 5.9566) * CHOOSE(CONTROL!$C$12, $D$11, 100%, $F$11)</f>
        <v>4.7928851999999997</v>
      </c>
      <c r="G119" s="8">
        <f>CHOOSE( CONTROL!$C$29, 4.8318, 4.8272) * CHOOSE( CONTROL!$C$12, $D$11, 100%, $F$11)</f>
        <v>3.8847672000000006</v>
      </c>
      <c r="H119" s="4">
        <f>CHOOSE( CONTROL!$C$29, 5.7346, 5.73) * CHOOSE(CONTROL!$C$12, $D$11, 100%, $F$11)</f>
        <v>4.6106184000000008</v>
      </c>
      <c r="I119" s="8">
        <f>CHOOSE( CONTROL!$C$29, 4.8112, 4.8066) * CHOOSE(CONTROL!$C$12, $D$11, 100%, $F$11)</f>
        <v>3.8682048000000004</v>
      </c>
      <c r="J119" s="4">
        <f>CHOOSE( CONTROL!$C$29, 4.7572, 4.7527) * CHOOSE(CONTROL!$C$12, $D$11, 100%, $F$11)</f>
        <v>3.8247888000000003</v>
      </c>
      <c r="K119" s="4"/>
      <c r="L119" s="9">
        <v>29.520499999999998</v>
      </c>
      <c r="M119" s="9">
        <v>12.063700000000001</v>
      </c>
      <c r="N119" s="9">
        <v>4.9444999999999997</v>
      </c>
      <c r="O119" s="9">
        <v>0.37459999999999999</v>
      </c>
      <c r="P119" s="9">
        <v>1.2192000000000001</v>
      </c>
      <c r="Q119" s="9">
        <v>32.440300000000001</v>
      </c>
      <c r="R119" s="9"/>
      <c r="S119" s="11"/>
    </row>
    <row r="120" spans="1:19" ht="15.75">
      <c r="A120" s="13">
        <v>45505</v>
      </c>
      <c r="B120" s="8">
        <f>CHOOSE( CONTROL!$C$29, 4.5868, 4.5821) * CHOOSE(CONTROL!$C$12, $D$11, 100%, $F$11)</f>
        <v>3.6877872000000003</v>
      </c>
      <c r="C120" s="8">
        <f>CHOOSE( CONTROL!$C$29, 4.5972, 4.5925) * CHOOSE(CONTROL!$C$12, $D$11, 100%, $F$11)</f>
        <v>3.6961488</v>
      </c>
      <c r="D120" s="8">
        <f>CHOOSE( CONTROL!$C$29, 4.5921, 4.5874) * CHOOSE( CONTROL!$C$12, $D$11, 100%, $F$11)</f>
        <v>3.6920484000000005</v>
      </c>
      <c r="E120" s="12">
        <f>CHOOSE( CONTROL!$C$29, 4.5924, 4.5877) * CHOOSE( CONTROL!$C$12, $D$11, 100%, $F$11)</f>
        <v>3.6922896000000001</v>
      </c>
      <c r="F120" s="4">
        <f>CHOOSE( CONTROL!$C$29, 5.5836, 5.5789) * CHOOSE(CONTROL!$C$12, $D$11, 100%, $F$11)</f>
        <v>4.4892143999999998</v>
      </c>
      <c r="G120" s="8">
        <f>CHOOSE( CONTROL!$C$29, 4.4607, 4.4561) * CHOOSE( CONTROL!$C$12, $D$11, 100%, $F$11)</f>
        <v>3.5864028000000001</v>
      </c>
      <c r="H120" s="4">
        <f>CHOOSE( CONTROL!$C$29, 5.3665, 5.3619) * CHOOSE(CONTROL!$C$12, $D$11, 100%, $F$11)</f>
        <v>4.3146660000000008</v>
      </c>
      <c r="I120" s="8">
        <f>CHOOSE( CONTROL!$C$29, 4.4487, 4.4442) * CHOOSE(CONTROL!$C$12, $D$11, 100%, $F$11)</f>
        <v>3.5767547999999998</v>
      </c>
      <c r="J120" s="4">
        <f>CHOOSE( CONTROL!$C$29, 4.3903, 4.3858) * CHOOSE(CONTROL!$C$12, $D$11, 100%, $F$11)</f>
        <v>3.5298012000000001</v>
      </c>
      <c r="K120" s="4"/>
      <c r="L120" s="9">
        <v>29.520499999999998</v>
      </c>
      <c r="M120" s="9">
        <v>12.063700000000001</v>
      </c>
      <c r="N120" s="9">
        <v>4.9444999999999997</v>
      </c>
      <c r="O120" s="9">
        <v>0.37459999999999999</v>
      </c>
      <c r="P120" s="9">
        <v>1.2192000000000001</v>
      </c>
      <c r="Q120" s="9">
        <v>32.440300000000001</v>
      </c>
      <c r="R120" s="9"/>
      <c r="S120" s="11"/>
    </row>
    <row r="121" spans="1:19" ht="15.75">
      <c r="A121" s="13">
        <v>45536</v>
      </c>
      <c r="B121" s="8">
        <f>CHOOSE( CONTROL!$C$29, 4.4909, 4.4862) * CHOOSE(CONTROL!$C$12, $D$11, 100%, $F$11)</f>
        <v>3.6106836000000002</v>
      </c>
      <c r="C121" s="8">
        <f>CHOOSE( CONTROL!$C$29, 4.5014, 4.4967) * CHOOSE(CONTROL!$C$12, $D$11, 100%, $F$11)</f>
        <v>3.6191256000000003</v>
      </c>
      <c r="D121" s="8">
        <f>CHOOSE( CONTROL!$C$29, 4.492, 4.4873) * CHOOSE( CONTROL!$C$12, $D$11, 100%, $F$11)</f>
        <v>3.6115680000000001</v>
      </c>
      <c r="E121" s="12">
        <f>CHOOSE( CONTROL!$C$29, 4.4938, 4.4891) * CHOOSE( CONTROL!$C$12, $D$11, 100%, $F$11)</f>
        <v>3.6130152000000004</v>
      </c>
      <c r="F121" s="4">
        <f>CHOOSE( CONTROL!$C$29, 5.4799, 5.4752) * CHOOSE(CONTROL!$C$12, $D$11, 100%, $F$11)</f>
        <v>4.4058396000000002</v>
      </c>
      <c r="G121" s="8">
        <f>CHOOSE( CONTROL!$C$29, 4.3659, 4.3613) * CHOOSE( CONTROL!$C$12, $D$11, 100%, $F$11)</f>
        <v>3.5101836</v>
      </c>
      <c r="H121" s="4">
        <f>CHOOSE( CONTROL!$C$29, 5.2654, 5.2608) * CHOOSE(CONTROL!$C$12, $D$11, 100%, $F$11)</f>
        <v>4.2333815999999995</v>
      </c>
      <c r="I121" s="8">
        <f>CHOOSE( CONTROL!$C$29, 4.3581, 4.3536) * CHOOSE(CONTROL!$C$12, $D$11, 100%, $F$11)</f>
        <v>3.5039124000000004</v>
      </c>
      <c r="J121" s="4">
        <f>CHOOSE( CONTROL!$C$29, 4.2984, 4.2939) * CHOOSE(CONTROL!$C$12, $D$11, 100%, $F$11)</f>
        <v>3.4559136000000001</v>
      </c>
      <c r="K121" s="4"/>
      <c r="L121" s="9">
        <v>28.568200000000001</v>
      </c>
      <c r="M121" s="9">
        <v>11.6745</v>
      </c>
      <c r="N121" s="9">
        <v>4.7850000000000001</v>
      </c>
      <c r="O121" s="9">
        <v>0.36249999999999999</v>
      </c>
      <c r="P121" s="9">
        <v>1.1798</v>
      </c>
      <c r="Q121" s="9">
        <v>31.393799999999999</v>
      </c>
      <c r="R121" s="9"/>
      <c r="S121" s="11"/>
    </row>
    <row r="122" spans="1:19" ht="15.75">
      <c r="A122" s="13">
        <v>45566</v>
      </c>
      <c r="B122" s="8">
        <f>4.6853 * CHOOSE(CONTROL!$C$12, $D$11, 100%, $F$11)</f>
        <v>3.7669812</v>
      </c>
      <c r="C122" s="8">
        <f>4.6957 * CHOOSE(CONTROL!$C$12, $D$11, 100%, $F$11)</f>
        <v>3.7753428000000007</v>
      </c>
      <c r="D122" s="8">
        <f>4.6873 * CHOOSE( CONTROL!$C$12, $D$11, 100%, $F$11)</f>
        <v>3.7685892000000001</v>
      </c>
      <c r="E122" s="12">
        <f>4.689 * CHOOSE( CONTROL!$C$12, $D$11, 100%, $F$11)</f>
        <v>3.7699560000000001</v>
      </c>
      <c r="F122" s="4">
        <f>5.6743 * CHOOSE(CONTROL!$C$12, $D$11, 100%, $F$11)</f>
        <v>4.5621372000000004</v>
      </c>
      <c r="G122" s="8">
        <f>4.555 * CHOOSE( CONTROL!$C$12, $D$11, 100%, $F$11)</f>
        <v>3.66222</v>
      </c>
      <c r="H122" s="4">
        <f>5.4549 * CHOOSE(CONTROL!$C$12, $D$11, 100%, $F$11)</f>
        <v>4.3857396000000008</v>
      </c>
      <c r="I122" s="8">
        <f>4.5465 * CHOOSE(CONTROL!$C$12, $D$11, 100%, $F$11)</f>
        <v>3.655386</v>
      </c>
      <c r="J122" s="4">
        <f>4.4847 * CHOOSE(CONTROL!$C$12, $D$11, 100%, $F$11)</f>
        <v>3.6056988000000003</v>
      </c>
      <c r="K122" s="4"/>
      <c r="L122" s="9">
        <v>28.921800000000001</v>
      </c>
      <c r="M122" s="9">
        <v>12.063700000000001</v>
      </c>
      <c r="N122" s="9">
        <v>4.9444999999999997</v>
      </c>
      <c r="O122" s="9">
        <v>0.37459999999999999</v>
      </c>
      <c r="P122" s="9">
        <v>1.2192000000000001</v>
      </c>
      <c r="Q122" s="9">
        <v>32.440300000000001</v>
      </c>
      <c r="R122" s="9"/>
      <c r="S122" s="11"/>
    </row>
    <row r="123" spans="1:19" ht="15.75">
      <c r="A123" s="13">
        <v>45597</v>
      </c>
      <c r="B123" s="8">
        <f>5.0527 * CHOOSE(CONTROL!$C$12, $D$11, 100%, $F$11)</f>
        <v>4.0623708000000001</v>
      </c>
      <c r="C123" s="8">
        <f>5.0632 * CHOOSE(CONTROL!$C$12, $D$11, 100%, $F$11)</f>
        <v>4.0708128000000006</v>
      </c>
      <c r="D123" s="8">
        <f>5.0434 * CHOOSE( CONTROL!$C$12, $D$11, 100%, $F$11)</f>
        <v>4.0548936000000007</v>
      </c>
      <c r="E123" s="12">
        <f>5.0495 * CHOOSE( CONTROL!$C$12, $D$11, 100%, $F$11)</f>
        <v>4.0597980000000007</v>
      </c>
      <c r="F123" s="4">
        <f>6.0443 * CHOOSE(CONTROL!$C$12, $D$11, 100%, $F$11)</f>
        <v>4.8596171999999997</v>
      </c>
      <c r="G123" s="8">
        <f>4.9322 * CHOOSE( CONTROL!$C$12, $D$11, 100%, $F$11)</f>
        <v>3.9654888000000001</v>
      </c>
      <c r="H123" s="4">
        <f>5.8156 * CHOOSE(CONTROL!$C$12, $D$11, 100%, $F$11)</f>
        <v>4.6757423999999999</v>
      </c>
      <c r="I123" s="8">
        <f>4.929 * CHOOSE(CONTROL!$C$12, $D$11, 100%, $F$11)</f>
        <v>3.9629160000000003</v>
      </c>
      <c r="J123" s="4">
        <f>4.8368 * CHOOSE(CONTROL!$C$12, $D$11, 100%, $F$11)</f>
        <v>3.8887872000000003</v>
      </c>
      <c r="K123" s="4"/>
      <c r="L123" s="9">
        <v>26.515499999999999</v>
      </c>
      <c r="M123" s="9">
        <v>11.6745</v>
      </c>
      <c r="N123" s="9">
        <v>4.7850000000000001</v>
      </c>
      <c r="O123" s="9">
        <v>0.36249999999999999</v>
      </c>
      <c r="P123" s="9">
        <v>1.2522</v>
      </c>
      <c r="Q123" s="9">
        <v>31.393799999999999</v>
      </c>
      <c r="R123" s="9"/>
      <c r="S123" s="11"/>
    </row>
    <row r="124" spans="1:19" ht="15.75">
      <c r="A124" s="13">
        <v>45627</v>
      </c>
      <c r="B124" s="8">
        <f>5.0436 * CHOOSE(CONTROL!$C$12, $D$11, 100%, $F$11)</f>
        <v>4.0550544000000004</v>
      </c>
      <c r="C124" s="8">
        <f>5.054 * CHOOSE(CONTROL!$C$12, $D$11, 100%, $F$11)</f>
        <v>4.0634160000000001</v>
      </c>
      <c r="D124" s="8">
        <f>5.0362 * CHOOSE( CONTROL!$C$12, $D$11, 100%, $F$11)</f>
        <v>4.0491048000000003</v>
      </c>
      <c r="E124" s="12">
        <f>5.0416 * CHOOSE( CONTROL!$C$12, $D$11, 100%, $F$11)</f>
        <v>4.0534464000000003</v>
      </c>
      <c r="F124" s="4">
        <f>6.0352 * CHOOSE(CONTROL!$C$12, $D$11, 100%, $F$11)</f>
        <v>4.8523008000000001</v>
      </c>
      <c r="G124" s="8">
        <f>4.9247 * CHOOSE( CONTROL!$C$12, $D$11, 100%, $F$11)</f>
        <v>3.9594587999999997</v>
      </c>
      <c r="H124" s="4">
        <f>5.8067 * CHOOSE(CONTROL!$C$12, $D$11, 100%, $F$11)</f>
        <v>4.6685868000000008</v>
      </c>
      <c r="I124" s="8">
        <f>4.927 * CHOOSE(CONTROL!$C$12, $D$11, 100%, $F$11)</f>
        <v>3.9613079999999998</v>
      </c>
      <c r="J124" s="4">
        <f>4.828 * CHOOSE(CONTROL!$C$12, $D$11, 100%, $F$11)</f>
        <v>3.8817120000000003</v>
      </c>
      <c r="K124" s="4"/>
      <c r="L124" s="9">
        <v>27.3993</v>
      </c>
      <c r="M124" s="9">
        <v>12.063700000000001</v>
      </c>
      <c r="N124" s="9">
        <v>4.9444999999999997</v>
      </c>
      <c r="O124" s="9">
        <v>0.37459999999999999</v>
      </c>
      <c r="P124" s="9">
        <v>1.2939000000000001</v>
      </c>
      <c r="Q124" s="9">
        <v>32.440300000000001</v>
      </c>
      <c r="R124" s="9"/>
      <c r="S124" s="11"/>
    </row>
    <row r="125" spans="1:19" ht="15.75">
      <c r="A125" s="13">
        <v>45658</v>
      </c>
      <c r="B125" s="8">
        <f>5.306 * CHOOSE(CONTROL!$C$12, $D$11, 100%, $F$11)</f>
        <v>4.2660240000000007</v>
      </c>
      <c r="C125" s="8">
        <f>5.3164 * CHOOSE(CONTROL!$C$12, $D$11, 100%, $F$11)</f>
        <v>4.2743856000000005</v>
      </c>
      <c r="D125" s="8">
        <f>5.3141 * CHOOSE( CONTROL!$C$12, $D$11, 100%, $F$11)</f>
        <v>4.2725363999999999</v>
      </c>
      <c r="E125" s="12">
        <f>5.3138 * CHOOSE( CONTROL!$C$12, $D$11, 100%, $F$11)</f>
        <v>4.2722952000000003</v>
      </c>
      <c r="F125" s="4">
        <f>6.3289 * CHOOSE(CONTROL!$C$12, $D$11, 100%, $F$11)</f>
        <v>5.0884356000000004</v>
      </c>
      <c r="G125" s="8">
        <f>5.1996 * CHOOSE( CONTROL!$C$12, $D$11, 100%, $F$11)</f>
        <v>4.1804784000000001</v>
      </c>
      <c r="H125" s="4">
        <f>6.093 * CHOOSE(CONTROL!$C$12, $D$11, 100%, $F$11)</f>
        <v>4.8987720000000001</v>
      </c>
      <c r="I125" s="8">
        <f>5.1906 * CHOOSE(CONTROL!$C$12, $D$11, 100%, $F$11)</f>
        <v>4.1732424000000004</v>
      </c>
      <c r="J125" s="4">
        <f>5.0794 * CHOOSE(CONTROL!$C$12, $D$11, 100%, $F$11)</f>
        <v>4.0838375999999998</v>
      </c>
      <c r="K125" s="4"/>
      <c r="L125" s="9">
        <v>27.3993</v>
      </c>
      <c r="M125" s="9">
        <v>12.063700000000001</v>
      </c>
      <c r="N125" s="9">
        <v>4.9444999999999997</v>
      </c>
      <c r="O125" s="9">
        <v>0.37459999999999999</v>
      </c>
      <c r="P125" s="9">
        <v>1.2939000000000001</v>
      </c>
      <c r="Q125" s="9">
        <v>32.254300000000001</v>
      </c>
      <c r="R125" s="9"/>
      <c r="S125" s="11"/>
    </row>
    <row r="126" spans="1:19" ht="15.75">
      <c r="A126" s="13">
        <v>45689</v>
      </c>
      <c r="B126" s="8">
        <f>4.9633 * CHOOSE(CONTROL!$C$12, $D$11, 100%, $F$11)</f>
        <v>3.9904932000000004</v>
      </c>
      <c r="C126" s="8">
        <f>4.9737 * CHOOSE(CONTROL!$C$12, $D$11, 100%, $F$11)</f>
        <v>3.9988548000000002</v>
      </c>
      <c r="D126" s="8">
        <f>4.9737 * CHOOSE( CONTROL!$C$12, $D$11, 100%, $F$11)</f>
        <v>3.9988548000000002</v>
      </c>
      <c r="E126" s="12">
        <f>4.9726 * CHOOSE( CONTROL!$C$12, $D$11, 100%, $F$11)</f>
        <v>3.9979704000000003</v>
      </c>
      <c r="F126" s="4">
        <f>5.9784 * CHOOSE(CONTROL!$C$12, $D$11, 100%, $F$11)</f>
        <v>4.8066335999999996</v>
      </c>
      <c r="G126" s="8">
        <f>4.8654 * CHOOSE( CONTROL!$C$12, $D$11, 100%, $F$11)</f>
        <v>3.9117816000000003</v>
      </c>
      <c r="H126" s="4">
        <f>5.7513 * CHOOSE(CONTROL!$C$12, $D$11, 100%, $F$11)</f>
        <v>4.6240452000000003</v>
      </c>
      <c r="I126" s="8">
        <f>4.8511 * CHOOSE(CONTROL!$C$12, $D$11, 100%, $F$11)</f>
        <v>3.9002843999999999</v>
      </c>
      <c r="J126" s="4">
        <f>4.7511 * CHOOSE(CONTROL!$C$12, $D$11, 100%, $F$11)</f>
        <v>3.8198844000000003</v>
      </c>
      <c r="K126" s="4"/>
      <c r="L126" s="9">
        <v>24.747800000000002</v>
      </c>
      <c r="M126" s="9">
        <v>10.8962</v>
      </c>
      <c r="N126" s="9">
        <v>4.4660000000000002</v>
      </c>
      <c r="O126" s="9">
        <v>0.33829999999999999</v>
      </c>
      <c r="P126" s="9">
        <v>1.1687000000000001</v>
      </c>
      <c r="Q126" s="9">
        <v>29.132899999999999</v>
      </c>
      <c r="R126" s="9"/>
      <c r="S126" s="11"/>
    </row>
    <row r="127" spans="1:19" ht="15.75">
      <c r="A127" s="13">
        <v>45717</v>
      </c>
      <c r="B127" s="8">
        <f>4.8577 * CHOOSE(CONTROL!$C$12, $D$11, 100%, $F$11)</f>
        <v>3.9055908000000006</v>
      </c>
      <c r="C127" s="8">
        <f>4.8682 * CHOOSE(CONTROL!$C$12, $D$11, 100%, $F$11)</f>
        <v>3.9140328000000002</v>
      </c>
      <c r="D127" s="8">
        <f>4.848 * CHOOSE( CONTROL!$C$12, $D$11, 100%, $F$11)</f>
        <v>3.8977919999999999</v>
      </c>
      <c r="E127" s="12">
        <f>4.8543 * CHOOSE( CONTROL!$C$12, $D$11, 100%, $F$11)</f>
        <v>3.9028572000000006</v>
      </c>
      <c r="F127" s="4">
        <f>5.8566 * CHOOSE(CONTROL!$C$12, $D$11, 100%, $F$11)</f>
        <v>4.7087064000000005</v>
      </c>
      <c r="G127" s="8">
        <f>4.742 * CHOOSE( CONTROL!$C$12, $D$11, 100%, $F$11)</f>
        <v>3.8125680000000002</v>
      </c>
      <c r="H127" s="4">
        <f>5.6326 * CHOOSE(CONTROL!$C$12, $D$11, 100%, $F$11)</f>
        <v>4.5286104000000007</v>
      </c>
      <c r="I127" s="8">
        <f>4.7104 * CHOOSE(CONTROL!$C$12, $D$11, 100%, $F$11)</f>
        <v>3.7871616000000001</v>
      </c>
      <c r="J127" s="4">
        <f>4.6499 * CHOOSE(CONTROL!$C$12, $D$11, 100%, $F$11)</f>
        <v>3.7385196000000001</v>
      </c>
      <c r="K127" s="4"/>
      <c r="L127" s="9">
        <v>27.3993</v>
      </c>
      <c r="M127" s="9">
        <v>12.063700000000001</v>
      </c>
      <c r="N127" s="9">
        <v>4.9444999999999997</v>
      </c>
      <c r="O127" s="9">
        <v>0.37459999999999999</v>
      </c>
      <c r="P127" s="9">
        <v>1.2939000000000001</v>
      </c>
      <c r="Q127" s="9">
        <v>32.254300000000001</v>
      </c>
      <c r="R127" s="9"/>
      <c r="S127" s="11"/>
    </row>
    <row r="128" spans="1:19" ht="15.75">
      <c r="A128" s="13">
        <v>45748</v>
      </c>
      <c r="B128" s="8">
        <f>4.9315 * CHOOSE(CONTROL!$C$12, $D$11, 100%, $F$11)</f>
        <v>3.9649260000000002</v>
      </c>
      <c r="C128" s="8">
        <f>4.9419 * CHOOSE(CONTROL!$C$12, $D$11, 100%, $F$11)</f>
        <v>3.9732876000000004</v>
      </c>
      <c r="D128" s="8">
        <f>4.9451 * CHOOSE( CONTROL!$C$12, $D$11, 100%, $F$11)</f>
        <v>3.9758604000000002</v>
      </c>
      <c r="E128" s="12">
        <f>4.9429 * CHOOSE( CONTROL!$C$12, $D$11, 100%, $F$11)</f>
        <v>3.9740915999999999</v>
      </c>
      <c r="F128" s="4">
        <f>5.9387 * CHOOSE(CONTROL!$C$12, $D$11, 100%, $F$11)</f>
        <v>4.7747147999999999</v>
      </c>
      <c r="G128" s="8">
        <f>4.8018 * CHOOSE( CONTROL!$C$12, $D$11, 100%, $F$11)</f>
        <v>3.8606472000000003</v>
      </c>
      <c r="H128" s="4">
        <f>5.7127 * CHOOSE(CONTROL!$C$12, $D$11, 100%, $F$11)</f>
        <v>4.5930108000000001</v>
      </c>
      <c r="I128" s="8">
        <f>4.7712 * CHOOSE(CONTROL!$C$12, $D$11, 100%, $F$11)</f>
        <v>3.8360448000000007</v>
      </c>
      <c r="J128" s="4">
        <f>4.7206 * CHOOSE(CONTROL!$C$12, $D$11, 100%, $F$11)</f>
        <v>3.7953624000000001</v>
      </c>
      <c r="K128" s="4"/>
      <c r="L128" s="9">
        <v>27.988800000000001</v>
      </c>
      <c r="M128" s="9">
        <v>11.6745</v>
      </c>
      <c r="N128" s="9">
        <v>4.7850000000000001</v>
      </c>
      <c r="O128" s="9">
        <v>0.36249999999999999</v>
      </c>
      <c r="P128" s="9">
        <v>1.1798</v>
      </c>
      <c r="Q128" s="9">
        <v>31.213799999999999</v>
      </c>
      <c r="R128" s="9"/>
      <c r="S128" s="11"/>
    </row>
    <row r="129" spans="1:19" ht="15.75">
      <c r="A129" s="13">
        <v>45778</v>
      </c>
      <c r="B129" s="8">
        <f>CHOOSE( CONTROL!$C$29, 5.0675, 5.0628) * CHOOSE(CONTROL!$C$12, $D$11, 100%, $F$11)</f>
        <v>4.0742700000000003</v>
      </c>
      <c r="C129" s="8">
        <f>CHOOSE( CONTROL!$C$29, 5.0779, 5.0732) * CHOOSE(CONTROL!$C$12, $D$11, 100%, $F$11)</f>
        <v>4.0826316</v>
      </c>
      <c r="D129" s="8">
        <f>CHOOSE( CONTROL!$C$29, 5.0558, 5.0511) * CHOOSE( CONTROL!$C$12, $D$11, 100%, $F$11)</f>
        <v>4.0648631999999996</v>
      </c>
      <c r="E129" s="12">
        <f>CHOOSE( CONTROL!$C$29, 5.0622, 5.0575) * CHOOSE( CONTROL!$C$12, $D$11, 100%, $F$11)</f>
        <v>4.0700088000000001</v>
      </c>
      <c r="F129" s="4">
        <f>CHOOSE( CONTROL!$C$29, 6.0424, 6.0377) * CHOOSE(CONTROL!$C$12, $D$11, 100%, $F$11)</f>
        <v>4.8580896000000005</v>
      </c>
      <c r="G129" s="8">
        <f>CHOOSE( CONTROL!$C$29, 4.9157, 4.9111) * CHOOSE( CONTROL!$C$12, $D$11, 100%, $F$11)</f>
        <v>3.9522228000000004</v>
      </c>
      <c r="H129" s="4">
        <f>CHOOSE( CONTROL!$C$29, 5.8137, 5.8091) * CHOOSE(CONTROL!$C$12, $D$11, 100%, $F$11)</f>
        <v>4.6742148000000006</v>
      </c>
      <c r="I129" s="8">
        <f>CHOOSE( CONTROL!$C$29, 4.88, 4.8755) * CHOOSE(CONTROL!$C$12, $D$11, 100%, $F$11)</f>
        <v>3.9235200000000003</v>
      </c>
      <c r="J129" s="4">
        <f>CHOOSE( CONTROL!$C$29, 4.8509, 4.8464) * CHOOSE(CONTROL!$C$12, $D$11, 100%, $F$11)</f>
        <v>3.9001236000000006</v>
      </c>
      <c r="K129" s="4"/>
      <c r="L129" s="9">
        <v>29.520499999999998</v>
      </c>
      <c r="M129" s="9">
        <v>12.063700000000001</v>
      </c>
      <c r="N129" s="9">
        <v>4.9444999999999997</v>
      </c>
      <c r="O129" s="9">
        <v>0.37459999999999999</v>
      </c>
      <c r="P129" s="9">
        <v>1.2192000000000001</v>
      </c>
      <c r="Q129" s="9">
        <v>32.254300000000001</v>
      </c>
      <c r="R129" s="9"/>
      <c r="S129" s="11"/>
    </row>
    <row r="130" spans="1:19" ht="15.75">
      <c r="A130" s="13">
        <v>45809</v>
      </c>
      <c r="B130" s="8">
        <f>CHOOSE( CONTROL!$C$29, 4.9861, 4.9814) * CHOOSE(CONTROL!$C$12, $D$11, 100%, $F$11)</f>
        <v>4.0088244000000008</v>
      </c>
      <c r="C130" s="8">
        <f>CHOOSE( CONTROL!$C$29, 4.9966, 4.9919) * CHOOSE(CONTROL!$C$12, $D$11, 100%, $F$11)</f>
        <v>4.0172664000000005</v>
      </c>
      <c r="D130" s="8">
        <f>CHOOSE( CONTROL!$C$29, 4.9689, 4.9642) * CHOOSE( CONTROL!$C$12, $D$11, 100%, $F$11)</f>
        <v>3.9949955999999998</v>
      </c>
      <c r="E130" s="12">
        <f>CHOOSE( CONTROL!$C$29, 4.9773, 4.9726) * CHOOSE( CONTROL!$C$12, $D$11, 100%, $F$11)</f>
        <v>4.0017491999999999</v>
      </c>
      <c r="F130" s="4">
        <f>CHOOSE( CONTROL!$C$29, 5.9506, 5.9459) * CHOOSE(CONTROL!$C$12, $D$11, 100%, $F$11)</f>
        <v>4.7842824000000004</v>
      </c>
      <c r="G130" s="8">
        <f>CHOOSE( CONTROL!$C$29, 4.8351, 4.8306) * CHOOSE( CONTROL!$C$12, $D$11, 100%, $F$11)</f>
        <v>3.8874203999999999</v>
      </c>
      <c r="H130" s="4">
        <f>CHOOSE( CONTROL!$C$29, 5.7242, 5.7197) * CHOOSE(CONTROL!$C$12, $D$11, 100%, $F$11)</f>
        <v>4.6022568000000001</v>
      </c>
      <c r="I130" s="8">
        <f>CHOOSE( CONTROL!$C$29, 4.8042, 4.7997) * CHOOSE(CONTROL!$C$12, $D$11, 100%, $F$11)</f>
        <v>3.8625768000000003</v>
      </c>
      <c r="J130" s="4">
        <f>CHOOSE( CONTROL!$C$29, 4.773, 4.7685) * CHOOSE(CONTROL!$C$12, $D$11, 100%, $F$11)</f>
        <v>3.8374920000000001</v>
      </c>
      <c r="K130" s="4"/>
      <c r="L130" s="9">
        <v>28.568200000000001</v>
      </c>
      <c r="M130" s="9">
        <v>11.6745</v>
      </c>
      <c r="N130" s="9">
        <v>4.7850000000000001</v>
      </c>
      <c r="O130" s="9">
        <v>0.36249999999999999</v>
      </c>
      <c r="P130" s="9">
        <v>1.1798</v>
      </c>
      <c r="Q130" s="9">
        <v>31.213799999999999</v>
      </c>
      <c r="R130" s="9"/>
      <c r="S130" s="11"/>
    </row>
    <row r="131" spans="1:19" ht="15.75">
      <c r="A131" s="13">
        <v>45839</v>
      </c>
      <c r="B131" s="8">
        <f>CHOOSE( CONTROL!$C$29, 5.2003, 5.1956) * CHOOSE(CONTROL!$C$12, $D$11, 100%, $F$11)</f>
        <v>4.1810412000000001</v>
      </c>
      <c r="C131" s="8">
        <f>CHOOSE( CONTROL!$C$29, 5.2107, 5.206) * CHOOSE(CONTROL!$C$12, $D$11, 100%, $F$11)</f>
        <v>4.1894028000000008</v>
      </c>
      <c r="D131" s="8">
        <f>CHOOSE( CONTROL!$C$29, 5.2023, 5.1976) * CHOOSE( CONTROL!$C$12, $D$11, 100%, $F$11)</f>
        <v>4.1826492000000002</v>
      </c>
      <c r="E131" s="12">
        <f>CHOOSE( CONTROL!$C$29, 5.2038, 5.1991) * CHOOSE( CONTROL!$C$12, $D$11, 100%, $F$11)</f>
        <v>4.1838552</v>
      </c>
      <c r="F131" s="4">
        <f>CHOOSE( CONTROL!$C$29, 6.1919, 6.1872) * CHOOSE(CONTROL!$C$12, $D$11, 100%, $F$11)</f>
        <v>4.9782876000000007</v>
      </c>
      <c r="G131" s="8">
        <f>CHOOSE( CONTROL!$C$29, 5.0566, 5.052) * CHOOSE( CONTROL!$C$12, $D$11, 100%, $F$11)</f>
        <v>4.0655064000000003</v>
      </c>
      <c r="H131" s="4">
        <f>CHOOSE( CONTROL!$C$29, 5.9594, 5.9548) * CHOOSE(CONTROL!$C$12, $D$11, 100%, $F$11)</f>
        <v>4.7913575999999996</v>
      </c>
      <c r="I131" s="8">
        <f>CHOOSE( CONTROL!$C$29, 5.0322, 5.0277) * CHOOSE(CONTROL!$C$12, $D$11, 100%, $F$11)</f>
        <v>4.0458888000000002</v>
      </c>
      <c r="J131" s="4">
        <f>CHOOSE( CONTROL!$C$29, 4.9782, 4.9736) * CHOOSE(CONTROL!$C$12, $D$11, 100%, $F$11)</f>
        <v>4.0024728000000005</v>
      </c>
      <c r="K131" s="4"/>
      <c r="L131" s="9">
        <v>29.520499999999998</v>
      </c>
      <c r="M131" s="9">
        <v>12.063700000000001</v>
      </c>
      <c r="N131" s="9">
        <v>4.9444999999999997</v>
      </c>
      <c r="O131" s="9">
        <v>0.37459999999999999</v>
      </c>
      <c r="P131" s="9">
        <v>1.2192000000000001</v>
      </c>
      <c r="Q131" s="9">
        <v>32.254300000000001</v>
      </c>
      <c r="R131" s="9"/>
      <c r="S131" s="11"/>
    </row>
    <row r="132" spans="1:19" ht="15.75">
      <c r="A132" s="13">
        <v>45870</v>
      </c>
      <c r="B132" s="8">
        <f>CHOOSE( CONTROL!$C$29, 4.7996, 4.7949) * CHOOSE(CONTROL!$C$12, $D$11, 100%, $F$11)</f>
        <v>3.8588784</v>
      </c>
      <c r="C132" s="8">
        <f>CHOOSE( CONTROL!$C$29, 4.81, 4.8053) * CHOOSE(CONTROL!$C$12, $D$11, 100%, $F$11)</f>
        <v>3.8672399999999998</v>
      </c>
      <c r="D132" s="8">
        <f>CHOOSE( CONTROL!$C$29, 4.8049, 4.8002) * CHOOSE( CONTROL!$C$12, $D$11, 100%, $F$11)</f>
        <v>3.8631396000000002</v>
      </c>
      <c r="E132" s="12">
        <f>CHOOSE( CONTROL!$C$29, 4.8052, 4.8005) * CHOOSE( CONTROL!$C$12, $D$11, 100%, $F$11)</f>
        <v>3.8633808000000003</v>
      </c>
      <c r="F132" s="4">
        <f>CHOOSE( CONTROL!$C$29, 5.7964, 5.7917) * CHOOSE(CONTROL!$C$12, $D$11, 100%, $F$11)</f>
        <v>4.6603056</v>
      </c>
      <c r="G132" s="8">
        <f>CHOOSE( CONTROL!$C$29, 4.6681, 4.6635) * CHOOSE( CONTROL!$C$12, $D$11, 100%, $F$11)</f>
        <v>3.7531524000000003</v>
      </c>
      <c r="H132" s="4">
        <f>CHOOSE( CONTROL!$C$29, 5.5739, 5.5694) * CHOOSE(CONTROL!$C$12, $D$11, 100%, $F$11)</f>
        <v>4.4814156000000001</v>
      </c>
      <c r="I132" s="8">
        <f>CHOOSE( CONTROL!$C$29, 4.6527, 4.6482) * CHOOSE(CONTROL!$C$12, $D$11, 100%, $F$11)</f>
        <v>3.7407708000000004</v>
      </c>
      <c r="J132" s="4">
        <f>CHOOSE( CONTROL!$C$29, 4.5942, 4.5897) * CHOOSE(CONTROL!$C$12, $D$11, 100%, $F$11)</f>
        <v>3.6937367999999999</v>
      </c>
      <c r="K132" s="4"/>
      <c r="L132" s="9">
        <v>29.520499999999998</v>
      </c>
      <c r="M132" s="9">
        <v>12.063700000000001</v>
      </c>
      <c r="N132" s="9">
        <v>4.9444999999999997</v>
      </c>
      <c r="O132" s="9">
        <v>0.37459999999999999</v>
      </c>
      <c r="P132" s="9">
        <v>1.2192000000000001</v>
      </c>
      <c r="Q132" s="9">
        <v>32.254300000000001</v>
      </c>
      <c r="R132" s="9"/>
      <c r="S132" s="11"/>
    </row>
    <row r="133" spans="1:19" ht="15.75">
      <c r="A133" s="13">
        <v>45901</v>
      </c>
      <c r="B133" s="8">
        <f>CHOOSE( CONTROL!$C$29, 4.6993, 4.6946) * CHOOSE(CONTROL!$C$12, $D$11, 100%, $F$11)</f>
        <v>3.7782372000000004</v>
      </c>
      <c r="C133" s="8">
        <f>CHOOSE( CONTROL!$C$29, 4.7097, 4.705) * CHOOSE(CONTROL!$C$12, $D$11, 100%, $F$11)</f>
        <v>3.7865988000000002</v>
      </c>
      <c r="D133" s="8">
        <f>CHOOSE( CONTROL!$C$29, 4.7004, 4.6957) * CHOOSE( CONTROL!$C$12, $D$11, 100%, $F$11)</f>
        <v>3.7791216000000003</v>
      </c>
      <c r="E133" s="12">
        <f>CHOOSE( CONTROL!$C$29, 4.7022, 4.6975) * CHOOSE( CONTROL!$C$12, $D$11, 100%, $F$11)</f>
        <v>3.7805688000000006</v>
      </c>
      <c r="F133" s="4">
        <f>CHOOSE( CONTROL!$C$29, 5.6883, 5.6836) * CHOOSE(CONTROL!$C$12, $D$11, 100%, $F$11)</f>
        <v>4.5733931999999999</v>
      </c>
      <c r="G133" s="8">
        <f>CHOOSE( CONTROL!$C$29, 4.569, 4.5644) * CHOOSE( CONTROL!$C$12, $D$11, 100%, $F$11)</f>
        <v>3.673476</v>
      </c>
      <c r="H133" s="4">
        <f>CHOOSE( CONTROL!$C$29, 5.4685, 5.4639) * CHOOSE(CONTROL!$C$12, $D$11, 100%, $F$11)</f>
        <v>4.396674</v>
      </c>
      <c r="I133" s="8">
        <f>CHOOSE( CONTROL!$C$29, 4.5579, 4.5534) * CHOOSE(CONTROL!$C$12, $D$11, 100%, $F$11)</f>
        <v>3.6645516000000002</v>
      </c>
      <c r="J133" s="4">
        <f>CHOOSE( CONTROL!$C$29, 4.4981, 4.4936) * CHOOSE(CONTROL!$C$12, $D$11, 100%, $F$11)</f>
        <v>3.6164724000000001</v>
      </c>
      <c r="K133" s="4"/>
      <c r="L133" s="9">
        <v>28.568200000000001</v>
      </c>
      <c r="M133" s="9">
        <v>11.6745</v>
      </c>
      <c r="N133" s="9">
        <v>4.7850000000000001</v>
      </c>
      <c r="O133" s="9">
        <v>0.36249999999999999</v>
      </c>
      <c r="P133" s="9">
        <v>1.1798</v>
      </c>
      <c r="Q133" s="9">
        <v>31.213799999999999</v>
      </c>
      <c r="R133" s="9"/>
      <c r="S133" s="11"/>
    </row>
    <row r="134" spans="1:19" ht="15.75">
      <c r="A134" s="13">
        <v>45931</v>
      </c>
      <c r="B134" s="8">
        <f>4.9029 * CHOOSE(CONTROL!$C$12, $D$11, 100%, $F$11)</f>
        <v>3.9419316000000002</v>
      </c>
      <c r="C134" s="8">
        <f>4.9133 * CHOOSE(CONTROL!$C$12, $D$11, 100%, $F$11)</f>
        <v>3.9502931999999999</v>
      </c>
      <c r="D134" s="8">
        <f>4.9049 * CHOOSE( CONTROL!$C$12, $D$11, 100%, $F$11)</f>
        <v>3.9435395999999998</v>
      </c>
      <c r="E134" s="12">
        <f>4.9066 * CHOOSE( CONTROL!$C$12, $D$11, 100%, $F$11)</f>
        <v>3.9449064000000003</v>
      </c>
      <c r="F134" s="4">
        <f>5.8919 * CHOOSE(CONTROL!$C$12, $D$11, 100%, $F$11)</f>
        <v>4.7370875999999997</v>
      </c>
      <c r="G134" s="8">
        <f>4.7671 * CHOOSE( CONTROL!$C$12, $D$11, 100%, $F$11)</f>
        <v>3.8327484000000003</v>
      </c>
      <c r="H134" s="4">
        <f>5.667 * CHOOSE(CONTROL!$C$12, $D$11, 100%, $F$11)</f>
        <v>4.5562680000000002</v>
      </c>
      <c r="I134" s="8">
        <f>4.7551 * CHOOSE(CONTROL!$C$12, $D$11, 100%, $F$11)</f>
        <v>3.8231004</v>
      </c>
      <c r="J134" s="4">
        <f>4.6932 * CHOOSE(CONTROL!$C$12, $D$11, 100%, $F$11)</f>
        <v>3.7733328000000004</v>
      </c>
      <c r="K134" s="4"/>
      <c r="L134" s="9">
        <v>28.921800000000001</v>
      </c>
      <c r="M134" s="9">
        <v>12.063700000000001</v>
      </c>
      <c r="N134" s="9">
        <v>4.9444999999999997</v>
      </c>
      <c r="O134" s="9">
        <v>0.37459999999999999</v>
      </c>
      <c r="P134" s="9">
        <v>1.2192000000000001</v>
      </c>
      <c r="Q134" s="9">
        <v>32.254300000000001</v>
      </c>
      <c r="R134" s="9"/>
      <c r="S134" s="11"/>
    </row>
    <row r="135" spans="1:19" ht="15.75">
      <c r="A135" s="13">
        <v>45962</v>
      </c>
      <c r="B135" s="8">
        <f>5.2874 * CHOOSE(CONTROL!$C$12, $D$11, 100%, $F$11)</f>
        <v>4.2510696000000001</v>
      </c>
      <c r="C135" s="8">
        <f>5.2979 * CHOOSE(CONTROL!$C$12, $D$11, 100%, $F$11)</f>
        <v>4.2595116000000006</v>
      </c>
      <c r="D135" s="8">
        <f>5.2781 * CHOOSE( CONTROL!$C$12, $D$11, 100%, $F$11)</f>
        <v>4.2435924000000007</v>
      </c>
      <c r="E135" s="12">
        <f>5.2842 * CHOOSE( CONTROL!$C$12, $D$11, 100%, $F$11)</f>
        <v>4.2484968000000007</v>
      </c>
      <c r="F135" s="4">
        <f>6.279 * CHOOSE(CONTROL!$C$12, $D$11, 100%, $F$11)</f>
        <v>5.0483159999999998</v>
      </c>
      <c r="G135" s="8">
        <f>5.161 * CHOOSE( CONTROL!$C$12, $D$11, 100%, $F$11)</f>
        <v>4.1494439999999999</v>
      </c>
      <c r="H135" s="4">
        <f>6.0444 * CHOOSE(CONTROL!$C$12, $D$11, 100%, $F$11)</f>
        <v>4.8596976000000005</v>
      </c>
      <c r="I135" s="8">
        <f>5.154 * CHOOSE(CONTROL!$C$12, $D$11, 100%, $F$11)</f>
        <v>4.1438160000000002</v>
      </c>
      <c r="J135" s="4">
        <f>5.0617 * CHOOSE(CONTROL!$C$12, $D$11, 100%, $F$11)</f>
        <v>4.0696068000000007</v>
      </c>
      <c r="K135" s="4"/>
      <c r="L135" s="9">
        <v>26.515499999999999</v>
      </c>
      <c r="M135" s="9">
        <v>11.6745</v>
      </c>
      <c r="N135" s="9">
        <v>4.7850000000000001</v>
      </c>
      <c r="O135" s="9">
        <v>0.36249999999999999</v>
      </c>
      <c r="P135" s="9">
        <v>1.2522</v>
      </c>
      <c r="Q135" s="9">
        <v>31.213799999999999</v>
      </c>
      <c r="R135" s="9"/>
      <c r="S135" s="11"/>
    </row>
    <row r="136" spans="1:19" ht="15.75">
      <c r="A136" s="13">
        <v>45992</v>
      </c>
      <c r="B136" s="8">
        <f>5.2778 * CHOOSE(CONTROL!$C$12, $D$11, 100%, $F$11)</f>
        <v>4.2433512000000002</v>
      </c>
      <c r="C136" s="8">
        <f>5.2883 * CHOOSE(CONTROL!$C$12, $D$11, 100%, $F$11)</f>
        <v>4.2517931999999998</v>
      </c>
      <c r="D136" s="8">
        <f>5.2704 * CHOOSE( CONTROL!$C$12, $D$11, 100%, $F$11)</f>
        <v>4.237401600000001</v>
      </c>
      <c r="E136" s="12">
        <f>5.2758 * CHOOSE( CONTROL!$C$12, $D$11, 100%, $F$11)</f>
        <v>4.2417432000000002</v>
      </c>
      <c r="F136" s="4">
        <f>6.2694 * CHOOSE(CONTROL!$C$12, $D$11, 100%, $F$11)</f>
        <v>5.0405976000000008</v>
      </c>
      <c r="G136" s="8">
        <f>5.1531 * CHOOSE( CONTROL!$C$12, $D$11, 100%, $F$11)</f>
        <v>4.1430924000000005</v>
      </c>
      <c r="H136" s="4">
        <f>6.035 * CHOOSE(CONTROL!$C$12, $D$11, 100%, $F$11)</f>
        <v>4.8521400000000003</v>
      </c>
      <c r="I136" s="8">
        <f>5.1516 * CHOOSE(CONTROL!$C$12, $D$11, 100%, $F$11)</f>
        <v>4.1418864000000006</v>
      </c>
      <c r="J136" s="4">
        <f>5.0524 * CHOOSE(CONTROL!$C$12, $D$11, 100%, $F$11)</f>
        <v>4.0621295999999996</v>
      </c>
      <c r="K136" s="4"/>
      <c r="L136" s="9">
        <v>27.3993</v>
      </c>
      <c r="M136" s="9">
        <v>12.063700000000001</v>
      </c>
      <c r="N136" s="9">
        <v>4.9444999999999997</v>
      </c>
      <c r="O136" s="9">
        <v>0.37459999999999999</v>
      </c>
      <c r="P136" s="9">
        <v>1.2939000000000001</v>
      </c>
      <c r="Q136" s="9">
        <v>32.254300000000001</v>
      </c>
      <c r="R136" s="9"/>
      <c r="S136" s="11"/>
    </row>
    <row r="137" spans="1:19" ht="15.75">
      <c r="A137" s="13">
        <v>46023</v>
      </c>
      <c r="B137" s="8">
        <f>5.4804 * CHOOSE(CONTROL!$C$12, $D$11, 100%, $F$11)</f>
        <v>4.4062416000000004</v>
      </c>
      <c r="C137" s="8">
        <f>5.4909 * CHOOSE(CONTROL!$C$12, $D$11, 100%, $F$11)</f>
        <v>4.4146836</v>
      </c>
      <c r="D137" s="8">
        <f>5.4885 * CHOOSE( CONTROL!$C$12, $D$11, 100%, $F$11)</f>
        <v>4.4127540000000005</v>
      </c>
      <c r="E137" s="12">
        <f>5.4883 * CHOOSE( CONTROL!$C$12, $D$11, 100%, $F$11)</f>
        <v>4.4125931999999999</v>
      </c>
      <c r="F137" s="4">
        <f>6.5034 * CHOOSE(CONTROL!$C$12, $D$11, 100%, $F$11)</f>
        <v>5.2287336</v>
      </c>
      <c r="G137" s="8">
        <f>5.3697 * CHOOSE( CONTROL!$C$12, $D$11, 100%, $F$11)</f>
        <v>4.3172388000000002</v>
      </c>
      <c r="H137" s="4">
        <f>6.263 * CHOOSE(CONTROL!$C$12, $D$11, 100%, $F$11)</f>
        <v>5.0354520000000003</v>
      </c>
      <c r="I137" s="8">
        <f>5.3578 * CHOOSE(CONTROL!$C$12, $D$11, 100%, $F$11)</f>
        <v>4.3076712000000006</v>
      </c>
      <c r="J137" s="4">
        <f>5.2466 * CHOOSE(CONTROL!$C$12, $D$11, 100%, $F$11)</f>
        <v>4.2182664000000001</v>
      </c>
      <c r="K137" s="4"/>
      <c r="L137" s="9">
        <v>27.3993</v>
      </c>
      <c r="M137" s="9">
        <v>12.063700000000001</v>
      </c>
      <c r="N137" s="9">
        <v>4.9444999999999997</v>
      </c>
      <c r="O137" s="9">
        <v>0.37459999999999999</v>
      </c>
      <c r="P137" s="9">
        <v>1.2939000000000001</v>
      </c>
      <c r="Q137" s="9">
        <v>32.070099999999996</v>
      </c>
      <c r="R137" s="9"/>
      <c r="S137" s="11"/>
    </row>
    <row r="138" spans="1:19" ht="15.75">
      <c r="A138" s="13">
        <v>46054</v>
      </c>
      <c r="B138" s="8">
        <f>5.1265 * CHOOSE(CONTROL!$C$12, $D$11, 100%, $F$11)</f>
        <v>4.1217060000000005</v>
      </c>
      <c r="C138" s="8">
        <f>5.1369 * CHOOSE(CONTROL!$C$12, $D$11, 100%, $F$11)</f>
        <v>4.1300676000000003</v>
      </c>
      <c r="D138" s="8">
        <f>5.1369 * CHOOSE( CONTROL!$C$12, $D$11, 100%, $F$11)</f>
        <v>4.1300676000000003</v>
      </c>
      <c r="E138" s="12">
        <f>5.1358 * CHOOSE( CONTROL!$C$12, $D$11, 100%, $F$11)</f>
        <v>4.1291831999999999</v>
      </c>
      <c r="F138" s="4">
        <f>6.1415 * CHOOSE(CONTROL!$C$12, $D$11, 100%, $F$11)</f>
        <v>4.9377659999999999</v>
      </c>
      <c r="G138" s="8">
        <f>5.0245 * CHOOSE( CONTROL!$C$12, $D$11, 100%, $F$11)</f>
        <v>4.0396980000000005</v>
      </c>
      <c r="H138" s="4">
        <f>5.9104 * CHOOSE(CONTROL!$C$12, $D$11, 100%, $F$11)</f>
        <v>4.7519616000000005</v>
      </c>
      <c r="I138" s="8">
        <f>5.0075 * CHOOSE(CONTROL!$C$12, $D$11, 100%, $F$11)</f>
        <v>4.0260300000000004</v>
      </c>
      <c r="J138" s="4">
        <f>4.9074 * CHOOSE(CONTROL!$C$12, $D$11, 100%, $F$11)</f>
        <v>3.9455496000000001</v>
      </c>
      <c r="K138" s="4"/>
      <c r="L138" s="9">
        <v>24.747800000000002</v>
      </c>
      <c r="M138" s="9">
        <v>10.8962</v>
      </c>
      <c r="N138" s="9">
        <v>4.4660000000000002</v>
      </c>
      <c r="O138" s="9">
        <v>0.33829999999999999</v>
      </c>
      <c r="P138" s="9">
        <v>1.1687000000000001</v>
      </c>
      <c r="Q138" s="9">
        <v>28.9666</v>
      </c>
      <c r="R138" s="9"/>
      <c r="S138" s="11"/>
    </row>
    <row r="139" spans="1:19" ht="15.75">
      <c r="A139" s="13">
        <v>46082</v>
      </c>
      <c r="B139" s="8">
        <f>5.0174 * CHOOSE(CONTROL!$C$12, $D$11, 100%, $F$11)</f>
        <v>4.0339896000000008</v>
      </c>
      <c r="C139" s="8">
        <f>5.0279 * CHOOSE(CONTROL!$C$12, $D$11, 100%, $F$11)</f>
        <v>4.0424316000000005</v>
      </c>
      <c r="D139" s="8">
        <f>5.0077 * CHOOSE( CONTROL!$C$12, $D$11, 100%, $F$11)</f>
        <v>4.0261908000000002</v>
      </c>
      <c r="E139" s="12">
        <f>5.014 * CHOOSE( CONTROL!$C$12, $D$11, 100%, $F$11)</f>
        <v>4.0312560000000008</v>
      </c>
      <c r="F139" s="4">
        <f>6.0163 * CHOOSE(CONTROL!$C$12, $D$11, 100%, $F$11)</f>
        <v>4.8371052000000008</v>
      </c>
      <c r="G139" s="8">
        <f>4.8977 * CHOOSE( CONTROL!$C$12, $D$11, 100%, $F$11)</f>
        <v>3.9377508000000003</v>
      </c>
      <c r="H139" s="4">
        <f>5.7883 * CHOOSE(CONTROL!$C$12, $D$11, 100%, $F$11)</f>
        <v>4.6537932</v>
      </c>
      <c r="I139" s="8">
        <f>4.8635 * CHOOSE(CONTROL!$C$12, $D$11, 100%, $F$11)</f>
        <v>3.9102540000000006</v>
      </c>
      <c r="J139" s="4">
        <f>4.803 * CHOOSE(CONTROL!$C$12, $D$11, 100%, $F$11)</f>
        <v>3.861612</v>
      </c>
      <c r="K139" s="4"/>
      <c r="L139" s="9">
        <v>27.3993</v>
      </c>
      <c r="M139" s="9">
        <v>12.063700000000001</v>
      </c>
      <c r="N139" s="9">
        <v>4.9444999999999997</v>
      </c>
      <c r="O139" s="9">
        <v>0.37459999999999999</v>
      </c>
      <c r="P139" s="9">
        <v>1.2939000000000001</v>
      </c>
      <c r="Q139" s="9">
        <v>32.070099999999996</v>
      </c>
      <c r="R139" s="9"/>
      <c r="S139" s="11"/>
    </row>
    <row r="140" spans="1:19" ht="15.75">
      <c r="A140" s="13">
        <v>46113</v>
      </c>
      <c r="B140" s="8">
        <f>5.0936 * CHOOSE(CONTROL!$C$12, $D$11, 100%, $F$11)</f>
        <v>4.0952544000000008</v>
      </c>
      <c r="C140" s="8">
        <f>5.1041 * CHOOSE(CONTROL!$C$12, $D$11, 100%, $F$11)</f>
        <v>4.1036964000000005</v>
      </c>
      <c r="D140" s="8">
        <f>5.1073 * CHOOSE( CONTROL!$C$12, $D$11, 100%, $F$11)</f>
        <v>4.1062692000000007</v>
      </c>
      <c r="E140" s="12">
        <f>5.105 * CHOOSE( CONTROL!$C$12, $D$11, 100%, $F$11)</f>
        <v>4.1044200000000002</v>
      </c>
      <c r="F140" s="4">
        <f>6.1009 * CHOOSE(CONTROL!$C$12, $D$11, 100%, $F$11)</f>
        <v>4.9051236000000005</v>
      </c>
      <c r="G140" s="8">
        <f>4.9599 * CHOOSE( CONTROL!$C$12, $D$11, 100%, $F$11)</f>
        <v>3.9877596000000004</v>
      </c>
      <c r="H140" s="4">
        <f>5.8707 * CHOOSE(CONTROL!$C$12, $D$11, 100%, $F$11)</f>
        <v>4.7200428000000008</v>
      </c>
      <c r="I140" s="8">
        <f>4.9266 * CHOOSE(CONTROL!$C$12, $D$11, 100%, $F$11)</f>
        <v>3.9609863999999999</v>
      </c>
      <c r="J140" s="4">
        <f>4.876 * CHOOSE(CONTROL!$C$12, $D$11, 100%, $F$11)</f>
        <v>3.9203040000000007</v>
      </c>
      <c r="K140" s="4"/>
      <c r="L140" s="9">
        <v>27.988800000000001</v>
      </c>
      <c r="M140" s="9">
        <v>11.6745</v>
      </c>
      <c r="N140" s="9">
        <v>4.7850000000000001</v>
      </c>
      <c r="O140" s="9">
        <v>0.36249999999999999</v>
      </c>
      <c r="P140" s="9">
        <v>1.1798</v>
      </c>
      <c r="Q140" s="9">
        <v>31.035599999999999</v>
      </c>
      <c r="R140" s="9"/>
      <c r="S140" s="11"/>
    </row>
    <row r="141" spans="1:19" ht="15.75">
      <c r="A141" s="13">
        <v>46143</v>
      </c>
      <c r="B141" s="8">
        <f>CHOOSE( CONTROL!$C$29, 5.2339, 5.2292) * CHOOSE(CONTROL!$C$12, $D$11, 100%, $F$11)</f>
        <v>4.2080556000000007</v>
      </c>
      <c r="C141" s="8">
        <f>CHOOSE( CONTROL!$C$29, 5.2444, 5.2397) * CHOOSE(CONTROL!$C$12, $D$11, 100%, $F$11)</f>
        <v>4.2164976000000003</v>
      </c>
      <c r="D141" s="8">
        <f>CHOOSE( CONTROL!$C$29, 5.2223, 5.2176) * CHOOSE( CONTROL!$C$12, $D$11, 100%, $F$11)</f>
        <v>4.1987291999999998</v>
      </c>
      <c r="E141" s="12">
        <f>CHOOSE( CONTROL!$C$29, 5.2287, 5.224) * CHOOSE( CONTROL!$C$12, $D$11, 100%, $F$11)</f>
        <v>4.2038748000000004</v>
      </c>
      <c r="F141" s="4">
        <f>CHOOSE( CONTROL!$C$29, 6.2088, 6.2041) * CHOOSE(CONTROL!$C$12, $D$11, 100%, $F$11)</f>
        <v>4.9918752</v>
      </c>
      <c r="G141" s="8">
        <f>CHOOSE( CONTROL!$C$29, 5.0779, 5.0733) * CHOOSE( CONTROL!$C$12, $D$11, 100%, $F$11)</f>
        <v>4.0826316</v>
      </c>
      <c r="H141" s="4">
        <f>CHOOSE( CONTROL!$C$29, 5.9759, 5.9714) * CHOOSE(CONTROL!$C$12, $D$11, 100%, $F$11)</f>
        <v>4.8046236000000002</v>
      </c>
      <c r="I141" s="8">
        <f>CHOOSE( CONTROL!$C$29, 5.0396, 5.0351) * CHOOSE(CONTROL!$C$12, $D$11, 100%, $F$11)</f>
        <v>4.0518384000000003</v>
      </c>
      <c r="J141" s="4">
        <f>CHOOSE( CONTROL!$C$29, 5.0104, 5.0059) * CHOOSE(CONTROL!$C$12, $D$11, 100%, $F$11)</f>
        <v>4.0283616000000002</v>
      </c>
      <c r="K141" s="4"/>
      <c r="L141" s="9">
        <v>29.520499999999998</v>
      </c>
      <c r="M141" s="9">
        <v>12.063700000000001</v>
      </c>
      <c r="N141" s="9">
        <v>4.9444999999999997</v>
      </c>
      <c r="O141" s="9">
        <v>0.37459999999999999</v>
      </c>
      <c r="P141" s="9">
        <v>1.2192000000000001</v>
      </c>
      <c r="Q141" s="9">
        <v>32.070099999999996</v>
      </c>
      <c r="R141" s="9"/>
      <c r="S141" s="11"/>
    </row>
    <row r="142" spans="1:19" ht="15.75">
      <c r="A142" s="13">
        <v>46174</v>
      </c>
      <c r="B142" s="8">
        <f>CHOOSE( CONTROL!$C$29, 5.1499, 5.1452) * CHOOSE(CONTROL!$C$12, $D$11, 100%, $F$11)</f>
        <v>4.1405196000000002</v>
      </c>
      <c r="C142" s="8">
        <f>CHOOSE( CONTROL!$C$29, 5.1604, 5.1557) * CHOOSE(CONTROL!$C$12, $D$11, 100%, $F$11)</f>
        <v>4.1489616000000007</v>
      </c>
      <c r="D142" s="8">
        <f>CHOOSE( CONTROL!$C$29, 5.1327, 5.128) * CHOOSE( CONTROL!$C$12, $D$11, 100%, $F$11)</f>
        <v>4.1266908000000004</v>
      </c>
      <c r="E142" s="12">
        <f>CHOOSE( CONTROL!$C$29, 5.1411, 5.1364) * CHOOSE( CONTROL!$C$12, $D$11, 100%, $F$11)</f>
        <v>4.1334444000000001</v>
      </c>
      <c r="F142" s="4">
        <f>CHOOSE( CONTROL!$C$29, 6.1144, 6.1097) * CHOOSE(CONTROL!$C$12, $D$11, 100%, $F$11)</f>
        <v>4.9159775999999997</v>
      </c>
      <c r="G142" s="8">
        <f>CHOOSE( CONTROL!$C$29, 4.9948, 4.9902) * CHOOSE( CONTROL!$C$12, $D$11, 100%, $F$11)</f>
        <v>4.0158192000000001</v>
      </c>
      <c r="H142" s="4">
        <f>CHOOSE( CONTROL!$C$29, 5.8839, 5.8793) * CHOOSE(CONTROL!$C$12, $D$11, 100%, $F$11)</f>
        <v>4.7306556000000004</v>
      </c>
      <c r="I142" s="8">
        <f>CHOOSE( CONTROL!$C$29, 4.9612, 4.9567) * CHOOSE(CONTROL!$C$12, $D$11, 100%, $F$11)</f>
        <v>3.9888048</v>
      </c>
      <c r="J142" s="4">
        <f>CHOOSE( CONTROL!$C$29, 4.9299, 4.9254) * CHOOSE(CONTROL!$C$12, $D$11, 100%, $F$11)</f>
        <v>3.9636396</v>
      </c>
      <c r="K142" s="4"/>
      <c r="L142" s="9">
        <v>28.568200000000001</v>
      </c>
      <c r="M142" s="9">
        <v>11.6745</v>
      </c>
      <c r="N142" s="9">
        <v>4.7850000000000001</v>
      </c>
      <c r="O142" s="9">
        <v>0.36249999999999999</v>
      </c>
      <c r="P142" s="9">
        <v>1.1798</v>
      </c>
      <c r="Q142" s="9">
        <v>31.035599999999999</v>
      </c>
      <c r="R142" s="9"/>
      <c r="S142" s="11"/>
    </row>
    <row r="143" spans="1:19" ht="15.75">
      <c r="A143" s="13">
        <v>46204</v>
      </c>
      <c r="B143" s="8">
        <f>CHOOSE( CONTROL!$C$29, 5.3711, 5.3664) * CHOOSE(CONTROL!$C$12, $D$11, 100%, $F$11)</f>
        <v>4.3183644000000001</v>
      </c>
      <c r="C143" s="8">
        <f>CHOOSE( CONTROL!$C$29, 5.3815, 5.3768) * CHOOSE(CONTROL!$C$12, $D$11, 100%, $F$11)</f>
        <v>4.3267259999999998</v>
      </c>
      <c r="D143" s="8">
        <f>CHOOSE( CONTROL!$C$29, 5.3731, 5.3684) * CHOOSE( CONTROL!$C$12, $D$11, 100%, $F$11)</f>
        <v>4.3199724000000002</v>
      </c>
      <c r="E143" s="12">
        <f>CHOOSE( CONTROL!$C$29, 5.3746, 5.3699) * CHOOSE( CONTROL!$C$12, $D$11, 100%, $F$11)</f>
        <v>4.3211784</v>
      </c>
      <c r="F143" s="4">
        <f>CHOOSE( CONTROL!$C$29, 6.3627, 6.358) * CHOOSE(CONTROL!$C$12, $D$11, 100%, $F$11)</f>
        <v>5.1156108000000007</v>
      </c>
      <c r="G143" s="8">
        <f>CHOOSE( CONTROL!$C$29, 5.2231, 5.2185) * CHOOSE( CONTROL!$C$12, $D$11, 100%, $F$11)</f>
        <v>4.1993723999999997</v>
      </c>
      <c r="H143" s="4">
        <f>CHOOSE( CONTROL!$C$29, 6.1259, 6.1214) * CHOOSE(CONTROL!$C$12, $D$11, 100%, $F$11)</f>
        <v>4.9252235999999998</v>
      </c>
      <c r="I143" s="8">
        <f>CHOOSE( CONTROL!$C$29, 5.196, 5.1915) * CHOOSE(CONTROL!$C$12, $D$11, 100%, $F$11)</f>
        <v>4.1775840000000004</v>
      </c>
      <c r="J143" s="4">
        <f>CHOOSE( CONTROL!$C$29, 5.1418, 5.1373) * CHOOSE(CONTROL!$C$12, $D$11, 100%, $F$11)</f>
        <v>4.1340072000000001</v>
      </c>
      <c r="K143" s="4"/>
      <c r="L143" s="9">
        <v>29.520499999999998</v>
      </c>
      <c r="M143" s="9">
        <v>12.063700000000001</v>
      </c>
      <c r="N143" s="9">
        <v>4.9444999999999997</v>
      </c>
      <c r="O143" s="9">
        <v>0.37459999999999999</v>
      </c>
      <c r="P143" s="9">
        <v>1.2192000000000001</v>
      </c>
      <c r="Q143" s="9">
        <v>32.070099999999996</v>
      </c>
      <c r="R143" s="9"/>
      <c r="S143" s="11"/>
    </row>
    <row r="144" spans="1:19" ht="15.75">
      <c r="A144" s="13">
        <v>46235</v>
      </c>
      <c r="B144" s="8">
        <f>CHOOSE( CONTROL!$C$29, 4.9572, 4.9525) * CHOOSE(CONTROL!$C$12, $D$11, 100%, $F$11)</f>
        <v>3.9855888000000004</v>
      </c>
      <c r="C144" s="8">
        <f>CHOOSE( CONTROL!$C$29, 4.9677, 4.963) * CHOOSE(CONTROL!$C$12, $D$11, 100%, $F$11)</f>
        <v>3.9940308</v>
      </c>
      <c r="D144" s="8">
        <f>CHOOSE( CONTROL!$C$29, 4.9626, 4.9579) * CHOOSE( CONTROL!$C$12, $D$11, 100%, $F$11)</f>
        <v>3.9899304000000004</v>
      </c>
      <c r="E144" s="12">
        <f>CHOOSE( CONTROL!$C$29, 4.9628, 4.9581) * CHOOSE( CONTROL!$C$12, $D$11, 100%, $F$11)</f>
        <v>3.9900912000000002</v>
      </c>
      <c r="F144" s="4">
        <f>CHOOSE( CONTROL!$C$29, 5.9541, 5.9494) * CHOOSE(CONTROL!$C$12, $D$11, 100%, $F$11)</f>
        <v>4.7870964000000003</v>
      </c>
      <c r="G144" s="8">
        <f>CHOOSE( CONTROL!$C$29, 4.8218, 4.8172) * CHOOSE( CONTROL!$C$12, $D$11, 100%, $F$11)</f>
        <v>3.8767271999999999</v>
      </c>
      <c r="H144" s="4">
        <f>CHOOSE( CONTROL!$C$29, 5.7276, 5.723) * CHOOSE(CONTROL!$C$12, $D$11, 100%, $F$11)</f>
        <v>4.6049904000000002</v>
      </c>
      <c r="I144" s="8">
        <f>CHOOSE( CONTROL!$C$29, 4.8039, 4.7994) * CHOOSE(CONTROL!$C$12, $D$11, 100%, $F$11)</f>
        <v>3.8623355999999998</v>
      </c>
      <c r="J144" s="4">
        <f>CHOOSE( CONTROL!$C$29, 4.7453, 4.7408) * CHOOSE(CONTROL!$C$12, $D$11, 100%, $F$11)</f>
        <v>3.8152212000000003</v>
      </c>
      <c r="K144" s="4"/>
      <c r="L144" s="9">
        <v>29.520499999999998</v>
      </c>
      <c r="M144" s="9">
        <v>12.063700000000001</v>
      </c>
      <c r="N144" s="9">
        <v>4.9444999999999997</v>
      </c>
      <c r="O144" s="9">
        <v>0.37459999999999999</v>
      </c>
      <c r="P144" s="9">
        <v>1.2192000000000001</v>
      </c>
      <c r="Q144" s="9">
        <v>32.070099999999996</v>
      </c>
      <c r="R144" s="9"/>
      <c r="S144" s="11"/>
    </row>
    <row r="145" spans="1:19" ht="15.75">
      <c r="A145" s="13">
        <v>46266</v>
      </c>
      <c r="B145" s="8">
        <f>CHOOSE( CONTROL!$C$29, 4.8536, 4.8489) * CHOOSE(CONTROL!$C$12, $D$11, 100%, $F$11)</f>
        <v>3.9022944000000002</v>
      </c>
      <c r="C145" s="8">
        <f>CHOOSE( CONTROL!$C$29, 4.864, 4.8593) * CHOOSE(CONTROL!$C$12, $D$11, 100%, $F$11)</f>
        <v>3.9106560000000004</v>
      </c>
      <c r="D145" s="8">
        <f>CHOOSE( CONTROL!$C$29, 4.8547, 4.85) * CHOOSE( CONTROL!$C$12, $D$11, 100%, $F$11)</f>
        <v>3.9031788000000005</v>
      </c>
      <c r="E145" s="12">
        <f>CHOOSE( CONTROL!$C$29, 4.8565, 4.8518) * CHOOSE( CONTROL!$C$12, $D$11, 100%, $F$11)</f>
        <v>3.9046259999999999</v>
      </c>
      <c r="F145" s="4">
        <f>CHOOSE( CONTROL!$C$29, 5.8426, 5.8379) * CHOOSE(CONTROL!$C$12, $D$11, 100%, $F$11)</f>
        <v>4.6974504000000001</v>
      </c>
      <c r="G145" s="8">
        <f>CHOOSE( CONTROL!$C$29, 4.7195, 4.7149) * CHOOSE( CONTROL!$C$12, $D$11, 100%, $F$11)</f>
        <v>3.7944780000000002</v>
      </c>
      <c r="H145" s="4">
        <f>CHOOSE( CONTROL!$C$29, 5.619, 5.6144) * CHOOSE(CONTROL!$C$12, $D$11, 100%, $F$11)</f>
        <v>4.5176759999999998</v>
      </c>
      <c r="I145" s="8">
        <f>CHOOSE( CONTROL!$C$29, 4.7058, 4.7013) * CHOOSE(CONTROL!$C$12, $D$11, 100%, $F$11)</f>
        <v>3.7834632000000004</v>
      </c>
      <c r="J145" s="4">
        <f>CHOOSE( CONTROL!$C$29, 4.646, 4.6415) * CHOOSE(CONTROL!$C$12, $D$11, 100%, $F$11)</f>
        <v>3.7353840000000003</v>
      </c>
      <c r="K145" s="4"/>
      <c r="L145" s="9">
        <v>28.568200000000001</v>
      </c>
      <c r="M145" s="9">
        <v>11.6745</v>
      </c>
      <c r="N145" s="9">
        <v>4.7850000000000001</v>
      </c>
      <c r="O145" s="9">
        <v>0.36249999999999999</v>
      </c>
      <c r="P145" s="9">
        <v>1.1798</v>
      </c>
      <c r="Q145" s="9">
        <v>31.035599999999999</v>
      </c>
      <c r="R145" s="9"/>
      <c r="S145" s="11"/>
    </row>
    <row r="146" spans="1:19" ht="15.75">
      <c r="A146" s="13">
        <v>46296</v>
      </c>
      <c r="B146" s="8">
        <f>5.0641 * CHOOSE(CONTROL!$C$12, $D$11, 100%, $F$11)</f>
        <v>4.0715364000000003</v>
      </c>
      <c r="C146" s="8">
        <f>5.0745 * CHOOSE(CONTROL!$C$12, $D$11, 100%, $F$11)</f>
        <v>4.079898</v>
      </c>
      <c r="D146" s="8">
        <f>5.0661 * CHOOSE( CONTROL!$C$12, $D$11, 100%, $F$11)</f>
        <v>4.0731444000000003</v>
      </c>
      <c r="E146" s="12">
        <f>5.0678 * CHOOSE( CONTROL!$C$12, $D$11, 100%, $F$11)</f>
        <v>4.0745111999999999</v>
      </c>
      <c r="F146" s="4">
        <f>6.0531 * CHOOSE(CONTROL!$C$12, $D$11, 100%, $F$11)</f>
        <v>4.8666923999999998</v>
      </c>
      <c r="G146" s="8">
        <f>4.9243 * CHOOSE( CONTROL!$C$12, $D$11, 100%, $F$11)</f>
        <v>3.9591371999999998</v>
      </c>
      <c r="H146" s="4">
        <f>5.8241 * CHOOSE(CONTROL!$C$12, $D$11, 100%, $F$11)</f>
        <v>4.6825764000000003</v>
      </c>
      <c r="I146" s="8">
        <f>4.9097 * CHOOSE(CONTROL!$C$12, $D$11, 100%, $F$11)</f>
        <v>3.9473988000000002</v>
      </c>
      <c r="J146" s="4">
        <f>4.8477 * CHOOSE(CONTROL!$C$12, $D$11, 100%, $F$11)</f>
        <v>3.8975507999999999</v>
      </c>
      <c r="K146" s="4"/>
      <c r="L146" s="9">
        <v>28.921800000000001</v>
      </c>
      <c r="M146" s="9">
        <v>12.063700000000001</v>
      </c>
      <c r="N146" s="9">
        <v>4.9444999999999997</v>
      </c>
      <c r="O146" s="9">
        <v>0.37459999999999999</v>
      </c>
      <c r="P146" s="9">
        <v>1.2192000000000001</v>
      </c>
      <c r="Q146" s="9">
        <v>32.070099999999996</v>
      </c>
      <c r="R146" s="9"/>
      <c r="S146" s="11"/>
    </row>
    <row r="147" spans="1:19" ht="15.75">
      <c r="A147" s="13">
        <v>46327</v>
      </c>
      <c r="B147" s="8">
        <f>5.4613 * CHOOSE(CONTROL!$C$12, $D$11, 100%, $F$11)</f>
        <v>4.3908851999999996</v>
      </c>
      <c r="C147" s="8">
        <f>5.4717 * CHOOSE(CONTROL!$C$12, $D$11, 100%, $F$11)</f>
        <v>4.3992468000000002</v>
      </c>
      <c r="D147" s="8">
        <f>5.452 * CHOOSE( CONTROL!$C$12, $D$11, 100%, $F$11)</f>
        <v>4.3834080000000002</v>
      </c>
      <c r="E147" s="12">
        <f>5.4581 * CHOOSE( CONTROL!$C$12, $D$11, 100%, $F$11)</f>
        <v>4.3883124000000002</v>
      </c>
      <c r="F147" s="4">
        <f>6.4529 * CHOOSE(CONTROL!$C$12, $D$11, 100%, $F$11)</f>
        <v>5.1881316000000002</v>
      </c>
      <c r="G147" s="8">
        <f>5.3305 * CHOOSE( CONTROL!$C$12, $D$11, 100%, $F$11)</f>
        <v>4.2857219999999998</v>
      </c>
      <c r="H147" s="4">
        <f>6.2138 * CHOOSE(CONTROL!$C$12, $D$11, 100%, $F$11)</f>
        <v>4.9958952000000005</v>
      </c>
      <c r="I147" s="8">
        <f>5.3206 * CHOOSE(CONTROL!$C$12, $D$11, 100%, $F$11)</f>
        <v>4.2777624000000003</v>
      </c>
      <c r="J147" s="4">
        <f>5.2282 * CHOOSE(CONTROL!$C$12, $D$11, 100%, $F$11)</f>
        <v>4.2034728000000001</v>
      </c>
      <c r="K147" s="4"/>
      <c r="L147" s="9">
        <v>26.515499999999999</v>
      </c>
      <c r="M147" s="9">
        <v>11.6745</v>
      </c>
      <c r="N147" s="9">
        <v>4.7850000000000001</v>
      </c>
      <c r="O147" s="9">
        <v>0.36249999999999999</v>
      </c>
      <c r="P147" s="9">
        <v>1.2522</v>
      </c>
      <c r="Q147" s="9">
        <v>31.035599999999999</v>
      </c>
      <c r="R147" s="9"/>
      <c r="S147" s="11"/>
    </row>
    <row r="148" spans="1:19" ht="15.75">
      <c r="A148" s="13">
        <v>46357</v>
      </c>
      <c r="B148" s="8">
        <f>5.4514 * CHOOSE(CONTROL!$C$12, $D$11, 100%, $F$11)</f>
        <v>4.3829256000000001</v>
      </c>
      <c r="C148" s="8">
        <f>5.4618 * CHOOSE(CONTROL!$C$12, $D$11, 100%, $F$11)</f>
        <v>4.3912872000000007</v>
      </c>
      <c r="D148" s="8">
        <f>5.444 * CHOOSE( CONTROL!$C$12, $D$11, 100%, $F$11)</f>
        <v>4.376976</v>
      </c>
      <c r="E148" s="12">
        <f>5.4494 * CHOOSE( CONTROL!$C$12, $D$11, 100%, $F$11)</f>
        <v>4.3813176</v>
      </c>
      <c r="F148" s="4">
        <f>6.443 * CHOOSE(CONTROL!$C$12, $D$11, 100%, $F$11)</f>
        <v>5.1801719999999998</v>
      </c>
      <c r="G148" s="8">
        <f>5.3222 * CHOOSE( CONTROL!$C$12, $D$11, 100%, $F$11)</f>
        <v>4.2790488</v>
      </c>
      <c r="H148" s="4">
        <f>6.2042 * CHOOSE(CONTROL!$C$12, $D$11, 100%, $F$11)</f>
        <v>4.9881768000000006</v>
      </c>
      <c r="I148" s="8">
        <f>5.318 * CHOOSE(CONTROL!$C$12, $D$11, 100%, $F$11)</f>
        <v>4.2756720000000001</v>
      </c>
      <c r="J148" s="4">
        <f>5.2187 * CHOOSE(CONTROL!$C$12, $D$11, 100%, $F$11)</f>
        <v>4.1958348000000001</v>
      </c>
      <c r="K148" s="4"/>
      <c r="L148" s="9">
        <v>27.3993</v>
      </c>
      <c r="M148" s="9">
        <v>12.063700000000001</v>
      </c>
      <c r="N148" s="9">
        <v>4.9444999999999997</v>
      </c>
      <c r="O148" s="9">
        <v>0.37459999999999999</v>
      </c>
      <c r="P148" s="9">
        <v>1.2939000000000001</v>
      </c>
      <c r="Q148" s="9">
        <v>32.070099999999996</v>
      </c>
      <c r="R148" s="9"/>
      <c r="S148" s="11"/>
    </row>
    <row r="149" spans="1:19" ht="15.75">
      <c r="A149" s="13">
        <v>46388</v>
      </c>
      <c r="B149" s="8">
        <f>5.6598 * CHOOSE(CONTROL!$C$12, $D$11, 100%, $F$11)</f>
        <v>4.5504791999999998</v>
      </c>
      <c r="C149" s="8">
        <f>5.6702 * CHOOSE(CONTROL!$C$12, $D$11, 100%, $F$11)</f>
        <v>4.5588408000000005</v>
      </c>
      <c r="D149" s="8">
        <f>5.6679 * CHOOSE( CONTROL!$C$12, $D$11, 100%, $F$11)</f>
        <v>4.5569916000000008</v>
      </c>
      <c r="E149" s="12">
        <f>5.6676 * CHOOSE( CONTROL!$C$12, $D$11, 100%, $F$11)</f>
        <v>4.5567504000000003</v>
      </c>
      <c r="F149" s="4">
        <f>6.6827 * CHOOSE(CONTROL!$C$12, $D$11, 100%, $F$11)</f>
        <v>5.3728908000000004</v>
      </c>
      <c r="G149" s="8">
        <f>5.5445 * CHOOSE( CONTROL!$C$12, $D$11, 100%, $F$11)</f>
        <v>4.4577780000000002</v>
      </c>
      <c r="H149" s="4">
        <f>6.4378 * CHOOSE(CONTROL!$C$12, $D$11, 100%, $F$11)</f>
        <v>5.1759912000000003</v>
      </c>
      <c r="I149" s="8">
        <f>5.5297 * CHOOSE(CONTROL!$C$12, $D$11, 100%, $F$11)</f>
        <v>4.4458788</v>
      </c>
      <c r="J149" s="4">
        <f>5.4184 * CHOOSE(CONTROL!$C$12, $D$11, 100%, $F$11)</f>
        <v>4.3563936000000005</v>
      </c>
      <c r="K149" s="4"/>
      <c r="L149" s="9">
        <v>27.3993</v>
      </c>
      <c r="M149" s="9">
        <v>12.063700000000001</v>
      </c>
      <c r="N149" s="9">
        <v>4.9444999999999997</v>
      </c>
      <c r="O149" s="9">
        <v>0.37459999999999999</v>
      </c>
      <c r="P149" s="9">
        <v>1.2939000000000001</v>
      </c>
      <c r="Q149" s="9">
        <v>31.885999999999999</v>
      </c>
      <c r="R149" s="9"/>
      <c r="S149" s="11"/>
    </row>
    <row r="150" spans="1:19" ht="15.75">
      <c r="A150" s="13">
        <v>46419</v>
      </c>
      <c r="B150" s="8">
        <f>5.2942 * CHOOSE(CONTROL!$C$12, $D$11, 100%, $F$11)</f>
        <v>4.2565368000000001</v>
      </c>
      <c r="C150" s="8">
        <f>5.3046 * CHOOSE(CONTROL!$C$12, $D$11, 100%, $F$11)</f>
        <v>4.2648983999999999</v>
      </c>
      <c r="D150" s="8">
        <f>5.3046 * CHOOSE( CONTROL!$C$12, $D$11, 100%, $F$11)</f>
        <v>4.2648983999999999</v>
      </c>
      <c r="E150" s="12">
        <f>5.3035 * CHOOSE( CONTROL!$C$12, $D$11, 100%, $F$11)</f>
        <v>4.2640140000000004</v>
      </c>
      <c r="F150" s="4">
        <f>6.3093 * CHOOSE(CONTROL!$C$12, $D$11, 100%, $F$11)</f>
        <v>5.0726772000000002</v>
      </c>
      <c r="G150" s="8">
        <f>5.188 * CHOOSE( CONTROL!$C$12, $D$11, 100%, $F$11)</f>
        <v>4.1711520000000002</v>
      </c>
      <c r="H150" s="4">
        <f>6.0739 * CHOOSE(CONTROL!$C$12, $D$11, 100%, $F$11)</f>
        <v>4.8834156000000002</v>
      </c>
      <c r="I150" s="8">
        <f>5.1683 * CHOOSE(CONTROL!$C$12, $D$11, 100%, $F$11)</f>
        <v>4.1553132000000002</v>
      </c>
      <c r="J150" s="4">
        <f>5.0681 * CHOOSE(CONTROL!$C$12, $D$11, 100%, $F$11)</f>
        <v>4.0747524000000004</v>
      </c>
      <c r="K150" s="4"/>
      <c r="L150" s="9">
        <v>24.747800000000002</v>
      </c>
      <c r="M150" s="9">
        <v>10.8962</v>
      </c>
      <c r="N150" s="9">
        <v>4.4660000000000002</v>
      </c>
      <c r="O150" s="9">
        <v>0.33829999999999999</v>
      </c>
      <c r="P150" s="9">
        <v>1.1687000000000001</v>
      </c>
      <c r="Q150" s="9">
        <v>28.8002</v>
      </c>
      <c r="R150" s="9"/>
      <c r="S150" s="11"/>
    </row>
    <row r="151" spans="1:19" ht="15.75">
      <c r="A151" s="13">
        <v>46447</v>
      </c>
      <c r="B151" s="8">
        <f>5.1816 * CHOOSE(CONTROL!$C$12, $D$11, 100%, $F$11)</f>
        <v>4.1660064000000006</v>
      </c>
      <c r="C151" s="8">
        <f>5.192 * CHOOSE(CONTROL!$C$12, $D$11, 100%, $F$11)</f>
        <v>4.1743680000000003</v>
      </c>
      <c r="D151" s="8">
        <f>5.1719 * CHOOSE( CONTROL!$C$12, $D$11, 100%, $F$11)</f>
        <v>4.1582075999999999</v>
      </c>
      <c r="E151" s="12">
        <f>5.1781 * CHOOSE( CONTROL!$C$12, $D$11, 100%, $F$11)</f>
        <v>4.1631923999999998</v>
      </c>
      <c r="F151" s="4">
        <f>6.1805 * CHOOSE(CONTROL!$C$12, $D$11, 100%, $F$11)</f>
        <v>4.9691220000000005</v>
      </c>
      <c r="G151" s="8">
        <f>5.0577 * CHOOSE( CONTROL!$C$12, $D$11, 100%, $F$11)</f>
        <v>4.0663907999999998</v>
      </c>
      <c r="H151" s="4">
        <f>5.9483 * CHOOSE(CONTROL!$C$12, $D$11, 100%, $F$11)</f>
        <v>4.7824331999999998</v>
      </c>
      <c r="I151" s="8">
        <f>5.0209 * CHOOSE(CONTROL!$C$12, $D$11, 100%, $F$11)</f>
        <v>4.0368036000000007</v>
      </c>
      <c r="J151" s="4">
        <f>4.9603 * CHOOSE(CONTROL!$C$12, $D$11, 100%, $F$11)</f>
        <v>3.9880812000000003</v>
      </c>
      <c r="K151" s="4"/>
      <c r="L151" s="9">
        <v>27.3993</v>
      </c>
      <c r="M151" s="9">
        <v>12.063700000000001</v>
      </c>
      <c r="N151" s="9">
        <v>4.9444999999999997</v>
      </c>
      <c r="O151" s="9">
        <v>0.37459999999999999</v>
      </c>
      <c r="P151" s="9">
        <v>1.2939000000000001</v>
      </c>
      <c r="Q151" s="9">
        <v>31.885999999999999</v>
      </c>
      <c r="R151" s="9"/>
      <c r="S151" s="11"/>
    </row>
    <row r="152" spans="1:19" ht="15.75">
      <c r="A152" s="13">
        <v>46478</v>
      </c>
      <c r="B152" s="8">
        <f>5.2603 * CHOOSE(CONTROL!$C$12, $D$11, 100%, $F$11)</f>
        <v>4.2292812</v>
      </c>
      <c r="C152" s="8">
        <f>5.2707 * CHOOSE(CONTROL!$C$12, $D$11, 100%, $F$11)</f>
        <v>4.2376427999999997</v>
      </c>
      <c r="D152" s="8">
        <f>5.2739 * CHOOSE( CONTROL!$C$12, $D$11, 100%, $F$11)</f>
        <v>4.2402156000000009</v>
      </c>
      <c r="E152" s="12">
        <f>5.2717 * CHOOSE( CONTROL!$C$12, $D$11, 100%, $F$11)</f>
        <v>4.2384468000000002</v>
      </c>
      <c r="F152" s="4">
        <f>6.2675 * CHOOSE(CONTROL!$C$12, $D$11, 100%, $F$11)</f>
        <v>5.0390700000000006</v>
      </c>
      <c r="G152" s="8">
        <f>5.1223 * CHOOSE( CONTROL!$C$12, $D$11, 100%, $F$11)</f>
        <v>4.1183292000000007</v>
      </c>
      <c r="H152" s="4">
        <f>6.0332 * CHOOSE(CONTROL!$C$12, $D$11, 100%, $F$11)</f>
        <v>4.8506928</v>
      </c>
      <c r="I152" s="8">
        <f>5.0864 * CHOOSE(CONTROL!$C$12, $D$11, 100%, $F$11)</f>
        <v>4.0894656000000005</v>
      </c>
      <c r="J152" s="4">
        <f>5.0356 * CHOOSE(CONTROL!$C$12, $D$11, 100%, $F$11)</f>
        <v>4.0486224000000002</v>
      </c>
      <c r="K152" s="4"/>
      <c r="L152" s="9">
        <v>27.988800000000001</v>
      </c>
      <c r="M152" s="9">
        <v>11.6745</v>
      </c>
      <c r="N152" s="9">
        <v>4.7850000000000001</v>
      </c>
      <c r="O152" s="9">
        <v>0.36249999999999999</v>
      </c>
      <c r="P152" s="9">
        <v>1.1798</v>
      </c>
      <c r="Q152" s="9">
        <v>30.857399999999998</v>
      </c>
      <c r="R152" s="9"/>
      <c r="S152" s="11"/>
    </row>
    <row r="153" spans="1:19" ht="15.75">
      <c r="A153" s="13">
        <v>46508</v>
      </c>
      <c r="B153" s="8">
        <f>CHOOSE( CONTROL!$C$29, 5.405, 5.4003) * CHOOSE(CONTROL!$C$12, $D$11, 100%, $F$11)</f>
        <v>4.3456200000000003</v>
      </c>
      <c r="C153" s="8">
        <f>CHOOSE( CONTROL!$C$29, 5.4154, 5.4107) * CHOOSE(CONTROL!$C$12, $D$11, 100%, $F$11)</f>
        <v>4.3539816</v>
      </c>
      <c r="D153" s="8">
        <f>CHOOSE( CONTROL!$C$29, 5.3934, 5.3887) * CHOOSE( CONTROL!$C$12, $D$11, 100%, $F$11)</f>
        <v>4.3362936000000003</v>
      </c>
      <c r="E153" s="12">
        <f>CHOOSE( CONTROL!$C$29, 5.3998, 5.3951) * CHOOSE( CONTROL!$C$12, $D$11, 100%, $F$11)</f>
        <v>4.3414391999999999</v>
      </c>
      <c r="F153" s="4">
        <f>CHOOSE( CONTROL!$C$29, 6.3799, 6.3752) * CHOOSE(CONTROL!$C$12, $D$11, 100%, $F$11)</f>
        <v>5.1294396000000004</v>
      </c>
      <c r="G153" s="8">
        <f>CHOOSE( CONTROL!$C$29, 5.2447, 5.2401) * CHOOSE( CONTROL!$C$12, $D$11, 100%, $F$11)</f>
        <v>4.2167387999999999</v>
      </c>
      <c r="H153" s="4">
        <f>CHOOSE( CONTROL!$C$29, 6.1427, 6.1381) * CHOOSE(CONTROL!$C$12, $D$11, 100%, $F$11)</f>
        <v>4.9387308000000001</v>
      </c>
      <c r="I153" s="8">
        <f>CHOOSE( CONTROL!$C$29, 5.2036, 5.1991) * CHOOSE(CONTROL!$C$12, $D$11, 100%, $F$11)</f>
        <v>4.1836944000000003</v>
      </c>
      <c r="J153" s="4">
        <f>CHOOSE( CONTROL!$C$29, 5.1743, 5.1698) * CHOOSE(CONTROL!$C$12, $D$11, 100%, $F$11)</f>
        <v>4.1601372000000003</v>
      </c>
      <c r="K153" s="4"/>
      <c r="L153" s="9">
        <v>29.520499999999998</v>
      </c>
      <c r="M153" s="9">
        <v>12.063700000000001</v>
      </c>
      <c r="N153" s="9">
        <v>4.9444999999999997</v>
      </c>
      <c r="O153" s="9">
        <v>0.37459999999999999</v>
      </c>
      <c r="P153" s="9">
        <v>1.2192000000000001</v>
      </c>
      <c r="Q153" s="9">
        <v>31.885999999999999</v>
      </c>
      <c r="R153" s="9"/>
      <c r="S153" s="11"/>
    </row>
    <row r="154" spans="1:19" ht="15.75">
      <c r="A154" s="13">
        <v>46539</v>
      </c>
      <c r="B154" s="8">
        <f>CHOOSE( CONTROL!$C$29, 5.3183, 5.3136) * CHOOSE(CONTROL!$C$12, $D$11, 100%, $F$11)</f>
        <v>4.2759131999999997</v>
      </c>
      <c r="C154" s="8">
        <f>CHOOSE( CONTROL!$C$29, 5.3287, 5.324) * CHOOSE(CONTROL!$C$12, $D$11, 100%, $F$11)</f>
        <v>4.2842748000000004</v>
      </c>
      <c r="D154" s="8">
        <f>CHOOSE( CONTROL!$C$29, 5.3011, 5.2964) * CHOOSE( CONTROL!$C$12, $D$11, 100%, $F$11)</f>
        <v>4.2620844</v>
      </c>
      <c r="E154" s="12">
        <f>CHOOSE( CONTROL!$C$29, 5.3095, 5.3048) * CHOOSE( CONTROL!$C$12, $D$11, 100%, $F$11)</f>
        <v>4.2688380000000006</v>
      </c>
      <c r="F154" s="4">
        <f>CHOOSE( CONTROL!$C$29, 6.2827, 6.278) * CHOOSE(CONTROL!$C$12, $D$11, 100%, $F$11)</f>
        <v>5.0512908000000003</v>
      </c>
      <c r="G154" s="8">
        <f>CHOOSE( CONTROL!$C$29, 5.1589, 5.1543) * CHOOSE( CONTROL!$C$12, $D$11, 100%, $F$11)</f>
        <v>4.1477556</v>
      </c>
      <c r="H154" s="4">
        <f>CHOOSE( CONTROL!$C$29, 6.048, 6.0434) * CHOOSE(CONTROL!$C$12, $D$11, 100%, $F$11)</f>
        <v>4.8625920000000002</v>
      </c>
      <c r="I154" s="8">
        <f>CHOOSE( CONTROL!$C$29, 5.1226, 5.1181) * CHOOSE(CONTROL!$C$12, $D$11, 100%, $F$11)</f>
        <v>4.1185704000000003</v>
      </c>
      <c r="J154" s="4">
        <f>CHOOSE( CONTROL!$C$29, 5.0912, 5.0867) * CHOOSE(CONTROL!$C$12, $D$11, 100%, $F$11)</f>
        <v>4.0933248000000004</v>
      </c>
      <c r="K154" s="4"/>
      <c r="L154" s="9">
        <v>28.568200000000001</v>
      </c>
      <c r="M154" s="9">
        <v>11.6745</v>
      </c>
      <c r="N154" s="9">
        <v>4.7850000000000001</v>
      </c>
      <c r="O154" s="9">
        <v>0.36249999999999999</v>
      </c>
      <c r="P154" s="9">
        <v>1.1798</v>
      </c>
      <c r="Q154" s="9">
        <v>30.857399999999998</v>
      </c>
      <c r="R154" s="9"/>
      <c r="S154" s="11"/>
    </row>
    <row r="155" spans="1:19" ht="15.75">
      <c r="A155" s="13">
        <v>46569</v>
      </c>
      <c r="B155" s="8">
        <f>CHOOSE( CONTROL!$C$29, 5.5467, 5.542) * CHOOSE(CONTROL!$C$12, $D$11, 100%, $F$11)</f>
        <v>4.4595468000000009</v>
      </c>
      <c r="C155" s="8">
        <f>CHOOSE( CONTROL!$C$29, 5.5571, 5.5524) * CHOOSE(CONTROL!$C$12, $D$11, 100%, $F$11)</f>
        <v>4.4679084000000007</v>
      </c>
      <c r="D155" s="8">
        <f>CHOOSE( CONTROL!$C$29, 5.5487, 5.544) * CHOOSE( CONTROL!$C$12, $D$11, 100%, $F$11)</f>
        <v>4.4611548000000001</v>
      </c>
      <c r="E155" s="12">
        <f>CHOOSE( CONTROL!$C$29, 5.5502, 5.5455) * CHOOSE( CONTROL!$C$12, $D$11, 100%, $F$11)</f>
        <v>4.4623608000000008</v>
      </c>
      <c r="F155" s="4">
        <f>CHOOSE( CONTROL!$C$29, 6.5383, 6.5336) * CHOOSE(CONTROL!$C$12, $D$11, 100%, $F$11)</f>
        <v>5.2567931999999997</v>
      </c>
      <c r="G155" s="8">
        <f>CHOOSE( CONTROL!$C$29, 5.3943, 5.3897) * CHOOSE( CONTROL!$C$12, $D$11, 100%, $F$11)</f>
        <v>4.3370172000000009</v>
      </c>
      <c r="H155" s="4">
        <f>CHOOSE( CONTROL!$C$29, 6.2971, 6.2925) * CHOOSE(CONTROL!$C$12, $D$11, 100%, $F$11)</f>
        <v>5.0628684000000002</v>
      </c>
      <c r="I155" s="8">
        <f>CHOOSE( CONTROL!$C$29, 5.3643, 5.3598) * CHOOSE(CONTROL!$C$12, $D$11, 100%, $F$11)</f>
        <v>4.3128972000000001</v>
      </c>
      <c r="J155" s="4">
        <f>CHOOSE( CONTROL!$C$29, 5.3101, 5.3056) * CHOOSE(CONTROL!$C$12, $D$11, 100%, $F$11)</f>
        <v>4.2693204000000007</v>
      </c>
      <c r="K155" s="4"/>
      <c r="L155" s="9">
        <v>29.520499999999998</v>
      </c>
      <c r="M155" s="9">
        <v>12.063700000000001</v>
      </c>
      <c r="N155" s="9">
        <v>4.9444999999999997</v>
      </c>
      <c r="O155" s="9">
        <v>0.37459999999999999</v>
      </c>
      <c r="P155" s="9">
        <v>1.2192000000000001</v>
      </c>
      <c r="Q155" s="9">
        <v>31.885999999999999</v>
      </c>
      <c r="R155" s="9"/>
      <c r="S155" s="11"/>
    </row>
    <row r="156" spans="1:19" ht="15.75">
      <c r="A156" s="13">
        <v>46600</v>
      </c>
      <c r="B156" s="8">
        <f>CHOOSE( CONTROL!$C$29, 5.1193, 5.1146) * CHOOSE(CONTROL!$C$12, $D$11, 100%, $F$11)</f>
        <v>4.1159172000000002</v>
      </c>
      <c r="C156" s="8">
        <f>CHOOSE( CONTROL!$C$29, 5.1297, 5.125) * CHOOSE(CONTROL!$C$12, $D$11, 100%, $F$11)</f>
        <v>4.1242787999999999</v>
      </c>
      <c r="D156" s="8">
        <f>CHOOSE( CONTROL!$C$29, 5.1246, 5.1199) * CHOOSE( CONTROL!$C$12, $D$11, 100%, $F$11)</f>
        <v>4.1201784000000004</v>
      </c>
      <c r="E156" s="12">
        <f>CHOOSE( CONTROL!$C$29, 5.1249, 5.1202) * CHOOSE( CONTROL!$C$12, $D$11, 100%, $F$11)</f>
        <v>4.1204196000000008</v>
      </c>
      <c r="F156" s="4">
        <f>CHOOSE( CONTROL!$C$29, 6.1161, 6.1114) * CHOOSE(CONTROL!$C$12, $D$11, 100%, $F$11)</f>
        <v>4.9173444000000002</v>
      </c>
      <c r="G156" s="8">
        <f>CHOOSE( CONTROL!$C$29, 4.9797, 4.9751) * CHOOSE( CONTROL!$C$12, $D$11, 100%, $F$11)</f>
        <v>4.0036788000000003</v>
      </c>
      <c r="H156" s="4">
        <f>CHOOSE( CONTROL!$C$29, 5.8856, 5.881) * CHOOSE(CONTROL!$C$12, $D$11, 100%, $F$11)</f>
        <v>4.7320224000000009</v>
      </c>
      <c r="I156" s="8">
        <f>CHOOSE( CONTROL!$C$29, 4.9592, 4.9547) * CHOOSE(CONTROL!$C$12, $D$11, 100%, $F$11)</f>
        <v>3.9871968000000004</v>
      </c>
      <c r="J156" s="4">
        <f>CHOOSE( CONTROL!$C$29, 4.9005, 4.896) * CHOOSE(CONTROL!$C$12, $D$11, 100%, $F$11)</f>
        <v>3.9400020000000002</v>
      </c>
      <c r="K156" s="4"/>
      <c r="L156" s="9">
        <v>29.520499999999998</v>
      </c>
      <c r="M156" s="9">
        <v>12.063700000000001</v>
      </c>
      <c r="N156" s="9">
        <v>4.9444999999999997</v>
      </c>
      <c r="O156" s="9">
        <v>0.37459999999999999</v>
      </c>
      <c r="P156" s="9">
        <v>1.2192000000000001</v>
      </c>
      <c r="Q156" s="9">
        <v>31.885999999999999</v>
      </c>
      <c r="R156" s="9"/>
      <c r="S156" s="11"/>
    </row>
    <row r="157" spans="1:19" ht="15.75">
      <c r="A157" s="13">
        <v>46631</v>
      </c>
      <c r="B157" s="8">
        <f>CHOOSE( CONTROL!$C$29, 5.0122, 5.0075) * CHOOSE(CONTROL!$C$12, $D$11, 100%, $F$11)</f>
        <v>4.0298088000000005</v>
      </c>
      <c r="C157" s="8">
        <f>CHOOSE( CONTROL!$C$29, 5.0227, 5.018) * CHOOSE(CONTROL!$C$12, $D$11, 100%, $F$11)</f>
        <v>4.0382508000000001</v>
      </c>
      <c r="D157" s="8">
        <f>CHOOSE( CONTROL!$C$29, 5.0134, 5.0087) * CHOOSE( CONTROL!$C$12, $D$11, 100%, $F$11)</f>
        <v>4.0307735999999998</v>
      </c>
      <c r="E157" s="12">
        <f>CHOOSE( CONTROL!$C$29, 5.0152, 5.0105) * CHOOSE( CONTROL!$C$12, $D$11, 100%, $F$11)</f>
        <v>4.0322208000000002</v>
      </c>
      <c r="F157" s="4">
        <f>CHOOSE( CONTROL!$C$29, 6.0012, 5.9965) * CHOOSE(CONTROL!$C$12, $D$11, 100%, $F$11)</f>
        <v>4.8249648000000001</v>
      </c>
      <c r="G157" s="8">
        <f>CHOOSE( CONTROL!$C$29, 4.8741, 4.8695) * CHOOSE( CONTROL!$C$12, $D$11, 100%, $F$11)</f>
        <v>3.9187764000000005</v>
      </c>
      <c r="H157" s="4">
        <f>CHOOSE( CONTROL!$C$29, 5.7736, 5.769) * CHOOSE(CONTROL!$C$12, $D$11, 100%, $F$11)</f>
        <v>4.6419744000000005</v>
      </c>
      <c r="I157" s="8">
        <f>CHOOSE( CONTROL!$C$29, 4.8579, 4.8534) * CHOOSE(CONTROL!$C$12, $D$11, 100%, $F$11)</f>
        <v>3.9057516000000003</v>
      </c>
      <c r="J157" s="4">
        <f>CHOOSE( CONTROL!$C$29, 4.798, 4.7935) * CHOOSE(CONTROL!$C$12, $D$11, 100%, $F$11)</f>
        <v>3.8575920000000004</v>
      </c>
      <c r="K157" s="4"/>
      <c r="L157" s="9">
        <v>28.568200000000001</v>
      </c>
      <c r="M157" s="9">
        <v>11.6745</v>
      </c>
      <c r="N157" s="9">
        <v>4.7850000000000001</v>
      </c>
      <c r="O157" s="9">
        <v>0.36249999999999999</v>
      </c>
      <c r="P157" s="9">
        <v>1.1798</v>
      </c>
      <c r="Q157" s="9">
        <v>30.857399999999998</v>
      </c>
      <c r="R157" s="9"/>
      <c r="S157" s="11"/>
    </row>
    <row r="158" spans="1:19" ht="15.75">
      <c r="A158" s="13">
        <v>46661</v>
      </c>
      <c r="B158" s="8">
        <f>5.2298 * CHOOSE(CONTROL!$C$12, $D$11, 100%, $F$11)</f>
        <v>4.2047592000000007</v>
      </c>
      <c r="C158" s="8">
        <f>5.2402 * CHOOSE(CONTROL!$C$12, $D$11, 100%, $F$11)</f>
        <v>4.2131208000000004</v>
      </c>
      <c r="D158" s="8">
        <f>5.2318 * CHOOSE( CONTROL!$C$12, $D$11, 100%, $F$11)</f>
        <v>4.2063671999999999</v>
      </c>
      <c r="E158" s="12">
        <f>5.2335 * CHOOSE( CONTROL!$C$12, $D$11, 100%, $F$11)</f>
        <v>4.2077340000000003</v>
      </c>
      <c r="F158" s="4">
        <f>6.2188 * CHOOSE(CONTROL!$C$12, $D$11, 100%, $F$11)</f>
        <v>4.9999152000000002</v>
      </c>
      <c r="G158" s="8">
        <f>5.0858 * CHOOSE( CONTROL!$C$12, $D$11, 100%, $F$11)</f>
        <v>4.0889832000000004</v>
      </c>
      <c r="H158" s="4">
        <f>5.9856 * CHOOSE(CONTROL!$C$12, $D$11, 100%, $F$11)</f>
        <v>4.8124224</v>
      </c>
      <c r="I158" s="8">
        <f>5.0685 * CHOOSE(CONTROL!$C$12, $D$11, 100%, $F$11)</f>
        <v>4.0750740000000008</v>
      </c>
      <c r="J158" s="4">
        <f>5.0064 * CHOOSE(CONTROL!$C$12, $D$11, 100%, $F$11)</f>
        <v>4.0251456000000001</v>
      </c>
      <c r="K158" s="4"/>
      <c r="L158" s="9">
        <v>28.921800000000001</v>
      </c>
      <c r="M158" s="9">
        <v>12.063700000000001</v>
      </c>
      <c r="N158" s="9">
        <v>4.9444999999999997</v>
      </c>
      <c r="O158" s="9">
        <v>0.37459999999999999</v>
      </c>
      <c r="P158" s="9">
        <v>1.2192000000000001</v>
      </c>
      <c r="Q158" s="9">
        <v>31.885999999999999</v>
      </c>
      <c r="R158" s="9"/>
      <c r="S158" s="11"/>
    </row>
    <row r="159" spans="1:19" ht="15.75">
      <c r="A159" s="13">
        <v>46692</v>
      </c>
      <c r="B159" s="8">
        <f>5.64 * CHOOSE(CONTROL!$C$12, $D$11, 100%, $F$11)</f>
        <v>4.5345599999999999</v>
      </c>
      <c r="C159" s="8">
        <f>5.6504 * CHOOSE(CONTROL!$C$12, $D$11, 100%, $F$11)</f>
        <v>4.5429216000000006</v>
      </c>
      <c r="D159" s="8">
        <f>5.6307 * CHOOSE( CONTROL!$C$12, $D$11, 100%, $F$11)</f>
        <v>4.5270828000000005</v>
      </c>
      <c r="E159" s="12">
        <f>5.6368 * CHOOSE( CONTROL!$C$12, $D$11, 100%, $F$11)</f>
        <v>4.5319872000000005</v>
      </c>
      <c r="F159" s="4">
        <f>6.6316 * CHOOSE(CONTROL!$C$12, $D$11, 100%, $F$11)</f>
        <v>5.3318064000000005</v>
      </c>
      <c r="G159" s="8">
        <f>5.5046 * CHOOSE( CONTROL!$C$12, $D$11, 100%, $F$11)</f>
        <v>4.4256983999999999</v>
      </c>
      <c r="H159" s="4">
        <f>6.388 * CHOOSE(CONTROL!$C$12, $D$11, 100%, $F$11)</f>
        <v>5.1359520000000005</v>
      </c>
      <c r="I159" s="8">
        <f>5.492 * CHOOSE(CONTROL!$C$12, $D$11, 100%, $F$11)</f>
        <v>4.4155680000000004</v>
      </c>
      <c r="J159" s="4">
        <f>5.3995 * CHOOSE(CONTROL!$C$12, $D$11, 100%, $F$11)</f>
        <v>4.3411980000000003</v>
      </c>
      <c r="K159" s="4"/>
      <c r="L159" s="9">
        <v>26.515499999999999</v>
      </c>
      <c r="M159" s="9">
        <v>11.6745</v>
      </c>
      <c r="N159" s="9">
        <v>4.7850000000000001</v>
      </c>
      <c r="O159" s="9">
        <v>0.36249999999999999</v>
      </c>
      <c r="P159" s="9">
        <v>1.2522</v>
      </c>
      <c r="Q159" s="9">
        <v>30.857399999999998</v>
      </c>
      <c r="R159" s="9"/>
      <c r="S159" s="11"/>
    </row>
    <row r="160" spans="1:19" ht="15.75">
      <c r="A160" s="13">
        <v>46722</v>
      </c>
      <c r="B160" s="8">
        <f>5.6297 * CHOOSE(CONTROL!$C$12, $D$11, 100%, $F$11)</f>
        <v>4.5262788</v>
      </c>
      <c r="C160" s="8">
        <f>5.6402 * CHOOSE(CONTROL!$C$12, $D$11, 100%, $F$11)</f>
        <v>4.5347208000000006</v>
      </c>
      <c r="D160" s="8">
        <f>5.6223 * CHOOSE( CONTROL!$C$12, $D$11, 100%, $F$11)</f>
        <v>4.5203291999999999</v>
      </c>
      <c r="E160" s="12">
        <f>5.6277 * CHOOSE( CONTROL!$C$12, $D$11, 100%, $F$11)</f>
        <v>4.5246708</v>
      </c>
      <c r="F160" s="4">
        <f>6.6213 * CHOOSE(CONTROL!$C$12, $D$11, 100%, $F$11)</f>
        <v>5.3235251999999997</v>
      </c>
      <c r="G160" s="8">
        <f>5.4961 * CHOOSE( CONTROL!$C$12, $D$11, 100%, $F$11)</f>
        <v>4.4188644000000004</v>
      </c>
      <c r="H160" s="4">
        <f>6.378 * CHOOSE(CONTROL!$C$12, $D$11, 100%, $F$11)</f>
        <v>5.1279120000000002</v>
      </c>
      <c r="I160" s="8">
        <f>5.489 * CHOOSE(CONTROL!$C$12, $D$11, 100%, $F$11)</f>
        <v>4.4131559999999999</v>
      </c>
      <c r="J160" s="4">
        <f>5.3896 * CHOOSE(CONTROL!$C$12, $D$11, 100%, $F$11)</f>
        <v>4.3332383999999999</v>
      </c>
      <c r="K160" s="4"/>
      <c r="L160" s="9">
        <v>27.3993</v>
      </c>
      <c r="M160" s="9">
        <v>12.063700000000001</v>
      </c>
      <c r="N160" s="9">
        <v>4.9444999999999997</v>
      </c>
      <c r="O160" s="9">
        <v>0.37459999999999999</v>
      </c>
      <c r="P160" s="9">
        <v>1.2939000000000001</v>
      </c>
      <c r="Q160" s="9">
        <v>31.885999999999999</v>
      </c>
      <c r="R160" s="9"/>
      <c r="S160" s="11"/>
    </row>
    <row r="161" spans="1:19" ht="15.75">
      <c r="A161" s="13">
        <v>46753</v>
      </c>
      <c r="B161" s="8">
        <f>5.8441 * CHOOSE(CONTROL!$C$12, $D$11, 100%, $F$11)</f>
        <v>4.6986564</v>
      </c>
      <c r="C161" s="8">
        <f>5.8545 * CHOOSE(CONTROL!$C$12, $D$11, 100%, $F$11)</f>
        <v>4.7070179999999997</v>
      </c>
      <c r="D161" s="8">
        <f>5.8522 * CHOOSE( CONTROL!$C$12, $D$11, 100%, $F$11)</f>
        <v>4.7051688</v>
      </c>
      <c r="E161" s="12">
        <f>5.8519 * CHOOSE( CONTROL!$C$12, $D$11, 100%, $F$11)</f>
        <v>4.7049276000000004</v>
      </c>
      <c r="F161" s="4">
        <f>6.867 * CHOOSE(CONTROL!$C$12, $D$11, 100%, $F$11)</f>
        <v>5.5210680000000005</v>
      </c>
      <c r="G161" s="8">
        <f>5.7241 * CHOOSE( CONTROL!$C$12, $D$11, 100%, $F$11)</f>
        <v>4.6021764000000003</v>
      </c>
      <c r="H161" s="4">
        <f>6.6175 * CHOOSE(CONTROL!$C$12, $D$11, 100%, $F$11)</f>
        <v>5.3204700000000003</v>
      </c>
      <c r="I161" s="8">
        <f>5.7064 * CHOOSE(CONTROL!$C$12, $D$11, 100%, $F$11)</f>
        <v>4.5879456000000003</v>
      </c>
      <c r="J161" s="4">
        <f>5.595 * CHOOSE(CONTROL!$C$12, $D$11, 100%, $F$11)</f>
        <v>4.49838</v>
      </c>
      <c r="K161" s="4"/>
      <c r="L161" s="9">
        <v>27.3993</v>
      </c>
      <c r="M161" s="9">
        <v>12.063700000000001</v>
      </c>
      <c r="N161" s="9">
        <v>4.9444999999999997</v>
      </c>
      <c r="O161" s="9">
        <v>0.37459999999999999</v>
      </c>
      <c r="P161" s="9">
        <v>1.2939000000000001</v>
      </c>
      <c r="Q161" s="9">
        <v>31.701799999999999</v>
      </c>
      <c r="R161" s="9"/>
      <c r="S161" s="11"/>
    </row>
    <row r="162" spans="1:19" ht="15.75">
      <c r="A162" s="13">
        <v>46784</v>
      </c>
      <c r="B162" s="8">
        <f>5.4666 * CHOOSE(CONTROL!$C$12, $D$11, 100%, $F$11)</f>
        <v>4.3951463999999998</v>
      </c>
      <c r="C162" s="8">
        <f>5.477 * CHOOSE(CONTROL!$C$12, $D$11, 100%, $F$11)</f>
        <v>4.4035080000000004</v>
      </c>
      <c r="D162" s="8">
        <f>5.477 * CHOOSE( CONTROL!$C$12, $D$11, 100%, $F$11)</f>
        <v>4.4035080000000004</v>
      </c>
      <c r="E162" s="12">
        <f>5.4759 * CHOOSE( CONTROL!$C$12, $D$11, 100%, $F$11)</f>
        <v>4.4026236000000001</v>
      </c>
      <c r="F162" s="4">
        <f>6.4817 * CHOOSE(CONTROL!$C$12, $D$11, 100%, $F$11)</f>
        <v>5.2112867999999999</v>
      </c>
      <c r="G162" s="8">
        <f>5.356 * CHOOSE( CONTROL!$C$12, $D$11, 100%, $F$11)</f>
        <v>4.3062240000000003</v>
      </c>
      <c r="H162" s="4">
        <f>6.2419 * CHOOSE(CONTROL!$C$12, $D$11, 100%, $F$11)</f>
        <v>5.0184876000000003</v>
      </c>
      <c r="I162" s="8">
        <f>5.3336 * CHOOSE(CONTROL!$C$12, $D$11, 100%, $F$11)</f>
        <v>4.2882144000000002</v>
      </c>
      <c r="J162" s="4">
        <f>5.2333 * CHOOSE(CONTROL!$C$12, $D$11, 100%, $F$11)</f>
        <v>4.2075731999999997</v>
      </c>
      <c r="K162" s="4"/>
      <c r="L162" s="9">
        <v>25.631599999999999</v>
      </c>
      <c r="M162" s="9">
        <v>11.285299999999999</v>
      </c>
      <c r="N162" s="9">
        <v>4.6254999999999997</v>
      </c>
      <c r="O162" s="9">
        <v>0.35039999999999999</v>
      </c>
      <c r="P162" s="9">
        <v>1.2104999999999999</v>
      </c>
      <c r="Q162" s="9">
        <v>29.656600000000001</v>
      </c>
      <c r="R162" s="9"/>
      <c r="S162" s="11"/>
    </row>
    <row r="163" spans="1:19" ht="15.75">
      <c r="A163" s="13">
        <v>46813</v>
      </c>
      <c r="B163" s="8">
        <f>5.3503 * CHOOSE(CONTROL!$C$12, $D$11, 100%, $F$11)</f>
        <v>4.3016411999999997</v>
      </c>
      <c r="C163" s="8">
        <f>5.3608 * CHOOSE(CONTROL!$C$12, $D$11, 100%, $F$11)</f>
        <v>4.3100832000000002</v>
      </c>
      <c r="D163" s="8">
        <f>5.3406 * CHOOSE( CONTROL!$C$12, $D$11, 100%, $F$11)</f>
        <v>4.2938424000000008</v>
      </c>
      <c r="E163" s="12">
        <f>5.3469 * CHOOSE( CONTROL!$C$12, $D$11, 100%, $F$11)</f>
        <v>4.2989075999999997</v>
      </c>
      <c r="F163" s="4">
        <f>6.3492 * CHOOSE(CONTROL!$C$12, $D$11, 100%, $F$11)</f>
        <v>5.1047567999999997</v>
      </c>
      <c r="G163" s="8">
        <f>5.2222 * CHOOSE( CONTROL!$C$12, $D$11, 100%, $F$11)</f>
        <v>4.1986488</v>
      </c>
      <c r="H163" s="4">
        <f>6.1128 * CHOOSE(CONTROL!$C$12, $D$11, 100%, $F$11)</f>
        <v>4.9146912</v>
      </c>
      <c r="I163" s="8">
        <f>5.1826 * CHOOSE(CONTROL!$C$12, $D$11, 100%, $F$11)</f>
        <v>4.1668104000000001</v>
      </c>
      <c r="J163" s="4">
        <f>5.1219 * CHOOSE(CONTROL!$C$12, $D$11, 100%, $F$11)</f>
        <v>4.1180076000000003</v>
      </c>
      <c r="K163" s="4"/>
      <c r="L163" s="9">
        <v>27.3993</v>
      </c>
      <c r="M163" s="9">
        <v>12.063700000000001</v>
      </c>
      <c r="N163" s="9">
        <v>4.9444999999999997</v>
      </c>
      <c r="O163" s="9">
        <v>0.37459999999999999</v>
      </c>
      <c r="P163" s="9">
        <v>1.2939000000000001</v>
      </c>
      <c r="Q163" s="9">
        <v>31.701799999999999</v>
      </c>
      <c r="R163" s="9"/>
      <c r="S163" s="11"/>
    </row>
    <row r="164" spans="1:19" ht="15.75">
      <c r="A164" s="13">
        <v>46844</v>
      </c>
      <c r="B164" s="8">
        <f>5.4316 * CHOOSE(CONTROL!$C$12, $D$11, 100%, $F$11)</f>
        <v>4.3670064000000002</v>
      </c>
      <c r="C164" s="8">
        <f>5.442 * CHOOSE(CONTROL!$C$12, $D$11, 100%, $F$11)</f>
        <v>4.3753680000000008</v>
      </c>
      <c r="D164" s="8">
        <f>5.4452 * CHOOSE( CONTROL!$C$12, $D$11, 100%, $F$11)</f>
        <v>4.3779408000000002</v>
      </c>
      <c r="E164" s="12">
        <f>5.443 * CHOOSE( CONTROL!$C$12, $D$11, 100%, $F$11)</f>
        <v>4.3761720000000004</v>
      </c>
      <c r="F164" s="4">
        <f>6.4388 * CHOOSE(CONTROL!$C$12, $D$11, 100%, $F$11)</f>
        <v>5.1767951999999999</v>
      </c>
      <c r="G164" s="8">
        <f>5.2893 * CHOOSE( CONTROL!$C$12, $D$11, 100%, $F$11)</f>
        <v>4.2525972000000003</v>
      </c>
      <c r="H164" s="4">
        <f>6.2001 * CHOOSE(CONTROL!$C$12, $D$11, 100%, $F$11)</f>
        <v>4.9848804000000007</v>
      </c>
      <c r="I164" s="8">
        <f>5.2506 * CHOOSE(CONTROL!$C$12, $D$11, 100%, $F$11)</f>
        <v>4.2214824000000002</v>
      </c>
      <c r="J164" s="4">
        <f>5.1998 * CHOOSE(CONTROL!$C$12, $D$11, 100%, $F$11)</f>
        <v>4.1806391999999999</v>
      </c>
      <c r="K164" s="4"/>
      <c r="L164" s="9">
        <v>27.988800000000001</v>
      </c>
      <c r="M164" s="9">
        <v>11.6745</v>
      </c>
      <c r="N164" s="9">
        <v>4.7850000000000001</v>
      </c>
      <c r="O164" s="9">
        <v>0.36249999999999999</v>
      </c>
      <c r="P164" s="9">
        <v>1.1798</v>
      </c>
      <c r="Q164" s="9">
        <v>30.679200000000002</v>
      </c>
      <c r="R164" s="9"/>
      <c r="S164" s="11"/>
    </row>
    <row r="165" spans="1:19" ht="15.75">
      <c r="A165" s="13">
        <v>46874</v>
      </c>
      <c r="B165" s="8">
        <f>CHOOSE( CONTROL!$C$29, 5.5809, 5.5762) * CHOOSE(CONTROL!$C$12, $D$11, 100%, $F$11)</f>
        <v>4.4870435999999998</v>
      </c>
      <c r="C165" s="8">
        <f>CHOOSE( CONTROL!$C$29, 5.5913, 5.5866) * CHOOSE(CONTROL!$C$12, $D$11, 100%, $F$11)</f>
        <v>4.4954052000000004</v>
      </c>
      <c r="D165" s="8">
        <f>CHOOSE( CONTROL!$C$29, 5.5692, 5.5645) * CHOOSE( CONTROL!$C$12, $D$11, 100%, $F$11)</f>
        <v>4.4776368000000009</v>
      </c>
      <c r="E165" s="12">
        <f>CHOOSE( CONTROL!$C$29, 5.5756, 5.5709) * CHOOSE( CONTROL!$C$12, $D$11, 100%, $F$11)</f>
        <v>4.4827823999999996</v>
      </c>
      <c r="F165" s="4">
        <f>CHOOSE( CONTROL!$C$29, 6.5558, 6.5511) * CHOOSE(CONTROL!$C$12, $D$11, 100%, $F$11)</f>
        <v>5.2708632</v>
      </c>
      <c r="G165" s="8">
        <f>CHOOSE( CONTROL!$C$29, 5.4161, 5.4115) * CHOOSE( CONTROL!$C$12, $D$11, 100%, $F$11)</f>
        <v>4.3545444</v>
      </c>
      <c r="H165" s="4">
        <f>CHOOSE( CONTROL!$C$29, 6.3141, 6.3095) * CHOOSE(CONTROL!$C$12, $D$11, 100%, $F$11)</f>
        <v>5.0765364000000002</v>
      </c>
      <c r="I165" s="8">
        <f>CHOOSE( CONTROL!$C$29, 5.3722, 5.3677) * CHOOSE(CONTROL!$C$12, $D$11, 100%, $F$11)</f>
        <v>4.3192488000000004</v>
      </c>
      <c r="J165" s="4">
        <f>CHOOSE( CONTROL!$C$29, 5.3428, 5.3383) * CHOOSE(CONTROL!$C$12, $D$11, 100%, $F$11)</f>
        <v>4.2956112000000006</v>
      </c>
      <c r="K165" s="4"/>
      <c r="L165" s="9">
        <v>29.520499999999998</v>
      </c>
      <c r="M165" s="9">
        <v>12.063700000000001</v>
      </c>
      <c r="N165" s="9">
        <v>4.9444999999999997</v>
      </c>
      <c r="O165" s="9">
        <v>0.37459999999999999</v>
      </c>
      <c r="P165" s="9">
        <v>1.2192000000000001</v>
      </c>
      <c r="Q165" s="9">
        <v>31.701799999999999</v>
      </c>
      <c r="R165" s="9"/>
      <c r="S165" s="11"/>
    </row>
    <row r="166" spans="1:19" ht="15.75">
      <c r="A166" s="13">
        <v>46905</v>
      </c>
      <c r="B166" s="8">
        <f>CHOOSE( CONTROL!$C$29, 5.4913, 5.4866) * CHOOSE(CONTROL!$C$12, $D$11, 100%, $F$11)</f>
        <v>4.4150052000000004</v>
      </c>
      <c r="C166" s="8">
        <f>CHOOSE( CONTROL!$C$29, 5.5017, 5.497) * CHOOSE(CONTROL!$C$12, $D$11, 100%, $F$11)</f>
        <v>4.4233668000000002</v>
      </c>
      <c r="D166" s="8">
        <f>CHOOSE( CONTROL!$C$29, 5.4741, 5.4694) * CHOOSE( CONTROL!$C$12, $D$11, 100%, $F$11)</f>
        <v>4.4011764000000007</v>
      </c>
      <c r="E166" s="12">
        <f>CHOOSE( CONTROL!$C$29, 5.4825, 5.4778) * CHOOSE( CONTROL!$C$12, $D$11, 100%, $F$11)</f>
        <v>4.4079300000000003</v>
      </c>
      <c r="F166" s="4">
        <f>CHOOSE( CONTROL!$C$29, 6.4558, 6.4511) * CHOOSE(CONTROL!$C$12, $D$11, 100%, $F$11)</f>
        <v>5.1904631999999999</v>
      </c>
      <c r="G166" s="8">
        <f>CHOOSE( CONTROL!$C$29, 5.3275, 5.323) * CHOOSE( CONTROL!$C$12, $D$11, 100%, $F$11)</f>
        <v>4.2833100000000002</v>
      </c>
      <c r="H166" s="4">
        <f>CHOOSE( CONTROL!$C$29, 6.2166, 6.2121) * CHOOSE(CONTROL!$C$12, $D$11, 100%, $F$11)</f>
        <v>4.9981464000000004</v>
      </c>
      <c r="I166" s="8">
        <f>CHOOSE( CONTROL!$C$29, 5.2885, 5.284) * CHOOSE(CONTROL!$C$12, $D$11, 100%, $F$11)</f>
        <v>4.2519540000000005</v>
      </c>
      <c r="J166" s="4">
        <f>CHOOSE( CONTROL!$C$29, 5.257, 5.2525) * CHOOSE(CONTROL!$C$12, $D$11, 100%, $F$11)</f>
        <v>4.2266279999999998</v>
      </c>
      <c r="K166" s="4"/>
      <c r="L166" s="9">
        <v>28.568200000000001</v>
      </c>
      <c r="M166" s="9">
        <v>11.6745</v>
      </c>
      <c r="N166" s="9">
        <v>4.7850000000000001</v>
      </c>
      <c r="O166" s="9">
        <v>0.36249999999999999</v>
      </c>
      <c r="P166" s="9">
        <v>1.1798</v>
      </c>
      <c r="Q166" s="9">
        <v>30.679200000000002</v>
      </c>
      <c r="R166" s="9"/>
      <c r="S166" s="11"/>
    </row>
    <row r="167" spans="1:19" ht="15.75">
      <c r="A167" s="13">
        <v>46935</v>
      </c>
      <c r="B167" s="8">
        <f>CHOOSE( CONTROL!$C$29, 5.7272, 5.7225) * CHOOSE(CONTROL!$C$12, $D$11, 100%, $F$11)</f>
        <v>4.6046687999999998</v>
      </c>
      <c r="C167" s="8">
        <f>CHOOSE( CONTROL!$C$29, 5.7376, 5.7329) * CHOOSE(CONTROL!$C$12, $D$11, 100%, $F$11)</f>
        <v>4.6130303999999995</v>
      </c>
      <c r="D167" s="8">
        <f>CHOOSE( CONTROL!$C$29, 5.7292, 5.7244) * CHOOSE( CONTROL!$C$12, $D$11, 100%, $F$11)</f>
        <v>4.6062767999999998</v>
      </c>
      <c r="E167" s="12">
        <f>CHOOSE( CONTROL!$C$29, 5.7307, 5.7259) * CHOOSE( CONTROL!$C$12, $D$11, 100%, $F$11)</f>
        <v>4.6074827999999997</v>
      </c>
      <c r="F167" s="4">
        <f>CHOOSE( CONTROL!$C$29, 6.7188, 6.7141) * CHOOSE(CONTROL!$C$12, $D$11, 100%, $F$11)</f>
        <v>5.4019152000000004</v>
      </c>
      <c r="G167" s="8">
        <f>CHOOSE( CONTROL!$C$29, 5.5702, 5.5656) * CHOOSE( CONTROL!$C$12, $D$11, 100%, $F$11)</f>
        <v>4.4784408000000004</v>
      </c>
      <c r="H167" s="4">
        <f>CHOOSE( CONTROL!$C$29, 6.473, 6.4684) * CHOOSE(CONTROL!$C$12, $D$11, 100%, $F$11)</f>
        <v>5.2042920000000006</v>
      </c>
      <c r="I167" s="8">
        <f>CHOOSE( CONTROL!$C$29, 5.5373, 5.5328) * CHOOSE(CONTROL!$C$12, $D$11, 100%, $F$11)</f>
        <v>4.4519892000000008</v>
      </c>
      <c r="J167" s="4">
        <f>CHOOSE( CONTROL!$C$29, 5.483, 5.4785) * CHOOSE(CONTROL!$C$12, $D$11, 100%, $F$11)</f>
        <v>4.4083319999999997</v>
      </c>
      <c r="K167" s="4"/>
      <c r="L167" s="9">
        <v>29.520499999999998</v>
      </c>
      <c r="M167" s="9">
        <v>12.063700000000001</v>
      </c>
      <c r="N167" s="9">
        <v>4.9444999999999997</v>
      </c>
      <c r="O167" s="9">
        <v>0.37459999999999999</v>
      </c>
      <c r="P167" s="9">
        <v>1.2192000000000001</v>
      </c>
      <c r="Q167" s="9">
        <v>31.701799999999999</v>
      </c>
      <c r="R167" s="9"/>
      <c r="S167" s="11"/>
    </row>
    <row r="168" spans="1:19" ht="15.75">
      <c r="A168" s="13">
        <v>46966</v>
      </c>
      <c r="B168" s="8">
        <f>CHOOSE( CONTROL!$C$29, 5.2858, 5.2811) * CHOOSE(CONTROL!$C$12, $D$11, 100%, $F$11)</f>
        <v>4.2497832000000004</v>
      </c>
      <c r="C168" s="8">
        <f>CHOOSE( CONTROL!$C$29, 5.2963, 5.2915) * CHOOSE(CONTROL!$C$12, $D$11, 100%, $F$11)</f>
        <v>4.2582252</v>
      </c>
      <c r="D168" s="8">
        <f>CHOOSE( CONTROL!$C$29, 5.2911, 5.2864) * CHOOSE( CONTROL!$C$12, $D$11, 100%, $F$11)</f>
        <v>4.2540444000000006</v>
      </c>
      <c r="E168" s="12">
        <f>CHOOSE( CONTROL!$C$29, 5.2914, 5.2867) * CHOOSE( CONTROL!$C$12, $D$11, 100%, $F$11)</f>
        <v>4.2542856000000002</v>
      </c>
      <c r="F168" s="4">
        <f>CHOOSE( CONTROL!$C$29, 6.2826, 6.2779) * CHOOSE(CONTROL!$C$12, $D$11, 100%, $F$11)</f>
        <v>5.0512104000000004</v>
      </c>
      <c r="G168" s="8">
        <f>CHOOSE( CONTROL!$C$29, 5.1421, 5.1375) * CHOOSE( CONTROL!$C$12, $D$11, 100%, $F$11)</f>
        <v>4.1342484000000006</v>
      </c>
      <c r="H168" s="4">
        <f>CHOOSE( CONTROL!$C$29, 6.0479, 6.0433) * CHOOSE(CONTROL!$C$12, $D$11, 100%, $F$11)</f>
        <v>4.8625116000000004</v>
      </c>
      <c r="I168" s="8">
        <f>CHOOSE( CONTROL!$C$29, 5.1189, 5.1143) * CHOOSE(CONTROL!$C$12, $D$11, 100%, $F$11)</f>
        <v>4.1155956000000007</v>
      </c>
      <c r="J168" s="4">
        <f>CHOOSE( CONTROL!$C$29, 5.0601, 5.0556) * CHOOSE(CONTROL!$C$12, $D$11, 100%, $F$11)</f>
        <v>4.0683204000000002</v>
      </c>
      <c r="K168" s="4"/>
      <c r="L168" s="9">
        <v>29.520499999999998</v>
      </c>
      <c r="M168" s="9">
        <v>12.063700000000001</v>
      </c>
      <c r="N168" s="9">
        <v>4.9444999999999997</v>
      </c>
      <c r="O168" s="9">
        <v>0.37459999999999999</v>
      </c>
      <c r="P168" s="9">
        <v>1.2192000000000001</v>
      </c>
      <c r="Q168" s="9">
        <v>31.701799999999999</v>
      </c>
      <c r="R168" s="9"/>
      <c r="S168" s="11"/>
    </row>
    <row r="169" spans="1:19" ht="15.75">
      <c r="A169" s="13">
        <v>46997</v>
      </c>
      <c r="B169" s="8">
        <f>CHOOSE( CONTROL!$C$29, 5.1753, 5.1706) * CHOOSE(CONTROL!$C$12, $D$11, 100%, $F$11)</f>
        <v>4.1609411999999999</v>
      </c>
      <c r="C169" s="8">
        <f>CHOOSE( CONTROL!$C$29, 5.1857, 5.181) * CHOOSE(CONTROL!$C$12, $D$11, 100%, $F$11)</f>
        <v>4.1693027999999996</v>
      </c>
      <c r="D169" s="8">
        <f>CHOOSE( CONTROL!$C$29, 5.1764, 5.1717) * CHOOSE( CONTROL!$C$12, $D$11, 100%, $F$11)</f>
        <v>4.1618256000000002</v>
      </c>
      <c r="E169" s="12">
        <f>CHOOSE( CONTROL!$C$29, 5.1782, 5.1735) * CHOOSE( CONTROL!$C$12, $D$11, 100%, $F$11)</f>
        <v>4.1632728000000006</v>
      </c>
      <c r="F169" s="4">
        <f>CHOOSE( CONTROL!$C$29, 6.1643, 6.1596) * CHOOSE(CONTROL!$C$12, $D$11, 100%, $F$11)</f>
        <v>4.9560972000000003</v>
      </c>
      <c r="G169" s="8">
        <f>CHOOSE( CONTROL!$C$29, 5.033, 5.0285) * CHOOSE( CONTROL!$C$12, $D$11, 100%, $F$11)</f>
        <v>4.0465320000000009</v>
      </c>
      <c r="H169" s="4">
        <f>CHOOSE( CONTROL!$C$29, 5.9325, 5.9279) * CHOOSE(CONTROL!$C$12, $D$11, 100%, $F$11)</f>
        <v>4.76973</v>
      </c>
      <c r="I169" s="8">
        <f>CHOOSE( CONTROL!$C$29, 5.0142, 5.0097) * CHOOSE(CONTROL!$C$12, $D$11, 100%, $F$11)</f>
        <v>4.0314167999999997</v>
      </c>
      <c r="J169" s="4">
        <f>CHOOSE( CONTROL!$C$29, 4.9542, 4.9497) * CHOOSE(CONTROL!$C$12, $D$11, 100%, $F$11)</f>
        <v>3.9831768000000003</v>
      </c>
      <c r="K169" s="4"/>
      <c r="L169" s="9">
        <v>28.568200000000001</v>
      </c>
      <c r="M169" s="9">
        <v>11.6745</v>
      </c>
      <c r="N169" s="9">
        <v>4.7850000000000001</v>
      </c>
      <c r="O169" s="9">
        <v>0.36249999999999999</v>
      </c>
      <c r="P169" s="9">
        <v>1.1798</v>
      </c>
      <c r="Q169" s="9">
        <v>30.679200000000002</v>
      </c>
      <c r="R169" s="9"/>
      <c r="S169" s="11"/>
    </row>
    <row r="170" spans="1:19" ht="15.75">
      <c r="A170" s="13">
        <v>47027</v>
      </c>
      <c r="B170" s="8">
        <f>5.4001 * CHOOSE(CONTROL!$C$12, $D$11, 100%, $F$11)</f>
        <v>4.3416804000000004</v>
      </c>
      <c r="C170" s="8">
        <f>5.4105 * CHOOSE(CONTROL!$C$12, $D$11, 100%, $F$11)</f>
        <v>4.3500420000000002</v>
      </c>
      <c r="D170" s="8">
        <f>5.4021 * CHOOSE( CONTROL!$C$12, $D$11, 100%, $F$11)</f>
        <v>4.3432884000000005</v>
      </c>
      <c r="E170" s="12">
        <f>5.4038 * CHOOSE( CONTROL!$C$12, $D$11, 100%, $F$11)</f>
        <v>4.3446552000000009</v>
      </c>
      <c r="F170" s="4">
        <f>6.3891 * CHOOSE(CONTROL!$C$12, $D$11, 100%, $F$11)</f>
        <v>5.1368364</v>
      </c>
      <c r="G170" s="8">
        <f>5.2518 * CHOOSE( CONTROL!$C$12, $D$11, 100%, $F$11)</f>
        <v>4.2224472000000004</v>
      </c>
      <c r="H170" s="4">
        <f>6.1516 * CHOOSE(CONTROL!$C$12, $D$11, 100%, $F$11)</f>
        <v>4.9458864</v>
      </c>
      <c r="I170" s="8">
        <f>5.2318 * CHOOSE(CONTROL!$C$12, $D$11, 100%, $F$11)</f>
        <v>4.2063671999999999</v>
      </c>
      <c r="J170" s="4">
        <f>5.1696 * CHOOSE(CONTROL!$C$12, $D$11, 100%, $F$11)</f>
        <v>4.1563584000000002</v>
      </c>
      <c r="K170" s="4"/>
      <c r="L170" s="9">
        <v>28.921800000000001</v>
      </c>
      <c r="M170" s="9">
        <v>12.063700000000001</v>
      </c>
      <c r="N170" s="9">
        <v>4.9444999999999997</v>
      </c>
      <c r="O170" s="9">
        <v>0.37459999999999999</v>
      </c>
      <c r="P170" s="9">
        <v>1.2192000000000001</v>
      </c>
      <c r="Q170" s="9">
        <v>31.701799999999999</v>
      </c>
      <c r="R170" s="9"/>
      <c r="S170" s="11"/>
    </row>
    <row r="171" spans="1:19" ht="15.75">
      <c r="A171" s="13">
        <v>47058</v>
      </c>
      <c r="B171" s="8">
        <f>5.8236 * CHOOSE(CONTROL!$C$12, $D$11, 100%, $F$11)</f>
        <v>4.6821744000000001</v>
      </c>
      <c r="C171" s="8">
        <f>5.8341 * CHOOSE(CONTROL!$C$12, $D$11, 100%, $F$11)</f>
        <v>4.6906164000000006</v>
      </c>
      <c r="D171" s="8">
        <f>5.8143 * CHOOSE( CONTROL!$C$12, $D$11, 100%, $F$11)</f>
        <v>4.6746972000000007</v>
      </c>
      <c r="E171" s="12">
        <f>5.8204 * CHOOSE( CONTROL!$C$12, $D$11, 100%, $F$11)</f>
        <v>4.6796016000000007</v>
      </c>
      <c r="F171" s="4">
        <f>6.8152 * CHOOSE(CONTROL!$C$12, $D$11, 100%, $F$11)</f>
        <v>5.4794208000000006</v>
      </c>
      <c r="G171" s="8">
        <f>5.6837 * CHOOSE( CONTROL!$C$12, $D$11, 100%, $F$11)</f>
        <v>4.5696948000000006</v>
      </c>
      <c r="H171" s="4">
        <f>6.567 * CHOOSE(CONTROL!$C$12, $D$11, 100%, $F$11)</f>
        <v>5.2798680000000004</v>
      </c>
      <c r="I171" s="8">
        <f>5.668 * CHOOSE(CONTROL!$C$12, $D$11, 100%, $F$11)</f>
        <v>4.5570720000000007</v>
      </c>
      <c r="J171" s="4">
        <f>5.5754 * CHOOSE(CONTROL!$C$12, $D$11, 100%, $F$11)</f>
        <v>4.4826216000000008</v>
      </c>
      <c r="K171" s="4"/>
      <c r="L171" s="9">
        <v>26.515499999999999</v>
      </c>
      <c r="M171" s="9">
        <v>11.6745</v>
      </c>
      <c r="N171" s="9">
        <v>4.7850000000000001</v>
      </c>
      <c r="O171" s="9">
        <v>0.36249999999999999</v>
      </c>
      <c r="P171" s="9">
        <v>1.2522</v>
      </c>
      <c r="Q171" s="9">
        <v>30.679200000000002</v>
      </c>
      <c r="R171" s="9"/>
      <c r="S171" s="11"/>
    </row>
    <row r="172" spans="1:19" ht="15.75">
      <c r="A172" s="13">
        <v>47088</v>
      </c>
      <c r="B172" s="8">
        <f>5.8131 * CHOOSE(CONTROL!$C$12, $D$11, 100%, $F$11)</f>
        <v>4.6737324000000005</v>
      </c>
      <c r="C172" s="8">
        <f>5.8235 * CHOOSE(CONTROL!$C$12, $D$11, 100%, $F$11)</f>
        <v>4.6820940000000002</v>
      </c>
      <c r="D172" s="8">
        <f>5.8057 * CHOOSE( CONTROL!$C$12, $D$11, 100%, $F$11)</f>
        <v>4.6677828000000003</v>
      </c>
      <c r="E172" s="12">
        <f>5.8111 * CHOOSE( CONTROL!$C$12, $D$11, 100%, $F$11)</f>
        <v>4.6721244000000004</v>
      </c>
      <c r="F172" s="4">
        <f>6.8047 * CHOOSE(CONTROL!$C$12, $D$11, 100%, $F$11)</f>
        <v>5.470978800000001</v>
      </c>
      <c r="G172" s="8">
        <f>5.6748 * CHOOSE( CONTROL!$C$12, $D$11, 100%, $F$11)</f>
        <v>4.5625392000000007</v>
      </c>
      <c r="H172" s="4">
        <f>6.5567 * CHOOSE(CONTROL!$C$12, $D$11, 100%, $F$11)</f>
        <v>5.2715868000000006</v>
      </c>
      <c r="I172" s="8">
        <f>5.6647 * CHOOSE(CONTROL!$C$12, $D$11, 100%, $F$11)</f>
        <v>4.5544188000000005</v>
      </c>
      <c r="J172" s="4">
        <f>5.5653 * CHOOSE(CONTROL!$C$12, $D$11, 100%, $F$11)</f>
        <v>4.4745011999999997</v>
      </c>
      <c r="K172" s="4"/>
      <c r="L172" s="9">
        <v>27.3993</v>
      </c>
      <c r="M172" s="9">
        <v>12.063700000000001</v>
      </c>
      <c r="N172" s="9">
        <v>4.9444999999999997</v>
      </c>
      <c r="O172" s="9">
        <v>0.37459999999999999</v>
      </c>
      <c r="P172" s="9">
        <v>1.2939000000000001</v>
      </c>
      <c r="Q172" s="9">
        <v>31.701799999999999</v>
      </c>
      <c r="R172" s="9"/>
      <c r="S172" s="11"/>
    </row>
    <row r="173" spans="1:19" ht="15.75">
      <c r="A173" s="13">
        <v>47119</v>
      </c>
      <c r="B173" s="8">
        <f>5.9609 * CHOOSE(CONTROL!$C$12, $D$11, 100%, $F$11)</f>
        <v>4.7925636000000003</v>
      </c>
      <c r="C173" s="8">
        <f>5.9713 * CHOOSE(CONTROL!$C$12, $D$11, 100%, $F$11)</f>
        <v>4.8009252000000009</v>
      </c>
      <c r="D173" s="8">
        <f>5.9689 * CHOOSE( CONTROL!$C$12, $D$11, 100%, $F$11)</f>
        <v>4.7989955999999996</v>
      </c>
      <c r="E173" s="12">
        <f>5.9687 * CHOOSE( CONTROL!$C$12, $D$11, 100%, $F$11)</f>
        <v>4.7988348000000007</v>
      </c>
      <c r="F173" s="4">
        <f>6.9838 * CHOOSE(CONTROL!$C$12, $D$11, 100%, $F$11)</f>
        <v>5.6149751999999999</v>
      </c>
      <c r="G173" s="8">
        <f>5.838 * CHOOSE( CONTROL!$C$12, $D$11, 100%, $F$11)</f>
        <v>4.6937519999999999</v>
      </c>
      <c r="H173" s="4">
        <f>6.7313 * CHOOSE(CONTROL!$C$12, $D$11, 100%, $F$11)</f>
        <v>5.4119652</v>
      </c>
      <c r="I173" s="8">
        <f>5.8184 * CHOOSE(CONTROL!$C$12, $D$11, 100%, $F$11)</f>
        <v>4.6779935999999998</v>
      </c>
      <c r="J173" s="4">
        <f>5.7069 * CHOOSE(CONTROL!$C$12, $D$11, 100%, $F$11)</f>
        <v>4.5883476000000005</v>
      </c>
      <c r="K173" s="4"/>
      <c r="L173" s="9">
        <v>27.3993</v>
      </c>
      <c r="M173" s="9">
        <v>12.063700000000001</v>
      </c>
      <c r="N173" s="9">
        <v>4.9444999999999997</v>
      </c>
      <c r="O173" s="9">
        <v>0.37459999999999999</v>
      </c>
      <c r="P173" s="9">
        <v>1.2939000000000001</v>
      </c>
      <c r="Q173" s="9">
        <v>31.517700000000001</v>
      </c>
      <c r="R173" s="9"/>
      <c r="S173" s="11"/>
    </row>
    <row r="174" spans="1:19" ht="15.75">
      <c r="A174" s="13">
        <v>47150</v>
      </c>
      <c r="B174" s="8">
        <f>5.5758 * CHOOSE(CONTROL!$C$12, $D$11, 100%, $F$11)</f>
        <v>4.4829432000000002</v>
      </c>
      <c r="C174" s="8">
        <f>5.5863 * CHOOSE(CONTROL!$C$12, $D$11, 100%, $F$11)</f>
        <v>4.4913851999999999</v>
      </c>
      <c r="D174" s="8">
        <f>5.5862 * CHOOSE( CONTROL!$C$12, $D$11, 100%, $F$11)</f>
        <v>4.4913048</v>
      </c>
      <c r="E174" s="12">
        <f>5.5851 * CHOOSE( CONTROL!$C$12, $D$11, 100%, $F$11)</f>
        <v>4.4904203999999996</v>
      </c>
      <c r="F174" s="4">
        <f>6.5909 * CHOOSE(CONTROL!$C$12, $D$11, 100%, $F$11)</f>
        <v>5.2990836000000003</v>
      </c>
      <c r="G174" s="8">
        <f>5.4625 * CHOOSE( CONTROL!$C$12, $D$11, 100%, $F$11)</f>
        <v>4.3918500000000007</v>
      </c>
      <c r="H174" s="4">
        <f>6.3484 * CHOOSE(CONTROL!$C$12, $D$11, 100%, $F$11)</f>
        <v>5.1041135999999998</v>
      </c>
      <c r="I174" s="8">
        <f>5.4383 * CHOOSE(CONTROL!$C$12, $D$11, 100%, $F$11)</f>
        <v>4.3723932000000003</v>
      </c>
      <c r="J174" s="4">
        <f>5.338 * CHOOSE(CONTROL!$C$12, $D$11, 100%, $F$11)</f>
        <v>4.2917520000000007</v>
      </c>
      <c r="K174" s="4"/>
      <c r="L174" s="9">
        <v>24.747800000000002</v>
      </c>
      <c r="M174" s="9">
        <v>10.8962</v>
      </c>
      <c r="N174" s="9">
        <v>4.4660000000000002</v>
      </c>
      <c r="O174" s="9">
        <v>0.33829999999999999</v>
      </c>
      <c r="P174" s="9">
        <v>1.1687000000000001</v>
      </c>
      <c r="Q174" s="9">
        <v>28.467600000000001</v>
      </c>
      <c r="R174" s="9"/>
      <c r="S174" s="11"/>
    </row>
    <row r="175" spans="1:19" ht="15.75">
      <c r="A175" s="13">
        <v>47178</v>
      </c>
      <c r="B175" s="8">
        <f>5.4572 * CHOOSE(CONTROL!$C$12, $D$11, 100%, $F$11)</f>
        <v>4.3875888000000005</v>
      </c>
      <c r="C175" s="8">
        <f>5.4677 * CHOOSE(CONTROL!$C$12, $D$11, 100%, $F$11)</f>
        <v>4.3960308000000001</v>
      </c>
      <c r="D175" s="8">
        <f>5.4475 * CHOOSE( CONTROL!$C$12, $D$11, 100%, $F$11)</f>
        <v>4.3797899999999998</v>
      </c>
      <c r="E175" s="12">
        <f>5.4538 * CHOOSE( CONTROL!$C$12, $D$11, 100%, $F$11)</f>
        <v>4.3848552000000005</v>
      </c>
      <c r="F175" s="4">
        <f>6.4561 * CHOOSE(CONTROL!$C$12, $D$11, 100%, $F$11)</f>
        <v>5.1907044000000004</v>
      </c>
      <c r="G175" s="8">
        <f>5.3264 * CHOOSE( CONTROL!$C$12, $D$11, 100%, $F$11)</f>
        <v>4.2824255999999998</v>
      </c>
      <c r="H175" s="4">
        <f>6.217 * CHOOSE(CONTROL!$C$12, $D$11, 100%, $F$11)</f>
        <v>4.9984679999999999</v>
      </c>
      <c r="I175" s="8">
        <f>5.2851 * CHOOSE(CONTROL!$C$12, $D$11, 100%, $F$11)</f>
        <v>4.2492204000000005</v>
      </c>
      <c r="J175" s="4">
        <f>5.2244 * CHOOSE(CONTROL!$C$12, $D$11, 100%, $F$11)</f>
        <v>4.2004176000000006</v>
      </c>
      <c r="K175" s="4"/>
      <c r="L175" s="9">
        <v>27.3993</v>
      </c>
      <c r="M175" s="9">
        <v>12.063700000000001</v>
      </c>
      <c r="N175" s="9">
        <v>4.9444999999999997</v>
      </c>
      <c r="O175" s="9">
        <v>0.37459999999999999</v>
      </c>
      <c r="P175" s="9">
        <v>1.2939000000000001</v>
      </c>
      <c r="Q175" s="9">
        <v>31.517700000000001</v>
      </c>
      <c r="R175" s="9"/>
      <c r="S175" s="11"/>
    </row>
    <row r="176" spans="1:19" ht="15.75">
      <c r="A176" s="13">
        <v>47209</v>
      </c>
      <c r="B176" s="8">
        <f>5.5401 * CHOOSE(CONTROL!$C$12, $D$11, 100%, $F$11)</f>
        <v>4.4542403999999998</v>
      </c>
      <c r="C176" s="8">
        <f>5.5505 * CHOOSE(CONTROL!$C$12, $D$11, 100%, $F$11)</f>
        <v>4.4626020000000004</v>
      </c>
      <c r="D176" s="8">
        <f>5.5537 * CHOOSE( CONTROL!$C$12, $D$11, 100%, $F$11)</f>
        <v>4.4651748000000007</v>
      </c>
      <c r="E176" s="12">
        <f>5.5515 * CHOOSE( CONTROL!$C$12, $D$11, 100%, $F$11)</f>
        <v>4.463406</v>
      </c>
      <c r="F176" s="4">
        <f>6.5473 * CHOOSE(CONTROL!$C$12, $D$11, 100%, $F$11)</f>
        <v>5.2640292000000004</v>
      </c>
      <c r="G176" s="8">
        <f>5.3951 * CHOOSE( CONTROL!$C$12, $D$11, 100%, $F$11)</f>
        <v>4.3376604000000007</v>
      </c>
      <c r="H176" s="4">
        <f>6.3059 * CHOOSE(CONTROL!$C$12, $D$11, 100%, $F$11)</f>
        <v>5.0699436000000002</v>
      </c>
      <c r="I176" s="8">
        <f>5.3546 * CHOOSE(CONTROL!$C$12, $D$11, 100%, $F$11)</f>
        <v>4.3050984000000003</v>
      </c>
      <c r="J176" s="4">
        <f>5.3038 * CHOOSE(CONTROL!$C$12, $D$11, 100%, $F$11)</f>
        <v>4.2642552</v>
      </c>
      <c r="K176" s="4"/>
      <c r="L176" s="9">
        <v>27.988800000000001</v>
      </c>
      <c r="M176" s="9">
        <v>11.6745</v>
      </c>
      <c r="N176" s="9">
        <v>4.7850000000000001</v>
      </c>
      <c r="O176" s="9">
        <v>0.36249999999999999</v>
      </c>
      <c r="P176" s="9">
        <v>1.1798</v>
      </c>
      <c r="Q176" s="9">
        <v>30.501000000000001</v>
      </c>
      <c r="R176" s="9"/>
      <c r="S176" s="11"/>
    </row>
    <row r="177" spans="1:19" ht="15.75">
      <c r="A177" s="13">
        <v>47239</v>
      </c>
      <c r="B177" s="8">
        <f>CHOOSE( CONTROL!$C$29, 5.6923, 5.6876) * CHOOSE(CONTROL!$C$12, $D$11, 100%, $F$11)</f>
        <v>4.5766092000000009</v>
      </c>
      <c r="C177" s="8">
        <f>CHOOSE( CONTROL!$C$29, 5.7027, 5.698) * CHOOSE(CONTROL!$C$12, $D$11, 100%, $F$11)</f>
        <v>4.5849708000000007</v>
      </c>
      <c r="D177" s="8">
        <f>CHOOSE( CONTROL!$C$29, 5.6807, 5.676) * CHOOSE( CONTROL!$C$12, $D$11, 100%, $F$11)</f>
        <v>4.5672828000000001</v>
      </c>
      <c r="E177" s="12">
        <f>CHOOSE( CONTROL!$C$29, 5.6871, 5.6824) * CHOOSE( CONTROL!$C$12, $D$11, 100%, $F$11)</f>
        <v>4.5724284000000006</v>
      </c>
      <c r="F177" s="4">
        <f>CHOOSE( CONTROL!$C$29, 6.6672, 6.6625) * CHOOSE(CONTROL!$C$12, $D$11, 100%, $F$11)</f>
        <v>5.3604288000000002</v>
      </c>
      <c r="G177" s="8">
        <f>CHOOSE( CONTROL!$C$29, 5.5247, 5.5201) * CHOOSE( CONTROL!$C$12, $D$11, 100%, $F$11)</f>
        <v>4.4418588000000003</v>
      </c>
      <c r="H177" s="4">
        <f>CHOOSE( CONTROL!$C$29, 6.4227, 6.4182) * CHOOSE(CONTROL!$C$12, $D$11, 100%, $F$11)</f>
        <v>5.1638508000000005</v>
      </c>
      <c r="I177" s="8">
        <f>CHOOSE( CONTROL!$C$29, 5.479, 5.4745) * CHOOSE(CONTROL!$C$12, $D$11, 100%, $F$11)</f>
        <v>4.4051160000000005</v>
      </c>
      <c r="J177" s="4">
        <f>CHOOSE( CONTROL!$C$29, 5.4496, 5.4451) * CHOOSE(CONTROL!$C$12, $D$11, 100%, $F$11)</f>
        <v>4.3814784000000007</v>
      </c>
      <c r="K177" s="4"/>
      <c r="L177" s="9">
        <v>29.520499999999998</v>
      </c>
      <c r="M177" s="9">
        <v>12.063700000000001</v>
      </c>
      <c r="N177" s="9">
        <v>4.9444999999999997</v>
      </c>
      <c r="O177" s="9">
        <v>0.37459999999999999</v>
      </c>
      <c r="P177" s="9">
        <v>1.2192000000000001</v>
      </c>
      <c r="Q177" s="9">
        <v>31.517700000000001</v>
      </c>
      <c r="R177" s="9"/>
      <c r="S177" s="11"/>
    </row>
    <row r="178" spans="1:19" ht="15.75">
      <c r="A178" s="13">
        <v>47270</v>
      </c>
      <c r="B178" s="8">
        <f>CHOOSE( CONTROL!$C$29, 5.6009, 5.5962) * CHOOSE(CONTROL!$C$12, $D$11, 100%, $F$11)</f>
        <v>4.5031236000000003</v>
      </c>
      <c r="C178" s="8">
        <f>CHOOSE( CONTROL!$C$29, 5.6114, 5.6067) * CHOOSE(CONTROL!$C$12, $D$11, 100%, $F$11)</f>
        <v>4.5115656</v>
      </c>
      <c r="D178" s="8">
        <f>CHOOSE( CONTROL!$C$29, 5.5837, 5.579) * CHOOSE( CONTROL!$C$12, $D$11, 100%, $F$11)</f>
        <v>4.4892948000000006</v>
      </c>
      <c r="E178" s="12">
        <f>CHOOSE( CONTROL!$C$29, 5.5921, 5.5874) * CHOOSE( CONTROL!$C$12, $D$11, 100%, $F$11)</f>
        <v>4.4960484000000003</v>
      </c>
      <c r="F178" s="4">
        <f>CHOOSE( CONTROL!$C$29, 6.5654, 6.5607) * CHOOSE(CONTROL!$C$12, $D$11, 100%, $F$11)</f>
        <v>5.2785816000000008</v>
      </c>
      <c r="G178" s="8">
        <f>CHOOSE( CONTROL!$C$29, 5.4344, 5.4298) * CHOOSE( CONTROL!$C$12, $D$11, 100%, $F$11)</f>
        <v>4.3692576000000001</v>
      </c>
      <c r="H178" s="4">
        <f>CHOOSE( CONTROL!$C$29, 6.3235, 6.3189) * CHOOSE(CONTROL!$C$12, $D$11, 100%, $F$11)</f>
        <v>5.0840940000000003</v>
      </c>
      <c r="I178" s="8">
        <f>CHOOSE( CONTROL!$C$29, 5.3936, 5.3891) * CHOOSE(CONTROL!$C$12, $D$11, 100%, $F$11)</f>
        <v>4.3364544</v>
      </c>
      <c r="J178" s="4">
        <f>CHOOSE( CONTROL!$C$29, 5.362, 5.3575) * CHOOSE(CONTROL!$C$12, $D$11, 100%, $F$11)</f>
        <v>4.3110480000000004</v>
      </c>
      <c r="K178" s="4"/>
      <c r="L178" s="9">
        <v>28.568200000000001</v>
      </c>
      <c r="M178" s="9">
        <v>11.6745</v>
      </c>
      <c r="N178" s="9">
        <v>4.7850000000000001</v>
      </c>
      <c r="O178" s="9">
        <v>0.36249999999999999</v>
      </c>
      <c r="P178" s="9">
        <v>1.1798</v>
      </c>
      <c r="Q178" s="9">
        <v>30.501000000000001</v>
      </c>
      <c r="R178" s="9"/>
      <c r="S178" s="11"/>
    </row>
    <row r="179" spans="1:19" ht="15.75">
      <c r="A179" s="13">
        <v>47300</v>
      </c>
      <c r="B179" s="8">
        <f>CHOOSE( CONTROL!$C$29, 5.8415, 5.8368) * CHOOSE(CONTROL!$C$12, $D$11, 100%, $F$11)</f>
        <v>4.6965659999999998</v>
      </c>
      <c r="C179" s="8">
        <f>CHOOSE( CONTROL!$C$29, 5.852, 5.8472) * CHOOSE(CONTROL!$C$12, $D$11, 100%, $F$11)</f>
        <v>4.7050080000000003</v>
      </c>
      <c r="D179" s="8">
        <f>CHOOSE( CONTROL!$C$29, 5.8435, 5.8388) * CHOOSE( CONTROL!$C$12, $D$11, 100%, $F$11)</f>
        <v>4.6981739999999999</v>
      </c>
      <c r="E179" s="12">
        <f>CHOOSE( CONTROL!$C$29, 5.845, 5.8403) * CHOOSE( CONTROL!$C$12, $D$11, 100%, $F$11)</f>
        <v>4.6993799999999997</v>
      </c>
      <c r="F179" s="4">
        <f>CHOOSE( CONTROL!$C$29, 6.8331, 6.8284) * CHOOSE(CONTROL!$C$12, $D$11, 100%, $F$11)</f>
        <v>5.4938124000000004</v>
      </c>
      <c r="G179" s="8">
        <f>CHOOSE( CONTROL!$C$29, 5.6816, 5.6771) * CHOOSE( CONTROL!$C$12, $D$11, 100%, $F$11)</f>
        <v>4.5680064000000007</v>
      </c>
      <c r="H179" s="4">
        <f>CHOOSE( CONTROL!$C$29, 6.5845, 6.5799) * CHOOSE(CONTROL!$C$12, $D$11, 100%, $F$11)</f>
        <v>5.2939380000000007</v>
      </c>
      <c r="I179" s="8">
        <f>CHOOSE( CONTROL!$C$29, 5.647, 5.6425) * CHOOSE(CONTROL!$C$12, $D$11, 100%, $F$11)</f>
        <v>4.5401880000000006</v>
      </c>
      <c r="J179" s="4">
        <f>CHOOSE( CONTROL!$C$29, 5.5926, 5.5881) * CHOOSE(CONTROL!$C$12, $D$11, 100%, $F$11)</f>
        <v>4.4964504000000005</v>
      </c>
      <c r="K179" s="4"/>
      <c r="L179" s="9">
        <v>29.520499999999998</v>
      </c>
      <c r="M179" s="9">
        <v>12.063700000000001</v>
      </c>
      <c r="N179" s="9">
        <v>4.9444999999999997</v>
      </c>
      <c r="O179" s="9">
        <v>0.37459999999999999</v>
      </c>
      <c r="P179" s="9">
        <v>1.2192000000000001</v>
      </c>
      <c r="Q179" s="9">
        <v>31.517700000000001</v>
      </c>
      <c r="R179" s="9"/>
      <c r="S179" s="11"/>
    </row>
    <row r="180" spans="1:19" ht="15.75">
      <c r="A180" s="13">
        <v>47331</v>
      </c>
      <c r="B180" s="8">
        <f>CHOOSE( CONTROL!$C$29, 5.3913, 5.3866) * CHOOSE(CONTROL!$C$12, $D$11, 100%, $F$11)</f>
        <v>4.3346052000000004</v>
      </c>
      <c r="C180" s="8">
        <f>CHOOSE( CONTROL!$C$29, 5.4018, 5.3971) * CHOOSE(CONTROL!$C$12, $D$11, 100%, $F$11)</f>
        <v>4.3430472</v>
      </c>
      <c r="D180" s="8">
        <f>CHOOSE( CONTROL!$C$29, 5.3967, 5.392) * CHOOSE( CONTROL!$C$12, $D$11, 100%, $F$11)</f>
        <v>4.3389468000000004</v>
      </c>
      <c r="E180" s="12">
        <f>CHOOSE( CONTROL!$C$29, 5.3969, 5.3922) * CHOOSE( CONTROL!$C$12, $D$11, 100%, $F$11)</f>
        <v>4.3391076000000002</v>
      </c>
      <c r="F180" s="4">
        <f>CHOOSE( CONTROL!$C$29, 6.3882, 6.3835) * CHOOSE(CONTROL!$C$12, $D$11, 100%, $F$11)</f>
        <v>5.1361128000000003</v>
      </c>
      <c r="G180" s="8">
        <f>CHOOSE( CONTROL!$C$29, 5.2449, 5.2403) * CHOOSE( CONTROL!$C$12, $D$11, 100%, $F$11)</f>
        <v>4.2168996000000005</v>
      </c>
      <c r="H180" s="4">
        <f>CHOOSE( CONTROL!$C$29, 6.1507, 6.1462) * CHOOSE(CONTROL!$C$12, $D$11, 100%, $F$11)</f>
        <v>4.9451628000000003</v>
      </c>
      <c r="I180" s="8">
        <f>CHOOSE( CONTROL!$C$29, 5.22, 5.2155) * CHOOSE(CONTROL!$C$12, $D$11, 100%, $F$11)</f>
        <v>4.1968800000000002</v>
      </c>
      <c r="J180" s="4">
        <f>CHOOSE( CONTROL!$C$29, 5.1612, 5.1567) * CHOOSE(CONTROL!$C$12, $D$11, 100%, $F$11)</f>
        <v>4.1496048000000005</v>
      </c>
      <c r="K180" s="4"/>
      <c r="L180" s="9">
        <v>29.520499999999998</v>
      </c>
      <c r="M180" s="9">
        <v>12.063700000000001</v>
      </c>
      <c r="N180" s="9">
        <v>4.9444999999999997</v>
      </c>
      <c r="O180" s="9">
        <v>0.37459999999999999</v>
      </c>
      <c r="P180" s="9">
        <v>1.2192000000000001</v>
      </c>
      <c r="Q180" s="9">
        <v>31.517700000000001</v>
      </c>
      <c r="R180" s="9"/>
      <c r="S180" s="11"/>
    </row>
    <row r="181" spans="1:19" ht="15.75">
      <c r="A181" s="13">
        <v>47362</v>
      </c>
      <c r="B181" s="8">
        <f>CHOOSE( CONTROL!$C$29, 5.2786, 5.2739) * CHOOSE(CONTROL!$C$12, $D$11, 100%, $F$11)</f>
        <v>4.2439944000000001</v>
      </c>
      <c r="C181" s="8">
        <f>CHOOSE( CONTROL!$C$29, 5.289, 5.2843) * CHOOSE(CONTROL!$C$12, $D$11, 100%, $F$11)</f>
        <v>4.2523559999999998</v>
      </c>
      <c r="D181" s="8">
        <f>CHOOSE( CONTROL!$C$29, 5.2797, 5.275) * CHOOSE( CONTROL!$C$12, $D$11, 100%, $F$11)</f>
        <v>4.2448788000000004</v>
      </c>
      <c r="E181" s="12">
        <f>CHOOSE( CONTROL!$C$29, 5.2815, 5.2768) * CHOOSE( CONTROL!$C$12, $D$11, 100%, $F$11)</f>
        <v>4.2463260000000007</v>
      </c>
      <c r="F181" s="4">
        <f>CHOOSE( CONTROL!$C$29, 6.2676, 6.2629) * CHOOSE(CONTROL!$C$12, $D$11, 100%, $F$11)</f>
        <v>5.0391504000000005</v>
      </c>
      <c r="G181" s="8">
        <f>CHOOSE( CONTROL!$C$29, 5.1338, 5.1292) * CHOOSE( CONTROL!$C$12, $D$11, 100%, $F$11)</f>
        <v>4.1275751999999999</v>
      </c>
      <c r="H181" s="4">
        <f>CHOOSE( CONTROL!$C$29, 6.0332, 6.0286) * CHOOSE(CONTROL!$C$12, $D$11, 100%, $F$11)</f>
        <v>4.8506928</v>
      </c>
      <c r="I181" s="8">
        <f>CHOOSE( CONTROL!$C$29, 5.1133, 5.1088) * CHOOSE(CONTROL!$C$12, $D$11, 100%, $F$11)</f>
        <v>4.1110932</v>
      </c>
      <c r="J181" s="4">
        <f>CHOOSE( CONTROL!$C$29, 5.0532, 5.0487) * CHOOSE(CONTROL!$C$12, $D$11, 100%, $F$11)</f>
        <v>4.0627728000000003</v>
      </c>
      <c r="K181" s="4"/>
      <c r="L181" s="9">
        <v>28.568200000000001</v>
      </c>
      <c r="M181" s="9">
        <v>11.6745</v>
      </c>
      <c r="N181" s="9">
        <v>4.7850000000000001</v>
      </c>
      <c r="O181" s="9">
        <v>0.36249999999999999</v>
      </c>
      <c r="P181" s="9">
        <v>1.1798</v>
      </c>
      <c r="Q181" s="9">
        <v>30.501000000000001</v>
      </c>
      <c r="R181" s="9"/>
      <c r="S181" s="11"/>
    </row>
    <row r="182" spans="1:19" ht="15.75">
      <c r="A182" s="13">
        <v>47392</v>
      </c>
      <c r="B182" s="8">
        <f>5.508 * CHOOSE(CONTROL!$C$12, $D$11, 100%, $F$11)</f>
        <v>4.4284319999999999</v>
      </c>
      <c r="C182" s="8">
        <f>5.5184 * CHOOSE(CONTROL!$C$12, $D$11, 100%, $F$11)</f>
        <v>4.4367935999999997</v>
      </c>
      <c r="D182" s="8">
        <f>5.51 * CHOOSE( CONTROL!$C$12, $D$11, 100%, $F$11)</f>
        <v>4.43004</v>
      </c>
      <c r="E182" s="12">
        <f>5.5117 * CHOOSE( CONTROL!$C$12, $D$11, 100%, $F$11)</f>
        <v>4.4314068000000004</v>
      </c>
      <c r="F182" s="4">
        <f>6.497 * CHOOSE(CONTROL!$C$12, $D$11, 100%, $F$11)</f>
        <v>5.2235880000000003</v>
      </c>
      <c r="G182" s="8">
        <f>5.3569 * CHOOSE( CONTROL!$C$12, $D$11, 100%, $F$11)</f>
        <v>4.3069476000000009</v>
      </c>
      <c r="H182" s="4">
        <f>6.2568 * CHOOSE(CONTROL!$C$12, $D$11, 100%, $F$11)</f>
        <v>5.0304672000000004</v>
      </c>
      <c r="I182" s="8">
        <f>5.3352 * CHOOSE(CONTROL!$C$12, $D$11, 100%, $F$11)</f>
        <v>4.2895008000000008</v>
      </c>
      <c r="J182" s="4">
        <f>5.273 * CHOOSE(CONTROL!$C$12, $D$11, 100%, $F$11)</f>
        <v>4.2394920000000003</v>
      </c>
      <c r="K182" s="4"/>
      <c r="L182" s="9">
        <v>28.921800000000001</v>
      </c>
      <c r="M182" s="9">
        <v>12.063700000000001</v>
      </c>
      <c r="N182" s="9">
        <v>4.9444999999999997</v>
      </c>
      <c r="O182" s="9">
        <v>0.37459999999999999</v>
      </c>
      <c r="P182" s="9">
        <v>1.2192000000000001</v>
      </c>
      <c r="Q182" s="9">
        <v>31.517700000000001</v>
      </c>
      <c r="R182" s="9"/>
      <c r="S182" s="11"/>
    </row>
    <row r="183" spans="1:19" ht="15.75">
      <c r="A183" s="13">
        <v>47423</v>
      </c>
      <c r="B183" s="8">
        <f>5.94 * CHOOSE(CONTROL!$C$12, $D$11, 100%, $F$11)</f>
        <v>4.7757600000000009</v>
      </c>
      <c r="C183" s="8">
        <f>5.9504 * CHOOSE(CONTROL!$C$12, $D$11, 100%, $F$11)</f>
        <v>4.7841216000000006</v>
      </c>
      <c r="D183" s="8">
        <f>5.9307 * CHOOSE( CONTROL!$C$12, $D$11, 100%, $F$11)</f>
        <v>4.7682828000000006</v>
      </c>
      <c r="E183" s="12">
        <f>5.9368 * CHOOSE( CONTROL!$C$12, $D$11, 100%, $F$11)</f>
        <v>4.7731871999999997</v>
      </c>
      <c r="F183" s="4">
        <f>6.9316 * CHOOSE(CONTROL!$C$12, $D$11, 100%, $F$11)</f>
        <v>5.5730064000000006</v>
      </c>
      <c r="G183" s="8">
        <f>5.7971 * CHOOSE( CONTROL!$C$12, $D$11, 100%, $F$11)</f>
        <v>4.6608684000000009</v>
      </c>
      <c r="H183" s="4">
        <f>6.6805 * CHOOSE(CONTROL!$C$12, $D$11, 100%, $F$11)</f>
        <v>5.3711220000000006</v>
      </c>
      <c r="I183" s="8">
        <f>5.7796 * CHOOSE(CONTROL!$C$12, $D$11, 100%, $F$11)</f>
        <v>4.6467984000000007</v>
      </c>
      <c r="J183" s="4">
        <f>5.687 * CHOOSE(CONTROL!$C$12, $D$11, 100%, $F$11)</f>
        <v>4.5723480000000007</v>
      </c>
      <c r="K183" s="4"/>
      <c r="L183" s="9">
        <v>26.515499999999999</v>
      </c>
      <c r="M183" s="9">
        <v>11.6745</v>
      </c>
      <c r="N183" s="9">
        <v>4.7850000000000001</v>
      </c>
      <c r="O183" s="9">
        <v>0.36249999999999999</v>
      </c>
      <c r="P183" s="9">
        <v>1.2522</v>
      </c>
      <c r="Q183" s="9">
        <v>30.501000000000001</v>
      </c>
      <c r="R183" s="9"/>
      <c r="S183" s="11"/>
    </row>
    <row r="184" spans="1:19" ht="15.75">
      <c r="A184" s="13">
        <v>47453</v>
      </c>
      <c r="B184" s="8">
        <f>5.9292 * CHOOSE(CONTROL!$C$12, $D$11, 100%, $F$11)</f>
        <v>4.7670767999999999</v>
      </c>
      <c r="C184" s="8">
        <f>5.9396 * CHOOSE(CONTROL!$C$12, $D$11, 100%, $F$11)</f>
        <v>4.7754384000000005</v>
      </c>
      <c r="D184" s="8">
        <f>5.9218 * CHOOSE( CONTROL!$C$12, $D$11, 100%, $F$11)</f>
        <v>4.7611272000000007</v>
      </c>
      <c r="E184" s="12">
        <f>5.9272 * CHOOSE( CONTROL!$C$12, $D$11, 100%, $F$11)</f>
        <v>4.7654688000000007</v>
      </c>
      <c r="F184" s="4">
        <f>6.9208 * CHOOSE(CONTROL!$C$12, $D$11, 100%, $F$11)</f>
        <v>5.5643232000000005</v>
      </c>
      <c r="G184" s="8">
        <f>5.788 * CHOOSE( CONTROL!$C$12, $D$11, 100%, $F$11)</f>
        <v>4.6535520000000004</v>
      </c>
      <c r="H184" s="4">
        <f>6.67 * CHOOSE(CONTROL!$C$12, $D$11, 100%, $F$11)</f>
        <v>5.3626800000000001</v>
      </c>
      <c r="I184" s="8">
        <f>5.7761 * CHOOSE(CONTROL!$C$12, $D$11, 100%, $F$11)</f>
        <v>4.6439843999999999</v>
      </c>
      <c r="J184" s="4">
        <f>5.6766 * CHOOSE(CONTROL!$C$12, $D$11, 100%, $F$11)</f>
        <v>4.5639864000000001</v>
      </c>
      <c r="K184" s="4"/>
      <c r="L184" s="9">
        <v>27.3993</v>
      </c>
      <c r="M184" s="9">
        <v>12.063700000000001</v>
      </c>
      <c r="N184" s="9">
        <v>4.9444999999999997</v>
      </c>
      <c r="O184" s="9">
        <v>0.37459999999999999</v>
      </c>
      <c r="P184" s="9">
        <v>1.2939000000000001</v>
      </c>
      <c r="Q184" s="9">
        <v>31.517700000000001</v>
      </c>
      <c r="R184" s="9"/>
      <c r="S184" s="11"/>
    </row>
    <row r="185" spans="1:19" ht="15.75">
      <c r="A185" s="13">
        <v>47484</v>
      </c>
      <c r="B185" s="8">
        <f>6.08 * CHOOSE(CONTROL!$C$12, $D$11, 100%, $F$11)</f>
        <v>4.8883200000000002</v>
      </c>
      <c r="C185" s="8">
        <f>6.0904 * CHOOSE(CONTROL!$C$12, $D$11, 100%, $F$11)</f>
        <v>4.8966816</v>
      </c>
      <c r="D185" s="8">
        <f>6.0881 * CHOOSE( CONTROL!$C$12, $D$11, 100%, $F$11)</f>
        <v>4.8948324000000003</v>
      </c>
      <c r="E185" s="12">
        <f>6.0878 * CHOOSE( CONTROL!$C$12, $D$11, 100%, $F$11)</f>
        <v>4.8945911999999998</v>
      </c>
      <c r="F185" s="4">
        <f>7.1029 * CHOOSE(CONTROL!$C$12, $D$11, 100%, $F$11)</f>
        <v>5.7107315999999999</v>
      </c>
      <c r="G185" s="8">
        <f>5.9541 * CHOOSE( CONTROL!$C$12, $D$11, 100%, $F$11)</f>
        <v>4.7870964000000003</v>
      </c>
      <c r="H185" s="4">
        <f>6.8474 * CHOOSE(CONTROL!$C$12, $D$11, 100%, $F$11)</f>
        <v>5.5053096000000004</v>
      </c>
      <c r="I185" s="8">
        <f>5.9326 * CHOOSE(CONTROL!$C$12, $D$11, 100%, $F$11)</f>
        <v>4.7698103999999999</v>
      </c>
      <c r="J185" s="4">
        <f>5.8211 * CHOOSE(CONTROL!$C$12, $D$11, 100%, $F$11)</f>
        <v>4.6801644000000007</v>
      </c>
      <c r="K185" s="4"/>
      <c r="L185" s="9">
        <v>27.3993</v>
      </c>
      <c r="M185" s="9">
        <v>12.063700000000001</v>
      </c>
      <c r="N185" s="9">
        <v>4.9444999999999997</v>
      </c>
      <c r="O185" s="9">
        <v>0.37459999999999999</v>
      </c>
      <c r="P185" s="9">
        <v>1.2939000000000001</v>
      </c>
      <c r="Q185" s="9">
        <v>31.333600000000001</v>
      </c>
      <c r="R185" s="9"/>
      <c r="S185" s="11"/>
    </row>
    <row r="186" spans="1:19" ht="15.75">
      <c r="A186" s="13">
        <v>47515</v>
      </c>
      <c r="B186" s="8">
        <f>5.6872 * CHOOSE(CONTROL!$C$12, $D$11, 100%, $F$11)</f>
        <v>4.5725088000000005</v>
      </c>
      <c r="C186" s="8">
        <f>5.6977 * CHOOSE(CONTROL!$C$12, $D$11, 100%, $F$11)</f>
        <v>4.5809508000000001</v>
      </c>
      <c r="D186" s="8">
        <f>5.6976 * CHOOSE( CONTROL!$C$12, $D$11, 100%, $F$11)</f>
        <v>4.5808704000000002</v>
      </c>
      <c r="E186" s="12">
        <f>5.6965 * CHOOSE( CONTROL!$C$12, $D$11, 100%, $F$11)</f>
        <v>4.5799860000000008</v>
      </c>
      <c r="F186" s="4">
        <f>6.7023 * CHOOSE(CONTROL!$C$12, $D$11, 100%, $F$11)</f>
        <v>5.3886492000000006</v>
      </c>
      <c r="G186" s="8">
        <f>5.5711 * CHOOSE( CONTROL!$C$12, $D$11, 100%, $F$11)</f>
        <v>4.4791644000000002</v>
      </c>
      <c r="H186" s="4">
        <f>6.457 * CHOOSE(CONTROL!$C$12, $D$11, 100%, $F$11)</f>
        <v>5.1914280000000002</v>
      </c>
      <c r="I186" s="8">
        <f>5.5451 * CHOOSE(CONTROL!$C$12, $D$11, 100%, $F$11)</f>
        <v>4.4582604000000003</v>
      </c>
      <c r="J186" s="4">
        <f>5.4448 * CHOOSE(CONTROL!$C$12, $D$11, 100%, $F$11)</f>
        <v>4.3776191999999998</v>
      </c>
      <c r="K186" s="4"/>
      <c r="L186" s="9">
        <v>24.747800000000002</v>
      </c>
      <c r="M186" s="9">
        <v>10.8962</v>
      </c>
      <c r="N186" s="9">
        <v>4.4660000000000002</v>
      </c>
      <c r="O186" s="9">
        <v>0.33829999999999999</v>
      </c>
      <c r="P186" s="9">
        <v>1.1687000000000001</v>
      </c>
      <c r="Q186" s="9">
        <v>28.301300000000001</v>
      </c>
      <c r="R186" s="9"/>
      <c r="S186" s="11"/>
    </row>
    <row r="187" spans="1:19" ht="15.75">
      <c r="A187" s="13">
        <v>47543</v>
      </c>
      <c r="B187" s="8">
        <f>5.5663 * CHOOSE(CONTROL!$C$12, $D$11, 100%, $F$11)</f>
        <v>4.4753052000000002</v>
      </c>
      <c r="C187" s="8">
        <f>5.5767 * CHOOSE(CONTROL!$C$12, $D$11, 100%, $F$11)</f>
        <v>4.4836668</v>
      </c>
      <c r="D187" s="8">
        <f>5.5565 * CHOOSE( CONTROL!$C$12, $D$11, 100%, $F$11)</f>
        <v>4.4674259999999997</v>
      </c>
      <c r="E187" s="12">
        <f>5.5628 * CHOOSE( CONTROL!$C$12, $D$11, 100%, $F$11)</f>
        <v>4.4724912000000003</v>
      </c>
      <c r="F187" s="4">
        <f>6.5652 * CHOOSE(CONTROL!$C$12, $D$11, 100%, $F$11)</f>
        <v>5.2784208000000001</v>
      </c>
      <c r="G187" s="8">
        <f>5.4327 * CHOOSE( CONTROL!$C$12, $D$11, 100%, $F$11)</f>
        <v>4.3678907999999996</v>
      </c>
      <c r="H187" s="4">
        <f>6.3233 * CHOOSE(CONTROL!$C$12, $D$11, 100%, $F$11)</f>
        <v>5.0839331999999997</v>
      </c>
      <c r="I187" s="8">
        <f>5.3897 * CHOOSE(CONTROL!$C$12, $D$11, 100%, $F$11)</f>
        <v>4.3333188000000007</v>
      </c>
      <c r="J187" s="4">
        <f>5.3288 * CHOOSE(CONTROL!$C$12, $D$11, 100%, $F$11)</f>
        <v>4.2843552000000003</v>
      </c>
      <c r="K187" s="4"/>
      <c r="L187" s="9">
        <v>27.3993</v>
      </c>
      <c r="M187" s="9">
        <v>12.063700000000001</v>
      </c>
      <c r="N187" s="9">
        <v>4.9444999999999997</v>
      </c>
      <c r="O187" s="9">
        <v>0.37459999999999999</v>
      </c>
      <c r="P187" s="9">
        <v>1.2939000000000001</v>
      </c>
      <c r="Q187" s="9">
        <v>31.333600000000001</v>
      </c>
      <c r="R187" s="9"/>
      <c r="S187" s="11"/>
    </row>
    <row r="188" spans="1:19" ht="15.75">
      <c r="A188" s="13">
        <v>47574</v>
      </c>
      <c r="B188" s="8">
        <f>5.6508 * CHOOSE(CONTROL!$C$12, $D$11, 100%, $F$11)</f>
        <v>4.5432432000000009</v>
      </c>
      <c r="C188" s="8">
        <f>5.6612 * CHOOSE(CONTROL!$C$12, $D$11, 100%, $F$11)</f>
        <v>4.5516048000000007</v>
      </c>
      <c r="D188" s="8">
        <f>5.6644 * CHOOSE( CONTROL!$C$12, $D$11, 100%, $F$11)</f>
        <v>4.5541776</v>
      </c>
      <c r="E188" s="12">
        <f>5.6622 * CHOOSE( CONTROL!$C$12, $D$11, 100%, $F$11)</f>
        <v>4.5524088000000003</v>
      </c>
      <c r="F188" s="4">
        <f>6.6581 * CHOOSE(CONTROL!$C$12, $D$11, 100%, $F$11)</f>
        <v>5.3531124000000005</v>
      </c>
      <c r="G188" s="8">
        <f>5.503 * CHOOSE( CONTROL!$C$12, $D$11, 100%, $F$11)</f>
        <v>4.4244120000000002</v>
      </c>
      <c r="H188" s="4">
        <f>6.4138 * CHOOSE(CONTROL!$C$12, $D$11, 100%, $F$11)</f>
        <v>5.1566952000000006</v>
      </c>
      <c r="I188" s="8">
        <f>5.4608 * CHOOSE(CONTROL!$C$12, $D$11, 100%, $F$11)</f>
        <v>4.3904832000000003</v>
      </c>
      <c r="J188" s="4">
        <f>5.4098 * CHOOSE(CONTROL!$C$12, $D$11, 100%, $F$11)</f>
        <v>4.3494792000000002</v>
      </c>
      <c r="K188" s="4"/>
      <c r="L188" s="9">
        <v>27.988800000000001</v>
      </c>
      <c r="M188" s="9">
        <v>11.6745</v>
      </c>
      <c r="N188" s="9">
        <v>4.7850000000000001</v>
      </c>
      <c r="O188" s="9">
        <v>0.36249999999999999</v>
      </c>
      <c r="P188" s="9">
        <v>1.1798</v>
      </c>
      <c r="Q188" s="9">
        <v>30.322800000000001</v>
      </c>
      <c r="R188" s="9"/>
      <c r="S188" s="11"/>
    </row>
    <row r="189" spans="1:19" ht="15.75">
      <c r="A189" s="13">
        <v>47604</v>
      </c>
      <c r="B189" s="8">
        <f>CHOOSE( CONTROL!$C$29, 5.8059, 5.8012) * CHOOSE(CONTROL!$C$12, $D$11, 100%, $F$11)</f>
        <v>4.6679436000000001</v>
      </c>
      <c r="C189" s="8">
        <f>CHOOSE( CONTROL!$C$29, 5.8164, 5.8117) * CHOOSE(CONTROL!$C$12, $D$11, 100%, $F$11)</f>
        <v>4.6763855999999997</v>
      </c>
      <c r="D189" s="8">
        <f>CHOOSE( CONTROL!$C$29, 5.7943, 5.7896) * CHOOSE( CONTROL!$C$12, $D$11, 100%, $F$11)</f>
        <v>4.6586172000000001</v>
      </c>
      <c r="E189" s="12">
        <f>CHOOSE( CONTROL!$C$29, 5.8007, 5.796) * CHOOSE( CONTROL!$C$12, $D$11, 100%, $F$11)</f>
        <v>4.6637628000000007</v>
      </c>
      <c r="F189" s="4">
        <f>CHOOSE( CONTROL!$C$29, 6.7808, 6.7761) * CHOOSE(CONTROL!$C$12, $D$11, 100%, $F$11)</f>
        <v>5.4517632000000003</v>
      </c>
      <c r="G189" s="8">
        <f>CHOOSE( CONTROL!$C$29, 5.6355, 5.6309) * CHOOSE( CONTROL!$C$12, $D$11, 100%, $F$11)</f>
        <v>4.5309420000000005</v>
      </c>
      <c r="H189" s="4">
        <f>CHOOSE( CONTROL!$C$29, 6.5335, 6.5289) * CHOOSE(CONTROL!$C$12, $D$11, 100%, $F$11)</f>
        <v>5.2529340000000007</v>
      </c>
      <c r="I189" s="8">
        <f>CHOOSE( CONTROL!$C$29, 5.588, 5.5835) * CHOOSE(CONTROL!$C$12, $D$11, 100%, $F$11)</f>
        <v>4.4927520000000003</v>
      </c>
      <c r="J189" s="4">
        <f>CHOOSE( CONTROL!$C$29, 5.5585, 5.554) * CHOOSE(CONTROL!$C$12, $D$11, 100%, $F$11)</f>
        <v>4.4690340000000006</v>
      </c>
      <c r="K189" s="4"/>
      <c r="L189" s="9">
        <v>29.520499999999998</v>
      </c>
      <c r="M189" s="9">
        <v>12.063700000000001</v>
      </c>
      <c r="N189" s="9">
        <v>4.9444999999999997</v>
      </c>
      <c r="O189" s="9">
        <v>0.37459999999999999</v>
      </c>
      <c r="P189" s="9">
        <v>1.2192000000000001</v>
      </c>
      <c r="Q189" s="9">
        <v>31.333600000000001</v>
      </c>
      <c r="R189" s="9"/>
      <c r="S189" s="11"/>
    </row>
    <row r="190" spans="1:19" ht="15.75">
      <c r="A190" s="13">
        <v>47635</v>
      </c>
      <c r="B190" s="8">
        <f>CHOOSE( CONTROL!$C$29, 5.7127, 5.708) * CHOOSE(CONTROL!$C$12, $D$11, 100%, $F$11)</f>
        <v>4.5930108000000001</v>
      </c>
      <c r="C190" s="8">
        <f>CHOOSE( CONTROL!$C$29, 5.7232, 5.7185) * CHOOSE(CONTROL!$C$12, $D$11, 100%, $F$11)</f>
        <v>4.6014528000000006</v>
      </c>
      <c r="D190" s="8">
        <f>CHOOSE( CONTROL!$C$29, 5.6955, 5.6908) * CHOOSE( CONTROL!$C$12, $D$11, 100%, $F$11)</f>
        <v>4.5791820000000003</v>
      </c>
      <c r="E190" s="12">
        <f>CHOOSE( CONTROL!$C$29, 5.7039, 5.6992) * CHOOSE( CONTROL!$C$12, $D$11, 100%, $F$11)</f>
        <v>4.5859356</v>
      </c>
      <c r="F190" s="4">
        <f>CHOOSE( CONTROL!$C$29, 6.6772, 6.6725) * CHOOSE(CONTROL!$C$12, $D$11, 100%, $F$11)</f>
        <v>5.3684688000000005</v>
      </c>
      <c r="G190" s="8">
        <f>CHOOSE( CONTROL!$C$29, 5.5434, 5.5388) * CHOOSE( CONTROL!$C$12, $D$11, 100%, $F$11)</f>
        <v>4.4568936000000008</v>
      </c>
      <c r="H190" s="4">
        <f>CHOOSE( CONTROL!$C$29, 6.4325, 6.4279) * CHOOSE(CONTROL!$C$12, $D$11, 100%, $F$11)</f>
        <v>5.1717300000000002</v>
      </c>
      <c r="I190" s="8">
        <f>CHOOSE( CONTROL!$C$29, 5.5008, 5.4963) * CHOOSE(CONTROL!$C$12, $D$11, 100%, $F$11)</f>
        <v>4.4226432000000004</v>
      </c>
      <c r="J190" s="4">
        <f>CHOOSE( CONTROL!$C$29, 5.4692, 5.4647) * CHOOSE(CONTROL!$C$12, $D$11, 100%, $F$11)</f>
        <v>4.3972367999999999</v>
      </c>
      <c r="K190" s="4"/>
      <c r="L190" s="9">
        <v>28.568200000000001</v>
      </c>
      <c r="M190" s="9">
        <v>11.6745</v>
      </c>
      <c r="N190" s="9">
        <v>4.7850000000000001</v>
      </c>
      <c r="O190" s="9">
        <v>0.36249999999999999</v>
      </c>
      <c r="P190" s="9">
        <v>1.1798</v>
      </c>
      <c r="Q190" s="9">
        <v>30.322800000000001</v>
      </c>
      <c r="R190" s="9"/>
      <c r="S190" s="11"/>
    </row>
    <row r="191" spans="1:19" ht="15.75">
      <c r="A191" s="13">
        <v>47665</v>
      </c>
      <c r="B191" s="8">
        <f>CHOOSE( CONTROL!$C$29, 5.9582, 5.9534) * CHOOSE(CONTROL!$C$12, $D$11, 100%, $F$11)</f>
        <v>4.7903928000000002</v>
      </c>
      <c r="C191" s="8">
        <f>CHOOSE( CONTROL!$C$29, 5.9686, 5.9639) * CHOOSE(CONTROL!$C$12, $D$11, 100%, $F$11)</f>
        <v>4.7987544000000009</v>
      </c>
      <c r="D191" s="8">
        <f>CHOOSE( CONTROL!$C$29, 5.9601, 5.9554) * CHOOSE( CONTROL!$C$12, $D$11, 100%, $F$11)</f>
        <v>4.7919204000000004</v>
      </c>
      <c r="E191" s="12">
        <f>CHOOSE( CONTROL!$C$29, 5.9616, 5.9569) * CHOOSE( CONTROL!$C$12, $D$11, 100%, $F$11)</f>
        <v>4.7931264000000002</v>
      </c>
      <c r="F191" s="4">
        <f>CHOOSE( CONTROL!$C$29, 6.9498, 6.945) * CHOOSE(CONTROL!$C$12, $D$11, 100%, $F$11)</f>
        <v>5.5876391999999999</v>
      </c>
      <c r="G191" s="8">
        <f>CHOOSE( CONTROL!$C$29, 5.7953, 5.7907) * CHOOSE( CONTROL!$C$12, $D$11, 100%, $F$11)</f>
        <v>4.6594212000000006</v>
      </c>
      <c r="H191" s="4">
        <f>CHOOSE( CONTROL!$C$29, 6.6982, 6.6936) * CHOOSE(CONTROL!$C$12, $D$11, 100%, $F$11)</f>
        <v>5.3853528000000006</v>
      </c>
      <c r="I191" s="8">
        <f>CHOOSE( CONTROL!$C$29, 5.7588, 5.7543) * CHOOSE(CONTROL!$C$12, $D$11, 100%, $F$11)</f>
        <v>4.6300752000000003</v>
      </c>
      <c r="J191" s="4">
        <f>CHOOSE( CONTROL!$C$29, 5.7043, 5.6998) * CHOOSE(CONTROL!$C$12, $D$11, 100%, $F$11)</f>
        <v>4.5862572000000004</v>
      </c>
      <c r="K191" s="4"/>
      <c r="L191" s="9">
        <v>29.520499999999998</v>
      </c>
      <c r="M191" s="9">
        <v>12.063700000000001</v>
      </c>
      <c r="N191" s="9">
        <v>4.9444999999999997</v>
      </c>
      <c r="O191" s="9">
        <v>0.37459999999999999</v>
      </c>
      <c r="P191" s="9">
        <v>1.2192000000000001</v>
      </c>
      <c r="Q191" s="9">
        <v>31.333600000000001</v>
      </c>
      <c r="R191" s="9"/>
      <c r="S191" s="11"/>
    </row>
    <row r="192" spans="1:19" ht="15.75">
      <c r="A192" s="13">
        <v>47696</v>
      </c>
      <c r="B192" s="8">
        <f>CHOOSE( CONTROL!$C$29, 5.499, 5.4943) * CHOOSE(CONTROL!$C$12, $D$11, 100%, $F$11)</f>
        <v>4.4211960000000001</v>
      </c>
      <c r="C192" s="8">
        <f>CHOOSE( CONTROL!$C$29, 5.5094, 5.5047) * CHOOSE(CONTROL!$C$12, $D$11, 100%, $F$11)</f>
        <v>4.4295576000000008</v>
      </c>
      <c r="D192" s="8">
        <f>CHOOSE( CONTROL!$C$29, 5.5043, 5.4996) * CHOOSE( CONTROL!$C$12, $D$11, 100%, $F$11)</f>
        <v>4.4254572000000003</v>
      </c>
      <c r="E192" s="12">
        <f>CHOOSE( CONTROL!$C$29, 5.5046, 5.4999) * CHOOSE( CONTROL!$C$12, $D$11, 100%, $F$11)</f>
        <v>4.4256983999999999</v>
      </c>
      <c r="F192" s="4">
        <f>CHOOSE( CONTROL!$C$29, 6.4958, 6.4911) * CHOOSE(CONTROL!$C$12, $D$11, 100%, $F$11)</f>
        <v>5.2226232000000001</v>
      </c>
      <c r="G192" s="8">
        <f>CHOOSE( CONTROL!$C$29, 5.3498, 5.3453) * CHOOSE( CONTROL!$C$12, $D$11, 100%, $F$11)</f>
        <v>4.3012392000000004</v>
      </c>
      <c r="H192" s="4">
        <f>CHOOSE( CONTROL!$C$29, 6.2557, 6.2511) * CHOOSE(CONTROL!$C$12, $D$11, 100%, $F$11)</f>
        <v>5.0295828</v>
      </c>
      <c r="I192" s="8">
        <f>CHOOSE( CONTROL!$C$29, 5.3232, 5.3187) * CHOOSE(CONTROL!$C$12, $D$11, 100%, $F$11)</f>
        <v>4.2798528000000005</v>
      </c>
      <c r="J192" s="4">
        <f>CHOOSE( CONTROL!$C$29, 5.2644, 5.2599) * CHOOSE(CONTROL!$C$12, $D$11, 100%, $F$11)</f>
        <v>4.2325776000000008</v>
      </c>
      <c r="K192" s="4"/>
      <c r="L192" s="9">
        <v>29.520499999999998</v>
      </c>
      <c r="M192" s="9">
        <v>12.063700000000001</v>
      </c>
      <c r="N192" s="9">
        <v>4.9444999999999997</v>
      </c>
      <c r="O192" s="9">
        <v>0.37459999999999999</v>
      </c>
      <c r="P192" s="9">
        <v>1.2192000000000001</v>
      </c>
      <c r="Q192" s="9">
        <v>31.333600000000001</v>
      </c>
      <c r="R192" s="9"/>
      <c r="S192" s="11"/>
    </row>
    <row r="193" spans="1:19" ht="15.75">
      <c r="A193" s="13">
        <v>47727</v>
      </c>
      <c r="B193" s="8">
        <f>CHOOSE( CONTROL!$C$29, 5.384, 5.3793) * CHOOSE(CONTROL!$C$12, $D$11, 100%, $F$11)</f>
        <v>4.3287360000000001</v>
      </c>
      <c r="C193" s="8">
        <f>CHOOSE( CONTROL!$C$29, 5.3944, 5.3897) * CHOOSE(CONTROL!$C$12, $D$11, 100%, $F$11)</f>
        <v>4.3370975999999999</v>
      </c>
      <c r="D193" s="8">
        <f>CHOOSE( CONTROL!$C$29, 5.3851, 5.3804) * CHOOSE( CONTROL!$C$12, $D$11, 100%, $F$11)</f>
        <v>4.3296204000000005</v>
      </c>
      <c r="E193" s="12">
        <f>CHOOSE( CONTROL!$C$29, 5.3869, 5.3822) * CHOOSE( CONTROL!$C$12, $D$11, 100%, $F$11)</f>
        <v>4.3310675999999999</v>
      </c>
      <c r="F193" s="4">
        <f>CHOOSE( CONTROL!$C$29, 6.373, 6.3683) * CHOOSE(CONTROL!$C$12, $D$11, 100%, $F$11)</f>
        <v>5.1238920000000006</v>
      </c>
      <c r="G193" s="8">
        <f>CHOOSE( CONTROL!$C$29, 5.2365, 5.2319) * CHOOSE( CONTROL!$C$12, $D$11, 100%, $F$11)</f>
        <v>4.2101460000000008</v>
      </c>
      <c r="H193" s="4">
        <f>CHOOSE( CONTROL!$C$29, 6.136, 6.1314) * CHOOSE(CONTROL!$C$12, $D$11, 100%, $F$11)</f>
        <v>4.933344</v>
      </c>
      <c r="I193" s="8">
        <f>CHOOSE( CONTROL!$C$29, 5.2143, 5.2098) * CHOOSE(CONTROL!$C$12, $D$11, 100%, $F$11)</f>
        <v>4.1922971999999996</v>
      </c>
      <c r="J193" s="4">
        <f>CHOOSE( CONTROL!$C$29, 5.1542, 5.1497) * CHOOSE(CONTROL!$C$12, $D$11, 100%, $F$11)</f>
        <v>4.1439768000000008</v>
      </c>
      <c r="K193" s="4"/>
      <c r="L193" s="9">
        <v>28.568200000000001</v>
      </c>
      <c r="M193" s="9">
        <v>11.6745</v>
      </c>
      <c r="N193" s="9">
        <v>4.7850000000000001</v>
      </c>
      <c r="O193" s="9">
        <v>0.36249999999999999</v>
      </c>
      <c r="P193" s="9">
        <v>1.1798</v>
      </c>
      <c r="Q193" s="9">
        <v>30.322800000000001</v>
      </c>
      <c r="R193" s="9"/>
      <c r="S193" s="11"/>
    </row>
    <row r="194" spans="1:19" ht="15.75">
      <c r="A194" s="13">
        <v>47757</v>
      </c>
      <c r="B194" s="8">
        <f>5.618 * CHOOSE(CONTROL!$C$12, $D$11, 100%, $F$11)</f>
        <v>4.5168720000000002</v>
      </c>
      <c r="C194" s="8">
        <f>5.6285 * CHOOSE(CONTROL!$C$12, $D$11, 100%, $F$11)</f>
        <v>4.5253139999999998</v>
      </c>
      <c r="D194" s="8">
        <f>5.62 * CHOOSE( CONTROL!$C$12, $D$11, 100%, $F$11)</f>
        <v>4.5184800000000003</v>
      </c>
      <c r="E194" s="12">
        <f>5.6217 * CHOOSE( CONTROL!$C$12, $D$11, 100%, $F$11)</f>
        <v>4.5198467999999998</v>
      </c>
      <c r="F194" s="4">
        <f>6.607 * CHOOSE(CONTROL!$C$12, $D$11, 100%, $F$11)</f>
        <v>5.3120280000000006</v>
      </c>
      <c r="G194" s="8">
        <f>5.4642 * CHOOSE( CONTROL!$C$12, $D$11, 100%, $F$11)</f>
        <v>4.3932168000000003</v>
      </c>
      <c r="H194" s="4">
        <f>6.3641 * CHOOSE(CONTROL!$C$12, $D$11, 100%, $F$11)</f>
        <v>5.1167363999999997</v>
      </c>
      <c r="I194" s="8">
        <f>5.4407 * CHOOSE(CONTROL!$C$12, $D$11, 100%, $F$11)</f>
        <v>4.3743227999999998</v>
      </c>
      <c r="J194" s="4">
        <f>5.3784 * CHOOSE(CONTROL!$C$12, $D$11, 100%, $F$11)</f>
        <v>4.3242336000000003</v>
      </c>
      <c r="K194" s="4"/>
      <c r="L194" s="9">
        <v>28.921800000000001</v>
      </c>
      <c r="M194" s="9">
        <v>12.063700000000001</v>
      </c>
      <c r="N194" s="9">
        <v>4.9444999999999997</v>
      </c>
      <c r="O194" s="9">
        <v>0.37459999999999999</v>
      </c>
      <c r="P194" s="9">
        <v>1.2192000000000001</v>
      </c>
      <c r="Q194" s="9">
        <v>31.333600000000001</v>
      </c>
      <c r="R194" s="9"/>
      <c r="S194" s="11"/>
    </row>
    <row r="195" spans="1:19" ht="15.75">
      <c r="A195" s="13">
        <v>47788</v>
      </c>
      <c r="B195" s="8">
        <f>6.0587 * CHOOSE(CONTROL!$C$12, $D$11, 100%, $F$11)</f>
        <v>4.8711948000000005</v>
      </c>
      <c r="C195" s="8">
        <f>6.0691 * CHOOSE(CONTROL!$C$12, $D$11, 100%, $F$11)</f>
        <v>4.8795564000000002</v>
      </c>
      <c r="D195" s="8">
        <f>6.0494 * CHOOSE( CONTROL!$C$12, $D$11, 100%, $F$11)</f>
        <v>4.8637176000000002</v>
      </c>
      <c r="E195" s="12">
        <f>6.0555 * CHOOSE( CONTROL!$C$12, $D$11, 100%, $F$11)</f>
        <v>4.8686220000000002</v>
      </c>
      <c r="F195" s="4">
        <f>7.0503 * CHOOSE(CONTROL!$C$12, $D$11, 100%, $F$11)</f>
        <v>5.6684412000000002</v>
      </c>
      <c r="G195" s="8">
        <f>5.9128 * CHOOSE( CONTROL!$C$12, $D$11, 100%, $F$11)</f>
        <v>4.7538912</v>
      </c>
      <c r="H195" s="4">
        <f>6.7962 * CHOOSE(CONTROL!$C$12, $D$11, 100%, $F$11)</f>
        <v>5.4641448000000006</v>
      </c>
      <c r="I195" s="8">
        <f>5.8934 * CHOOSE(CONTROL!$C$12, $D$11, 100%, $F$11)</f>
        <v>4.7382936000000004</v>
      </c>
      <c r="J195" s="4">
        <f>5.8007 * CHOOSE(CONTROL!$C$12, $D$11, 100%, $F$11)</f>
        <v>4.6637628000000007</v>
      </c>
      <c r="K195" s="4"/>
      <c r="L195" s="9">
        <v>26.515499999999999</v>
      </c>
      <c r="M195" s="9">
        <v>11.6745</v>
      </c>
      <c r="N195" s="9">
        <v>4.7850000000000001</v>
      </c>
      <c r="O195" s="9">
        <v>0.36249999999999999</v>
      </c>
      <c r="P195" s="9">
        <v>1.2522</v>
      </c>
      <c r="Q195" s="9">
        <v>30.322800000000001</v>
      </c>
      <c r="R195" s="9"/>
      <c r="S195" s="11"/>
    </row>
    <row r="196" spans="1:19" ht="15.75">
      <c r="A196" s="13">
        <v>47818</v>
      </c>
      <c r="B196" s="8">
        <f>6.0477 * CHOOSE(CONTROL!$C$12, $D$11, 100%, $F$11)</f>
        <v>4.8623507999999998</v>
      </c>
      <c r="C196" s="8">
        <f>6.0581 * CHOOSE(CONTROL!$C$12, $D$11, 100%, $F$11)</f>
        <v>4.8707124000000004</v>
      </c>
      <c r="D196" s="8">
        <f>6.0403 * CHOOSE( CONTROL!$C$12, $D$11, 100%, $F$11)</f>
        <v>4.8564012000000005</v>
      </c>
      <c r="E196" s="12">
        <f>6.0457 * CHOOSE( CONTROL!$C$12, $D$11, 100%, $F$11)</f>
        <v>4.8607428000000006</v>
      </c>
      <c r="F196" s="4">
        <f>7.0393 * CHOOSE(CONTROL!$C$12, $D$11, 100%, $F$11)</f>
        <v>5.6595972000000003</v>
      </c>
      <c r="G196" s="8">
        <f>5.9035 * CHOOSE( CONTROL!$C$12, $D$11, 100%, $F$11)</f>
        <v>4.7464140000000006</v>
      </c>
      <c r="H196" s="4">
        <f>6.7855 * CHOOSE(CONTROL!$C$12, $D$11, 100%, $F$11)</f>
        <v>5.4555420000000003</v>
      </c>
      <c r="I196" s="8">
        <f>5.8897 * CHOOSE(CONTROL!$C$12, $D$11, 100%, $F$11)</f>
        <v>4.7353188000000008</v>
      </c>
      <c r="J196" s="4">
        <f>5.7901 * CHOOSE(CONTROL!$C$12, $D$11, 100%, $F$11)</f>
        <v>4.6552404000000003</v>
      </c>
      <c r="K196" s="4"/>
      <c r="L196" s="9">
        <v>27.3993</v>
      </c>
      <c r="M196" s="9">
        <v>12.063700000000001</v>
      </c>
      <c r="N196" s="9">
        <v>4.9444999999999997</v>
      </c>
      <c r="O196" s="9">
        <v>0.37459999999999999</v>
      </c>
      <c r="P196" s="9">
        <v>1.2939000000000001</v>
      </c>
      <c r="Q196" s="9">
        <v>31.333600000000001</v>
      </c>
      <c r="R196" s="9"/>
      <c r="S196" s="11"/>
    </row>
    <row r="197" spans="1:19" ht="15.75">
      <c r="A197" s="13">
        <v>47849</v>
      </c>
      <c r="B197" s="8">
        <f>6.2015 * CHOOSE(CONTROL!$C$12, $D$11, 100%, $F$11)</f>
        <v>4.9860060000000006</v>
      </c>
      <c r="C197" s="8">
        <f>6.2119 * CHOOSE(CONTROL!$C$12, $D$11, 100%, $F$11)</f>
        <v>4.9943676000000004</v>
      </c>
      <c r="D197" s="8">
        <f>6.2096 * CHOOSE( CONTROL!$C$12, $D$11, 100%, $F$11)</f>
        <v>4.9925184000000007</v>
      </c>
      <c r="E197" s="12">
        <f>6.2093 * CHOOSE( CONTROL!$C$12, $D$11, 100%, $F$11)</f>
        <v>4.9922772000000002</v>
      </c>
      <c r="F197" s="4">
        <f>7.2244 * CHOOSE(CONTROL!$C$12, $D$11, 100%, $F$11)</f>
        <v>5.8084176000000003</v>
      </c>
      <c r="G197" s="8">
        <f>6.0725 * CHOOSE( CONTROL!$C$12, $D$11, 100%, $F$11)</f>
        <v>4.8822900000000002</v>
      </c>
      <c r="H197" s="4">
        <f>6.9659 * CHOOSE(CONTROL!$C$12, $D$11, 100%, $F$11)</f>
        <v>5.6005836000000011</v>
      </c>
      <c r="I197" s="8">
        <f>6.049 * CHOOSE(CONTROL!$C$12, $D$11, 100%, $F$11)</f>
        <v>4.8633960000000007</v>
      </c>
      <c r="J197" s="4">
        <f>5.9375 * CHOOSE(CONTROL!$C$12, $D$11, 100%, $F$11)</f>
        <v>4.7737500000000006</v>
      </c>
      <c r="K197" s="4"/>
      <c r="L197" s="9">
        <v>27.3993</v>
      </c>
      <c r="M197" s="9">
        <v>12.063700000000001</v>
      </c>
      <c r="N197" s="9">
        <v>4.9444999999999997</v>
      </c>
      <c r="O197" s="9">
        <v>0.37459999999999999</v>
      </c>
      <c r="P197" s="9">
        <v>1.2939000000000001</v>
      </c>
      <c r="Q197" s="9">
        <v>31.026700000000002</v>
      </c>
      <c r="R197" s="9"/>
      <c r="S197" s="11"/>
    </row>
    <row r="198" spans="1:19" ht="15.75">
      <c r="A198" s="13">
        <v>47880</v>
      </c>
      <c r="B198" s="8">
        <f>5.8009 * CHOOSE(CONTROL!$C$12, $D$11, 100%, $F$11)</f>
        <v>4.6639236000000004</v>
      </c>
      <c r="C198" s="8">
        <f>5.8113 * CHOOSE(CONTROL!$C$12, $D$11, 100%, $F$11)</f>
        <v>4.6722852000000001</v>
      </c>
      <c r="D198" s="8">
        <f>5.8113 * CHOOSE( CONTROL!$C$12, $D$11, 100%, $F$11)</f>
        <v>4.6722852000000001</v>
      </c>
      <c r="E198" s="12">
        <f>5.8102 * CHOOSE( CONTROL!$C$12, $D$11, 100%, $F$11)</f>
        <v>4.6714008000000007</v>
      </c>
      <c r="F198" s="4">
        <f>6.816 * CHOOSE(CONTROL!$C$12, $D$11, 100%, $F$11)</f>
        <v>5.4800640000000005</v>
      </c>
      <c r="G198" s="8">
        <f>5.6819 * CHOOSE( CONTROL!$C$12, $D$11, 100%, $F$11)</f>
        <v>4.5682476000000003</v>
      </c>
      <c r="H198" s="4">
        <f>6.5678 * CHOOSE(CONTROL!$C$12, $D$11, 100%, $F$11)</f>
        <v>5.2805112000000003</v>
      </c>
      <c r="I198" s="8">
        <f>5.6541 * CHOOSE(CONTROL!$C$12, $D$11, 100%, $F$11)</f>
        <v>4.5458964000000002</v>
      </c>
      <c r="J198" s="4">
        <f>5.5536 * CHOOSE(CONTROL!$C$12, $D$11, 100%, $F$11)</f>
        <v>4.4650944000000008</v>
      </c>
      <c r="K198" s="4"/>
      <c r="L198" s="9">
        <v>24.747800000000002</v>
      </c>
      <c r="M198" s="9">
        <v>10.8962</v>
      </c>
      <c r="N198" s="9">
        <v>4.4660000000000002</v>
      </c>
      <c r="O198" s="9">
        <v>0.33829999999999999</v>
      </c>
      <c r="P198" s="9">
        <v>1.1687000000000001</v>
      </c>
      <c r="Q198" s="9">
        <v>28.024100000000001</v>
      </c>
      <c r="R198" s="9"/>
      <c r="S198" s="11"/>
    </row>
    <row r="199" spans="1:19" ht="15.75">
      <c r="A199" s="13">
        <v>47908</v>
      </c>
      <c r="B199" s="8">
        <f>5.6775 * CHOOSE(CONTROL!$C$12, $D$11, 100%, $F$11)</f>
        <v>4.5647100000000007</v>
      </c>
      <c r="C199" s="8">
        <f>5.6879 * CHOOSE(CONTROL!$C$12, $D$11, 100%, $F$11)</f>
        <v>4.5730716000000005</v>
      </c>
      <c r="D199" s="8">
        <f>5.6678 * CHOOSE( CONTROL!$C$12, $D$11, 100%, $F$11)</f>
        <v>4.5569112000000001</v>
      </c>
      <c r="E199" s="12">
        <f>5.674 * CHOOSE( CONTROL!$C$12, $D$11, 100%, $F$11)</f>
        <v>4.5618960000000008</v>
      </c>
      <c r="F199" s="4">
        <f>6.6764 * CHOOSE(CONTROL!$C$12, $D$11, 100%, $F$11)</f>
        <v>5.3678256000000006</v>
      </c>
      <c r="G199" s="8">
        <f>5.5411 * CHOOSE( CONTROL!$C$12, $D$11, 100%, $F$11)</f>
        <v>4.4550444000000002</v>
      </c>
      <c r="H199" s="4">
        <f>6.4317 * CHOOSE(CONTROL!$C$12, $D$11, 100%, $F$11)</f>
        <v>5.1710868000000003</v>
      </c>
      <c r="I199" s="8">
        <f>5.4963 * CHOOSE(CONTROL!$C$12, $D$11, 100%, $F$11)</f>
        <v>4.4190252000000001</v>
      </c>
      <c r="J199" s="4">
        <f>5.4354 * CHOOSE(CONTROL!$C$12, $D$11, 100%, $F$11)</f>
        <v>4.3700615999999997</v>
      </c>
      <c r="K199" s="4"/>
      <c r="L199" s="9">
        <v>27.3993</v>
      </c>
      <c r="M199" s="9">
        <v>12.063700000000001</v>
      </c>
      <c r="N199" s="9">
        <v>4.9444999999999997</v>
      </c>
      <c r="O199" s="9">
        <v>0.37459999999999999</v>
      </c>
      <c r="P199" s="9">
        <v>1.2939000000000001</v>
      </c>
      <c r="Q199" s="9">
        <v>31.026700000000002</v>
      </c>
      <c r="R199" s="9"/>
      <c r="S199" s="11"/>
    </row>
    <row r="200" spans="1:19" ht="15.75">
      <c r="A200" s="13">
        <v>47939</v>
      </c>
      <c r="B200" s="8">
        <f>5.7637 * CHOOSE(CONTROL!$C$12, $D$11, 100%, $F$11)</f>
        <v>4.6340148000000001</v>
      </c>
      <c r="C200" s="8">
        <f>5.7741 * CHOOSE(CONTROL!$C$12, $D$11, 100%, $F$11)</f>
        <v>4.6423763999999998</v>
      </c>
      <c r="D200" s="8">
        <f>5.7773 * CHOOSE( CONTROL!$C$12, $D$11, 100%, $F$11)</f>
        <v>4.6449492000000001</v>
      </c>
      <c r="E200" s="12">
        <f>5.7751 * CHOOSE( CONTROL!$C$12, $D$11, 100%, $F$11)</f>
        <v>4.6431804000000003</v>
      </c>
      <c r="F200" s="4">
        <f>6.771 * CHOOSE(CONTROL!$C$12, $D$11, 100%, $F$11)</f>
        <v>5.4438840000000006</v>
      </c>
      <c r="G200" s="8">
        <f>5.613 * CHOOSE( CONTROL!$C$12, $D$11, 100%, $F$11)</f>
        <v>4.5128520000000005</v>
      </c>
      <c r="H200" s="4">
        <f>6.5239 * CHOOSE(CONTROL!$C$12, $D$11, 100%, $F$11)</f>
        <v>5.2452156000000008</v>
      </c>
      <c r="I200" s="8">
        <f>5.569 * CHOOSE(CONTROL!$C$12, $D$11, 100%, $F$11)</f>
        <v>4.4774760000000002</v>
      </c>
      <c r="J200" s="4">
        <f>5.518 * CHOOSE(CONTROL!$C$12, $D$11, 100%, $F$11)</f>
        <v>4.4364720000000002</v>
      </c>
      <c r="K200" s="4"/>
      <c r="L200" s="9">
        <v>27.988800000000001</v>
      </c>
      <c r="M200" s="9">
        <v>11.6745</v>
      </c>
      <c r="N200" s="9">
        <v>4.7850000000000001</v>
      </c>
      <c r="O200" s="9">
        <v>0.36249999999999999</v>
      </c>
      <c r="P200" s="9">
        <v>1.1798</v>
      </c>
      <c r="Q200" s="9">
        <v>30.0258</v>
      </c>
      <c r="R200" s="9"/>
      <c r="S200" s="11"/>
    </row>
    <row r="201" spans="1:19" ht="15.75">
      <c r="A201" s="13">
        <v>47969</v>
      </c>
      <c r="B201" s="8">
        <f>CHOOSE( CONTROL!$C$29, 5.9219, 5.9172) * CHOOSE(CONTROL!$C$12, $D$11, 100%, $F$11)</f>
        <v>4.7612076000000005</v>
      </c>
      <c r="C201" s="8">
        <f>CHOOSE( CONTROL!$C$29, 5.9323, 5.9276) * CHOOSE(CONTROL!$C$12, $D$11, 100%, $F$11)</f>
        <v>4.7695692000000003</v>
      </c>
      <c r="D201" s="8">
        <f>CHOOSE( CONTROL!$C$29, 5.9102, 5.9055) * CHOOSE( CONTROL!$C$12, $D$11, 100%, $F$11)</f>
        <v>4.7518007999999998</v>
      </c>
      <c r="E201" s="12">
        <f>CHOOSE( CONTROL!$C$29, 5.9166, 5.9119) * CHOOSE( CONTROL!$C$12, $D$11, 100%, $F$11)</f>
        <v>4.7569464000000004</v>
      </c>
      <c r="F201" s="4">
        <f>CHOOSE( CONTROL!$C$29, 6.8968, 6.8921) * CHOOSE(CONTROL!$C$12, $D$11, 100%, $F$11)</f>
        <v>5.5450271999999998</v>
      </c>
      <c r="G201" s="8">
        <f>CHOOSE( CONTROL!$C$29, 5.7485, 5.7439) * CHOOSE( CONTROL!$C$12, $D$11, 100%, $F$11)</f>
        <v>4.6217940000000004</v>
      </c>
      <c r="H201" s="4">
        <f>CHOOSE( CONTROL!$C$29, 6.6465, 6.6419) * CHOOSE(CONTROL!$C$12, $D$11, 100%, $F$11)</f>
        <v>5.3437859999999997</v>
      </c>
      <c r="I201" s="8">
        <f>CHOOSE( CONTROL!$C$29, 5.6991, 5.6946) * CHOOSE(CONTROL!$C$12, $D$11, 100%, $F$11)</f>
        <v>4.5820764</v>
      </c>
      <c r="J201" s="4">
        <f>CHOOSE( CONTROL!$C$29, 5.6696, 5.6651) * CHOOSE(CONTROL!$C$12, $D$11, 100%, $F$11)</f>
        <v>4.5583584000000004</v>
      </c>
      <c r="K201" s="4"/>
      <c r="L201" s="9">
        <v>29.520499999999998</v>
      </c>
      <c r="M201" s="9">
        <v>12.063700000000001</v>
      </c>
      <c r="N201" s="9">
        <v>4.9444999999999997</v>
      </c>
      <c r="O201" s="9">
        <v>0.37459999999999999</v>
      </c>
      <c r="P201" s="9">
        <v>1.2192000000000001</v>
      </c>
      <c r="Q201" s="9">
        <v>31.026700000000002</v>
      </c>
      <c r="R201" s="9"/>
      <c r="S201" s="11"/>
    </row>
    <row r="202" spans="1:19" ht="15.75">
      <c r="A202" s="13">
        <v>48000</v>
      </c>
      <c r="B202" s="8">
        <f>CHOOSE( CONTROL!$C$29, 5.8268, 5.8221) * CHOOSE(CONTROL!$C$12, $D$11, 100%, $F$11)</f>
        <v>4.6847472000000003</v>
      </c>
      <c r="C202" s="8">
        <f>CHOOSE( CONTROL!$C$29, 5.8372, 5.8325) * CHOOSE(CONTROL!$C$12, $D$11, 100%, $F$11)</f>
        <v>4.6931088000000001</v>
      </c>
      <c r="D202" s="8">
        <f>CHOOSE( CONTROL!$C$29, 5.8096, 5.8049) * CHOOSE( CONTROL!$C$12, $D$11, 100%, $F$11)</f>
        <v>4.6709183999999997</v>
      </c>
      <c r="E202" s="12">
        <f>CHOOSE( CONTROL!$C$29, 5.818, 5.8133) * CHOOSE( CONTROL!$C$12, $D$11, 100%, $F$11)</f>
        <v>4.6776720000000003</v>
      </c>
      <c r="F202" s="4">
        <f>CHOOSE( CONTROL!$C$29, 6.7913, 6.7866) * CHOOSE(CONTROL!$C$12, $D$11, 100%, $F$11)</f>
        <v>5.4602051999999999</v>
      </c>
      <c r="G202" s="8">
        <f>CHOOSE( CONTROL!$C$29, 5.6546, 5.65) * CHOOSE( CONTROL!$C$12, $D$11, 100%, $F$11)</f>
        <v>4.5462984000000004</v>
      </c>
      <c r="H202" s="4">
        <f>CHOOSE( CONTROL!$C$29, 6.5437, 6.5391) * CHOOSE(CONTROL!$C$12, $D$11, 100%, $F$11)</f>
        <v>5.2611348000000007</v>
      </c>
      <c r="I202" s="8">
        <f>CHOOSE( CONTROL!$C$29, 5.6101, 5.6056) * CHOOSE(CONTROL!$C$12, $D$11, 100%, $F$11)</f>
        <v>4.5105204000000008</v>
      </c>
      <c r="J202" s="4">
        <f>CHOOSE( CONTROL!$C$29, 5.5785, 5.574) * CHOOSE(CONTROL!$C$12, $D$11, 100%, $F$11)</f>
        <v>4.4851140000000003</v>
      </c>
      <c r="K202" s="4"/>
      <c r="L202" s="9">
        <v>28.568200000000001</v>
      </c>
      <c r="M202" s="9">
        <v>11.6745</v>
      </c>
      <c r="N202" s="9">
        <v>4.7850000000000001</v>
      </c>
      <c r="O202" s="9">
        <v>0.36249999999999999</v>
      </c>
      <c r="P202" s="9">
        <v>1.1798</v>
      </c>
      <c r="Q202" s="9">
        <v>30.0258</v>
      </c>
      <c r="R202" s="9"/>
      <c r="S202" s="11"/>
    </row>
    <row r="203" spans="1:19" ht="15.75">
      <c r="A203" s="13">
        <v>48030</v>
      </c>
      <c r="B203" s="8">
        <f>CHOOSE( CONTROL!$C$29, 6.0771, 6.0724) * CHOOSE(CONTROL!$C$12, $D$11, 100%, $F$11)</f>
        <v>4.8859884000000005</v>
      </c>
      <c r="C203" s="8">
        <f>CHOOSE( CONTROL!$C$29, 6.0876, 6.0829) * CHOOSE(CONTROL!$C$12, $D$11, 100%, $F$11)</f>
        <v>4.8944304000000001</v>
      </c>
      <c r="D203" s="8">
        <f>CHOOSE( CONTROL!$C$29, 6.0791, 6.0744) * CHOOSE( CONTROL!$C$12, $D$11, 100%, $F$11)</f>
        <v>4.8875964000000005</v>
      </c>
      <c r="E203" s="12">
        <f>CHOOSE( CONTROL!$C$29, 6.0806, 6.0759) * CHOOSE( CONTROL!$C$12, $D$11, 100%, $F$11)</f>
        <v>4.8888024000000003</v>
      </c>
      <c r="F203" s="4">
        <f>CHOOSE( CONTROL!$C$29, 7.0687, 7.064) * CHOOSE(CONTROL!$C$12, $D$11, 100%, $F$11)</f>
        <v>5.6832348000000001</v>
      </c>
      <c r="G203" s="8">
        <f>CHOOSE( CONTROL!$C$29, 5.9113, 5.9067) * CHOOSE( CONTROL!$C$12, $D$11, 100%, $F$11)</f>
        <v>4.7526852000000002</v>
      </c>
      <c r="H203" s="4">
        <f>CHOOSE( CONTROL!$C$29, 6.8141, 6.8096) * CHOOSE(CONTROL!$C$12, $D$11, 100%, $F$11)</f>
        <v>5.4785364000000003</v>
      </c>
      <c r="I203" s="8">
        <f>CHOOSE( CONTROL!$C$29, 5.8728, 5.8683) * CHOOSE(CONTROL!$C$12, $D$11, 100%, $F$11)</f>
        <v>4.7217311999999998</v>
      </c>
      <c r="J203" s="4">
        <f>CHOOSE( CONTROL!$C$29, 5.8183, 5.8138) * CHOOSE(CONTROL!$C$12, $D$11, 100%, $F$11)</f>
        <v>4.6779131999999999</v>
      </c>
      <c r="K203" s="4"/>
      <c r="L203" s="9">
        <v>29.520499999999998</v>
      </c>
      <c r="M203" s="9">
        <v>12.063700000000001</v>
      </c>
      <c r="N203" s="9">
        <v>4.9444999999999997</v>
      </c>
      <c r="O203" s="9">
        <v>0.37459999999999999</v>
      </c>
      <c r="P203" s="9">
        <v>1.2192000000000001</v>
      </c>
      <c r="Q203" s="9">
        <v>31.026700000000002</v>
      </c>
      <c r="R203" s="9"/>
      <c r="S203" s="11"/>
    </row>
    <row r="204" spans="1:19" ht="15.75">
      <c r="A204" s="13">
        <v>48061</v>
      </c>
      <c r="B204" s="8">
        <f>CHOOSE( CONTROL!$C$29, 5.6088, 5.6041) * CHOOSE(CONTROL!$C$12, $D$11, 100%, $F$11)</f>
        <v>4.5094751999999998</v>
      </c>
      <c r="C204" s="8">
        <f>CHOOSE( CONTROL!$C$29, 5.6192, 5.6145) * CHOOSE(CONTROL!$C$12, $D$11, 100%, $F$11)</f>
        <v>4.5178368000000004</v>
      </c>
      <c r="D204" s="8">
        <f>CHOOSE( CONTROL!$C$29, 5.6141, 5.6094) * CHOOSE( CONTROL!$C$12, $D$11, 100%, $F$11)</f>
        <v>4.5137364</v>
      </c>
      <c r="E204" s="12">
        <f>CHOOSE( CONTROL!$C$29, 5.6144, 5.6097) * CHOOSE( CONTROL!$C$12, $D$11, 100%, $F$11)</f>
        <v>4.5139776000000005</v>
      </c>
      <c r="F204" s="4">
        <f>CHOOSE( CONTROL!$C$29, 6.6056, 6.6009) * CHOOSE(CONTROL!$C$12, $D$11, 100%, $F$11)</f>
        <v>5.3109024000000007</v>
      </c>
      <c r="G204" s="8">
        <f>CHOOSE( CONTROL!$C$29, 5.4569, 5.4523) * CHOOSE( CONTROL!$C$12, $D$11, 100%, $F$11)</f>
        <v>4.3873476</v>
      </c>
      <c r="H204" s="4">
        <f>CHOOSE( CONTROL!$C$29, 6.3627, 6.3581) * CHOOSE(CONTROL!$C$12, $D$11, 100%, $F$11)</f>
        <v>5.1156108000000007</v>
      </c>
      <c r="I204" s="8">
        <f>CHOOSE( CONTROL!$C$29, 5.4285, 5.4239) * CHOOSE(CONTROL!$C$12, $D$11, 100%, $F$11)</f>
        <v>4.3645139999999998</v>
      </c>
      <c r="J204" s="4">
        <f>CHOOSE( CONTROL!$C$29, 5.3696, 5.365) * CHOOSE(CONTROL!$C$12, $D$11, 100%, $F$11)</f>
        <v>4.3171584000000003</v>
      </c>
      <c r="K204" s="4"/>
      <c r="L204" s="9">
        <v>29.520499999999998</v>
      </c>
      <c r="M204" s="9">
        <v>12.063700000000001</v>
      </c>
      <c r="N204" s="9">
        <v>4.9444999999999997</v>
      </c>
      <c r="O204" s="9">
        <v>0.37459999999999999</v>
      </c>
      <c r="P204" s="9">
        <v>1.2192000000000001</v>
      </c>
      <c r="Q204" s="9">
        <v>31.026700000000002</v>
      </c>
      <c r="R204" s="9"/>
      <c r="S204" s="11"/>
    </row>
    <row r="205" spans="1:19" ht="15.75">
      <c r="A205" s="13">
        <v>48092</v>
      </c>
      <c r="B205" s="8">
        <f>CHOOSE( CONTROL!$C$29, 5.4915, 5.4868) * CHOOSE(CONTROL!$C$12, $D$11, 100%, $F$11)</f>
        <v>4.4151660000000001</v>
      </c>
      <c r="C205" s="8">
        <f>CHOOSE( CONTROL!$C$29, 5.5019, 5.4972) * CHOOSE(CONTROL!$C$12, $D$11, 100%, $F$11)</f>
        <v>4.4235275999999999</v>
      </c>
      <c r="D205" s="8">
        <f>CHOOSE( CONTROL!$C$29, 5.4926, 5.4879) * CHOOSE( CONTROL!$C$12, $D$11, 100%, $F$11)</f>
        <v>4.4160504000000005</v>
      </c>
      <c r="E205" s="12">
        <f>CHOOSE( CONTROL!$C$29, 5.4944, 5.4897) * CHOOSE( CONTROL!$C$12, $D$11, 100%, $F$11)</f>
        <v>4.4174975999999999</v>
      </c>
      <c r="F205" s="4">
        <f>CHOOSE( CONTROL!$C$29, 6.4805, 6.4758) * CHOOSE(CONTROL!$C$12, $D$11, 100%, $F$11)</f>
        <v>5.2103220000000006</v>
      </c>
      <c r="G205" s="8">
        <f>CHOOSE( CONTROL!$C$29, 5.3412, 5.3367) * CHOOSE( CONTROL!$C$12, $D$11, 100%, $F$11)</f>
        <v>4.2943248000000001</v>
      </c>
      <c r="H205" s="4">
        <f>CHOOSE( CONTROL!$C$29, 6.2407, 6.2361) * CHOOSE(CONTROL!$C$12, $D$11, 100%, $F$11)</f>
        <v>5.0175228000000009</v>
      </c>
      <c r="I205" s="8">
        <f>CHOOSE( CONTROL!$C$29, 5.3173, 5.3128) * CHOOSE(CONTROL!$C$12, $D$11, 100%, $F$11)</f>
        <v>4.2751092000000002</v>
      </c>
      <c r="J205" s="4">
        <f>CHOOSE( CONTROL!$C$29, 5.2572, 5.2527) * CHOOSE(CONTROL!$C$12, $D$11, 100%, $F$11)</f>
        <v>4.2267888000000005</v>
      </c>
      <c r="K205" s="4"/>
      <c r="L205" s="9">
        <v>28.568200000000001</v>
      </c>
      <c r="M205" s="9">
        <v>11.6745</v>
      </c>
      <c r="N205" s="9">
        <v>4.7850000000000001</v>
      </c>
      <c r="O205" s="9">
        <v>0.36249999999999999</v>
      </c>
      <c r="P205" s="9">
        <v>1.1798</v>
      </c>
      <c r="Q205" s="9">
        <v>30.0258</v>
      </c>
      <c r="R205" s="9"/>
      <c r="S205" s="11"/>
    </row>
    <row r="206" spans="1:19" ht="15.75">
      <c r="A206" s="13">
        <v>48122</v>
      </c>
      <c r="B206" s="8">
        <f>5.7303 * CHOOSE(CONTROL!$C$12, $D$11, 100%, $F$11)</f>
        <v>4.6071612000000002</v>
      </c>
      <c r="C206" s="8">
        <f>5.7407 * CHOOSE(CONTROL!$C$12, $D$11, 100%, $F$11)</f>
        <v>4.6155228000000008</v>
      </c>
      <c r="D206" s="8">
        <f>5.7323 * CHOOSE( CONTROL!$C$12, $D$11, 100%, $F$11)</f>
        <v>4.6087692000000002</v>
      </c>
      <c r="E206" s="12">
        <f>5.734 * CHOOSE( CONTROL!$C$12, $D$11, 100%, $F$11)</f>
        <v>4.6101360000000007</v>
      </c>
      <c r="F206" s="4">
        <f>6.7193 * CHOOSE(CONTROL!$C$12, $D$11, 100%, $F$11)</f>
        <v>5.4023171999999997</v>
      </c>
      <c r="G206" s="8">
        <f>5.5737 * CHOOSE( CONTROL!$C$12, $D$11, 100%, $F$11)</f>
        <v>4.4812548000000003</v>
      </c>
      <c r="H206" s="4">
        <f>6.4735 * CHOOSE(CONTROL!$C$12, $D$11, 100%, $F$11)</f>
        <v>5.2046939999999999</v>
      </c>
      <c r="I206" s="8">
        <f>5.5483 * CHOOSE(CONTROL!$C$12, $D$11, 100%, $F$11)</f>
        <v>4.4608332000000006</v>
      </c>
      <c r="J206" s="4">
        <f>5.486 * CHOOSE(CONTROL!$C$12, $D$11, 100%, $F$11)</f>
        <v>4.4107440000000002</v>
      </c>
      <c r="K206" s="4"/>
      <c r="L206" s="9">
        <v>28.921800000000001</v>
      </c>
      <c r="M206" s="9">
        <v>12.063700000000001</v>
      </c>
      <c r="N206" s="9">
        <v>4.9444999999999997</v>
      </c>
      <c r="O206" s="9">
        <v>0.37459999999999999</v>
      </c>
      <c r="P206" s="9">
        <v>1.2192000000000001</v>
      </c>
      <c r="Q206" s="9">
        <v>31.026700000000002</v>
      </c>
      <c r="R206" s="9"/>
      <c r="S206" s="11"/>
    </row>
    <row r="207" spans="1:19" ht="15.75">
      <c r="A207" s="13">
        <v>48153</v>
      </c>
      <c r="B207" s="8">
        <f>6.1798 * CHOOSE(CONTROL!$C$12, $D$11, 100%, $F$11)</f>
        <v>4.9685592000000005</v>
      </c>
      <c r="C207" s="8">
        <f>6.1902 * CHOOSE(CONTROL!$C$12, $D$11, 100%, $F$11)</f>
        <v>4.9769208000000003</v>
      </c>
      <c r="D207" s="8">
        <f>6.1705 * CHOOSE( CONTROL!$C$12, $D$11, 100%, $F$11)</f>
        <v>4.9610820000000002</v>
      </c>
      <c r="E207" s="12">
        <f>6.1766 * CHOOSE( CONTROL!$C$12, $D$11, 100%, $F$11)</f>
        <v>4.9659864000000002</v>
      </c>
      <c r="F207" s="4">
        <f>7.1714 * CHOOSE(CONTROL!$C$12, $D$11, 100%, $F$11)</f>
        <v>5.7658056000000002</v>
      </c>
      <c r="G207" s="8">
        <f>6.0308 * CHOOSE( CONTROL!$C$12, $D$11, 100%, $F$11)</f>
        <v>4.8487632000000005</v>
      </c>
      <c r="H207" s="4">
        <f>6.9142 * CHOOSE(CONTROL!$C$12, $D$11, 100%, $F$11)</f>
        <v>5.5590168000000002</v>
      </c>
      <c r="I207" s="8">
        <f>6.0095 * CHOOSE(CONTROL!$C$12, $D$11, 100%, $F$11)</f>
        <v>4.8316380000000008</v>
      </c>
      <c r="J207" s="4">
        <f>5.9167 * CHOOSE(CONTROL!$C$12, $D$11, 100%, $F$11)</f>
        <v>4.7570268000000002</v>
      </c>
      <c r="K207" s="4"/>
      <c r="L207" s="9">
        <v>26.515499999999999</v>
      </c>
      <c r="M207" s="9">
        <v>11.6745</v>
      </c>
      <c r="N207" s="9">
        <v>4.7850000000000001</v>
      </c>
      <c r="O207" s="9">
        <v>0.36249999999999999</v>
      </c>
      <c r="P207" s="9">
        <v>1.2522</v>
      </c>
      <c r="Q207" s="9">
        <v>30.0258</v>
      </c>
      <c r="R207" s="9"/>
      <c r="S207" s="11"/>
    </row>
    <row r="208" spans="1:19" ht="15.75">
      <c r="A208" s="13">
        <v>48183</v>
      </c>
      <c r="B208" s="8">
        <f>6.1686 * CHOOSE(CONTROL!$C$12, $D$11, 100%, $F$11)</f>
        <v>4.9595544</v>
      </c>
      <c r="C208" s="8">
        <f>6.179 * CHOOSE(CONTROL!$C$12, $D$11, 100%, $F$11)</f>
        <v>4.9679160000000007</v>
      </c>
      <c r="D208" s="8">
        <f>6.1612 * CHOOSE( CONTROL!$C$12, $D$11, 100%, $F$11)</f>
        <v>4.9536047999999999</v>
      </c>
      <c r="E208" s="12">
        <f>6.1666 * CHOOSE( CONTROL!$C$12, $D$11, 100%, $F$11)</f>
        <v>4.9579464</v>
      </c>
      <c r="F208" s="4">
        <f>7.1602 * CHOOSE(CONTROL!$C$12, $D$11, 100%, $F$11)</f>
        <v>5.7568007999999997</v>
      </c>
      <c r="G208" s="8">
        <f>6.0213 * CHOOSE( CONTROL!$C$12, $D$11, 100%, $F$11)</f>
        <v>4.8411252000000005</v>
      </c>
      <c r="H208" s="4">
        <f>6.9033 * CHOOSE(CONTROL!$C$12, $D$11, 100%, $F$11)</f>
        <v>5.5502532000000002</v>
      </c>
      <c r="I208" s="8">
        <f>6.0056 * CHOOSE(CONTROL!$C$12, $D$11, 100%, $F$11)</f>
        <v>4.8285024000000005</v>
      </c>
      <c r="J208" s="4">
        <f>5.906 * CHOOSE(CONTROL!$C$12, $D$11, 100%, $F$11)</f>
        <v>4.748424</v>
      </c>
      <c r="K208" s="4"/>
      <c r="L208" s="9">
        <v>27.3993</v>
      </c>
      <c r="M208" s="9">
        <v>12.063700000000001</v>
      </c>
      <c r="N208" s="9">
        <v>4.9444999999999997</v>
      </c>
      <c r="O208" s="9">
        <v>0.37459999999999999</v>
      </c>
      <c r="P208" s="9">
        <v>1.2939000000000001</v>
      </c>
      <c r="Q208" s="9">
        <v>31.026700000000002</v>
      </c>
      <c r="R208" s="9"/>
      <c r="S208" s="11"/>
    </row>
    <row r="209" spans="1:19" ht="15.75">
      <c r="A209" s="13">
        <v>48214</v>
      </c>
      <c r="B209" s="8">
        <f>6.3254 * CHOOSE(CONTROL!$C$12, $D$11, 100%, $F$11)</f>
        <v>5.0856216000000005</v>
      </c>
      <c r="C209" s="8">
        <f>6.3358 * CHOOSE(CONTROL!$C$12, $D$11, 100%, $F$11)</f>
        <v>5.0939832000000003</v>
      </c>
      <c r="D209" s="8">
        <f>6.3335 * CHOOSE( CONTROL!$C$12, $D$11, 100%, $F$11)</f>
        <v>5.0921340000000006</v>
      </c>
      <c r="E209" s="12">
        <f>6.3332 * CHOOSE( CONTROL!$C$12, $D$11, 100%, $F$11)</f>
        <v>5.0918928000000001</v>
      </c>
      <c r="F209" s="4">
        <f>7.3483 * CHOOSE(CONTROL!$C$12, $D$11, 100%, $F$11)</f>
        <v>5.9080332000000002</v>
      </c>
      <c r="G209" s="8">
        <f>6.1933 * CHOOSE( CONTROL!$C$12, $D$11, 100%, $F$11)</f>
        <v>4.9794131999999998</v>
      </c>
      <c r="H209" s="4">
        <f>7.0867 * CHOOSE(CONTROL!$C$12, $D$11, 100%, $F$11)</f>
        <v>5.6977068000000006</v>
      </c>
      <c r="I209" s="8">
        <f>6.1679 * CHOOSE(CONTROL!$C$12, $D$11, 100%, $F$11)</f>
        <v>4.9589916000000009</v>
      </c>
      <c r="J209" s="4">
        <f>6.0562 * CHOOSE(CONTROL!$C$12, $D$11, 100%, $F$11)</f>
        <v>4.8691848000000002</v>
      </c>
      <c r="K209" s="4"/>
      <c r="L209" s="9">
        <v>27.3993</v>
      </c>
      <c r="M209" s="9">
        <v>12.063700000000001</v>
      </c>
      <c r="N209" s="9">
        <v>4.9444999999999997</v>
      </c>
      <c r="O209" s="9">
        <v>0.37459999999999999</v>
      </c>
      <c r="P209" s="9">
        <v>1.2939000000000001</v>
      </c>
      <c r="Q209" s="9">
        <v>30.8704</v>
      </c>
      <c r="R209" s="9"/>
      <c r="S209" s="11"/>
    </row>
    <row r="210" spans="1:19" ht="15.75">
      <c r="A210" s="13">
        <v>48245</v>
      </c>
      <c r="B210" s="8">
        <f>5.9168 * CHOOSE(CONTROL!$C$12, $D$11, 100%, $F$11)</f>
        <v>4.7571072000000001</v>
      </c>
      <c r="C210" s="8">
        <f>5.9272 * CHOOSE(CONTROL!$C$12, $D$11, 100%, $F$11)</f>
        <v>4.7654688000000007</v>
      </c>
      <c r="D210" s="8">
        <f>5.9272 * CHOOSE( CONTROL!$C$12, $D$11, 100%, $F$11)</f>
        <v>4.7654688000000007</v>
      </c>
      <c r="E210" s="12">
        <f>5.9261 * CHOOSE( CONTROL!$C$12, $D$11, 100%, $F$11)</f>
        <v>4.7645844000000004</v>
      </c>
      <c r="F210" s="4">
        <f>6.9319 * CHOOSE(CONTROL!$C$12, $D$11, 100%, $F$11)</f>
        <v>5.5732476000000002</v>
      </c>
      <c r="G210" s="8">
        <f>5.7949 * CHOOSE( CONTROL!$C$12, $D$11, 100%, $F$11)</f>
        <v>4.6590996000000002</v>
      </c>
      <c r="H210" s="4">
        <f>6.6808 * CHOOSE(CONTROL!$C$12, $D$11, 100%, $F$11)</f>
        <v>5.3713632000000002</v>
      </c>
      <c r="I210" s="8">
        <f>5.7652 * CHOOSE(CONTROL!$C$12, $D$11, 100%, $F$11)</f>
        <v>4.6352207999999999</v>
      </c>
      <c r="J210" s="4">
        <f>5.6647 * CHOOSE(CONTROL!$C$12, $D$11, 100%, $F$11)</f>
        <v>4.5544188000000005</v>
      </c>
      <c r="K210" s="4"/>
      <c r="L210" s="9">
        <v>25.631599999999999</v>
      </c>
      <c r="M210" s="9">
        <v>11.285299999999999</v>
      </c>
      <c r="N210" s="9">
        <v>4.6254999999999997</v>
      </c>
      <c r="O210" s="9">
        <v>0.35039999999999999</v>
      </c>
      <c r="P210" s="9">
        <v>1.2104999999999999</v>
      </c>
      <c r="Q210" s="9">
        <v>28.878799999999998</v>
      </c>
      <c r="R210" s="9"/>
      <c r="S210" s="11"/>
    </row>
    <row r="211" spans="1:19" ht="15.75">
      <c r="A211" s="13">
        <v>48274</v>
      </c>
      <c r="B211" s="8">
        <f>5.7909 * CHOOSE(CONTROL!$C$12, $D$11, 100%, $F$11)</f>
        <v>4.6558836000000001</v>
      </c>
      <c r="C211" s="8">
        <f>5.8014 * CHOOSE(CONTROL!$C$12, $D$11, 100%, $F$11)</f>
        <v>4.6643256000000006</v>
      </c>
      <c r="D211" s="8">
        <f>5.7812 * CHOOSE( CONTROL!$C$12, $D$11, 100%, $F$11)</f>
        <v>4.6480848000000003</v>
      </c>
      <c r="E211" s="12">
        <f>5.7875 * CHOOSE( CONTROL!$C$12, $D$11, 100%, $F$11)</f>
        <v>4.6531500000000001</v>
      </c>
      <c r="F211" s="4">
        <f>6.7899 * CHOOSE(CONTROL!$C$12, $D$11, 100%, $F$11)</f>
        <v>5.4590796000000008</v>
      </c>
      <c r="G211" s="8">
        <f>5.6517 * CHOOSE( CONTROL!$C$12, $D$11, 100%, $F$11)</f>
        <v>4.5439668000000006</v>
      </c>
      <c r="H211" s="4">
        <f>6.5423 * CHOOSE(CONTROL!$C$12, $D$11, 100%, $F$11)</f>
        <v>5.2600092000000007</v>
      </c>
      <c r="I211" s="8">
        <f>5.605 * CHOOSE(CONTROL!$C$12, $D$11, 100%, $F$11)</f>
        <v>4.5064200000000003</v>
      </c>
      <c r="J211" s="4">
        <f>5.5441 * CHOOSE(CONTROL!$C$12, $D$11, 100%, $F$11)</f>
        <v>4.4574564000000008</v>
      </c>
      <c r="K211" s="4"/>
      <c r="L211" s="9">
        <v>27.3993</v>
      </c>
      <c r="M211" s="9">
        <v>12.063700000000001</v>
      </c>
      <c r="N211" s="9">
        <v>4.9444999999999997</v>
      </c>
      <c r="O211" s="9">
        <v>0.37459999999999999</v>
      </c>
      <c r="P211" s="9">
        <v>1.2939000000000001</v>
      </c>
      <c r="Q211" s="9">
        <v>30.8704</v>
      </c>
      <c r="R211" s="9"/>
      <c r="S211" s="11"/>
    </row>
    <row r="212" spans="1:19" ht="15.75">
      <c r="A212" s="13">
        <v>48305</v>
      </c>
      <c r="B212" s="8">
        <f>5.8789 * CHOOSE(CONTROL!$C$12, $D$11, 100%, $F$11)</f>
        <v>4.7266355999999998</v>
      </c>
      <c r="C212" s="8">
        <f>5.8893 * CHOOSE(CONTROL!$C$12, $D$11, 100%, $F$11)</f>
        <v>4.7349972000000005</v>
      </c>
      <c r="D212" s="8">
        <f>5.8925 * CHOOSE( CONTROL!$C$12, $D$11, 100%, $F$11)</f>
        <v>4.7375700000000007</v>
      </c>
      <c r="E212" s="12">
        <f>5.8903 * CHOOSE( CONTROL!$C$12, $D$11, 100%, $F$11)</f>
        <v>4.7358012</v>
      </c>
      <c r="F212" s="4">
        <f>6.8861 * CHOOSE(CONTROL!$C$12, $D$11, 100%, $F$11)</f>
        <v>5.5364244000000005</v>
      </c>
      <c r="G212" s="8">
        <f>5.7253 * CHOOSE( CONTROL!$C$12, $D$11, 100%, $F$11)</f>
        <v>4.6031412000000005</v>
      </c>
      <c r="H212" s="4">
        <f>6.6362 * CHOOSE(CONTROL!$C$12, $D$11, 100%, $F$11)</f>
        <v>5.3355047999999998</v>
      </c>
      <c r="I212" s="8">
        <f>5.6794 * CHOOSE(CONTROL!$C$12, $D$11, 100%, $F$11)</f>
        <v>4.5662376000000009</v>
      </c>
      <c r="J212" s="4">
        <f>5.6284 * CHOOSE(CONTROL!$C$12, $D$11, 100%, $F$11)</f>
        <v>4.5252336</v>
      </c>
      <c r="K212" s="4"/>
      <c r="L212" s="9">
        <v>27.988800000000001</v>
      </c>
      <c r="M212" s="9">
        <v>11.6745</v>
      </c>
      <c r="N212" s="9">
        <v>4.7850000000000001</v>
      </c>
      <c r="O212" s="9">
        <v>0.36249999999999999</v>
      </c>
      <c r="P212" s="9">
        <v>1.1798</v>
      </c>
      <c r="Q212" s="9">
        <v>29.874600000000001</v>
      </c>
      <c r="R212" s="9"/>
      <c r="S212" s="11"/>
    </row>
    <row r="213" spans="1:19" ht="15.75">
      <c r="A213" s="13">
        <v>48335</v>
      </c>
      <c r="B213" s="8">
        <f>CHOOSE( CONTROL!$C$29, 6.0401, 6.0354) * CHOOSE(CONTROL!$C$12, $D$11, 100%, $F$11)</f>
        <v>4.8562403999999999</v>
      </c>
      <c r="C213" s="8">
        <f>CHOOSE( CONTROL!$C$29, 6.0505, 6.0458) * CHOOSE(CONTROL!$C$12, $D$11, 100%, $F$11)</f>
        <v>4.8646020000000005</v>
      </c>
      <c r="D213" s="8">
        <f>CHOOSE( CONTROL!$C$29, 6.0285, 6.0238) * CHOOSE( CONTROL!$C$12, $D$11, 100%, $F$11)</f>
        <v>4.8469140000000008</v>
      </c>
      <c r="E213" s="12">
        <f>CHOOSE( CONTROL!$C$29, 6.0349, 6.0302) * CHOOSE( CONTROL!$C$12, $D$11, 100%, $F$11)</f>
        <v>4.8520596000000005</v>
      </c>
      <c r="F213" s="4">
        <f>CHOOSE( CONTROL!$C$29, 7.015, 7.0103) * CHOOSE(CONTROL!$C$12, $D$11, 100%, $F$11)</f>
        <v>5.6400600000000001</v>
      </c>
      <c r="G213" s="8">
        <f>CHOOSE( CONTROL!$C$29, 5.8638, 5.8592) * CHOOSE( CONTROL!$C$12, $D$11, 100%, $F$11)</f>
        <v>4.7144952000000009</v>
      </c>
      <c r="H213" s="4">
        <f>CHOOSE( CONTROL!$C$29, 6.7618, 6.7572) * CHOOSE(CONTROL!$C$12, $D$11, 100%, $F$11)</f>
        <v>5.4364872000000002</v>
      </c>
      <c r="I213" s="8">
        <f>CHOOSE( CONTROL!$C$29, 5.8125, 5.808) * CHOOSE(CONTROL!$C$12, $D$11, 100%, $F$11)</f>
        <v>4.6732500000000003</v>
      </c>
      <c r="J213" s="4">
        <f>CHOOSE( CONTROL!$C$29, 5.7829, 5.7784) * CHOOSE(CONTROL!$C$12, $D$11, 100%, $F$11)</f>
        <v>4.6494515999999999</v>
      </c>
      <c r="K213" s="4"/>
      <c r="L213" s="9">
        <v>29.520499999999998</v>
      </c>
      <c r="M213" s="9">
        <v>12.063700000000001</v>
      </c>
      <c r="N213" s="9">
        <v>4.9444999999999997</v>
      </c>
      <c r="O213" s="9">
        <v>0.37459999999999999</v>
      </c>
      <c r="P213" s="9">
        <v>1.2192000000000001</v>
      </c>
      <c r="Q213" s="9">
        <v>30.8704</v>
      </c>
      <c r="R213" s="9"/>
      <c r="S213" s="11"/>
    </row>
    <row r="214" spans="1:19" ht="15.75">
      <c r="A214" s="13">
        <v>48366</v>
      </c>
      <c r="B214" s="8">
        <f>CHOOSE( CONTROL!$C$29, 5.9432, 5.9384) * CHOOSE(CONTROL!$C$12, $D$11, 100%, $F$11)</f>
        <v>4.7783328000000003</v>
      </c>
      <c r="C214" s="8">
        <f>CHOOSE( CONTROL!$C$29, 5.9536, 5.9489) * CHOOSE(CONTROL!$C$12, $D$11, 100%, $F$11)</f>
        <v>4.7866944</v>
      </c>
      <c r="D214" s="8">
        <f>CHOOSE( CONTROL!$C$29, 5.9259, 5.9212) * CHOOSE( CONTROL!$C$12, $D$11, 100%, $F$11)</f>
        <v>4.7644236000000006</v>
      </c>
      <c r="E214" s="12">
        <f>CHOOSE( CONTROL!$C$29, 5.9344, 5.9296) * CHOOSE( CONTROL!$C$12, $D$11, 100%, $F$11)</f>
        <v>4.7712576000000002</v>
      </c>
      <c r="F214" s="4">
        <f>CHOOSE( CONTROL!$C$29, 6.9076, 6.9029) * CHOOSE(CONTROL!$C$12, $D$11, 100%, $F$11)</f>
        <v>5.5537104000000008</v>
      </c>
      <c r="G214" s="8">
        <f>CHOOSE( CONTROL!$C$29, 5.768, 5.7634) * CHOOSE( CONTROL!$C$12, $D$11, 100%, $F$11)</f>
        <v>4.6374719999999998</v>
      </c>
      <c r="H214" s="4">
        <f>CHOOSE( CONTROL!$C$29, 6.6571, 6.6525) * CHOOSE(CONTROL!$C$12, $D$11, 100%, $F$11)</f>
        <v>5.3523084000000001</v>
      </c>
      <c r="I214" s="8">
        <f>CHOOSE( CONTROL!$C$29, 5.7217, 5.7172) * CHOOSE(CONTROL!$C$12, $D$11, 100%, $F$11)</f>
        <v>4.6002468000000007</v>
      </c>
      <c r="J214" s="4">
        <f>CHOOSE( CONTROL!$C$29, 5.69, 5.6855) * CHOOSE(CONTROL!$C$12, $D$11, 100%, $F$11)</f>
        <v>4.5747600000000004</v>
      </c>
      <c r="K214" s="4"/>
      <c r="L214" s="9">
        <v>28.568200000000001</v>
      </c>
      <c r="M214" s="9">
        <v>11.6745</v>
      </c>
      <c r="N214" s="9">
        <v>4.7850000000000001</v>
      </c>
      <c r="O214" s="9">
        <v>0.36249999999999999</v>
      </c>
      <c r="P214" s="9">
        <v>1.1798</v>
      </c>
      <c r="Q214" s="9">
        <v>29.874600000000001</v>
      </c>
      <c r="R214" s="9"/>
      <c r="S214" s="11"/>
    </row>
    <row r="215" spans="1:19" ht="15.75">
      <c r="A215" s="13">
        <v>48396</v>
      </c>
      <c r="B215" s="8">
        <f>CHOOSE( CONTROL!$C$29, 6.1985, 6.1938) * CHOOSE(CONTROL!$C$12, $D$11, 100%, $F$11)</f>
        <v>4.9835940000000001</v>
      </c>
      <c r="C215" s="8">
        <f>CHOOSE( CONTROL!$C$29, 6.2089, 6.2042) * CHOOSE(CONTROL!$C$12, $D$11, 100%, $F$11)</f>
        <v>4.9919555999999998</v>
      </c>
      <c r="D215" s="8">
        <f>CHOOSE( CONTROL!$C$29, 6.2005, 6.1958) * CHOOSE( CONTROL!$C$12, $D$11, 100%, $F$11)</f>
        <v>4.9852020000000001</v>
      </c>
      <c r="E215" s="12">
        <f>CHOOSE( CONTROL!$C$29, 6.202, 6.1973) * CHOOSE( CONTROL!$C$12, $D$11, 100%, $F$11)</f>
        <v>4.986408</v>
      </c>
      <c r="F215" s="4">
        <f>CHOOSE( CONTROL!$C$29, 7.1901, 7.1854) * CHOOSE(CONTROL!$C$12, $D$11, 100%, $F$11)</f>
        <v>5.7808404000000007</v>
      </c>
      <c r="G215" s="8">
        <f>CHOOSE( CONTROL!$C$29, 6.0296, 6.025) * CHOOSE( CONTROL!$C$12, $D$11, 100%, $F$11)</f>
        <v>4.8477984000000003</v>
      </c>
      <c r="H215" s="4">
        <f>CHOOSE( CONTROL!$C$29, 6.9324, 6.9278) * CHOOSE(CONTROL!$C$12, $D$11, 100%, $F$11)</f>
        <v>5.5736496000000004</v>
      </c>
      <c r="I215" s="8">
        <f>CHOOSE( CONTROL!$C$29, 5.9892, 5.9847) * CHOOSE(CONTROL!$C$12, $D$11, 100%, $F$11)</f>
        <v>4.8153168000000006</v>
      </c>
      <c r="J215" s="4">
        <f>CHOOSE( CONTROL!$C$29, 5.9346, 5.9301) * CHOOSE(CONTROL!$C$12, $D$11, 100%, $F$11)</f>
        <v>4.7714183999999999</v>
      </c>
      <c r="K215" s="4"/>
      <c r="L215" s="9">
        <v>29.520499999999998</v>
      </c>
      <c r="M215" s="9">
        <v>12.063700000000001</v>
      </c>
      <c r="N215" s="9">
        <v>4.9444999999999997</v>
      </c>
      <c r="O215" s="9">
        <v>0.37459999999999999</v>
      </c>
      <c r="P215" s="9">
        <v>1.2192000000000001</v>
      </c>
      <c r="Q215" s="9">
        <v>30.8704</v>
      </c>
      <c r="R215" s="9"/>
      <c r="S215" s="11"/>
    </row>
    <row r="216" spans="1:19" ht="15.75">
      <c r="A216" s="13">
        <v>48427</v>
      </c>
      <c r="B216" s="8">
        <f>CHOOSE( CONTROL!$C$29, 5.7207, 5.716) * CHOOSE(CONTROL!$C$12, $D$11, 100%, $F$11)</f>
        <v>4.5994428000000003</v>
      </c>
      <c r="C216" s="8">
        <f>CHOOSE( CONTROL!$C$29, 5.7312, 5.7265) * CHOOSE(CONTROL!$C$12, $D$11, 100%, $F$11)</f>
        <v>4.6078848000000008</v>
      </c>
      <c r="D216" s="8">
        <f>CHOOSE( CONTROL!$C$29, 5.7261, 5.7214) * CHOOSE( CONTROL!$C$12, $D$11, 100%, $F$11)</f>
        <v>4.6037844000000003</v>
      </c>
      <c r="E216" s="12">
        <f>CHOOSE( CONTROL!$C$29, 5.7263, 5.7216) * CHOOSE( CONTROL!$C$12, $D$11, 100%, $F$11)</f>
        <v>4.6039452000000001</v>
      </c>
      <c r="F216" s="4">
        <f>CHOOSE( CONTROL!$C$29, 6.7176, 6.7129) * CHOOSE(CONTROL!$C$12, $D$11, 100%, $F$11)</f>
        <v>5.4009504000000002</v>
      </c>
      <c r="G216" s="8">
        <f>CHOOSE( CONTROL!$C$29, 5.566, 5.5614) * CHOOSE( CONTROL!$C$12, $D$11, 100%, $F$11)</f>
        <v>4.4750639999999997</v>
      </c>
      <c r="H216" s="4">
        <f>CHOOSE( CONTROL!$C$29, 6.4718, 6.4673) * CHOOSE(CONTROL!$C$12, $D$11, 100%, $F$11)</f>
        <v>5.2033272000000004</v>
      </c>
      <c r="I216" s="8">
        <f>CHOOSE( CONTROL!$C$29, 5.5358, 5.5313) * CHOOSE(CONTROL!$C$12, $D$11, 100%, $F$11)</f>
        <v>4.4507832000000001</v>
      </c>
      <c r="J216" s="4">
        <f>CHOOSE( CONTROL!$C$29, 5.4769, 5.4723) * CHOOSE(CONTROL!$C$12, $D$11, 100%, $F$11)</f>
        <v>4.4034275999999997</v>
      </c>
      <c r="K216" s="4"/>
      <c r="L216" s="9">
        <v>29.520499999999998</v>
      </c>
      <c r="M216" s="9">
        <v>12.063700000000001</v>
      </c>
      <c r="N216" s="9">
        <v>4.9444999999999997</v>
      </c>
      <c r="O216" s="9">
        <v>0.37459999999999999</v>
      </c>
      <c r="P216" s="9">
        <v>1.2192000000000001</v>
      </c>
      <c r="Q216" s="9">
        <v>30.8704</v>
      </c>
      <c r="R216" s="9"/>
      <c r="S216" s="11"/>
    </row>
    <row r="217" spans="1:19" ht="15.75">
      <c r="A217" s="13">
        <v>48458</v>
      </c>
      <c r="B217" s="8">
        <f>CHOOSE( CONTROL!$C$29, 5.6011, 5.5964) * CHOOSE(CONTROL!$C$12, $D$11, 100%, $F$11)</f>
        <v>4.5032844000000001</v>
      </c>
      <c r="C217" s="8">
        <f>CHOOSE( CONTROL!$C$29, 5.6115, 5.6068) * CHOOSE(CONTROL!$C$12, $D$11, 100%, $F$11)</f>
        <v>4.5116460000000007</v>
      </c>
      <c r="D217" s="8">
        <f>CHOOSE( CONTROL!$C$29, 5.6022, 5.5975) * CHOOSE( CONTROL!$C$12, $D$11, 100%, $F$11)</f>
        <v>4.5041688000000004</v>
      </c>
      <c r="E217" s="12">
        <f>CHOOSE( CONTROL!$C$29, 5.604, 5.5993) * CHOOSE( CONTROL!$C$12, $D$11, 100%, $F$11)</f>
        <v>4.5056160000000007</v>
      </c>
      <c r="F217" s="4">
        <f>CHOOSE( CONTROL!$C$29, 6.5901, 6.5854) * CHOOSE(CONTROL!$C$12, $D$11, 100%, $F$11)</f>
        <v>5.2984403999999996</v>
      </c>
      <c r="G217" s="8">
        <f>CHOOSE( CONTROL!$C$29, 5.4481, 5.4435) * CHOOSE( CONTROL!$C$12, $D$11, 100%, $F$11)</f>
        <v>4.3802724</v>
      </c>
      <c r="H217" s="4">
        <f>CHOOSE( CONTROL!$C$29, 6.3476, 6.343) * CHOOSE(CONTROL!$C$12, $D$11, 100%, $F$11)</f>
        <v>5.1034704</v>
      </c>
      <c r="I217" s="8">
        <f>CHOOSE( CONTROL!$C$29, 5.4224, 5.4179) * CHOOSE(CONTROL!$C$12, $D$11, 100%, $F$11)</f>
        <v>4.3596095999999998</v>
      </c>
      <c r="J217" s="4">
        <f>CHOOSE( CONTROL!$C$29, 5.3622, 5.3577) * CHOOSE(CONTROL!$C$12, $D$11, 100%, $F$11)</f>
        <v>4.3112088000000002</v>
      </c>
      <c r="K217" s="4"/>
      <c r="L217" s="9">
        <v>28.568200000000001</v>
      </c>
      <c r="M217" s="9">
        <v>11.6745</v>
      </c>
      <c r="N217" s="9">
        <v>4.7850000000000001</v>
      </c>
      <c r="O217" s="9">
        <v>0.36249999999999999</v>
      </c>
      <c r="P217" s="9">
        <v>1.1798</v>
      </c>
      <c r="Q217" s="9">
        <v>29.874600000000001</v>
      </c>
      <c r="R217" s="9"/>
      <c r="S217" s="11"/>
    </row>
    <row r="218" spans="1:19" ht="15.75">
      <c r="A218" s="13">
        <v>48488</v>
      </c>
      <c r="B218" s="8">
        <f>5.8448 * CHOOSE(CONTROL!$C$12, $D$11, 100%, $F$11)</f>
        <v>4.6992192000000008</v>
      </c>
      <c r="C218" s="8">
        <f>5.8552 * CHOOSE(CONTROL!$C$12, $D$11, 100%, $F$11)</f>
        <v>4.7075808000000006</v>
      </c>
      <c r="D218" s="8">
        <f>5.8468 * CHOOSE( CONTROL!$C$12, $D$11, 100%, $F$11)</f>
        <v>4.7008272</v>
      </c>
      <c r="E218" s="12">
        <f>5.8485 * CHOOSE( CONTROL!$C$12, $D$11, 100%, $F$11)</f>
        <v>4.7021939999999995</v>
      </c>
      <c r="F218" s="4">
        <f>6.8338 * CHOOSE(CONTROL!$C$12, $D$11, 100%, $F$11)</f>
        <v>5.4943752000000003</v>
      </c>
      <c r="G218" s="8">
        <f>5.6853 * CHOOSE( CONTROL!$C$12, $D$11, 100%, $F$11)</f>
        <v>4.5709812000000003</v>
      </c>
      <c r="H218" s="4">
        <f>6.5851 * CHOOSE(CONTROL!$C$12, $D$11, 100%, $F$11)</f>
        <v>5.2944203999999999</v>
      </c>
      <c r="I218" s="8">
        <f>5.6581 * CHOOSE(CONTROL!$C$12, $D$11, 100%, $F$11)</f>
        <v>4.5491124000000003</v>
      </c>
      <c r="J218" s="4">
        <f>5.5957 * CHOOSE(CONTROL!$C$12, $D$11, 100%, $F$11)</f>
        <v>4.4989428</v>
      </c>
      <c r="K218" s="4"/>
      <c r="L218" s="9">
        <v>28.921800000000001</v>
      </c>
      <c r="M218" s="9">
        <v>12.063700000000001</v>
      </c>
      <c r="N218" s="9">
        <v>4.9444999999999997</v>
      </c>
      <c r="O218" s="9">
        <v>0.37459999999999999</v>
      </c>
      <c r="P218" s="9">
        <v>1.2192000000000001</v>
      </c>
      <c r="Q218" s="9">
        <v>30.8704</v>
      </c>
      <c r="R218" s="9"/>
      <c r="S218" s="11"/>
    </row>
    <row r="219" spans="1:19" ht="15.75">
      <c r="A219" s="13">
        <v>48519</v>
      </c>
      <c r="B219" s="8">
        <f>6.3033 * CHOOSE(CONTROL!$C$12, $D$11, 100%, $F$11)</f>
        <v>5.0678532000000001</v>
      </c>
      <c r="C219" s="8">
        <f>6.3137 * CHOOSE(CONTROL!$C$12, $D$11, 100%, $F$11)</f>
        <v>5.0762147999999998</v>
      </c>
      <c r="D219" s="8">
        <f>6.294 * CHOOSE( CONTROL!$C$12, $D$11, 100%, $F$11)</f>
        <v>5.0603759999999998</v>
      </c>
      <c r="E219" s="12">
        <f>6.3001 * CHOOSE( CONTROL!$C$12, $D$11, 100%, $F$11)</f>
        <v>5.0652803999999998</v>
      </c>
      <c r="F219" s="4">
        <f>7.2949 * CHOOSE(CONTROL!$C$12, $D$11, 100%, $F$11)</f>
        <v>5.8650996000000006</v>
      </c>
      <c r="G219" s="8">
        <f>6.1512 * CHOOSE( CONTROL!$C$12, $D$11, 100%, $F$11)</f>
        <v>4.9455648000000005</v>
      </c>
      <c r="H219" s="4">
        <f>7.0346 * CHOOSE(CONTROL!$C$12, $D$11, 100%, $F$11)</f>
        <v>5.6558184000000002</v>
      </c>
      <c r="I219" s="8">
        <f>6.1279 * CHOOSE(CONTROL!$C$12, $D$11, 100%, $F$11)</f>
        <v>4.9268316000000008</v>
      </c>
      <c r="J219" s="4">
        <f>6.035 * CHOOSE(CONTROL!$C$12, $D$11, 100%, $F$11)</f>
        <v>4.8521400000000003</v>
      </c>
      <c r="K219" s="4"/>
      <c r="L219" s="9">
        <v>26.515499999999999</v>
      </c>
      <c r="M219" s="9">
        <v>11.6745</v>
      </c>
      <c r="N219" s="9">
        <v>4.7850000000000001</v>
      </c>
      <c r="O219" s="9">
        <v>0.36249999999999999</v>
      </c>
      <c r="P219" s="9">
        <v>1.2522</v>
      </c>
      <c r="Q219" s="9">
        <v>29.874600000000001</v>
      </c>
      <c r="R219" s="9"/>
      <c r="S219" s="11"/>
    </row>
    <row r="220" spans="1:19" ht="15.75">
      <c r="A220" s="13">
        <v>48549</v>
      </c>
      <c r="B220" s="8">
        <f>6.2918 * CHOOSE(CONTROL!$C$12, $D$11, 100%, $F$11)</f>
        <v>5.0586072000000009</v>
      </c>
      <c r="C220" s="8">
        <f>6.3023 * CHOOSE(CONTROL!$C$12, $D$11, 100%, $F$11)</f>
        <v>5.0670492000000005</v>
      </c>
      <c r="D220" s="8">
        <f>6.2844 * CHOOSE( CONTROL!$C$12, $D$11, 100%, $F$11)</f>
        <v>5.0526575999999999</v>
      </c>
      <c r="E220" s="12">
        <f>6.2898 * CHOOSE( CONTROL!$C$12, $D$11, 100%, $F$11)</f>
        <v>5.0569991999999999</v>
      </c>
      <c r="F220" s="4">
        <f>7.2834 * CHOOSE(CONTROL!$C$12, $D$11, 100%, $F$11)</f>
        <v>5.8558536000000005</v>
      </c>
      <c r="G220" s="8">
        <f>6.1415 * CHOOSE( CONTROL!$C$12, $D$11, 100%, $F$11)</f>
        <v>4.9377659999999999</v>
      </c>
      <c r="H220" s="4">
        <f>7.0234 * CHOOSE(CONTROL!$C$12, $D$11, 100%, $F$11)</f>
        <v>5.6468135999999998</v>
      </c>
      <c r="I220" s="8">
        <f>6.1237 * CHOOSE(CONTROL!$C$12, $D$11, 100%, $F$11)</f>
        <v>4.9234548000000009</v>
      </c>
      <c r="J220" s="4">
        <f>6.0241 * CHOOSE(CONTROL!$C$12, $D$11, 100%, $F$11)</f>
        <v>4.8433764000000004</v>
      </c>
      <c r="K220" s="4"/>
      <c r="L220" s="9">
        <v>27.3993</v>
      </c>
      <c r="M220" s="9">
        <v>12.063700000000001</v>
      </c>
      <c r="N220" s="9">
        <v>4.9444999999999997</v>
      </c>
      <c r="O220" s="9">
        <v>0.37459999999999999</v>
      </c>
      <c r="P220" s="9">
        <v>1.2939000000000001</v>
      </c>
      <c r="Q220" s="9">
        <v>30.8704</v>
      </c>
      <c r="R220" s="9"/>
      <c r="S220" s="11"/>
    </row>
    <row r="221" spans="1:19" ht="15.75">
      <c r="A221" s="13">
        <v>48580</v>
      </c>
      <c r="B221" s="8">
        <f>6.4518 * CHOOSE(CONTROL!$C$12, $D$11, 100%, $F$11)</f>
        <v>5.1872472000000007</v>
      </c>
      <c r="C221" s="8">
        <f>6.4622 * CHOOSE(CONTROL!$C$12, $D$11, 100%, $F$11)</f>
        <v>5.1956088000000005</v>
      </c>
      <c r="D221" s="8">
        <f>6.4599 * CHOOSE( CONTROL!$C$12, $D$11, 100%, $F$11)</f>
        <v>5.1937596000000008</v>
      </c>
      <c r="E221" s="12">
        <f>6.4596 * CHOOSE( CONTROL!$C$12, $D$11, 100%, $F$11)</f>
        <v>5.1935184000000003</v>
      </c>
      <c r="F221" s="4">
        <f>7.4747 * CHOOSE(CONTROL!$C$12, $D$11, 100%, $F$11)</f>
        <v>6.0096588000000004</v>
      </c>
      <c r="G221" s="8">
        <f>6.3165 * CHOOSE( CONTROL!$C$12, $D$11, 100%, $F$11)</f>
        <v>5.0784659999999997</v>
      </c>
      <c r="H221" s="4">
        <f>7.2099 * CHOOSE(CONTROL!$C$12, $D$11, 100%, $F$11)</f>
        <v>5.7967596000000006</v>
      </c>
      <c r="I221" s="8">
        <f>6.289 * CHOOSE(CONTROL!$C$12, $D$11, 100%, $F$11)</f>
        <v>5.0563560000000001</v>
      </c>
      <c r="J221" s="4">
        <f>6.1774 * CHOOSE(CONTROL!$C$12, $D$11, 100%, $F$11)</f>
        <v>4.9666296000000001</v>
      </c>
      <c r="K221" s="4"/>
      <c r="L221" s="9">
        <v>27.3993</v>
      </c>
      <c r="M221" s="9">
        <v>12.063700000000001</v>
      </c>
      <c r="N221" s="9">
        <v>4.9444999999999997</v>
      </c>
      <c r="O221" s="9">
        <v>0.37459999999999999</v>
      </c>
      <c r="P221" s="9">
        <v>1.2939000000000001</v>
      </c>
      <c r="Q221" s="9">
        <v>30.773700000000002</v>
      </c>
      <c r="R221" s="9"/>
      <c r="S221" s="11"/>
    </row>
    <row r="222" spans="1:19" ht="15.75">
      <c r="A222" s="13">
        <v>48611</v>
      </c>
      <c r="B222" s="8">
        <f>6.035 * CHOOSE(CONTROL!$C$12, $D$11, 100%, $F$11)</f>
        <v>4.8521400000000003</v>
      </c>
      <c r="C222" s="8">
        <f>6.0455 * CHOOSE(CONTROL!$C$12, $D$11, 100%, $F$11)</f>
        <v>4.860582</v>
      </c>
      <c r="D222" s="8">
        <f>6.0454 * CHOOSE( CONTROL!$C$12, $D$11, 100%, $F$11)</f>
        <v>4.8605016000000001</v>
      </c>
      <c r="E222" s="12">
        <f>6.0443 * CHOOSE( CONTROL!$C$12, $D$11, 100%, $F$11)</f>
        <v>4.8596171999999997</v>
      </c>
      <c r="F222" s="4">
        <f>7.0501 * CHOOSE(CONTROL!$C$12, $D$11, 100%, $F$11)</f>
        <v>5.6682804000000004</v>
      </c>
      <c r="G222" s="8">
        <f>5.9101 * CHOOSE( CONTROL!$C$12, $D$11, 100%, $F$11)</f>
        <v>4.7517204</v>
      </c>
      <c r="H222" s="4">
        <f>6.796 * CHOOSE(CONTROL!$C$12, $D$11, 100%, $F$11)</f>
        <v>5.4639840000000008</v>
      </c>
      <c r="I222" s="8">
        <f>5.8786 * CHOOSE(CONTROL!$C$12, $D$11, 100%, $F$11)</f>
        <v>4.7263944000000002</v>
      </c>
      <c r="J222" s="4">
        <f>5.778 * CHOOSE(CONTROL!$C$12, $D$11, 100%, $F$11)</f>
        <v>4.6455120000000001</v>
      </c>
      <c r="K222" s="4"/>
      <c r="L222" s="9">
        <v>24.747800000000002</v>
      </c>
      <c r="M222" s="9">
        <v>10.8962</v>
      </c>
      <c r="N222" s="9">
        <v>4.4660000000000002</v>
      </c>
      <c r="O222" s="9">
        <v>0.33829999999999999</v>
      </c>
      <c r="P222" s="9">
        <v>1.1687000000000001</v>
      </c>
      <c r="Q222" s="9">
        <v>27.7956</v>
      </c>
      <c r="R222" s="9"/>
      <c r="S222" s="11"/>
    </row>
    <row r="223" spans="1:19" ht="15.75">
      <c r="A223" s="13">
        <v>48639</v>
      </c>
      <c r="B223" s="8">
        <f>5.9067 * CHOOSE(CONTROL!$C$12, $D$11, 100%, $F$11)</f>
        <v>4.7489868</v>
      </c>
      <c r="C223" s="8">
        <f>5.9171 * CHOOSE(CONTROL!$C$12, $D$11, 100%, $F$11)</f>
        <v>4.7573483999999997</v>
      </c>
      <c r="D223" s="8">
        <f>5.8969 * CHOOSE( CONTROL!$C$12, $D$11, 100%, $F$11)</f>
        <v>4.7411076000000003</v>
      </c>
      <c r="E223" s="12">
        <f>5.9032 * CHOOSE( CONTROL!$C$12, $D$11, 100%, $F$11)</f>
        <v>4.7461728000000001</v>
      </c>
      <c r="F223" s="4">
        <f>6.9056 * CHOOSE(CONTROL!$C$12, $D$11, 100%, $F$11)</f>
        <v>5.5521023999999999</v>
      </c>
      <c r="G223" s="8">
        <f>5.7645 * CHOOSE( CONTROL!$C$12, $D$11, 100%, $F$11)</f>
        <v>4.6346579999999999</v>
      </c>
      <c r="H223" s="4">
        <f>6.6551 * CHOOSE(CONTROL!$C$12, $D$11, 100%, $F$11)</f>
        <v>5.3507004</v>
      </c>
      <c r="I223" s="8">
        <f>5.716 * CHOOSE(CONTROL!$C$12, $D$11, 100%, $F$11)</f>
        <v>4.5956640000000002</v>
      </c>
      <c r="J223" s="4">
        <f>5.655 * CHOOSE(CONTROL!$C$12, $D$11, 100%, $F$11)</f>
        <v>4.5466200000000008</v>
      </c>
      <c r="K223" s="4"/>
      <c r="L223" s="9">
        <v>27.3993</v>
      </c>
      <c r="M223" s="9">
        <v>12.063700000000001</v>
      </c>
      <c r="N223" s="9">
        <v>4.9444999999999997</v>
      </c>
      <c r="O223" s="9">
        <v>0.37459999999999999</v>
      </c>
      <c r="P223" s="9">
        <v>1.2939000000000001</v>
      </c>
      <c r="Q223" s="9">
        <v>30.773700000000002</v>
      </c>
      <c r="R223" s="9"/>
      <c r="S223" s="11"/>
    </row>
    <row r="224" spans="1:19" ht="15.75">
      <c r="A224" s="13">
        <v>48670</v>
      </c>
      <c r="B224" s="8">
        <f>5.9964 * CHOOSE(CONTROL!$C$12, $D$11, 100%, $F$11)</f>
        <v>4.821105600000001</v>
      </c>
      <c r="C224" s="8">
        <f>6.0068 * CHOOSE(CONTROL!$C$12, $D$11, 100%, $F$11)</f>
        <v>4.8294672000000007</v>
      </c>
      <c r="D224" s="8">
        <f>6.01 * CHOOSE( CONTROL!$C$12, $D$11, 100%, $F$11)</f>
        <v>4.8320400000000001</v>
      </c>
      <c r="E224" s="12">
        <f>6.0078 * CHOOSE( CONTROL!$C$12, $D$11, 100%, $F$11)</f>
        <v>4.8302712000000003</v>
      </c>
      <c r="F224" s="4">
        <f>7.0036 * CHOOSE(CONTROL!$C$12, $D$11, 100%, $F$11)</f>
        <v>5.6308943999999999</v>
      </c>
      <c r="G224" s="8">
        <f>5.8398 * CHOOSE( CONTROL!$C$12, $D$11, 100%, $F$11)</f>
        <v>4.6951992000000002</v>
      </c>
      <c r="H224" s="4">
        <f>6.7507 * CHOOSE(CONTROL!$C$12, $D$11, 100%, $F$11)</f>
        <v>5.4275628000000005</v>
      </c>
      <c r="I224" s="8">
        <f>5.7921 * CHOOSE(CONTROL!$C$12, $D$11, 100%, $F$11)</f>
        <v>4.6568484000000003</v>
      </c>
      <c r="J224" s="4">
        <f>5.741 * CHOOSE(CONTROL!$C$12, $D$11, 100%, $F$11)</f>
        <v>4.6157640000000004</v>
      </c>
      <c r="K224" s="4"/>
      <c r="L224" s="9">
        <v>27.988800000000001</v>
      </c>
      <c r="M224" s="9">
        <v>11.6745</v>
      </c>
      <c r="N224" s="9">
        <v>4.7850000000000001</v>
      </c>
      <c r="O224" s="9">
        <v>0.36249999999999999</v>
      </c>
      <c r="P224" s="9">
        <v>1.1798</v>
      </c>
      <c r="Q224" s="9">
        <v>29.780999999999999</v>
      </c>
      <c r="R224" s="9"/>
      <c r="S224" s="11"/>
    </row>
    <row r="225" spans="1:19" ht="15.75">
      <c r="A225" s="13">
        <v>48700</v>
      </c>
      <c r="B225" s="8">
        <f>CHOOSE( CONTROL!$C$29, 6.1607, 6.156) * CHOOSE(CONTROL!$C$12, $D$11, 100%, $F$11)</f>
        <v>4.9532028000000006</v>
      </c>
      <c r="C225" s="8">
        <f>CHOOSE( CONTROL!$C$29, 6.1712, 6.1664) * CHOOSE(CONTROL!$C$12, $D$11, 100%, $F$11)</f>
        <v>4.9616448000000002</v>
      </c>
      <c r="D225" s="8">
        <f>CHOOSE( CONTROL!$C$29, 6.1491, 6.1444) * CHOOSE( CONTROL!$C$12, $D$11, 100%, $F$11)</f>
        <v>4.9438763999999997</v>
      </c>
      <c r="E225" s="12">
        <f>CHOOSE( CONTROL!$C$29, 6.1555, 6.1508) * CHOOSE( CONTROL!$C$12, $D$11, 100%, $F$11)</f>
        <v>4.9490220000000003</v>
      </c>
      <c r="F225" s="4">
        <f>CHOOSE( CONTROL!$C$29, 7.1356, 7.1309) * CHOOSE(CONTROL!$C$12, $D$11, 100%, $F$11)</f>
        <v>5.7370224000000007</v>
      </c>
      <c r="G225" s="8">
        <f>CHOOSE( CONTROL!$C$29, 5.9813, 5.9768) * CHOOSE( CONTROL!$C$12, $D$11, 100%, $F$11)</f>
        <v>4.8089652000000003</v>
      </c>
      <c r="H225" s="4">
        <f>CHOOSE( CONTROL!$C$29, 6.8793, 6.8748) * CHOOSE(CONTROL!$C$12, $D$11, 100%, $F$11)</f>
        <v>5.5309572000000005</v>
      </c>
      <c r="I225" s="8">
        <f>CHOOSE( CONTROL!$C$29, 5.9281, 5.9236) * CHOOSE(CONTROL!$C$12, $D$11, 100%, $F$11)</f>
        <v>4.7661924000000004</v>
      </c>
      <c r="J225" s="4">
        <f>CHOOSE( CONTROL!$C$29, 5.8984, 5.8939) * CHOOSE(CONTROL!$C$12, $D$11, 100%, $F$11)</f>
        <v>4.7423136000000001</v>
      </c>
      <c r="K225" s="4"/>
      <c r="L225" s="9">
        <v>29.520499999999998</v>
      </c>
      <c r="M225" s="9">
        <v>12.063700000000001</v>
      </c>
      <c r="N225" s="9">
        <v>4.9444999999999997</v>
      </c>
      <c r="O225" s="9">
        <v>0.37459999999999999</v>
      </c>
      <c r="P225" s="9">
        <v>1.2192000000000001</v>
      </c>
      <c r="Q225" s="9">
        <v>30.773700000000002</v>
      </c>
      <c r="R225" s="9"/>
      <c r="S225" s="11"/>
    </row>
    <row r="226" spans="1:19" ht="15.75">
      <c r="A226" s="13">
        <v>48731</v>
      </c>
      <c r="B226" s="8">
        <f>CHOOSE( CONTROL!$C$29, 6.0618, 6.0571) * CHOOSE(CONTROL!$C$12, $D$11, 100%, $F$11)</f>
        <v>4.8736872</v>
      </c>
      <c r="C226" s="8">
        <f>CHOOSE( CONTROL!$C$29, 6.0723, 6.0676) * CHOOSE(CONTROL!$C$12, $D$11, 100%, $F$11)</f>
        <v>4.8821292000000005</v>
      </c>
      <c r="D226" s="8">
        <f>CHOOSE( CONTROL!$C$29, 6.0446, 6.0399) * CHOOSE( CONTROL!$C$12, $D$11, 100%, $F$11)</f>
        <v>4.8598584000000002</v>
      </c>
      <c r="E226" s="12">
        <f>CHOOSE( CONTROL!$C$29, 6.053, 6.0483) * CHOOSE( CONTROL!$C$12, $D$11, 100%, $F$11)</f>
        <v>4.8666119999999999</v>
      </c>
      <c r="F226" s="4">
        <f>CHOOSE( CONTROL!$C$29, 7.0263, 7.0216) * CHOOSE(CONTROL!$C$12, $D$11, 100%, $F$11)</f>
        <v>5.6491452000000004</v>
      </c>
      <c r="G226" s="8">
        <f>CHOOSE( CONTROL!$C$29, 5.8837, 5.8791) * CHOOSE( CONTROL!$C$12, $D$11, 100%, $F$11)</f>
        <v>4.7304948000000007</v>
      </c>
      <c r="H226" s="4">
        <f>CHOOSE( CONTROL!$C$29, 6.7728, 6.7682) * CHOOSE(CONTROL!$C$12, $D$11, 100%, $F$11)</f>
        <v>5.4453312</v>
      </c>
      <c r="I226" s="8">
        <f>CHOOSE( CONTROL!$C$29, 5.8354, 5.8309) * CHOOSE(CONTROL!$C$12, $D$11, 100%, $F$11)</f>
        <v>4.6916616000000007</v>
      </c>
      <c r="J226" s="4">
        <f>CHOOSE( CONTROL!$C$29, 5.8037, 5.7992) * CHOOSE(CONTROL!$C$12, $D$11, 100%, $F$11)</f>
        <v>4.6661748000000003</v>
      </c>
      <c r="K226" s="4"/>
      <c r="L226" s="9">
        <v>28.568200000000001</v>
      </c>
      <c r="M226" s="9">
        <v>11.6745</v>
      </c>
      <c r="N226" s="9">
        <v>4.7850000000000001</v>
      </c>
      <c r="O226" s="9">
        <v>0.36249999999999999</v>
      </c>
      <c r="P226" s="9">
        <v>1.1798</v>
      </c>
      <c r="Q226" s="9">
        <v>29.780999999999999</v>
      </c>
      <c r="R226" s="9"/>
      <c r="S226" s="11"/>
    </row>
    <row r="227" spans="1:19" ht="15.75">
      <c r="A227" s="13">
        <v>48761</v>
      </c>
      <c r="B227" s="8">
        <f>CHOOSE( CONTROL!$C$29, 6.3222, 6.3175) * CHOOSE(CONTROL!$C$12, $D$11, 100%, $F$11)</f>
        <v>5.0830488000000003</v>
      </c>
      <c r="C227" s="8">
        <f>CHOOSE( CONTROL!$C$29, 6.3327, 6.328) * CHOOSE(CONTROL!$C$12, $D$11, 100%, $F$11)</f>
        <v>5.0914907999999999</v>
      </c>
      <c r="D227" s="8">
        <f>CHOOSE( CONTROL!$C$29, 6.3242, 6.3195) * CHOOSE( CONTROL!$C$12, $D$11, 100%, $F$11)</f>
        <v>5.0846568000000003</v>
      </c>
      <c r="E227" s="12">
        <f>CHOOSE( CONTROL!$C$29, 6.3257, 6.321) * CHOOSE( CONTROL!$C$12, $D$11, 100%, $F$11)</f>
        <v>5.0858628000000001</v>
      </c>
      <c r="F227" s="4">
        <f>CHOOSE( CONTROL!$C$29, 7.3138, 7.3091) * CHOOSE(CONTROL!$C$12, $D$11, 100%, $F$11)</f>
        <v>5.8802951999999999</v>
      </c>
      <c r="G227" s="8">
        <f>CHOOSE( CONTROL!$C$29, 6.1502, 6.1457) * CHOOSE( CONTROL!$C$12, $D$11, 100%, $F$11)</f>
        <v>4.9447608000000001</v>
      </c>
      <c r="H227" s="4">
        <f>CHOOSE( CONTROL!$C$29, 7.0531, 7.0485) * CHOOSE(CONTROL!$C$12, $D$11, 100%, $F$11)</f>
        <v>5.6706924000000001</v>
      </c>
      <c r="I227" s="8">
        <f>CHOOSE( CONTROL!$C$29, 6.1078, 6.1033) * CHOOSE(CONTROL!$C$12, $D$11, 100%, $F$11)</f>
        <v>4.9106712000000003</v>
      </c>
      <c r="J227" s="4">
        <f>CHOOSE( CONTROL!$C$29, 6.0532, 6.0487) * CHOOSE(CONTROL!$C$12, $D$11, 100%, $F$11)</f>
        <v>4.8667728000000006</v>
      </c>
      <c r="K227" s="4"/>
      <c r="L227" s="9">
        <v>29.520499999999998</v>
      </c>
      <c r="M227" s="9">
        <v>12.063700000000001</v>
      </c>
      <c r="N227" s="9">
        <v>4.9444999999999997</v>
      </c>
      <c r="O227" s="9">
        <v>0.37459999999999999</v>
      </c>
      <c r="P227" s="9">
        <v>1.2192000000000001</v>
      </c>
      <c r="Q227" s="9">
        <v>30.773700000000002</v>
      </c>
      <c r="R227" s="9"/>
      <c r="S227" s="11"/>
    </row>
    <row r="228" spans="1:19" ht="15.75">
      <c r="A228" s="13">
        <v>48792</v>
      </c>
      <c r="B228" s="8">
        <f>CHOOSE( CONTROL!$C$29, 5.835, 5.8303) * CHOOSE(CONTROL!$C$12, $D$11, 100%, $F$11)</f>
        <v>4.6913400000000003</v>
      </c>
      <c r="C228" s="8">
        <f>CHOOSE( CONTROL!$C$29, 5.8454, 5.8407) * CHOOSE(CONTROL!$C$12, $D$11, 100%, $F$11)</f>
        <v>4.6997016</v>
      </c>
      <c r="D228" s="8">
        <f>CHOOSE( CONTROL!$C$29, 5.8403, 5.8356) * CHOOSE( CONTROL!$C$12, $D$11, 100%, $F$11)</f>
        <v>4.6956012000000005</v>
      </c>
      <c r="E228" s="12">
        <f>CHOOSE( CONTROL!$C$29, 5.8406, 5.8359) * CHOOSE( CONTROL!$C$12, $D$11, 100%, $F$11)</f>
        <v>4.6958424000000001</v>
      </c>
      <c r="F228" s="4">
        <f>CHOOSE( CONTROL!$C$29, 6.8318, 6.8271) * CHOOSE(CONTROL!$C$12, $D$11, 100%, $F$11)</f>
        <v>5.4927672000000003</v>
      </c>
      <c r="G228" s="8">
        <f>CHOOSE( CONTROL!$C$29, 5.6774, 5.6728) * CHOOSE( CONTROL!$C$12, $D$11, 100%, $F$11)</f>
        <v>4.5646296</v>
      </c>
      <c r="H228" s="4">
        <f>CHOOSE( CONTROL!$C$29, 6.5832, 6.5786) * CHOOSE(CONTROL!$C$12, $D$11, 100%, $F$11)</f>
        <v>5.2928927999999997</v>
      </c>
      <c r="I228" s="8">
        <f>CHOOSE( CONTROL!$C$29, 5.6453, 5.6408) * CHOOSE(CONTROL!$C$12, $D$11, 100%, $F$11)</f>
        <v>4.5388212000000001</v>
      </c>
      <c r="J228" s="4">
        <f>CHOOSE( CONTROL!$C$29, 5.5863, 5.5818) * CHOOSE(CONTROL!$C$12, $D$11, 100%, $F$11)</f>
        <v>4.4913851999999999</v>
      </c>
      <c r="K228" s="4"/>
      <c r="L228" s="9">
        <v>29.520499999999998</v>
      </c>
      <c r="M228" s="9">
        <v>12.063700000000001</v>
      </c>
      <c r="N228" s="9">
        <v>4.9444999999999997</v>
      </c>
      <c r="O228" s="9">
        <v>0.37459999999999999</v>
      </c>
      <c r="P228" s="9">
        <v>1.2192000000000001</v>
      </c>
      <c r="Q228" s="9">
        <v>30.773700000000002</v>
      </c>
      <c r="R228" s="9"/>
      <c r="S228" s="11"/>
    </row>
    <row r="229" spans="1:19" ht="15.75">
      <c r="A229" s="13">
        <v>48823</v>
      </c>
      <c r="B229" s="8">
        <f>CHOOSE( CONTROL!$C$29, 5.7129, 5.7082) * CHOOSE(CONTROL!$C$12, $D$11, 100%, $F$11)</f>
        <v>4.5931716000000007</v>
      </c>
      <c r="C229" s="8">
        <f>CHOOSE( CONTROL!$C$29, 5.7234, 5.7187) * CHOOSE(CONTROL!$C$12, $D$11, 100%, $F$11)</f>
        <v>4.6016136000000003</v>
      </c>
      <c r="D229" s="8">
        <f>CHOOSE( CONTROL!$C$29, 5.7141, 5.7093) * CHOOSE( CONTROL!$C$12, $D$11, 100%, $F$11)</f>
        <v>4.5941364</v>
      </c>
      <c r="E229" s="12">
        <f>CHOOSE( CONTROL!$C$29, 5.7159, 5.7111) * CHOOSE( CONTROL!$C$12, $D$11, 100%, $F$11)</f>
        <v>4.5955836000000003</v>
      </c>
      <c r="F229" s="4">
        <f>CHOOSE( CONTROL!$C$29, 6.7019, 6.6972) * CHOOSE(CONTROL!$C$12, $D$11, 100%, $F$11)</f>
        <v>5.3883276000000002</v>
      </c>
      <c r="G229" s="8">
        <f>CHOOSE( CONTROL!$C$29, 5.5571, 5.5525) * CHOOSE( CONTROL!$C$12, $D$11, 100%, $F$11)</f>
        <v>4.4679084000000007</v>
      </c>
      <c r="H229" s="4">
        <f>CHOOSE( CONTROL!$C$29, 6.4566, 6.452) * CHOOSE(CONTROL!$C$12, $D$11, 100%, $F$11)</f>
        <v>5.1911063999999998</v>
      </c>
      <c r="I229" s="8">
        <f>CHOOSE( CONTROL!$C$29, 5.5297, 5.5251) * CHOOSE(CONTROL!$C$12, $D$11, 100%, $F$11)</f>
        <v>4.4458788</v>
      </c>
      <c r="J229" s="4">
        <f>CHOOSE( CONTROL!$C$29, 5.4694, 5.4649) * CHOOSE(CONTROL!$C$12, $D$11, 100%, $F$11)</f>
        <v>4.3973976000000006</v>
      </c>
      <c r="K229" s="4"/>
      <c r="L229" s="9">
        <v>28.568200000000001</v>
      </c>
      <c r="M229" s="9">
        <v>11.6745</v>
      </c>
      <c r="N229" s="9">
        <v>4.7850000000000001</v>
      </c>
      <c r="O229" s="9">
        <v>0.36249999999999999</v>
      </c>
      <c r="P229" s="9">
        <v>1.1798</v>
      </c>
      <c r="Q229" s="9">
        <v>29.780999999999999</v>
      </c>
      <c r="R229" s="9"/>
      <c r="S229" s="11"/>
    </row>
    <row r="230" spans="1:19" ht="15.75">
      <c r="A230" s="13">
        <v>48853</v>
      </c>
      <c r="B230" s="8">
        <f>5.9616 * CHOOSE(CONTROL!$C$12, $D$11, 100%, $F$11)</f>
        <v>4.7931264000000002</v>
      </c>
      <c r="C230" s="8">
        <f>5.972 * CHOOSE(CONTROL!$C$12, $D$11, 100%, $F$11)</f>
        <v>4.8014880000000009</v>
      </c>
      <c r="D230" s="8">
        <f>5.9636 * CHOOSE( CONTROL!$C$12, $D$11, 100%, $F$11)</f>
        <v>4.7947344000000003</v>
      </c>
      <c r="E230" s="12">
        <f>5.9653 * CHOOSE( CONTROL!$C$12, $D$11, 100%, $F$11)</f>
        <v>4.7961012000000007</v>
      </c>
      <c r="F230" s="4">
        <f>6.9506 * CHOOSE(CONTROL!$C$12, $D$11, 100%, $F$11)</f>
        <v>5.5882823999999998</v>
      </c>
      <c r="G230" s="8">
        <f>5.7991 * CHOOSE( CONTROL!$C$12, $D$11, 100%, $F$11)</f>
        <v>4.6624764000000001</v>
      </c>
      <c r="H230" s="4">
        <f>6.699 * CHOOSE(CONTROL!$C$12, $D$11, 100%, $F$11)</f>
        <v>5.3859960000000004</v>
      </c>
      <c r="I230" s="8">
        <f>5.7701 * CHOOSE(CONTROL!$C$12, $D$11, 100%, $F$11)</f>
        <v>4.6391604000000006</v>
      </c>
      <c r="J230" s="4">
        <f>5.7076 * CHOOSE(CONTROL!$C$12, $D$11, 100%, $F$11)</f>
        <v>4.5889104000000005</v>
      </c>
      <c r="K230" s="4"/>
      <c r="L230" s="9">
        <v>28.921800000000001</v>
      </c>
      <c r="M230" s="9">
        <v>12.063700000000001</v>
      </c>
      <c r="N230" s="9">
        <v>4.9444999999999997</v>
      </c>
      <c r="O230" s="9">
        <v>0.37459999999999999</v>
      </c>
      <c r="P230" s="9">
        <v>1.2192000000000001</v>
      </c>
      <c r="Q230" s="9">
        <v>30.773700000000002</v>
      </c>
      <c r="R230" s="9"/>
      <c r="S230" s="11"/>
    </row>
    <row r="231" spans="1:19" ht="15.75">
      <c r="A231" s="13">
        <v>48884</v>
      </c>
      <c r="B231" s="8">
        <f>6.4292 * CHOOSE(CONTROL!$C$12, $D$11, 100%, $F$11)</f>
        <v>5.1690768</v>
      </c>
      <c r="C231" s="8">
        <f>6.4397 * CHOOSE(CONTROL!$C$12, $D$11, 100%, $F$11)</f>
        <v>5.1775188000000005</v>
      </c>
      <c r="D231" s="8">
        <f>6.4199 * CHOOSE( CONTROL!$C$12, $D$11, 100%, $F$11)</f>
        <v>5.1615996000000006</v>
      </c>
      <c r="E231" s="12">
        <f>6.426 * CHOOSE( CONTROL!$C$12, $D$11, 100%, $F$11)</f>
        <v>5.1665040000000007</v>
      </c>
      <c r="F231" s="4">
        <f>7.4208 * CHOOSE(CONTROL!$C$12, $D$11, 100%, $F$11)</f>
        <v>5.9663232000000006</v>
      </c>
      <c r="G231" s="8">
        <f>6.274 * CHOOSE( CONTROL!$C$12, $D$11, 100%, $F$11)</f>
        <v>5.0442960000000001</v>
      </c>
      <c r="H231" s="4">
        <f>7.1574 * CHOOSE(CONTROL!$C$12, $D$11, 100%, $F$11)</f>
        <v>5.7545496000000007</v>
      </c>
      <c r="I231" s="8">
        <f>6.2486 * CHOOSE(CONTROL!$C$12, $D$11, 100%, $F$11)</f>
        <v>5.0238744000000004</v>
      </c>
      <c r="J231" s="4">
        <f>6.1557 * CHOOSE(CONTROL!$C$12, $D$11, 100%, $F$11)</f>
        <v>4.9491828000000009</v>
      </c>
      <c r="K231" s="4"/>
      <c r="L231" s="9">
        <v>26.515499999999999</v>
      </c>
      <c r="M231" s="9">
        <v>11.6745</v>
      </c>
      <c r="N231" s="9">
        <v>4.7850000000000001</v>
      </c>
      <c r="O231" s="9">
        <v>0.36249999999999999</v>
      </c>
      <c r="P231" s="9">
        <v>1.2522</v>
      </c>
      <c r="Q231" s="9">
        <v>29.780999999999999</v>
      </c>
      <c r="R231" s="9"/>
      <c r="S231" s="11"/>
    </row>
    <row r="232" spans="1:19" ht="15.75">
      <c r="A232" s="13">
        <v>48914</v>
      </c>
      <c r="B232" s="8">
        <f>6.4176 * CHOOSE(CONTROL!$C$12, $D$11, 100%, $F$11)</f>
        <v>5.1597504000000001</v>
      </c>
      <c r="C232" s="8">
        <f>6.428 * CHOOSE(CONTROL!$C$12, $D$11, 100%, $F$11)</f>
        <v>5.1681119999999998</v>
      </c>
      <c r="D232" s="8">
        <f>6.4102 * CHOOSE( CONTROL!$C$12, $D$11, 100%, $F$11)</f>
        <v>5.1538008</v>
      </c>
      <c r="E232" s="12">
        <f>6.4156 * CHOOSE( CONTROL!$C$12, $D$11, 100%, $F$11)</f>
        <v>5.1581424000000009</v>
      </c>
      <c r="F232" s="4">
        <f>7.4092 * CHOOSE(CONTROL!$C$12, $D$11, 100%, $F$11)</f>
        <v>5.9569968000000006</v>
      </c>
      <c r="G232" s="8">
        <f>6.2641 * CHOOSE( CONTROL!$C$12, $D$11, 100%, $F$11)</f>
        <v>5.0363364000000006</v>
      </c>
      <c r="H232" s="4">
        <f>7.146 * CHOOSE(CONTROL!$C$12, $D$11, 100%, $F$11)</f>
        <v>5.7453840000000005</v>
      </c>
      <c r="I232" s="8">
        <f>6.2443 * CHOOSE(CONTROL!$C$12, $D$11, 100%, $F$11)</f>
        <v>5.0204172000000007</v>
      </c>
      <c r="J232" s="4">
        <f>6.1446 * CHOOSE(CONTROL!$C$12, $D$11, 100%, $F$11)</f>
        <v>4.9402584000000003</v>
      </c>
      <c r="K232" s="4"/>
      <c r="L232" s="9">
        <v>27.3993</v>
      </c>
      <c r="M232" s="9">
        <v>12.063700000000001</v>
      </c>
      <c r="N232" s="9">
        <v>4.9444999999999997</v>
      </c>
      <c r="O232" s="9">
        <v>0.37459999999999999</v>
      </c>
      <c r="P232" s="9">
        <v>1.2939000000000001</v>
      </c>
      <c r="Q232" s="9">
        <v>30.773700000000002</v>
      </c>
      <c r="R232" s="9"/>
      <c r="S232" s="11"/>
    </row>
    <row r="233" spans="1:19" ht="15.75">
      <c r="A233" s="13">
        <v>48945</v>
      </c>
      <c r="B233" s="8">
        <f>6.5807 * CHOOSE(CONTROL!$C$12, $D$11, 100%, $F$11)</f>
        <v>5.2908828000000003</v>
      </c>
      <c r="C233" s="8">
        <f>6.5912 * CHOOSE(CONTROL!$C$12, $D$11, 100%, $F$11)</f>
        <v>5.2993247999999999</v>
      </c>
      <c r="D233" s="8">
        <f>6.5888 * CHOOSE( CONTROL!$C$12, $D$11, 100%, $F$11)</f>
        <v>5.2973952000000004</v>
      </c>
      <c r="E233" s="12">
        <f>6.5886 * CHOOSE( CONTROL!$C$12, $D$11, 100%, $F$11)</f>
        <v>5.2972343999999998</v>
      </c>
      <c r="F233" s="4">
        <f>7.6037 * CHOOSE(CONTROL!$C$12, $D$11, 100%, $F$11)</f>
        <v>6.1133747999999999</v>
      </c>
      <c r="G233" s="8">
        <f>6.4422 * CHOOSE( CONTROL!$C$12, $D$11, 100%, $F$11)</f>
        <v>5.1795287999999999</v>
      </c>
      <c r="H233" s="4">
        <f>7.3356 * CHOOSE(CONTROL!$C$12, $D$11, 100%, $F$11)</f>
        <v>5.8978224000000008</v>
      </c>
      <c r="I233" s="8">
        <f>6.4127 * CHOOSE(CONTROL!$C$12, $D$11, 100%, $F$11)</f>
        <v>5.1558108000000002</v>
      </c>
      <c r="J233" s="4">
        <f>6.3009 * CHOOSE(CONTROL!$C$12, $D$11, 100%, $F$11)</f>
        <v>5.0659236000000005</v>
      </c>
      <c r="K233" s="4"/>
      <c r="L233" s="9">
        <v>27.3993</v>
      </c>
      <c r="M233" s="9">
        <v>12.063700000000001</v>
      </c>
      <c r="N233" s="9">
        <v>4.9444999999999997</v>
      </c>
      <c r="O233" s="9">
        <v>0.37459999999999999</v>
      </c>
      <c r="P233" s="9">
        <v>1.2939000000000001</v>
      </c>
      <c r="Q233" s="9">
        <v>30.7105</v>
      </c>
      <c r="R233" s="9"/>
      <c r="S233" s="11"/>
    </row>
    <row r="234" spans="1:19" ht="15.75">
      <c r="A234" s="13">
        <v>48976</v>
      </c>
      <c r="B234" s="8">
        <f>6.1556 * CHOOSE(CONTROL!$C$12, $D$11, 100%, $F$11)</f>
        <v>4.9491024000000001</v>
      </c>
      <c r="C234" s="8">
        <f>6.1661 * CHOOSE(CONTROL!$C$12, $D$11, 100%, $F$11)</f>
        <v>4.9575444000000006</v>
      </c>
      <c r="D234" s="8">
        <f>6.166 * CHOOSE( CONTROL!$C$12, $D$11, 100%, $F$11)</f>
        <v>4.9574640000000008</v>
      </c>
      <c r="E234" s="12">
        <f>6.1649 * CHOOSE( CONTROL!$C$12, $D$11, 100%, $F$11)</f>
        <v>4.9565796000000004</v>
      </c>
      <c r="F234" s="4">
        <f>7.1707 * CHOOSE(CONTROL!$C$12, $D$11, 100%, $F$11)</f>
        <v>5.7652428000000002</v>
      </c>
      <c r="G234" s="8">
        <f>6.0277 * CHOOSE( CONTROL!$C$12, $D$11, 100%, $F$11)</f>
        <v>4.8462708000000001</v>
      </c>
      <c r="H234" s="4">
        <f>6.9136 * CHOOSE(CONTROL!$C$12, $D$11, 100%, $F$11)</f>
        <v>5.5585344000000001</v>
      </c>
      <c r="I234" s="8">
        <f>5.9942 * CHOOSE(CONTROL!$C$12, $D$11, 100%, $F$11)</f>
        <v>4.8193368000000003</v>
      </c>
      <c r="J234" s="4">
        <f>5.8936 * CHOOSE(CONTROL!$C$12, $D$11, 100%, $F$11)</f>
        <v>4.7384544000000002</v>
      </c>
      <c r="K234" s="4"/>
      <c r="L234" s="9">
        <v>24.747800000000002</v>
      </c>
      <c r="M234" s="9">
        <v>10.8962</v>
      </c>
      <c r="N234" s="9">
        <v>4.4660000000000002</v>
      </c>
      <c r="O234" s="9">
        <v>0.33829999999999999</v>
      </c>
      <c r="P234" s="9">
        <v>1.1687000000000001</v>
      </c>
      <c r="Q234" s="9">
        <v>27.738499999999998</v>
      </c>
      <c r="R234" s="9"/>
      <c r="S234" s="11"/>
    </row>
    <row r="235" spans="1:19" ht="15.75">
      <c r="A235" s="13">
        <v>49004</v>
      </c>
      <c r="B235" s="8">
        <f>6.0247 * CHOOSE(CONTROL!$C$12, $D$11, 100%, $F$11)</f>
        <v>4.8438588000000005</v>
      </c>
      <c r="C235" s="8">
        <f>6.0351 * CHOOSE(CONTROL!$C$12, $D$11, 100%, $F$11)</f>
        <v>4.8522204000000002</v>
      </c>
      <c r="D235" s="8">
        <f>6.015 * CHOOSE( CONTROL!$C$12, $D$11, 100%, $F$11)</f>
        <v>4.8360599999999998</v>
      </c>
      <c r="E235" s="12">
        <f>6.0212 * CHOOSE( CONTROL!$C$12, $D$11, 100%, $F$11)</f>
        <v>4.8410448000000006</v>
      </c>
      <c r="F235" s="4">
        <f>7.0236 * CHOOSE(CONTROL!$C$12, $D$11, 100%, $F$11)</f>
        <v>5.6469744000000004</v>
      </c>
      <c r="G235" s="8">
        <f>5.8796 * CHOOSE( CONTROL!$C$12, $D$11, 100%, $F$11)</f>
        <v>4.7271983999999998</v>
      </c>
      <c r="H235" s="4">
        <f>6.7702 * CHOOSE(CONTROL!$C$12, $D$11, 100%, $F$11)</f>
        <v>5.4432407999999999</v>
      </c>
      <c r="I235" s="8">
        <f>5.8291 * CHOOSE(CONTROL!$C$12, $D$11, 100%, $F$11)</f>
        <v>4.6865964000000009</v>
      </c>
      <c r="J235" s="4">
        <f>5.7681 * CHOOSE(CONTROL!$C$12, $D$11, 100%, $F$11)</f>
        <v>4.6375523999999997</v>
      </c>
      <c r="K235" s="4"/>
      <c r="L235" s="9">
        <v>27.3993</v>
      </c>
      <c r="M235" s="9">
        <v>12.063700000000001</v>
      </c>
      <c r="N235" s="9">
        <v>4.9444999999999997</v>
      </c>
      <c r="O235" s="9">
        <v>0.37459999999999999</v>
      </c>
      <c r="P235" s="9">
        <v>1.2939000000000001</v>
      </c>
      <c r="Q235" s="9">
        <v>30.7105</v>
      </c>
      <c r="R235" s="9"/>
      <c r="S235" s="11"/>
    </row>
    <row r="236" spans="1:19" ht="15.75">
      <c r="A236" s="13">
        <v>49035</v>
      </c>
      <c r="B236" s="8">
        <f>6.1162 * CHOOSE(CONTROL!$C$12, $D$11, 100%, $F$11)</f>
        <v>4.9174248</v>
      </c>
      <c r="C236" s="8">
        <f>6.1266 * CHOOSE(CONTROL!$C$12, $D$11, 100%, $F$11)</f>
        <v>4.9257863999999998</v>
      </c>
      <c r="D236" s="8">
        <f>6.1298 * CHOOSE( CONTROL!$C$12, $D$11, 100%, $F$11)</f>
        <v>4.9283592000000009</v>
      </c>
      <c r="E236" s="12">
        <f>6.1276 * CHOOSE( CONTROL!$C$12, $D$11, 100%, $F$11)</f>
        <v>4.9265904000000003</v>
      </c>
      <c r="F236" s="4">
        <f>7.1234 * CHOOSE(CONTROL!$C$12, $D$11, 100%, $F$11)</f>
        <v>5.7272136000000007</v>
      </c>
      <c r="G236" s="8">
        <f>5.9566 * CHOOSE( CONTROL!$C$12, $D$11, 100%, $F$11)</f>
        <v>4.7891064000000005</v>
      </c>
      <c r="H236" s="4">
        <f>6.8675 * CHOOSE(CONTROL!$C$12, $D$11, 100%, $F$11)</f>
        <v>5.5214699999999999</v>
      </c>
      <c r="I236" s="8">
        <f>5.9069 * CHOOSE(CONTROL!$C$12, $D$11, 100%, $F$11)</f>
        <v>4.7491476000000006</v>
      </c>
      <c r="J236" s="4">
        <f>5.8558 * CHOOSE(CONTROL!$C$12, $D$11, 100%, $F$11)</f>
        <v>4.7080632000000007</v>
      </c>
      <c r="K236" s="4"/>
      <c r="L236" s="9">
        <v>27.988800000000001</v>
      </c>
      <c r="M236" s="9">
        <v>11.6745</v>
      </c>
      <c r="N236" s="9">
        <v>4.7850000000000001</v>
      </c>
      <c r="O236" s="9">
        <v>0.36249999999999999</v>
      </c>
      <c r="P236" s="9">
        <v>1.1798</v>
      </c>
      <c r="Q236" s="9">
        <v>29.719799999999999</v>
      </c>
      <c r="R236" s="9"/>
      <c r="S236" s="11"/>
    </row>
    <row r="237" spans="1:19" ht="15.75">
      <c r="A237" s="13">
        <v>49065</v>
      </c>
      <c r="B237" s="8">
        <f>CHOOSE( CONTROL!$C$29, 6.2837, 6.279) * CHOOSE(CONTROL!$C$12, $D$11, 100%, $F$11)</f>
        <v>5.0520947999999999</v>
      </c>
      <c r="C237" s="8">
        <f>CHOOSE( CONTROL!$C$29, 6.2942, 6.2895) * CHOOSE(CONTROL!$C$12, $D$11, 100%, $F$11)</f>
        <v>5.0605368000000004</v>
      </c>
      <c r="D237" s="8">
        <f>CHOOSE( CONTROL!$C$29, 6.2721, 6.2674) * CHOOSE( CONTROL!$C$12, $D$11, 100%, $F$11)</f>
        <v>5.0427683999999999</v>
      </c>
      <c r="E237" s="12">
        <f>CHOOSE( CONTROL!$C$29, 6.2785, 6.2738) * CHOOSE( CONTROL!$C$12, $D$11, 100%, $F$11)</f>
        <v>5.0479140000000005</v>
      </c>
      <c r="F237" s="4">
        <f>CHOOSE( CONTROL!$C$29, 7.2586, 7.2539) * CHOOSE(CONTROL!$C$12, $D$11, 100%, $F$11)</f>
        <v>5.8359144000000009</v>
      </c>
      <c r="G237" s="8">
        <f>CHOOSE( CONTROL!$C$29, 6.1013, 6.0967) * CHOOSE( CONTROL!$C$12, $D$11, 100%, $F$11)</f>
        <v>4.9054452000000008</v>
      </c>
      <c r="H237" s="4">
        <f>CHOOSE( CONTROL!$C$29, 6.9993, 6.9947) * CHOOSE(CONTROL!$C$12, $D$11, 100%, $F$11)</f>
        <v>5.6274372000000001</v>
      </c>
      <c r="I237" s="8">
        <f>CHOOSE( CONTROL!$C$29, 6.046, 6.0415) * CHOOSE(CONTROL!$C$12, $D$11, 100%, $F$11)</f>
        <v>4.8609840000000002</v>
      </c>
      <c r="J237" s="4">
        <f>CHOOSE( CONTROL!$C$29, 6.0163, 6.0118) * CHOOSE(CONTROL!$C$12, $D$11, 100%, $F$11)</f>
        <v>4.8371052000000008</v>
      </c>
      <c r="K237" s="4"/>
      <c r="L237" s="9">
        <v>29.520499999999998</v>
      </c>
      <c r="M237" s="9">
        <v>12.063700000000001</v>
      </c>
      <c r="N237" s="9">
        <v>4.9444999999999997</v>
      </c>
      <c r="O237" s="9">
        <v>0.37459999999999999</v>
      </c>
      <c r="P237" s="9">
        <v>1.2192000000000001</v>
      </c>
      <c r="Q237" s="9">
        <v>30.7105</v>
      </c>
      <c r="R237" s="9"/>
      <c r="S237" s="11"/>
    </row>
    <row r="238" spans="1:19" ht="15.75">
      <c r="A238" s="13">
        <v>49096</v>
      </c>
      <c r="B238" s="8">
        <f>CHOOSE( CONTROL!$C$29, 6.1829, 6.1782) * CHOOSE(CONTROL!$C$12, $D$11, 100%, $F$11)</f>
        <v>4.9710516</v>
      </c>
      <c r="C238" s="8">
        <f>CHOOSE( CONTROL!$C$29, 6.1933, 6.1886) * CHOOSE(CONTROL!$C$12, $D$11, 100%, $F$11)</f>
        <v>4.9794131999999998</v>
      </c>
      <c r="D238" s="8">
        <f>CHOOSE( CONTROL!$C$29, 6.1657, 6.161) * CHOOSE( CONTROL!$C$12, $D$11, 100%, $F$11)</f>
        <v>4.9572228000000003</v>
      </c>
      <c r="E238" s="12">
        <f>CHOOSE( CONTROL!$C$29, 6.1741, 6.1694) * CHOOSE( CONTROL!$C$12, $D$11, 100%, $F$11)</f>
        <v>4.9639764000000008</v>
      </c>
      <c r="F238" s="4">
        <f>CHOOSE( CONTROL!$C$29, 7.1473, 7.1426) * CHOOSE(CONTROL!$C$12, $D$11, 100%, $F$11)</f>
        <v>5.7464292000000006</v>
      </c>
      <c r="G238" s="8">
        <f>CHOOSE( CONTROL!$C$29, 6.0017, 5.9971) * CHOOSE( CONTROL!$C$12, $D$11, 100%, $F$11)</f>
        <v>4.8253668000000003</v>
      </c>
      <c r="H238" s="4">
        <f>CHOOSE( CONTROL!$C$29, 6.8908, 6.8862) * CHOOSE(CONTROL!$C$12, $D$11, 100%, $F$11)</f>
        <v>5.5402031999999997</v>
      </c>
      <c r="I238" s="8">
        <f>CHOOSE( CONTROL!$C$29, 5.9515, 5.947) * CHOOSE(CONTROL!$C$12, $D$11, 100%, $F$11)</f>
        <v>4.7850060000000001</v>
      </c>
      <c r="J238" s="4">
        <f>CHOOSE( CONTROL!$C$29, 5.9197, 5.9152) * CHOOSE(CONTROL!$C$12, $D$11, 100%, $F$11)</f>
        <v>4.7594387999999999</v>
      </c>
      <c r="K238" s="4"/>
      <c r="L238" s="9">
        <v>28.568200000000001</v>
      </c>
      <c r="M238" s="9">
        <v>11.6745</v>
      </c>
      <c r="N238" s="9">
        <v>4.7850000000000001</v>
      </c>
      <c r="O238" s="9">
        <v>0.36249999999999999</v>
      </c>
      <c r="P238" s="9">
        <v>1.1798</v>
      </c>
      <c r="Q238" s="9">
        <v>29.719799999999999</v>
      </c>
      <c r="R238" s="9"/>
      <c r="S238" s="11"/>
    </row>
    <row r="239" spans="1:19" ht="15.75">
      <c r="A239" s="13">
        <v>49126</v>
      </c>
      <c r="B239" s="8">
        <f>CHOOSE( CONTROL!$C$29, 6.4485, 6.4438) * CHOOSE(CONTROL!$C$12, $D$11, 100%, $F$11)</f>
        <v>5.1845940000000006</v>
      </c>
      <c r="C239" s="8">
        <f>CHOOSE( CONTROL!$C$29, 6.4589, 6.4542) * CHOOSE(CONTROL!$C$12, $D$11, 100%, $F$11)</f>
        <v>5.1929556000000003</v>
      </c>
      <c r="D239" s="8">
        <f>CHOOSE( CONTROL!$C$29, 6.4505, 6.4458) * CHOOSE( CONTROL!$C$12, $D$11, 100%, $F$11)</f>
        <v>5.1862020000000006</v>
      </c>
      <c r="E239" s="12">
        <f>CHOOSE( CONTROL!$C$29, 6.452, 6.4473) * CHOOSE( CONTROL!$C$12, $D$11, 100%, $F$11)</f>
        <v>5.1874080000000005</v>
      </c>
      <c r="F239" s="4">
        <f>CHOOSE( CONTROL!$C$29, 7.4401, 7.4354) * CHOOSE(CONTROL!$C$12, $D$11, 100%, $F$11)</f>
        <v>5.9818404000000003</v>
      </c>
      <c r="G239" s="8">
        <f>CHOOSE( CONTROL!$C$29, 6.2733, 6.2687) * CHOOSE( CONTROL!$C$12, $D$11, 100%, $F$11)</f>
        <v>5.0437332000000001</v>
      </c>
      <c r="H239" s="4">
        <f>CHOOSE( CONTROL!$C$29, 7.1761, 7.1716) * CHOOSE(CONTROL!$C$12, $D$11, 100%, $F$11)</f>
        <v>5.7695844000000003</v>
      </c>
      <c r="I239" s="8">
        <f>CHOOSE( CONTROL!$C$29, 6.2289, 6.2244) * CHOOSE(CONTROL!$C$12, $D$11, 100%, $F$11)</f>
        <v>5.0080356000000004</v>
      </c>
      <c r="J239" s="4">
        <f>CHOOSE( CONTROL!$C$29, 6.1742, 6.1697) * CHOOSE(CONTROL!$C$12, $D$11, 100%, $F$11)</f>
        <v>4.9640567999999998</v>
      </c>
      <c r="K239" s="4"/>
      <c r="L239" s="9">
        <v>29.520499999999998</v>
      </c>
      <c r="M239" s="9">
        <v>12.063700000000001</v>
      </c>
      <c r="N239" s="9">
        <v>4.9444999999999997</v>
      </c>
      <c r="O239" s="9">
        <v>0.37459999999999999</v>
      </c>
      <c r="P239" s="9">
        <v>1.2192000000000001</v>
      </c>
      <c r="Q239" s="9">
        <v>30.7105</v>
      </c>
      <c r="R239" s="9"/>
      <c r="S239" s="11"/>
    </row>
    <row r="240" spans="1:19" ht="15.75">
      <c r="A240" s="13">
        <v>49157</v>
      </c>
      <c r="B240" s="8">
        <f>CHOOSE( CONTROL!$C$29, 5.9515, 5.9468) * CHOOSE(CONTROL!$C$12, $D$11, 100%, $F$11)</f>
        <v>4.7850060000000001</v>
      </c>
      <c r="C240" s="8">
        <f>CHOOSE( CONTROL!$C$29, 5.9619, 5.9572) * CHOOSE(CONTROL!$C$12, $D$11, 100%, $F$11)</f>
        <v>4.7933675999999998</v>
      </c>
      <c r="D240" s="8">
        <f>CHOOSE( CONTROL!$C$29, 5.9568, 5.9521) * CHOOSE( CONTROL!$C$12, $D$11, 100%, $F$11)</f>
        <v>4.7892672000000003</v>
      </c>
      <c r="E240" s="12">
        <f>CHOOSE( CONTROL!$C$29, 5.9571, 5.9524) * CHOOSE( CONTROL!$C$12, $D$11, 100%, $F$11)</f>
        <v>4.7895083999999999</v>
      </c>
      <c r="F240" s="4">
        <f>CHOOSE( CONTROL!$C$29, 6.9483, 6.9436) * CHOOSE(CONTROL!$C$12, $D$11, 100%, $F$11)</f>
        <v>5.5864332000000001</v>
      </c>
      <c r="G240" s="8">
        <f>CHOOSE( CONTROL!$C$29, 5.7909, 5.7863) * CHOOSE( CONTROL!$C$12, $D$11, 100%, $F$11)</f>
        <v>4.6558836000000001</v>
      </c>
      <c r="H240" s="4">
        <f>CHOOSE( CONTROL!$C$29, 6.6967, 6.6922) * CHOOSE(CONTROL!$C$12, $D$11, 100%, $F$11)</f>
        <v>5.3841467999999999</v>
      </c>
      <c r="I240" s="8">
        <f>CHOOSE( CONTROL!$C$29, 5.757, 5.7525) * CHOOSE(CONTROL!$C$12, $D$11, 100%, $F$11)</f>
        <v>4.628628</v>
      </c>
      <c r="J240" s="4">
        <f>CHOOSE( CONTROL!$C$29, 5.6979, 5.6934) * CHOOSE(CONTROL!$C$12, $D$11, 100%, $F$11)</f>
        <v>4.5811115999999998</v>
      </c>
      <c r="K240" s="4"/>
      <c r="L240" s="9">
        <v>29.520499999999998</v>
      </c>
      <c r="M240" s="9">
        <v>12.063700000000001</v>
      </c>
      <c r="N240" s="9">
        <v>4.9444999999999997</v>
      </c>
      <c r="O240" s="9">
        <v>0.37459999999999999</v>
      </c>
      <c r="P240" s="9">
        <v>1.2192000000000001</v>
      </c>
      <c r="Q240" s="9">
        <v>30.7105</v>
      </c>
      <c r="R240" s="9"/>
      <c r="S240" s="11"/>
    </row>
    <row r="241" spans="1:19" ht="15.75">
      <c r="A241" s="13">
        <v>49188</v>
      </c>
      <c r="B241" s="8">
        <f>CHOOSE( CONTROL!$C$29, 5.827, 5.8223) * CHOOSE(CONTROL!$C$12, $D$11, 100%, $F$11)</f>
        <v>4.6849080000000001</v>
      </c>
      <c r="C241" s="8">
        <f>CHOOSE( CONTROL!$C$29, 5.8374, 5.8327) * CHOOSE(CONTROL!$C$12, $D$11, 100%, $F$11)</f>
        <v>4.6932695999999998</v>
      </c>
      <c r="D241" s="8">
        <f>CHOOSE( CONTROL!$C$29, 5.8281, 5.8234) * CHOOSE( CONTROL!$C$12, $D$11, 100%, $F$11)</f>
        <v>4.6857924000000004</v>
      </c>
      <c r="E241" s="12">
        <f>CHOOSE( CONTROL!$C$29, 5.8299, 5.8252) * CHOOSE( CONTROL!$C$12, $D$11, 100%, $F$11)</f>
        <v>4.6872396000000007</v>
      </c>
      <c r="F241" s="4">
        <f>CHOOSE( CONTROL!$C$29, 6.816, 6.8113) * CHOOSE(CONTROL!$C$12, $D$11, 100%, $F$11)</f>
        <v>5.4800640000000005</v>
      </c>
      <c r="G241" s="8">
        <f>CHOOSE( CONTROL!$C$29, 5.6683, 5.6637) * CHOOSE( CONTROL!$C$12, $D$11, 100%, $F$11)</f>
        <v>4.5573132000000003</v>
      </c>
      <c r="H241" s="4">
        <f>CHOOSE( CONTROL!$C$29, 6.5678, 6.5632) * CHOOSE(CONTROL!$C$12, $D$11, 100%, $F$11)</f>
        <v>5.2805112000000003</v>
      </c>
      <c r="I241" s="8">
        <f>CHOOSE( CONTROL!$C$29, 5.639, 5.6345) * CHOOSE(CONTROL!$C$12, $D$11, 100%, $F$11)</f>
        <v>4.5337560000000003</v>
      </c>
      <c r="J241" s="4">
        <f>CHOOSE( CONTROL!$C$29, 5.5787, 5.5742) * CHOOSE(CONTROL!$C$12, $D$11, 100%, $F$11)</f>
        <v>4.4852748000000009</v>
      </c>
      <c r="K241" s="4"/>
      <c r="L241" s="9">
        <v>28.568200000000001</v>
      </c>
      <c r="M241" s="9">
        <v>11.6745</v>
      </c>
      <c r="N241" s="9">
        <v>4.7850000000000001</v>
      </c>
      <c r="O241" s="9">
        <v>0.36249999999999999</v>
      </c>
      <c r="P241" s="9">
        <v>1.1798</v>
      </c>
      <c r="Q241" s="9">
        <v>29.719799999999999</v>
      </c>
      <c r="R241" s="9"/>
      <c r="S241" s="11"/>
    </row>
    <row r="242" spans="1:19" ht="15.75">
      <c r="A242" s="13">
        <v>49218</v>
      </c>
      <c r="B242" s="8">
        <f>6.0807 * CHOOSE(CONTROL!$C$12, $D$11, 100%, $F$11)</f>
        <v>4.8888828000000002</v>
      </c>
      <c r="C242" s="8">
        <f>6.0912 * CHOOSE(CONTROL!$C$12, $D$11, 100%, $F$11)</f>
        <v>4.8973247999999998</v>
      </c>
      <c r="D242" s="8">
        <f>6.0827 * CHOOSE( CONTROL!$C$12, $D$11, 100%, $F$11)</f>
        <v>4.8904908000000002</v>
      </c>
      <c r="E242" s="12">
        <f>6.0844 * CHOOSE( CONTROL!$C$12, $D$11, 100%, $F$11)</f>
        <v>4.8918575999999998</v>
      </c>
      <c r="F242" s="4">
        <f>7.0697 * CHOOSE(CONTROL!$C$12, $D$11, 100%, $F$11)</f>
        <v>5.6840388000000006</v>
      </c>
      <c r="G242" s="8">
        <f>5.9152 * CHOOSE( CONTROL!$C$12, $D$11, 100%, $F$11)</f>
        <v>4.7558207999999995</v>
      </c>
      <c r="H242" s="4">
        <f>6.8151 * CHOOSE(CONTROL!$C$12, $D$11, 100%, $F$11)</f>
        <v>5.4793404000000008</v>
      </c>
      <c r="I242" s="8">
        <f>5.8843 * CHOOSE(CONTROL!$C$12, $D$11, 100%, $F$11)</f>
        <v>4.7309771999999999</v>
      </c>
      <c r="J242" s="4">
        <f>5.8218 * CHOOSE(CONTROL!$C$12, $D$11, 100%, $F$11)</f>
        <v>4.6807271999999998</v>
      </c>
      <c r="K242" s="4"/>
      <c r="L242" s="9">
        <v>28.921800000000001</v>
      </c>
      <c r="M242" s="9">
        <v>12.063700000000001</v>
      </c>
      <c r="N242" s="9">
        <v>4.9444999999999997</v>
      </c>
      <c r="O242" s="9">
        <v>0.37459999999999999</v>
      </c>
      <c r="P242" s="9">
        <v>1.2192000000000001</v>
      </c>
      <c r="Q242" s="9">
        <v>30.7105</v>
      </c>
      <c r="R242" s="9"/>
      <c r="S242" s="11"/>
    </row>
    <row r="243" spans="1:19" ht="15.75">
      <c r="A243" s="13">
        <v>49249</v>
      </c>
      <c r="B243" s="8">
        <f>6.5577 * CHOOSE(CONTROL!$C$12, $D$11, 100%, $F$11)</f>
        <v>5.2723908000000002</v>
      </c>
      <c r="C243" s="8">
        <f>6.5682 * CHOOSE(CONTROL!$C$12, $D$11, 100%, $F$11)</f>
        <v>5.2808328000000007</v>
      </c>
      <c r="D243" s="8">
        <f>6.5484 * CHOOSE( CONTROL!$C$12, $D$11, 100%, $F$11)</f>
        <v>5.2649136000000007</v>
      </c>
      <c r="E243" s="12">
        <f>6.5545 * CHOOSE( CONTROL!$C$12, $D$11, 100%, $F$11)</f>
        <v>5.2698179999999999</v>
      </c>
      <c r="F243" s="4">
        <f>7.5493 * CHOOSE(CONTROL!$C$12, $D$11, 100%, $F$11)</f>
        <v>6.0696371999999998</v>
      </c>
      <c r="G243" s="8">
        <f>6.3992 * CHOOSE( CONTROL!$C$12, $D$11, 100%, $F$11)</f>
        <v>5.144956800000001</v>
      </c>
      <c r="H243" s="4">
        <f>7.2826 * CHOOSE(CONTROL!$C$12, $D$11, 100%, $F$11)</f>
        <v>5.8552104000000007</v>
      </c>
      <c r="I243" s="8">
        <f>6.3718 * CHOOSE(CONTROL!$C$12, $D$11, 100%, $F$11)</f>
        <v>5.1229272000000003</v>
      </c>
      <c r="J243" s="4">
        <f>6.2789 * CHOOSE(CONTROL!$C$12, $D$11, 100%, $F$11)</f>
        <v>5.0482356000000008</v>
      </c>
      <c r="K243" s="4"/>
      <c r="L243" s="9">
        <v>26.515499999999999</v>
      </c>
      <c r="M243" s="9">
        <v>11.6745</v>
      </c>
      <c r="N243" s="9">
        <v>4.7850000000000001</v>
      </c>
      <c r="O243" s="9">
        <v>0.36249999999999999</v>
      </c>
      <c r="P243" s="9">
        <v>1.2522</v>
      </c>
      <c r="Q243" s="9">
        <v>29.719799999999999</v>
      </c>
      <c r="R243" s="9"/>
      <c r="S243" s="11"/>
    </row>
    <row r="244" spans="1:19" ht="15.75">
      <c r="A244" s="13">
        <v>49279</v>
      </c>
      <c r="B244" s="8">
        <f>6.5458 * CHOOSE(CONTROL!$C$12, $D$11, 100%, $F$11)</f>
        <v>5.2628232000000006</v>
      </c>
      <c r="C244" s="8">
        <f>6.5562 * CHOOSE(CONTROL!$C$12, $D$11, 100%, $F$11)</f>
        <v>5.2711848000000003</v>
      </c>
      <c r="D244" s="8">
        <f>6.5384 * CHOOSE( CONTROL!$C$12, $D$11, 100%, $F$11)</f>
        <v>5.2568736000000005</v>
      </c>
      <c r="E244" s="12">
        <f>6.5438 * CHOOSE( CONTROL!$C$12, $D$11, 100%, $F$11)</f>
        <v>5.2612152000000005</v>
      </c>
      <c r="F244" s="4">
        <f>7.5374 * CHOOSE(CONTROL!$C$12, $D$11, 100%, $F$11)</f>
        <v>6.0600696000000003</v>
      </c>
      <c r="G244" s="8">
        <f>6.3891 * CHOOSE( CONTROL!$C$12, $D$11, 100%, $F$11)</f>
        <v>5.1368364</v>
      </c>
      <c r="H244" s="4">
        <f>7.271 * CHOOSE(CONTROL!$C$12, $D$11, 100%, $F$11)</f>
        <v>5.8458839999999999</v>
      </c>
      <c r="I244" s="8">
        <f>6.3672 * CHOOSE(CONTROL!$C$12, $D$11, 100%, $F$11)</f>
        <v>5.119228800000001</v>
      </c>
      <c r="J244" s="4">
        <f>6.2674 * CHOOSE(CONTROL!$C$12, $D$11, 100%, $F$11)</f>
        <v>5.0389896000000007</v>
      </c>
      <c r="K244" s="4"/>
      <c r="L244" s="9">
        <v>27.3993</v>
      </c>
      <c r="M244" s="9">
        <v>12.063700000000001</v>
      </c>
      <c r="N244" s="9">
        <v>4.9444999999999997</v>
      </c>
      <c r="O244" s="9">
        <v>0.37459999999999999</v>
      </c>
      <c r="P244" s="9">
        <v>1.2939000000000001</v>
      </c>
      <c r="Q244" s="9">
        <v>30.7105</v>
      </c>
      <c r="R244" s="9"/>
      <c r="S244" s="11"/>
    </row>
    <row r="245" spans="1:19" ht="15.75">
      <c r="A245" s="13">
        <v>49310</v>
      </c>
      <c r="B245" s="8">
        <f>6.7123 * CHOOSE(CONTROL!$C$12, $D$11, 100%, $F$11)</f>
        <v>5.3966892</v>
      </c>
      <c r="C245" s="8">
        <f>6.7227 * CHOOSE(CONTROL!$C$12, $D$11, 100%, $F$11)</f>
        <v>5.4050507999999997</v>
      </c>
      <c r="D245" s="8">
        <f>6.7204 * CHOOSE( CONTROL!$C$12, $D$11, 100%, $F$11)</f>
        <v>5.4032016</v>
      </c>
      <c r="E245" s="12">
        <f>6.7201 * CHOOSE( CONTROL!$C$12, $D$11, 100%, $F$11)</f>
        <v>5.4029604000000004</v>
      </c>
      <c r="F245" s="4">
        <f>7.7352 * CHOOSE(CONTROL!$C$12, $D$11, 100%, $F$11)</f>
        <v>6.2191008000000005</v>
      </c>
      <c r="G245" s="8">
        <f>6.5704 * CHOOSE( CONTROL!$C$12, $D$11, 100%, $F$11)</f>
        <v>5.2826016000000005</v>
      </c>
      <c r="H245" s="4">
        <f>7.4638 * CHOOSE(CONTROL!$C$12, $D$11, 100%, $F$11)</f>
        <v>6.0008952000000004</v>
      </c>
      <c r="I245" s="8">
        <f>6.5387 * CHOOSE(CONTROL!$C$12, $D$11, 100%, $F$11)</f>
        <v>5.257114800000001</v>
      </c>
      <c r="J245" s="4">
        <f>6.4269 * CHOOSE(CONTROL!$C$12, $D$11, 100%, $F$11)</f>
        <v>5.1672276000000004</v>
      </c>
      <c r="K245" s="4"/>
      <c r="L245" s="9">
        <v>27.3993</v>
      </c>
      <c r="M245" s="9">
        <v>12.063700000000001</v>
      </c>
      <c r="N245" s="9">
        <v>4.9444999999999997</v>
      </c>
      <c r="O245" s="9">
        <v>0.37459999999999999</v>
      </c>
      <c r="P245" s="9">
        <v>1.2939000000000001</v>
      </c>
      <c r="Q245" s="9">
        <v>30.645399999999999</v>
      </c>
      <c r="R245" s="9"/>
      <c r="S245" s="11"/>
    </row>
    <row r="246" spans="1:19" ht="15.75">
      <c r="A246" s="13">
        <v>49341</v>
      </c>
      <c r="B246" s="8">
        <f>6.2786 * CHOOSE(CONTROL!$C$12, $D$11, 100%, $F$11)</f>
        <v>5.0479944000000003</v>
      </c>
      <c r="C246" s="8">
        <f>6.2891 * CHOOSE(CONTROL!$C$12, $D$11, 100%, $F$11)</f>
        <v>5.0564364000000008</v>
      </c>
      <c r="D246" s="8">
        <f>6.289 * CHOOSE( CONTROL!$C$12, $D$11, 100%, $F$11)</f>
        <v>5.0563560000000001</v>
      </c>
      <c r="E246" s="12">
        <f>6.2879 * CHOOSE( CONTROL!$C$12, $D$11, 100%, $F$11)</f>
        <v>5.0554715999999997</v>
      </c>
      <c r="F246" s="4">
        <f>7.2937 * CHOOSE(CONTROL!$C$12, $D$11, 100%, $F$11)</f>
        <v>5.8641348000000004</v>
      </c>
      <c r="G246" s="8">
        <f>6.1476 * CHOOSE( CONTROL!$C$12, $D$11, 100%, $F$11)</f>
        <v>4.9426703999999999</v>
      </c>
      <c r="H246" s="4">
        <f>7.0335 * CHOOSE(CONTROL!$C$12, $D$11, 100%, $F$11)</f>
        <v>5.6549340000000008</v>
      </c>
      <c r="I246" s="8">
        <f>6.1121 * CHOOSE(CONTROL!$C$12, $D$11, 100%, $F$11)</f>
        <v>4.9141284000000001</v>
      </c>
      <c r="J246" s="4">
        <f>6.0114 * CHOOSE(CONTROL!$C$12, $D$11, 100%, $F$11)</f>
        <v>4.8331656000000001</v>
      </c>
      <c r="K246" s="4"/>
      <c r="L246" s="9">
        <v>24.747800000000002</v>
      </c>
      <c r="M246" s="9">
        <v>10.8962</v>
      </c>
      <c r="N246" s="9">
        <v>4.4660000000000002</v>
      </c>
      <c r="O246" s="9">
        <v>0.33829999999999999</v>
      </c>
      <c r="P246" s="9">
        <v>1.1687000000000001</v>
      </c>
      <c r="Q246" s="9">
        <v>27.6797</v>
      </c>
      <c r="R246" s="9"/>
      <c r="S246" s="11"/>
    </row>
    <row r="247" spans="1:19" ht="15.75">
      <c r="A247" s="13">
        <v>49369</v>
      </c>
      <c r="B247" s="8">
        <f>6.1451 * CHOOSE(CONTROL!$C$12, $D$11, 100%, $F$11)</f>
        <v>4.9406604000000005</v>
      </c>
      <c r="C247" s="8">
        <f>6.1555 * CHOOSE(CONTROL!$C$12, $D$11, 100%, $F$11)</f>
        <v>4.9490220000000003</v>
      </c>
      <c r="D247" s="8">
        <f>6.1354 * CHOOSE( CONTROL!$C$12, $D$11, 100%, $F$11)</f>
        <v>4.9328615999999998</v>
      </c>
      <c r="E247" s="12">
        <f>6.1416 * CHOOSE( CONTROL!$C$12, $D$11, 100%, $F$11)</f>
        <v>4.9378464000000006</v>
      </c>
      <c r="F247" s="4">
        <f>7.144 * CHOOSE(CONTROL!$C$12, $D$11, 100%, $F$11)</f>
        <v>5.7437760000000004</v>
      </c>
      <c r="G247" s="8">
        <f>5.9969 * CHOOSE( CONTROL!$C$12, $D$11, 100%, $F$11)</f>
        <v>4.8215076000000003</v>
      </c>
      <c r="H247" s="4">
        <f>6.8875 * CHOOSE(CONTROL!$C$12, $D$11, 100%, $F$11)</f>
        <v>5.5375500000000004</v>
      </c>
      <c r="I247" s="8">
        <f>5.9446 * CHOOSE(CONTROL!$C$12, $D$11, 100%, $F$11)</f>
        <v>4.7794584000000002</v>
      </c>
      <c r="J247" s="4">
        <f>5.8835 * CHOOSE(CONTROL!$C$12, $D$11, 100%, $F$11)</f>
        <v>4.730334</v>
      </c>
      <c r="K247" s="4"/>
      <c r="L247" s="9">
        <v>27.3993</v>
      </c>
      <c r="M247" s="9">
        <v>12.063700000000001</v>
      </c>
      <c r="N247" s="9">
        <v>4.9444999999999997</v>
      </c>
      <c r="O247" s="9">
        <v>0.37459999999999999</v>
      </c>
      <c r="P247" s="9">
        <v>1.2939000000000001</v>
      </c>
      <c r="Q247" s="9">
        <v>30.645399999999999</v>
      </c>
      <c r="R247" s="9"/>
      <c r="S247" s="11"/>
    </row>
    <row r="248" spans="1:19" ht="15.75">
      <c r="A248" s="13">
        <v>49400</v>
      </c>
      <c r="B248" s="8">
        <f>6.2384 * CHOOSE(CONTROL!$C$12, $D$11, 100%, $F$11)</f>
        <v>5.0156736000000004</v>
      </c>
      <c r="C248" s="8">
        <f>6.2489 * CHOOSE(CONTROL!$C$12, $D$11, 100%, $F$11)</f>
        <v>5.0241156</v>
      </c>
      <c r="D248" s="8">
        <f>6.2521 * CHOOSE( CONTROL!$C$12, $D$11, 100%, $F$11)</f>
        <v>5.0266884000000003</v>
      </c>
      <c r="E248" s="12">
        <f>6.2498 * CHOOSE( CONTROL!$C$12, $D$11, 100%, $F$11)</f>
        <v>5.0248391999999997</v>
      </c>
      <c r="F248" s="4">
        <f>7.2457 * CHOOSE(CONTROL!$C$12, $D$11, 100%, $F$11)</f>
        <v>5.8255428000000009</v>
      </c>
      <c r="G248" s="8">
        <f>6.0758 * CHOOSE( CONTROL!$C$12, $D$11, 100%, $F$11)</f>
        <v>4.8849432000000004</v>
      </c>
      <c r="H248" s="4">
        <f>6.9866 * CHOOSE(CONTROL!$C$12, $D$11, 100%, $F$11)</f>
        <v>5.6172264000000007</v>
      </c>
      <c r="I248" s="8">
        <f>6.0241 * CHOOSE(CONTROL!$C$12, $D$11, 100%, $F$11)</f>
        <v>4.8433764000000004</v>
      </c>
      <c r="J248" s="4">
        <f>5.9729 * CHOOSE(CONTROL!$C$12, $D$11, 100%, $F$11)</f>
        <v>4.8022116000000006</v>
      </c>
      <c r="K248" s="4"/>
      <c r="L248" s="9">
        <v>27.988800000000001</v>
      </c>
      <c r="M248" s="9">
        <v>11.6745</v>
      </c>
      <c r="N248" s="9">
        <v>4.7850000000000001</v>
      </c>
      <c r="O248" s="9">
        <v>0.36249999999999999</v>
      </c>
      <c r="P248" s="9">
        <v>1.1798</v>
      </c>
      <c r="Q248" s="9">
        <v>29.6568</v>
      </c>
      <c r="R248" s="9"/>
      <c r="S248" s="11"/>
    </row>
    <row r="249" spans="1:19" ht="15.75">
      <c r="A249" s="13">
        <v>49430</v>
      </c>
      <c r="B249" s="8">
        <f>CHOOSE( CONTROL!$C$29, 6.4092, 6.4045) * CHOOSE(CONTROL!$C$12, $D$11, 100%, $F$11)</f>
        <v>5.1529968000000004</v>
      </c>
      <c r="C249" s="8">
        <f>CHOOSE( CONTROL!$C$29, 6.4197, 6.4149) * CHOOSE(CONTROL!$C$12, $D$11, 100%, $F$11)</f>
        <v>5.1614388</v>
      </c>
      <c r="D249" s="8">
        <f>CHOOSE( CONTROL!$C$29, 6.3976, 6.3929) * CHOOSE( CONTROL!$C$12, $D$11, 100%, $F$11)</f>
        <v>5.1436704000000004</v>
      </c>
      <c r="E249" s="12">
        <f>CHOOSE( CONTROL!$C$29, 6.404, 6.3993) * CHOOSE( CONTROL!$C$12, $D$11, 100%, $F$11)</f>
        <v>5.1488160000000001</v>
      </c>
      <c r="F249" s="4">
        <f>CHOOSE( CONTROL!$C$29, 7.3841, 7.3794) * CHOOSE(CONTROL!$C$12, $D$11, 100%, $F$11)</f>
        <v>5.9368164000000005</v>
      </c>
      <c r="G249" s="8">
        <f>CHOOSE( CONTROL!$C$29, 6.2236, 6.219) * CHOOSE( CONTROL!$C$12, $D$11, 100%, $F$11)</f>
        <v>5.0037744000000002</v>
      </c>
      <c r="H249" s="4">
        <f>CHOOSE( CONTROL!$C$29, 7.1216, 7.117) * CHOOSE(CONTROL!$C$12, $D$11, 100%, $F$11)</f>
        <v>5.7257664000000004</v>
      </c>
      <c r="I249" s="8">
        <f>CHOOSE( CONTROL!$C$29, 6.1663, 6.1618) * CHOOSE(CONTROL!$C$12, $D$11, 100%, $F$11)</f>
        <v>4.9577052000000004</v>
      </c>
      <c r="J249" s="4">
        <f>CHOOSE( CONTROL!$C$29, 6.1366, 6.132) * CHOOSE(CONTROL!$C$12, $D$11, 100%, $F$11)</f>
        <v>4.9338264000000001</v>
      </c>
      <c r="K249" s="4"/>
      <c r="L249" s="9">
        <v>29.520499999999998</v>
      </c>
      <c r="M249" s="9">
        <v>12.063700000000001</v>
      </c>
      <c r="N249" s="9">
        <v>4.9444999999999997</v>
      </c>
      <c r="O249" s="9">
        <v>0.37459999999999999</v>
      </c>
      <c r="P249" s="9">
        <v>1.2192000000000001</v>
      </c>
      <c r="Q249" s="9">
        <v>30.645399999999999</v>
      </c>
      <c r="R249" s="9"/>
      <c r="S249" s="11"/>
    </row>
    <row r="250" spans="1:19" ht="15.75">
      <c r="A250" s="14">
        <v>49461</v>
      </c>
      <c r="B250" s="8">
        <f>CHOOSE( CONTROL!$C$29, 6.3063, 6.3016) * CHOOSE(CONTROL!$C$12, $D$11, 100%, $F$11)</f>
        <v>5.0702652000000006</v>
      </c>
      <c r="C250" s="8">
        <f>CHOOSE( CONTROL!$C$29, 6.3168, 6.3121) * CHOOSE(CONTROL!$C$12, $D$11, 100%, $F$11)</f>
        <v>5.0787072000000002</v>
      </c>
      <c r="D250" s="8">
        <f>CHOOSE( CONTROL!$C$29, 6.2891, 6.2844) * CHOOSE( CONTROL!$C$12, $D$11, 100%, $F$11)</f>
        <v>5.0564364000000008</v>
      </c>
      <c r="E250" s="12">
        <f>CHOOSE( CONTROL!$C$29, 6.2975, 6.2928) * CHOOSE( CONTROL!$C$12, $D$11, 100%, $F$11)</f>
        <v>5.0631900000000005</v>
      </c>
      <c r="F250" s="4">
        <f>CHOOSE( CONTROL!$C$29, 7.2708, 7.2661) * CHOOSE(CONTROL!$C$12, $D$11, 100%, $F$11)</f>
        <v>5.845723200000001</v>
      </c>
      <c r="G250" s="8">
        <f>CHOOSE( CONTROL!$C$29, 6.122, 6.1174) * CHOOSE( CONTROL!$C$12, $D$11, 100%, $F$11)</f>
        <v>4.9220880000000005</v>
      </c>
      <c r="H250" s="4">
        <f>CHOOSE( CONTROL!$C$29, 7.0111, 7.0065) * CHOOSE(CONTROL!$C$12, $D$11, 100%, $F$11)</f>
        <v>5.6369243999999998</v>
      </c>
      <c r="I250" s="8">
        <f>CHOOSE( CONTROL!$C$29, 6.0698, 6.0653) * CHOOSE(CONTROL!$C$12, $D$11, 100%, $F$11)</f>
        <v>4.8801192000000002</v>
      </c>
      <c r="J250" s="4">
        <f>CHOOSE( CONTROL!$C$29, 6.038, 6.0335) * CHOOSE(CONTROL!$C$12, $D$11, 100%, $F$11)</f>
        <v>4.8545520000000009</v>
      </c>
      <c r="K250" s="4"/>
      <c r="L250" s="9">
        <v>28.568200000000001</v>
      </c>
      <c r="M250" s="9">
        <v>11.6745</v>
      </c>
      <c r="N250" s="9">
        <v>4.7850000000000001</v>
      </c>
      <c r="O250" s="9">
        <v>0.36249999999999999</v>
      </c>
      <c r="P250" s="9">
        <v>1.1798</v>
      </c>
      <c r="Q250" s="9">
        <v>29.6568</v>
      </c>
      <c r="R250" s="9"/>
      <c r="S250" s="11"/>
    </row>
    <row r="251" spans="1:19" ht="15.75">
      <c r="A251" s="14">
        <v>49491</v>
      </c>
      <c r="B251" s="8">
        <f>CHOOSE( CONTROL!$C$29, 6.5773, 6.5726) * CHOOSE(CONTROL!$C$12, $D$11, 100%, $F$11)</f>
        <v>5.2881492000000003</v>
      </c>
      <c r="C251" s="8">
        <f>CHOOSE( CONTROL!$C$29, 6.5877, 6.583) * CHOOSE(CONTROL!$C$12, $D$11, 100%, $F$11)</f>
        <v>5.2965108000000001</v>
      </c>
      <c r="D251" s="8">
        <f>CHOOSE( CONTROL!$C$29, 6.5793, 6.5746) * CHOOSE( CONTROL!$C$12, $D$11, 100%, $F$11)</f>
        <v>5.2897572000000004</v>
      </c>
      <c r="E251" s="12">
        <f>CHOOSE( CONTROL!$C$29, 6.5808, 6.5761) * CHOOSE( CONTROL!$C$12, $D$11, 100%, $F$11)</f>
        <v>5.2909632000000002</v>
      </c>
      <c r="F251" s="4">
        <f>CHOOSE( CONTROL!$C$29, 7.5689, 7.5642) * CHOOSE(CONTROL!$C$12, $D$11, 100%, $F$11)</f>
        <v>6.0853956000000009</v>
      </c>
      <c r="G251" s="8">
        <f>CHOOSE( CONTROL!$C$29, 6.3988, 6.3942) * CHOOSE( CONTROL!$C$12, $D$11, 100%, $F$11)</f>
        <v>5.1446351999999997</v>
      </c>
      <c r="H251" s="4">
        <f>CHOOSE( CONTROL!$C$29, 7.3017, 7.2971) * CHOOSE(CONTROL!$C$12, $D$11, 100%, $F$11)</f>
        <v>5.8705668000000006</v>
      </c>
      <c r="I251" s="8">
        <f>CHOOSE( CONTROL!$C$29, 6.3523, 6.3478) * CHOOSE(CONTROL!$C$12, $D$11, 100%, $F$11)</f>
        <v>5.1072492</v>
      </c>
      <c r="J251" s="4">
        <f>CHOOSE( CONTROL!$C$29, 6.2976, 6.2931) * CHOOSE(CONTROL!$C$12, $D$11, 100%, $F$11)</f>
        <v>5.0632704000000004</v>
      </c>
      <c r="K251" s="4"/>
      <c r="L251" s="9">
        <v>29.520499999999998</v>
      </c>
      <c r="M251" s="9">
        <v>12.063700000000001</v>
      </c>
      <c r="N251" s="9">
        <v>4.9444999999999997</v>
      </c>
      <c r="O251" s="9">
        <v>0.37459999999999999</v>
      </c>
      <c r="P251" s="9">
        <v>1.2192000000000001</v>
      </c>
      <c r="Q251" s="9">
        <v>30.645399999999999</v>
      </c>
      <c r="R251" s="9"/>
      <c r="S251" s="11"/>
    </row>
    <row r="252" spans="1:19" ht="15.75">
      <c r="A252" s="14">
        <v>49522</v>
      </c>
      <c r="B252" s="8">
        <f>CHOOSE( CONTROL!$C$29, 6.0703, 6.0656) * CHOOSE(CONTROL!$C$12, $D$11, 100%, $F$11)</f>
        <v>4.8805211999999996</v>
      </c>
      <c r="C252" s="8">
        <f>CHOOSE( CONTROL!$C$29, 6.0807, 6.076) * CHOOSE(CONTROL!$C$12, $D$11, 100%, $F$11)</f>
        <v>4.8888828000000002</v>
      </c>
      <c r="D252" s="8">
        <f>CHOOSE( CONTROL!$C$29, 6.0756, 6.0709) * CHOOSE( CONTROL!$C$12, $D$11, 100%, $F$11)</f>
        <v>4.8847823999999997</v>
      </c>
      <c r="E252" s="12">
        <f>CHOOSE( CONTROL!$C$29, 6.0759, 6.0712) * CHOOSE( CONTROL!$C$12, $D$11, 100%, $F$11)</f>
        <v>4.8850236000000002</v>
      </c>
      <c r="F252" s="4">
        <f>CHOOSE( CONTROL!$C$29, 7.0671, 7.0624) * CHOOSE(CONTROL!$C$12, $D$11, 100%, $F$11)</f>
        <v>5.6819484000000005</v>
      </c>
      <c r="G252" s="8">
        <f>CHOOSE( CONTROL!$C$29, 5.9068, 5.9022) * CHOOSE( CONTROL!$C$12, $D$11, 100%, $F$11)</f>
        <v>4.7490671999999998</v>
      </c>
      <c r="H252" s="4">
        <f>CHOOSE( CONTROL!$C$29, 6.8126, 6.808) * CHOOSE(CONTROL!$C$12, $D$11, 100%, $F$11)</f>
        <v>5.4773304000000005</v>
      </c>
      <c r="I252" s="8">
        <f>CHOOSE( CONTROL!$C$29, 5.8709, 5.8664) * CHOOSE(CONTROL!$C$12, $D$11, 100%, $F$11)</f>
        <v>4.7202036000000005</v>
      </c>
      <c r="J252" s="4">
        <f>CHOOSE( CONTROL!$C$29, 5.8118, 5.8073) * CHOOSE(CONTROL!$C$12, $D$11, 100%, $F$11)</f>
        <v>4.6726872000000004</v>
      </c>
      <c r="K252" s="4"/>
      <c r="L252" s="9">
        <v>29.520499999999998</v>
      </c>
      <c r="M252" s="9">
        <v>12.063700000000001</v>
      </c>
      <c r="N252" s="9">
        <v>4.9444999999999997</v>
      </c>
      <c r="O252" s="9">
        <v>0.37459999999999999</v>
      </c>
      <c r="P252" s="9">
        <v>1.2192000000000001</v>
      </c>
      <c r="Q252" s="9">
        <v>30.645399999999999</v>
      </c>
      <c r="R252" s="9"/>
      <c r="S252" s="11"/>
    </row>
    <row r="253" spans="1:19" ht="15.75">
      <c r="A253" s="14">
        <v>49553</v>
      </c>
      <c r="B253" s="8">
        <f>CHOOSE( CONTROL!$C$29, 5.9434, 5.9386) * CHOOSE(CONTROL!$C$12, $D$11, 100%, $F$11)</f>
        <v>4.7784936</v>
      </c>
      <c r="C253" s="8">
        <f>CHOOSE( CONTROL!$C$29, 5.9538, 5.9491) * CHOOSE(CONTROL!$C$12, $D$11, 100%, $F$11)</f>
        <v>4.7868552000000006</v>
      </c>
      <c r="D253" s="8">
        <f>CHOOSE( CONTROL!$C$29, 5.9445, 5.9398) * CHOOSE( CONTROL!$C$12, $D$11, 100%, $F$11)</f>
        <v>4.7793780000000003</v>
      </c>
      <c r="E253" s="12">
        <f>CHOOSE( CONTROL!$C$29, 5.9463, 5.9416) * CHOOSE( CONTROL!$C$12, $D$11, 100%, $F$11)</f>
        <v>4.7808252000000007</v>
      </c>
      <c r="F253" s="4">
        <f>CHOOSE( CONTROL!$C$29, 6.9323, 6.9276) * CHOOSE(CONTROL!$C$12, $D$11, 100%, $F$11)</f>
        <v>5.5735691999999997</v>
      </c>
      <c r="G253" s="8">
        <f>CHOOSE( CONTROL!$C$29, 5.7817, 5.7771) * CHOOSE( CONTROL!$C$12, $D$11, 100%, $F$11)</f>
        <v>4.6484868000000006</v>
      </c>
      <c r="H253" s="4">
        <f>CHOOSE( CONTROL!$C$29, 6.6812, 6.6766) * CHOOSE(CONTROL!$C$12, $D$11, 100%, $F$11)</f>
        <v>5.3716847999999997</v>
      </c>
      <c r="I253" s="8">
        <f>CHOOSE( CONTROL!$C$29, 5.7505, 5.746) * CHOOSE(CONTROL!$C$12, $D$11, 100%, $F$11)</f>
        <v>4.6234020000000005</v>
      </c>
      <c r="J253" s="4">
        <f>CHOOSE( CONTROL!$C$29, 5.6902, 5.6857) * CHOOSE(CONTROL!$C$12, $D$11, 100%, $F$11)</f>
        <v>4.5749208000000001</v>
      </c>
      <c r="K253" s="4"/>
      <c r="L253" s="9">
        <v>28.568200000000001</v>
      </c>
      <c r="M253" s="9">
        <v>11.6745</v>
      </c>
      <c r="N253" s="9">
        <v>4.7850000000000001</v>
      </c>
      <c r="O253" s="9">
        <v>0.36249999999999999</v>
      </c>
      <c r="P253" s="9">
        <v>1.1798</v>
      </c>
      <c r="Q253" s="9">
        <v>29.6568</v>
      </c>
      <c r="R253" s="9"/>
      <c r="S253" s="11"/>
    </row>
    <row r="254" spans="1:19" ht="15.75">
      <c r="A254" s="14">
        <v>49583</v>
      </c>
      <c r="B254" s="8">
        <f>6.2022 * CHOOSE(CONTROL!$C$12, $D$11, 100%, $F$11)</f>
        <v>4.9865688000000006</v>
      </c>
      <c r="C254" s="8">
        <f>6.2127 * CHOOSE(CONTROL!$C$12, $D$11, 100%, $F$11)</f>
        <v>4.9950108000000002</v>
      </c>
      <c r="D254" s="8">
        <f>6.2042 * CHOOSE( CONTROL!$C$12, $D$11, 100%, $F$11)</f>
        <v>4.9881768000000006</v>
      </c>
      <c r="E254" s="12">
        <f>6.2059 * CHOOSE( CONTROL!$C$12, $D$11, 100%, $F$11)</f>
        <v>4.9895436000000002</v>
      </c>
      <c r="F254" s="4">
        <f>7.1912 * CHOOSE(CONTROL!$C$12, $D$11, 100%, $F$11)</f>
        <v>5.781724800000001</v>
      </c>
      <c r="G254" s="8">
        <f>6.0337 * CHOOSE( CONTROL!$C$12, $D$11, 100%, $F$11)</f>
        <v>4.8510948000000003</v>
      </c>
      <c r="H254" s="4">
        <f>6.9336 * CHOOSE(CONTROL!$C$12, $D$11, 100%, $F$11)</f>
        <v>5.5746144000000006</v>
      </c>
      <c r="I254" s="8">
        <f>6.0008 * CHOOSE(CONTROL!$C$12, $D$11, 100%, $F$11)</f>
        <v>4.8246432000000006</v>
      </c>
      <c r="J254" s="4">
        <f>5.9382 * CHOOSE(CONTROL!$C$12, $D$11, 100%, $F$11)</f>
        <v>4.7743128000000006</v>
      </c>
      <c r="K254" s="4"/>
      <c r="L254" s="9">
        <v>28.921800000000001</v>
      </c>
      <c r="M254" s="9">
        <v>12.063700000000001</v>
      </c>
      <c r="N254" s="9">
        <v>4.9444999999999997</v>
      </c>
      <c r="O254" s="9">
        <v>0.37459999999999999</v>
      </c>
      <c r="P254" s="9">
        <v>1.2192000000000001</v>
      </c>
      <c r="Q254" s="9">
        <v>30.645399999999999</v>
      </c>
      <c r="R254" s="9"/>
      <c r="S254" s="11"/>
    </row>
    <row r="255" spans="1:19" ht="15.75">
      <c r="A255" s="14">
        <v>49614</v>
      </c>
      <c r="B255" s="8">
        <f>6.6888 * CHOOSE(CONTROL!$C$12, $D$11, 100%, $F$11)</f>
        <v>5.3777952000000004</v>
      </c>
      <c r="C255" s="8">
        <f>6.6992 * CHOOSE(CONTROL!$C$12, $D$11, 100%, $F$11)</f>
        <v>5.3861568000000002</v>
      </c>
      <c r="D255" s="8">
        <f>6.6795 * CHOOSE( CONTROL!$C$12, $D$11, 100%, $F$11)</f>
        <v>5.3703180000000001</v>
      </c>
      <c r="E255" s="12">
        <f>6.6856 * CHOOSE( CONTROL!$C$12, $D$11, 100%, $F$11)</f>
        <v>5.3752224000000002</v>
      </c>
      <c r="F255" s="4">
        <f>7.6804 * CHOOSE(CONTROL!$C$12, $D$11, 100%, $F$11)</f>
        <v>6.1750416000000001</v>
      </c>
      <c r="G255" s="8">
        <f>6.527 * CHOOSE( CONTROL!$C$12, $D$11, 100%, $F$11)</f>
        <v>5.2477080000000003</v>
      </c>
      <c r="H255" s="4">
        <f>7.4104 * CHOOSE(CONTROL!$C$12, $D$11, 100%, $F$11)</f>
        <v>5.9579616000000009</v>
      </c>
      <c r="I255" s="8">
        <f>6.4974 * CHOOSE(CONTROL!$C$12, $D$11, 100%, $F$11)</f>
        <v>5.2239095999999998</v>
      </c>
      <c r="J255" s="4">
        <f>6.4044 * CHOOSE(CONTROL!$C$12, $D$11, 100%, $F$11)</f>
        <v>5.1491376000000004</v>
      </c>
      <c r="K255" s="4"/>
      <c r="L255" s="9">
        <v>26.515499999999999</v>
      </c>
      <c r="M255" s="9">
        <v>11.6745</v>
      </c>
      <c r="N255" s="9">
        <v>4.7850000000000001</v>
      </c>
      <c r="O255" s="9">
        <v>0.36249999999999999</v>
      </c>
      <c r="P255" s="9">
        <v>1.2522</v>
      </c>
      <c r="Q255" s="9">
        <v>29.6568</v>
      </c>
      <c r="R255" s="9"/>
      <c r="S255" s="11"/>
    </row>
    <row r="256" spans="1:19" ht="15.75">
      <c r="A256" s="14">
        <v>49644</v>
      </c>
      <c r="B256" s="8">
        <f>6.6766 * CHOOSE(CONTROL!$C$12, $D$11, 100%, $F$11)</f>
        <v>5.3679864000000004</v>
      </c>
      <c r="C256" s="8">
        <f>6.6871 * CHOOSE(CONTROL!$C$12, $D$11, 100%, $F$11)</f>
        <v>5.3764284</v>
      </c>
      <c r="D256" s="8">
        <f>6.6692 * CHOOSE( CONTROL!$C$12, $D$11, 100%, $F$11)</f>
        <v>5.3620368000000003</v>
      </c>
      <c r="E256" s="12">
        <f>6.6746 * CHOOSE( CONTROL!$C$12, $D$11, 100%, $F$11)</f>
        <v>5.3663784000000003</v>
      </c>
      <c r="F256" s="4">
        <f>7.6682 * CHOOSE(CONTROL!$C$12, $D$11, 100%, $F$11)</f>
        <v>6.1652328000000001</v>
      </c>
      <c r="G256" s="8">
        <f>6.5166 * CHOOSE( CONTROL!$C$12, $D$11, 100%, $F$11)</f>
        <v>5.2393464000000005</v>
      </c>
      <c r="H256" s="4">
        <f>7.3985 * CHOOSE(CONTROL!$C$12, $D$11, 100%, $F$11)</f>
        <v>5.9483940000000004</v>
      </c>
      <c r="I256" s="8">
        <f>6.4926 * CHOOSE(CONTROL!$C$12, $D$11, 100%, $F$11)</f>
        <v>5.2200504000000008</v>
      </c>
      <c r="J256" s="4">
        <f>6.3928 * CHOOSE(CONTROL!$C$12, $D$11, 100%, $F$11)</f>
        <v>5.1398112000000005</v>
      </c>
      <c r="K256" s="4"/>
      <c r="L256" s="9">
        <v>27.3993</v>
      </c>
      <c r="M256" s="9">
        <v>12.063700000000001</v>
      </c>
      <c r="N256" s="9">
        <v>4.9444999999999997</v>
      </c>
      <c r="O256" s="9">
        <v>0.37459999999999999</v>
      </c>
      <c r="P256" s="9">
        <v>1.2939000000000001</v>
      </c>
      <c r="Q256" s="9">
        <v>30.645399999999999</v>
      </c>
      <c r="R256" s="9"/>
      <c r="S256" s="11"/>
    </row>
    <row r="257" spans="1:19" ht="15.75">
      <c r="A257" s="14">
        <v>49675</v>
      </c>
      <c r="B257" s="8">
        <f>6.9316 * CHOOSE(CONTROL!$C$12, $D$11, 100%, $F$11)</f>
        <v>5.5730064000000006</v>
      </c>
      <c r="C257" s="8">
        <f>6.9421 * CHOOSE(CONTROL!$C$12, $D$11, 100%, $F$11)</f>
        <v>5.5814484000000002</v>
      </c>
      <c r="D257" s="8">
        <f>6.9397 * CHOOSE( CONTROL!$C$12, $D$11, 100%, $F$11)</f>
        <v>5.5795188000000007</v>
      </c>
      <c r="E257" s="12">
        <f>6.9395 * CHOOSE( CONTROL!$C$12, $D$11, 100%, $F$11)</f>
        <v>5.579358</v>
      </c>
      <c r="F257" s="4">
        <f>7.9545 * CHOOSE(CONTROL!$C$12, $D$11, 100%, $F$11)</f>
        <v>6.3954180000000003</v>
      </c>
      <c r="G257" s="8">
        <f>6.7842 * CHOOSE( CONTROL!$C$12, $D$11, 100%, $F$11)</f>
        <v>5.4544968000000003</v>
      </c>
      <c r="H257" s="4">
        <f>7.6776 * CHOOSE(CONTROL!$C$12, $D$11, 100%, $F$11)</f>
        <v>6.1727904000000002</v>
      </c>
      <c r="I257" s="8">
        <f>6.749 * CHOOSE(CONTROL!$C$12, $D$11, 100%, $F$11)</f>
        <v>5.426196</v>
      </c>
      <c r="J257" s="4">
        <f>6.6371 * CHOOSE(CONTROL!$C$12, $D$11, 100%, $F$11)</f>
        <v>5.3362284000000004</v>
      </c>
      <c r="K257" s="4"/>
      <c r="L257" s="9">
        <v>27.3993</v>
      </c>
      <c r="M257" s="9">
        <v>12.063700000000001</v>
      </c>
      <c r="N257" s="9">
        <v>4.9444999999999997</v>
      </c>
      <c r="O257" s="9">
        <v>0.37459999999999999</v>
      </c>
      <c r="P257" s="9">
        <v>1.2939000000000001</v>
      </c>
      <c r="Q257" s="9">
        <v>30.580300000000001</v>
      </c>
      <c r="R257" s="9"/>
      <c r="S257" s="11"/>
    </row>
    <row r="258" spans="1:19" ht="15.75">
      <c r="A258" s="14">
        <v>49706</v>
      </c>
      <c r="B258" s="8">
        <f>6.4838 * CHOOSE(CONTROL!$C$12, $D$11, 100%, $F$11)</f>
        <v>5.2129751999999998</v>
      </c>
      <c r="C258" s="8">
        <f>6.4943 * CHOOSE(CONTROL!$C$12, $D$11, 100%, $F$11)</f>
        <v>5.2214172000000003</v>
      </c>
      <c r="D258" s="8">
        <f>6.4942 * CHOOSE( CONTROL!$C$12, $D$11, 100%, $F$11)</f>
        <v>5.2213368000000004</v>
      </c>
      <c r="E258" s="12">
        <f>6.4931 * CHOOSE( CONTROL!$C$12, $D$11, 100%, $F$11)</f>
        <v>5.2204524000000001</v>
      </c>
      <c r="F258" s="4">
        <f>7.4989 * CHOOSE(CONTROL!$C$12, $D$11, 100%, $F$11)</f>
        <v>6.0291155999999999</v>
      </c>
      <c r="G258" s="8">
        <f>6.3476 * CHOOSE( CONTROL!$C$12, $D$11, 100%, $F$11)</f>
        <v>5.1034704</v>
      </c>
      <c r="H258" s="4">
        <f>7.2335 * CHOOSE(CONTROL!$C$12, $D$11, 100%, $F$11)</f>
        <v>5.8157340000000008</v>
      </c>
      <c r="I258" s="8">
        <f>6.3088 * CHOOSE(CONTROL!$C$12, $D$11, 100%, $F$11)</f>
        <v>5.0722752</v>
      </c>
      <c r="J258" s="4">
        <f>6.208 * CHOOSE(CONTROL!$C$12, $D$11, 100%, $F$11)</f>
        <v>4.9912320000000001</v>
      </c>
      <c r="K258" s="4"/>
      <c r="L258" s="9">
        <v>25.631599999999999</v>
      </c>
      <c r="M258" s="9">
        <v>11.285299999999999</v>
      </c>
      <c r="N258" s="9">
        <v>4.6254999999999997</v>
      </c>
      <c r="O258" s="9">
        <v>0.35039999999999999</v>
      </c>
      <c r="P258" s="9">
        <v>1.2104999999999999</v>
      </c>
      <c r="Q258" s="9">
        <v>28.607299999999999</v>
      </c>
      <c r="R258" s="9"/>
      <c r="S258" s="11"/>
    </row>
    <row r="259" spans="1:19" ht="15.75">
      <c r="A259" s="14">
        <v>49735</v>
      </c>
      <c r="B259" s="8">
        <f>6.3459 * CHOOSE(CONTROL!$C$12, $D$11, 100%, $F$11)</f>
        <v>5.1021036000000004</v>
      </c>
      <c r="C259" s="8">
        <f>6.3563 * CHOOSE(CONTROL!$C$12, $D$11, 100%, $F$11)</f>
        <v>5.1104652000000002</v>
      </c>
      <c r="D259" s="8">
        <f>6.3362 * CHOOSE( CONTROL!$C$12, $D$11, 100%, $F$11)</f>
        <v>5.0943047999999997</v>
      </c>
      <c r="E259" s="12">
        <f>6.3424 * CHOOSE( CONTROL!$C$12, $D$11, 100%, $F$11)</f>
        <v>5.0992895999999996</v>
      </c>
      <c r="F259" s="4">
        <f>7.3448 * CHOOSE(CONTROL!$C$12, $D$11, 100%, $F$11)</f>
        <v>5.9052192000000003</v>
      </c>
      <c r="G259" s="8">
        <f>6.1927 * CHOOSE( CONTROL!$C$12, $D$11, 100%, $F$11)</f>
        <v>4.9789308000000005</v>
      </c>
      <c r="H259" s="4">
        <f>7.0833 * CHOOSE(CONTROL!$C$12, $D$11, 100%, $F$11)</f>
        <v>5.6949732000000006</v>
      </c>
      <c r="I259" s="8">
        <f>6.1371 * CHOOSE(CONTROL!$C$12, $D$11, 100%, $F$11)</f>
        <v>4.9342284000000003</v>
      </c>
      <c r="J259" s="4">
        <f>6.0759 * CHOOSE(CONTROL!$C$12, $D$11, 100%, $F$11)</f>
        <v>4.8850236000000002</v>
      </c>
      <c r="K259" s="4"/>
      <c r="L259" s="9">
        <v>27.3993</v>
      </c>
      <c r="M259" s="9">
        <v>12.063700000000001</v>
      </c>
      <c r="N259" s="9">
        <v>4.9444999999999997</v>
      </c>
      <c r="O259" s="9">
        <v>0.37459999999999999</v>
      </c>
      <c r="P259" s="9">
        <v>1.2939000000000001</v>
      </c>
      <c r="Q259" s="9">
        <v>30.580300000000001</v>
      </c>
      <c r="R259" s="9"/>
      <c r="S259" s="11"/>
    </row>
    <row r="260" spans="1:19" ht="15.75">
      <c r="A260" s="14">
        <v>49766</v>
      </c>
      <c r="B260" s="8">
        <f>6.4423 * CHOOSE(CONTROL!$C$12, $D$11, 100%, $F$11)</f>
        <v>5.1796092000000007</v>
      </c>
      <c r="C260" s="8">
        <f>6.4527 * CHOOSE(CONTROL!$C$12, $D$11, 100%, $F$11)</f>
        <v>5.1879708000000004</v>
      </c>
      <c r="D260" s="8">
        <f>6.4559 * CHOOSE( CONTROL!$C$12, $D$11, 100%, $F$11)</f>
        <v>5.1905435999999998</v>
      </c>
      <c r="E260" s="12">
        <f>6.4537 * CHOOSE( CONTROL!$C$12, $D$11, 100%, $F$11)</f>
        <v>5.1887748000000009</v>
      </c>
      <c r="F260" s="4">
        <f>7.4495 * CHOOSE(CONTROL!$C$12, $D$11, 100%, $F$11)</f>
        <v>5.9893980000000004</v>
      </c>
      <c r="G260" s="8">
        <f>6.2745 * CHOOSE( CONTROL!$C$12, $D$11, 100%, $F$11)</f>
        <v>5.0446980000000003</v>
      </c>
      <c r="H260" s="4">
        <f>7.1853 * CHOOSE(CONTROL!$C$12, $D$11, 100%, $F$11)</f>
        <v>5.7769811999999998</v>
      </c>
      <c r="I260" s="8">
        <f>6.2196 * CHOOSE(CONTROL!$C$12, $D$11, 100%, $F$11)</f>
        <v>5.0005584000000001</v>
      </c>
      <c r="J260" s="4">
        <f>6.1682 * CHOOSE(CONTROL!$C$12, $D$11, 100%, $F$11)</f>
        <v>4.9592327999999997</v>
      </c>
      <c r="K260" s="4"/>
      <c r="L260" s="9">
        <v>27.988800000000001</v>
      </c>
      <c r="M260" s="9">
        <v>11.6745</v>
      </c>
      <c r="N260" s="9">
        <v>4.7850000000000001</v>
      </c>
      <c r="O260" s="9">
        <v>0.36249999999999999</v>
      </c>
      <c r="P260" s="9">
        <v>1.1798</v>
      </c>
      <c r="Q260" s="9">
        <v>29.593800000000002</v>
      </c>
      <c r="R260" s="9"/>
      <c r="S260" s="11"/>
    </row>
    <row r="261" spans="1:19" ht="15.75">
      <c r="A261" s="14">
        <v>49796</v>
      </c>
      <c r="B261" s="8">
        <f>CHOOSE( CONTROL!$C$29, 6.6185, 6.6138) * CHOOSE(CONTROL!$C$12, $D$11, 100%, $F$11)</f>
        <v>5.3212740000000007</v>
      </c>
      <c r="C261" s="8">
        <f>CHOOSE( CONTROL!$C$29, 6.6289, 6.6242) * CHOOSE(CONTROL!$C$12, $D$11, 100%, $F$11)</f>
        <v>5.3296356000000005</v>
      </c>
      <c r="D261" s="8">
        <f>CHOOSE( CONTROL!$C$29, 6.6069, 6.6022) * CHOOSE( CONTROL!$C$12, $D$11, 100%, $F$11)</f>
        <v>5.3119476000000008</v>
      </c>
      <c r="E261" s="12">
        <f>CHOOSE( CONTROL!$C$29, 6.6133, 6.6086) * CHOOSE( CONTROL!$C$12, $D$11, 100%, $F$11)</f>
        <v>5.3170932000000004</v>
      </c>
      <c r="F261" s="4">
        <f>CHOOSE( CONTROL!$C$29, 7.5934, 7.5887) * CHOOSE(CONTROL!$C$12, $D$11, 100%, $F$11)</f>
        <v>6.1050936</v>
      </c>
      <c r="G261" s="8">
        <f>CHOOSE( CONTROL!$C$29, 6.4276, 6.423) * CHOOSE( CONTROL!$C$12, $D$11, 100%, $F$11)</f>
        <v>5.1677904000000003</v>
      </c>
      <c r="H261" s="4">
        <f>CHOOSE( CONTROL!$C$29, 7.3256, 7.321) * CHOOSE(CONTROL!$C$12, $D$11, 100%, $F$11)</f>
        <v>5.8897823999999996</v>
      </c>
      <c r="I261" s="8">
        <f>CHOOSE( CONTROL!$C$29, 6.367, 6.3625) * CHOOSE(CONTROL!$C$12, $D$11, 100%, $F$11)</f>
        <v>5.1190680000000004</v>
      </c>
      <c r="J261" s="4">
        <f>CHOOSE( CONTROL!$C$29, 6.3371, 6.3326) * CHOOSE(CONTROL!$C$12, $D$11, 100%, $F$11)</f>
        <v>5.0950284000000003</v>
      </c>
      <c r="K261" s="4"/>
      <c r="L261" s="9">
        <v>29.520499999999998</v>
      </c>
      <c r="M261" s="9">
        <v>12.063700000000001</v>
      </c>
      <c r="N261" s="9">
        <v>4.9444999999999997</v>
      </c>
      <c r="O261" s="9">
        <v>0.37459999999999999</v>
      </c>
      <c r="P261" s="9">
        <v>1.2192000000000001</v>
      </c>
      <c r="Q261" s="9">
        <v>30.580300000000001</v>
      </c>
      <c r="R261" s="9"/>
      <c r="S261" s="11"/>
    </row>
    <row r="262" spans="1:19" ht="15.75">
      <c r="A262" s="14">
        <v>49827</v>
      </c>
      <c r="B262" s="8">
        <f>CHOOSE( CONTROL!$C$29, 6.5123, 6.5075) * CHOOSE(CONTROL!$C$12, $D$11, 100%, $F$11)</f>
        <v>5.2358891999999999</v>
      </c>
      <c r="C262" s="8">
        <f>CHOOSE( CONTROL!$C$29, 6.5227, 6.518) * CHOOSE(CONTROL!$C$12, $D$11, 100%, $F$11)</f>
        <v>5.2442508000000005</v>
      </c>
      <c r="D262" s="8">
        <f>CHOOSE( CONTROL!$C$29, 6.495, 6.4903) * CHOOSE( CONTROL!$C$12, $D$11, 100%, $F$11)</f>
        <v>5.2219800000000003</v>
      </c>
      <c r="E262" s="12">
        <f>CHOOSE( CONTROL!$C$29, 6.5035, 6.4987) * CHOOSE( CONTROL!$C$12, $D$11, 100%, $F$11)</f>
        <v>5.2288139999999999</v>
      </c>
      <c r="F262" s="4">
        <f>CHOOSE( CONTROL!$C$29, 7.4767, 7.472) * CHOOSE(CONTROL!$C$12, $D$11, 100%, $F$11)</f>
        <v>6.0112668000000005</v>
      </c>
      <c r="G262" s="8">
        <f>CHOOSE( CONTROL!$C$29, 6.3227, 6.3182) * CHOOSE( CONTROL!$C$12, $D$11, 100%, $F$11)</f>
        <v>5.0834508000000005</v>
      </c>
      <c r="H262" s="4">
        <f>CHOOSE( CONTROL!$C$29, 7.2118, 7.2073) * CHOOSE(CONTROL!$C$12, $D$11, 100%, $F$11)</f>
        <v>5.7982872000000008</v>
      </c>
      <c r="I262" s="8">
        <f>CHOOSE( CONTROL!$C$29, 6.2673, 6.2628) * CHOOSE(CONTROL!$C$12, $D$11, 100%, $F$11)</f>
        <v>5.0389092</v>
      </c>
      <c r="J262" s="4">
        <f>CHOOSE( CONTROL!$C$29, 6.2353, 6.2308) * CHOOSE(CONTROL!$C$12, $D$11, 100%, $F$11)</f>
        <v>5.0131812</v>
      </c>
      <c r="K262" s="4"/>
      <c r="L262" s="9">
        <v>28.568200000000001</v>
      </c>
      <c r="M262" s="9">
        <v>11.6745</v>
      </c>
      <c r="N262" s="9">
        <v>4.7850000000000001</v>
      </c>
      <c r="O262" s="9">
        <v>0.36249999999999999</v>
      </c>
      <c r="P262" s="9">
        <v>1.1798</v>
      </c>
      <c r="Q262" s="9">
        <v>29.593800000000002</v>
      </c>
      <c r="R262" s="9"/>
      <c r="S262" s="11"/>
    </row>
    <row r="263" spans="1:19" ht="15.75">
      <c r="A263" s="14">
        <v>49857</v>
      </c>
      <c r="B263" s="8">
        <f>CHOOSE( CONTROL!$C$29, 6.7921, 6.7874) * CHOOSE(CONTROL!$C$12, $D$11, 100%, $F$11)</f>
        <v>5.4608483999999997</v>
      </c>
      <c r="C263" s="8">
        <f>CHOOSE( CONTROL!$C$29, 6.8025, 6.7978) * CHOOSE(CONTROL!$C$12, $D$11, 100%, $F$11)</f>
        <v>5.4692100000000003</v>
      </c>
      <c r="D263" s="8">
        <f>CHOOSE( CONTROL!$C$29, 6.794, 6.7893) * CHOOSE( CONTROL!$C$12, $D$11, 100%, $F$11)</f>
        <v>5.4623759999999999</v>
      </c>
      <c r="E263" s="12">
        <f>CHOOSE( CONTROL!$C$29, 6.7955, 6.7908) * CHOOSE( CONTROL!$C$12, $D$11, 100%, $F$11)</f>
        <v>5.4635819999999997</v>
      </c>
      <c r="F263" s="4">
        <f>CHOOSE( CONTROL!$C$29, 7.7837, 7.779) * CHOOSE(CONTROL!$C$12, $D$11, 100%, $F$11)</f>
        <v>6.2580948000000003</v>
      </c>
      <c r="G263" s="8">
        <f>CHOOSE( CONTROL!$C$29, 6.6082, 6.6036) * CHOOSE( CONTROL!$C$12, $D$11, 100%, $F$11)</f>
        <v>5.3129928</v>
      </c>
      <c r="H263" s="4">
        <f>CHOOSE( CONTROL!$C$29, 7.511, 7.5065) * CHOOSE(CONTROL!$C$12, $D$11, 100%, $F$11)</f>
        <v>6.0388440000000001</v>
      </c>
      <c r="I263" s="8">
        <f>CHOOSE( CONTROL!$C$29, 6.5582, 6.5537) * CHOOSE(CONTROL!$C$12, $D$11, 100%, $F$11)</f>
        <v>5.2727928000000004</v>
      </c>
      <c r="J263" s="4">
        <f>CHOOSE( CONTROL!$C$29, 6.5034, 6.4989) * CHOOSE(CONTROL!$C$12, $D$11, 100%, $F$11)</f>
        <v>5.2287336</v>
      </c>
      <c r="K263" s="4"/>
      <c r="L263" s="9">
        <v>29.520499999999998</v>
      </c>
      <c r="M263" s="9">
        <v>12.063700000000001</v>
      </c>
      <c r="N263" s="9">
        <v>4.9444999999999997</v>
      </c>
      <c r="O263" s="9">
        <v>0.37459999999999999</v>
      </c>
      <c r="P263" s="9">
        <v>1.2192000000000001</v>
      </c>
      <c r="Q263" s="9">
        <v>30.580300000000001</v>
      </c>
      <c r="R263" s="9"/>
      <c r="S263" s="11"/>
    </row>
    <row r="264" spans="1:19" ht="15.75">
      <c r="A264" s="14">
        <v>49888</v>
      </c>
      <c r="B264" s="8">
        <f>CHOOSE( CONTROL!$C$29, 6.2685, 6.2638) * CHOOSE(CONTROL!$C$12, $D$11, 100%, $F$11)</f>
        <v>5.0398740000000002</v>
      </c>
      <c r="C264" s="8">
        <f>CHOOSE( CONTROL!$C$29, 6.2789, 6.2742) * CHOOSE(CONTROL!$C$12, $D$11, 100%, $F$11)</f>
        <v>5.0482356000000008</v>
      </c>
      <c r="D264" s="8">
        <f>CHOOSE( CONTROL!$C$29, 6.2738, 6.2691) * CHOOSE( CONTROL!$C$12, $D$11, 100%, $F$11)</f>
        <v>5.0441352000000004</v>
      </c>
      <c r="E264" s="12">
        <f>CHOOSE( CONTROL!$C$29, 6.2741, 6.2694) * CHOOSE( CONTROL!$C$12, $D$11, 100%, $F$11)</f>
        <v>5.0443764</v>
      </c>
      <c r="F264" s="4">
        <f>CHOOSE( CONTROL!$C$29, 7.2653, 7.2606) * CHOOSE(CONTROL!$C$12, $D$11, 100%, $F$11)</f>
        <v>5.8413012000000002</v>
      </c>
      <c r="G264" s="8">
        <f>CHOOSE( CONTROL!$C$29, 6.1, 6.0954) * CHOOSE( CONTROL!$C$12, $D$11, 100%, $F$11)</f>
        <v>4.9043999999999999</v>
      </c>
      <c r="H264" s="4">
        <f>CHOOSE( CONTROL!$C$29, 7.0058, 7.0012) * CHOOSE(CONTROL!$C$12, $D$11, 100%, $F$11)</f>
        <v>5.6326632000000005</v>
      </c>
      <c r="I264" s="8">
        <f>CHOOSE( CONTROL!$C$29, 6.0609, 6.0564) * CHOOSE(CONTROL!$C$12, $D$11, 100%, $F$11)</f>
        <v>4.8729636000000003</v>
      </c>
      <c r="J264" s="4">
        <f>CHOOSE( CONTROL!$C$29, 6.0017, 5.9972) * CHOOSE(CONTROL!$C$12, $D$11, 100%, $F$11)</f>
        <v>4.8253668000000003</v>
      </c>
      <c r="K264" s="4"/>
      <c r="L264" s="9">
        <v>29.520499999999998</v>
      </c>
      <c r="M264" s="9">
        <v>12.063700000000001</v>
      </c>
      <c r="N264" s="9">
        <v>4.9444999999999997</v>
      </c>
      <c r="O264" s="9">
        <v>0.37459999999999999</v>
      </c>
      <c r="P264" s="9">
        <v>1.2192000000000001</v>
      </c>
      <c r="Q264" s="9">
        <v>30.580300000000001</v>
      </c>
      <c r="R264" s="9"/>
      <c r="S264" s="11"/>
    </row>
    <row r="265" spans="1:19" ht="15.75">
      <c r="A265" s="14">
        <v>49919</v>
      </c>
      <c r="B265" s="8">
        <f>CHOOSE( CONTROL!$C$29, 6.1374, 6.1327) * CHOOSE(CONTROL!$C$12, $D$11, 100%, $F$11)</f>
        <v>4.9344696000000008</v>
      </c>
      <c r="C265" s="8">
        <f>CHOOSE( CONTROL!$C$29, 6.1478, 6.1431) * CHOOSE(CONTROL!$C$12, $D$11, 100%, $F$11)</f>
        <v>4.9428312000000005</v>
      </c>
      <c r="D265" s="8">
        <f>CHOOSE( CONTROL!$C$29, 6.1385, 6.1338) * CHOOSE( CONTROL!$C$12, $D$11, 100%, $F$11)</f>
        <v>4.9353540000000002</v>
      </c>
      <c r="E265" s="12">
        <f>CHOOSE( CONTROL!$C$29, 6.1403, 6.1356) * CHOOSE( CONTROL!$C$12, $D$11, 100%, $F$11)</f>
        <v>4.9368012000000006</v>
      </c>
      <c r="F265" s="4">
        <f>CHOOSE( CONTROL!$C$29, 7.1264, 7.1217) * CHOOSE(CONTROL!$C$12, $D$11, 100%, $F$11)</f>
        <v>5.7296256000000003</v>
      </c>
      <c r="G265" s="8">
        <f>CHOOSE( CONTROL!$C$29, 5.9709, 5.9663) * CHOOSE( CONTROL!$C$12, $D$11, 100%, $F$11)</f>
        <v>4.8006036000000005</v>
      </c>
      <c r="H265" s="4">
        <f>CHOOSE( CONTROL!$C$29, 6.8704, 6.8658) * CHOOSE(CONTROL!$C$12, $D$11, 100%, $F$11)</f>
        <v>5.5238016000000005</v>
      </c>
      <c r="I265" s="8">
        <f>CHOOSE( CONTROL!$C$29, 5.9366, 5.9321) * CHOOSE(CONTROL!$C$12, $D$11, 100%, $F$11)</f>
        <v>4.7730264000000009</v>
      </c>
      <c r="J265" s="4">
        <f>CHOOSE( CONTROL!$C$29, 5.8761, 5.8716) * CHOOSE(CONTROL!$C$12, $D$11, 100%, $F$11)</f>
        <v>4.7243843999999999</v>
      </c>
      <c r="K265" s="4"/>
      <c r="L265" s="9">
        <v>28.568200000000001</v>
      </c>
      <c r="M265" s="9">
        <v>11.6745</v>
      </c>
      <c r="N265" s="9">
        <v>4.7850000000000001</v>
      </c>
      <c r="O265" s="9">
        <v>0.36249999999999999</v>
      </c>
      <c r="P265" s="9">
        <v>1.1798</v>
      </c>
      <c r="Q265" s="9">
        <v>29.593800000000002</v>
      </c>
      <c r="R265" s="9"/>
      <c r="S265" s="11"/>
    </row>
    <row r="266" spans="1:19" ht="15.75">
      <c r="A266" s="14">
        <v>49949</v>
      </c>
      <c r="B266" s="8">
        <f>6.4049 * CHOOSE(CONTROL!$C$12, $D$11, 100%, $F$11)</f>
        <v>5.1495395999999998</v>
      </c>
      <c r="C266" s="8">
        <f>6.4154 * CHOOSE(CONTROL!$C$12, $D$11, 100%, $F$11)</f>
        <v>5.1579816000000003</v>
      </c>
      <c r="D266" s="8">
        <f>6.4069 * CHOOSE( CONTROL!$C$12, $D$11, 100%, $F$11)</f>
        <v>5.1511476000000007</v>
      </c>
      <c r="E266" s="12">
        <f>6.4086 * CHOOSE( CONTROL!$C$12, $D$11, 100%, $F$11)</f>
        <v>5.1525144000000003</v>
      </c>
      <c r="F266" s="4">
        <f>7.3939 * CHOOSE(CONTROL!$C$12, $D$11, 100%, $F$11)</f>
        <v>5.9446956000000011</v>
      </c>
      <c r="G266" s="8">
        <f>6.2313 * CHOOSE( CONTROL!$C$12, $D$11, 100%, $F$11)</f>
        <v>5.0099652000000008</v>
      </c>
      <c r="H266" s="4">
        <f>7.1311 * CHOOSE(CONTROL!$C$12, $D$11, 100%, $F$11)</f>
        <v>5.7334044000000004</v>
      </c>
      <c r="I266" s="8">
        <f>6.1951 * CHOOSE(CONTROL!$C$12, $D$11, 100%, $F$11)</f>
        <v>4.9808604000000001</v>
      </c>
      <c r="J266" s="4">
        <f>6.1324 * CHOOSE(CONTROL!$C$12, $D$11, 100%, $F$11)</f>
        <v>4.9304496000000002</v>
      </c>
      <c r="K266" s="4"/>
      <c r="L266" s="9">
        <v>28.921800000000001</v>
      </c>
      <c r="M266" s="9">
        <v>12.063700000000001</v>
      </c>
      <c r="N266" s="9">
        <v>4.9444999999999997</v>
      </c>
      <c r="O266" s="9">
        <v>0.37459999999999999</v>
      </c>
      <c r="P266" s="9">
        <v>1.2192000000000001</v>
      </c>
      <c r="Q266" s="9">
        <v>30.580300000000001</v>
      </c>
      <c r="R266" s="9"/>
      <c r="S266" s="11"/>
    </row>
    <row r="267" spans="1:19" ht="15.75">
      <c r="A267" s="14">
        <v>49980</v>
      </c>
      <c r="B267" s="8">
        <f>6.9074 * CHOOSE(CONTROL!$C$12, $D$11, 100%, $F$11)</f>
        <v>5.5535496000000002</v>
      </c>
      <c r="C267" s="8">
        <f>6.9178 * CHOOSE(CONTROL!$C$12, $D$11, 100%, $F$11)</f>
        <v>5.5619111999999999</v>
      </c>
      <c r="D267" s="8">
        <f>6.8981 * CHOOSE( CONTROL!$C$12, $D$11, 100%, $F$11)</f>
        <v>5.5460724000000008</v>
      </c>
      <c r="E267" s="12">
        <f>6.9042 * CHOOSE( CONTROL!$C$12, $D$11, 100%, $F$11)</f>
        <v>5.5509768000000008</v>
      </c>
      <c r="F267" s="4">
        <f>7.899 * CHOOSE(CONTROL!$C$12, $D$11, 100%, $F$11)</f>
        <v>6.3507960000000008</v>
      </c>
      <c r="G267" s="8">
        <f>6.7401 * CHOOSE( CONTROL!$C$12, $D$11, 100%, $F$11)</f>
        <v>5.4190404000000001</v>
      </c>
      <c r="H267" s="4">
        <f>7.6234 * CHOOSE(CONTROL!$C$12, $D$11, 100%, $F$11)</f>
        <v>6.1292136000000008</v>
      </c>
      <c r="I267" s="8">
        <f>6.707 * CHOOSE(CONTROL!$C$12, $D$11, 100%, $F$11)</f>
        <v>5.3924279999999998</v>
      </c>
      <c r="J267" s="4">
        <f>6.6139 * CHOOSE(CONTROL!$C$12, $D$11, 100%, $F$11)</f>
        <v>5.3175756000000005</v>
      </c>
      <c r="K267" s="4"/>
      <c r="L267" s="9">
        <v>26.515499999999999</v>
      </c>
      <c r="M267" s="9">
        <v>11.6745</v>
      </c>
      <c r="N267" s="9">
        <v>4.7850000000000001</v>
      </c>
      <c r="O267" s="9">
        <v>0.36249999999999999</v>
      </c>
      <c r="P267" s="9">
        <v>1.2522</v>
      </c>
      <c r="Q267" s="9">
        <v>29.593800000000002</v>
      </c>
      <c r="R267" s="9"/>
      <c r="S267" s="11"/>
    </row>
    <row r="268" spans="1:19" ht="15.75">
      <c r="A268" s="14">
        <v>50010</v>
      </c>
      <c r="B268" s="8">
        <f>6.8948 * CHOOSE(CONTROL!$C$12, $D$11, 100%, $F$11)</f>
        <v>5.5434192000000007</v>
      </c>
      <c r="C268" s="8">
        <f>6.9053 * CHOOSE(CONTROL!$C$12, $D$11, 100%, $F$11)</f>
        <v>5.5518612000000003</v>
      </c>
      <c r="D268" s="8">
        <f>6.8874 * CHOOSE( CONTROL!$C$12, $D$11, 100%, $F$11)</f>
        <v>5.5374696000000005</v>
      </c>
      <c r="E268" s="12">
        <f>6.8928 * CHOOSE( CONTROL!$C$12, $D$11, 100%, $F$11)</f>
        <v>5.5418112000000006</v>
      </c>
      <c r="F268" s="4">
        <f>7.8864 * CHOOSE(CONTROL!$C$12, $D$11, 100%, $F$11)</f>
        <v>6.3406656000000003</v>
      </c>
      <c r="G268" s="8">
        <f>6.7293 * CHOOSE( CONTROL!$C$12, $D$11, 100%, $F$11)</f>
        <v>5.4103572000000009</v>
      </c>
      <c r="H268" s="4">
        <f>7.6112 * CHOOSE(CONTROL!$C$12, $D$11, 100%, $F$11)</f>
        <v>6.1194048000000008</v>
      </c>
      <c r="I268" s="8">
        <f>6.7018 * CHOOSE(CONTROL!$C$12, $D$11, 100%, $F$11)</f>
        <v>5.3882472000000003</v>
      </c>
      <c r="J268" s="4">
        <f>6.6019 * CHOOSE(CONTROL!$C$12, $D$11, 100%, $F$11)</f>
        <v>5.3079276000000002</v>
      </c>
      <c r="K268" s="4"/>
      <c r="L268" s="9">
        <v>27.3993</v>
      </c>
      <c r="M268" s="9">
        <v>12.063700000000001</v>
      </c>
      <c r="N268" s="9">
        <v>4.9444999999999997</v>
      </c>
      <c r="O268" s="9">
        <v>0.37459999999999999</v>
      </c>
      <c r="P268" s="9">
        <v>1.2939000000000001</v>
      </c>
      <c r="Q268" s="9">
        <v>30.580300000000001</v>
      </c>
      <c r="R268" s="9"/>
      <c r="S268" s="11"/>
    </row>
    <row r="269" spans="1:19" ht="15.75">
      <c r="A269" s="14">
        <v>50041</v>
      </c>
      <c r="B269" s="8">
        <f>7.1581 * CHOOSE(CONTROL!$C$12, $D$11, 100%, $F$11)</f>
        <v>5.7551124000000007</v>
      </c>
      <c r="C269" s="8">
        <f>7.1686 * CHOOSE(CONTROL!$C$12, $D$11, 100%, $F$11)</f>
        <v>5.7635544000000003</v>
      </c>
      <c r="D269" s="8">
        <f>7.1662 * CHOOSE( CONTROL!$C$12, $D$11, 100%, $F$11)</f>
        <v>5.7616247999999999</v>
      </c>
      <c r="E269" s="12">
        <f>7.166 * CHOOSE( CONTROL!$C$12, $D$11, 100%, $F$11)</f>
        <v>5.761464000000001</v>
      </c>
      <c r="F269" s="4">
        <f>8.1811 * CHOOSE(CONTROL!$C$12, $D$11, 100%, $F$11)</f>
        <v>6.5776044000000011</v>
      </c>
      <c r="G269" s="8">
        <f>7.005 * CHOOSE( CONTROL!$C$12, $D$11, 100%, $F$11)</f>
        <v>5.6320200000000007</v>
      </c>
      <c r="H269" s="4">
        <f>7.8984 * CHOOSE(CONTROL!$C$12, $D$11, 100%, $F$11)</f>
        <v>6.3503135999999998</v>
      </c>
      <c r="I269" s="8">
        <f>6.9662 * CHOOSE(CONTROL!$C$12, $D$11, 100%, $F$11)</f>
        <v>5.6008247999999998</v>
      </c>
      <c r="J269" s="4">
        <f>6.8542 * CHOOSE(CONTROL!$C$12, $D$11, 100%, $F$11)</f>
        <v>5.5107768000000004</v>
      </c>
      <c r="K269" s="4"/>
      <c r="L269" s="9">
        <v>27.3993</v>
      </c>
      <c r="M269" s="9">
        <v>12.063700000000001</v>
      </c>
      <c r="N269" s="9">
        <v>4.9444999999999997</v>
      </c>
      <c r="O269" s="9">
        <v>0.37459999999999999</v>
      </c>
      <c r="P269" s="9">
        <v>1.2939000000000001</v>
      </c>
      <c r="Q269" s="9">
        <v>30.5152</v>
      </c>
      <c r="R269" s="9"/>
      <c r="S269" s="11"/>
    </row>
    <row r="270" spans="1:19" ht="15.75">
      <c r="A270" s="14">
        <v>50072</v>
      </c>
      <c r="B270" s="8">
        <f>6.6957 * CHOOSE(CONTROL!$C$12, $D$11, 100%, $F$11)</f>
        <v>5.3833428000000003</v>
      </c>
      <c r="C270" s="8">
        <f>6.7061 * CHOOSE(CONTROL!$C$12, $D$11, 100%, $F$11)</f>
        <v>5.3917044000000001</v>
      </c>
      <c r="D270" s="8">
        <f>6.7061 * CHOOSE( CONTROL!$C$12, $D$11, 100%, $F$11)</f>
        <v>5.3917044000000001</v>
      </c>
      <c r="E270" s="12">
        <f>6.705 * CHOOSE( CONTROL!$C$12, $D$11, 100%, $F$11)</f>
        <v>5.3908200000000006</v>
      </c>
      <c r="F270" s="4">
        <f>7.7108 * CHOOSE(CONTROL!$C$12, $D$11, 100%, $F$11)</f>
        <v>6.1994832000000004</v>
      </c>
      <c r="G270" s="8">
        <f>6.5541 * CHOOSE( CONTROL!$C$12, $D$11, 100%, $F$11)</f>
        <v>5.2694964000000004</v>
      </c>
      <c r="H270" s="4">
        <f>7.44 * CHOOSE(CONTROL!$C$12, $D$11, 100%, $F$11)</f>
        <v>5.9817600000000004</v>
      </c>
      <c r="I270" s="8">
        <f>6.5119 * CHOOSE(CONTROL!$C$12, $D$11, 100%, $F$11)</f>
        <v>5.2355676000000004</v>
      </c>
      <c r="J270" s="4">
        <f>6.4111 * CHOOSE(CONTROL!$C$12, $D$11, 100%, $F$11)</f>
        <v>5.1545244000000006</v>
      </c>
      <c r="K270" s="4"/>
      <c r="L270" s="9">
        <v>24.747800000000002</v>
      </c>
      <c r="M270" s="9">
        <v>10.8962</v>
      </c>
      <c r="N270" s="9">
        <v>4.4660000000000002</v>
      </c>
      <c r="O270" s="9">
        <v>0.33829999999999999</v>
      </c>
      <c r="P270" s="9">
        <v>1.1687000000000001</v>
      </c>
      <c r="Q270" s="9">
        <v>27.562100000000001</v>
      </c>
      <c r="R270" s="9"/>
      <c r="S270" s="11"/>
    </row>
    <row r="271" spans="1:19" ht="15.75">
      <c r="A271" s="14">
        <v>50100</v>
      </c>
      <c r="B271" s="8">
        <f>6.5533 * CHOOSE(CONTROL!$C$12, $D$11, 100%, $F$11)</f>
        <v>5.2688532000000006</v>
      </c>
      <c r="C271" s="8">
        <f>6.5637 * CHOOSE(CONTROL!$C$12, $D$11, 100%, $F$11)</f>
        <v>5.2772148000000003</v>
      </c>
      <c r="D271" s="8">
        <f>6.5435 * CHOOSE( CONTROL!$C$12, $D$11, 100%, $F$11)</f>
        <v>5.260974</v>
      </c>
      <c r="E271" s="12">
        <f>6.5498 * CHOOSE( CONTROL!$C$12, $D$11, 100%, $F$11)</f>
        <v>5.2660392000000007</v>
      </c>
      <c r="F271" s="4">
        <f>7.5522 * CHOOSE(CONTROL!$C$12, $D$11, 100%, $F$11)</f>
        <v>6.0719688000000005</v>
      </c>
      <c r="G271" s="8">
        <f>6.3948 * CHOOSE( CONTROL!$C$12, $D$11, 100%, $F$11)</f>
        <v>5.1414192000000005</v>
      </c>
      <c r="H271" s="4">
        <f>7.2854 * CHOOSE(CONTROL!$C$12, $D$11, 100%, $F$11)</f>
        <v>5.8574616000000006</v>
      </c>
      <c r="I271" s="8">
        <f>6.3359 * CHOOSE(CONTROL!$C$12, $D$11, 100%, $F$11)</f>
        <v>5.0940636000000001</v>
      </c>
      <c r="J271" s="4">
        <f>6.2746 * CHOOSE(CONTROL!$C$12, $D$11, 100%, $F$11)</f>
        <v>5.0447784000000002</v>
      </c>
      <c r="K271" s="4"/>
      <c r="L271" s="9">
        <v>27.3993</v>
      </c>
      <c r="M271" s="9">
        <v>12.063700000000001</v>
      </c>
      <c r="N271" s="9">
        <v>4.9444999999999997</v>
      </c>
      <c r="O271" s="9">
        <v>0.37459999999999999</v>
      </c>
      <c r="P271" s="9">
        <v>1.2939000000000001</v>
      </c>
      <c r="Q271" s="9">
        <v>30.5152</v>
      </c>
      <c r="R271" s="9"/>
      <c r="S271" s="11"/>
    </row>
    <row r="272" spans="1:19" ht="15.75">
      <c r="A272" s="14">
        <v>50131</v>
      </c>
      <c r="B272" s="8">
        <f>6.6528 * CHOOSE(CONTROL!$C$12, $D$11, 100%, $F$11)</f>
        <v>5.3488512000000004</v>
      </c>
      <c r="C272" s="8">
        <f>6.6632 * CHOOSE(CONTROL!$C$12, $D$11, 100%, $F$11)</f>
        <v>5.3572128000000001</v>
      </c>
      <c r="D272" s="8">
        <f>6.6664 * CHOOSE( CONTROL!$C$12, $D$11, 100%, $F$11)</f>
        <v>5.3597856000000004</v>
      </c>
      <c r="E272" s="12">
        <f>6.6642 * CHOOSE( CONTROL!$C$12, $D$11, 100%, $F$11)</f>
        <v>5.3580168000000006</v>
      </c>
      <c r="F272" s="4">
        <f>7.6601 * CHOOSE(CONTROL!$C$12, $D$11, 100%, $F$11)</f>
        <v>6.1587204</v>
      </c>
      <c r="G272" s="8">
        <f>6.4797 * CHOOSE( CONTROL!$C$12, $D$11, 100%, $F$11)</f>
        <v>5.2096788000000007</v>
      </c>
      <c r="H272" s="4">
        <f>7.3906 * CHOOSE(CONTROL!$C$12, $D$11, 100%, $F$11)</f>
        <v>5.9420424000000001</v>
      </c>
      <c r="I272" s="8">
        <f>6.4214 * CHOOSE(CONTROL!$C$12, $D$11, 100%, $F$11)</f>
        <v>5.1628056000000004</v>
      </c>
      <c r="J272" s="4">
        <f>6.37 * CHOOSE(CONTROL!$C$12, $D$11, 100%, $F$11)</f>
        <v>5.12148</v>
      </c>
      <c r="K272" s="4"/>
      <c r="L272" s="9">
        <v>27.988800000000001</v>
      </c>
      <c r="M272" s="9">
        <v>11.6745</v>
      </c>
      <c r="N272" s="9">
        <v>4.7850000000000001</v>
      </c>
      <c r="O272" s="9">
        <v>0.36249999999999999</v>
      </c>
      <c r="P272" s="9">
        <v>1.1798</v>
      </c>
      <c r="Q272" s="9">
        <v>29.530799999999999</v>
      </c>
      <c r="R272" s="9"/>
      <c r="S272" s="11"/>
    </row>
    <row r="273" spans="1:19" ht="15.75">
      <c r="A273" s="14">
        <v>50161</v>
      </c>
      <c r="B273" s="8">
        <f>CHOOSE( CONTROL!$C$29, 6.8346, 6.8299) * CHOOSE(CONTROL!$C$12, $D$11, 100%, $F$11)</f>
        <v>5.4950184000000002</v>
      </c>
      <c r="C273" s="8">
        <f>CHOOSE( CONTROL!$C$29, 6.8451, 6.8404) * CHOOSE(CONTROL!$C$12, $D$11, 100%, $F$11)</f>
        <v>5.5034604000000007</v>
      </c>
      <c r="D273" s="8">
        <f>CHOOSE( CONTROL!$C$29, 6.823, 6.8183) * CHOOSE( CONTROL!$C$12, $D$11, 100%, $F$11)</f>
        <v>5.4856920000000002</v>
      </c>
      <c r="E273" s="12">
        <f>CHOOSE( CONTROL!$C$29, 6.8294, 6.8247) * CHOOSE( CONTROL!$C$12, $D$11, 100%, $F$11)</f>
        <v>5.4908375999999999</v>
      </c>
      <c r="F273" s="4">
        <f>CHOOSE( CONTROL!$C$29, 7.8095, 7.8048) * CHOOSE(CONTROL!$C$12, $D$11, 100%, $F$11)</f>
        <v>6.2788380000000004</v>
      </c>
      <c r="G273" s="8">
        <f>CHOOSE( CONTROL!$C$29, 6.6383, 6.6337) * CHOOSE( CONTROL!$C$12, $D$11, 100%, $F$11)</f>
        <v>5.3371932000000006</v>
      </c>
      <c r="H273" s="4">
        <f>CHOOSE( CONTROL!$C$29, 7.5363, 7.5317) * CHOOSE(CONTROL!$C$12, $D$11, 100%, $F$11)</f>
        <v>6.0591851999999999</v>
      </c>
      <c r="I273" s="8">
        <f>CHOOSE( CONTROL!$C$29, 6.5742, 6.5697) * CHOOSE(CONTROL!$C$12, $D$11, 100%, $F$11)</f>
        <v>5.2856568000000008</v>
      </c>
      <c r="J273" s="4">
        <f>CHOOSE( CONTROL!$C$29, 6.5442, 6.5397) * CHOOSE(CONTROL!$C$12, $D$11, 100%, $F$11)</f>
        <v>5.2615368</v>
      </c>
      <c r="K273" s="4"/>
      <c r="L273" s="9">
        <v>29.520499999999998</v>
      </c>
      <c r="M273" s="9">
        <v>12.063700000000001</v>
      </c>
      <c r="N273" s="9">
        <v>4.9444999999999997</v>
      </c>
      <c r="O273" s="9">
        <v>0.37459999999999999</v>
      </c>
      <c r="P273" s="9">
        <v>1.2192000000000001</v>
      </c>
      <c r="Q273" s="9">
        <v>30.5152</v>
      </c>
      <c r="R273" s="9"/>
      <c r="S273" s="11"/>
    </row>
    <row r="274" spans="1:19" ht="15.75">
      <c r="A274" s="14">
        <v>50192</v>
      </c>
      <c r="B274" s="8">
        <f>CHOOSE( CONTROL!$C$29, 6.7249, 6.7202) * CHOOSE(CONTROL!$C$12, $D$11, 100%, $F$11)</f>
        <v>5.4068196000000004</v>
      </c>
      <c r="C274" s="8">
        <f>CHOOSE( CONTROL!$C$29, 6.7353, 6.7306) * CHOOSE(CONTROL!$C$12, $D$11, 100%, $F$11)</f>
        <v>5.4151812000000001</v>
      </c>
      <c r="D274" s="8">
        <f>CHOOSE( CONTROL!$C$29, 6.7077, 6.703) * CHOOSE( CONTROL!$C$12, $D$11, 100%, $F$11)</f>
        <v>5.3929908000000006</v>
      </c>
      <c r="E274" s="12">
        <f>CHOOSE( CONTROL!$C$29, 6.7161, 6.7114) * CHOOSE( CONTROL!$C$12, $D$11, 100%, $F$11)</f>
        <v>5.3997444000000003</v>
      </c>
      <c r="F274" s="4">
        <f>CHOOSE( CONTROL!$C$29, 7.6894, 7.6847) * CHOOSE(CONTROL!$C$12, $D$11, 100%, $F$11)</f>
        <v>6.1822776000000008</v>
      </c>
      <c r="G274" s="8">
        <f>CHOOSE( CONTROL!$C$29, 6.53, 6.5255) * CHOOSE( CONTROL!$C$12, $D$11, 100%, $F$11)</f>
        <v>5.2501200000000008</v>
      </c>
      <c r="H274" s="4">
        <f>CHOOSE( CONTROL!$C$29, 7.4191, 7.4146) * CHOOSE(CONTROL!$C$12, $D$11, 100%, $F$11)</f>
        <v>5.9649564000000002</v>
      </c>
      <c r="I274" s="8">
        <f>CHOOSE( CONTROL!$C$29, 6.4711, 6.4666) * CHOOSE(CONTROL!$C$12, $D$11, 100%, $F$11)</f>
        <v>5.2027644000000004</v>
      </c>
      <c r="J274" s="4">
        <f>CHOOSE( CONTROL!$C$29, 6.4391, 6.4345) * CHOOSE(CONTROL!$C$12, $D$11, 100%, $F$11)</f>
        <v>5.1770364000000004</v>
      </c>
      <c r="K274" s="4"/>
      <c r="L274" s="9">
        <v>28.568200000000001</v>
      </c>
      <c r="M274" s="9">
        <v>11.6745</v>
      </c>
      <c r="N274" s="9">
        <v>4.7850000000000001</v>
      </c>
      <c r="O274" s="9">
        <v>0.36249999999999999</v>
      </c>
      <c r="P274" s="9">
        <v>1.1798</v>
      </c>
      <c r="Q274" s="9">
        <v>29.530799999999999</v>
      </c>
      <c r="R274" s="9"/>
      <c r="S274" s="11"/>
    </row>
    <row r="275" spans="1:19" ht="15.75">
      <c r="A275" s="14">
        <v>50222</v>
      </c>
      <c r="B275" s="8">
        <f>CHOOSE( CONTROL!$C$29, 7.0139, 7.0092) * CHOOSE(CONTROL!$C$12, $D$11, 100%, $F$11)</f>
        <v>5.6391755999999997</v>
      </c>
      <c r="C275" s="8">
        <f>CHOOSE( CONTROL!$C$29, 7.0243, 7.0196) * CHOOSE(CONTROL!$C$12, $D$11, 100%, $F$11)</f>
        <v>5.6475372000000004</v>
      </c>
      <c r="D275" s="8">
        <f>CHOOSE( CONTROL!$C$29, 7.0159, 7.0112) * CHOOSE( CONTROL!$C$12, $D$11, 100%, $F$11)</f>
        <v>5.6407836000000007</v>
      </c>
      <c r="E275" s="12">
        <f>CHOOSE( CONTROL!$C$29, 7.0174, 7.0127) * CHOOSE( CONTROL!$C$12, $D$11, 100%, $F$11)</f>
        <v>5.6419896000000005</v>
      </c>
      <c r="F275" s="4">
        <f>CHOOSE( CONTROL!$C$29, 8.0055, 8.0008) * CHOOSE(CONTROL!$C$12, $D$11, 100%, $F$11)</f>
        <v>6.4364220000000003</v>
      </c>
      <c r="G275" s="8">
        <f>CHOOSE( CONTROL!$C$29, 6.8244, 6.8198) * CHOOSE( CONTROL!$C$12, $D$11, 100%, $F$11)</f>
        <v>5.4868176000000002</v>
      </c>
      <c r="H275" s="4">
        <f>CHOOSE( CONTROL!$C$29, 7.7273, 7.7227) * CHOOSE(CONTROL!$C$12, $D$11, 100%, $F$11)</f>
        <v>6.2127492000000002</v>
      </c>
      <c r="I275" s="8">
        <f>CHOOSE( CONTROL!$C$29, 6.7709, 6.7664) * CHOOSE(CONTROL!$C$12, $D$11, 100%, $F$11)</f>
        <v>5.4438036000000007</v>
      </c>
      <c r="J275" s="4">
        <f>CHOOSE( CONTROL!$C$29, 6.7159, 6.7114) * CHOOSE(CONTROL!$C$12, $D$11, 100%, $F$11)</f>
        <v>5.3995836000000006</v>
      </c>
      <c r="K275" s="4"/>
      <c r="L275" s="9">
        <v>29.520499999999998</v>
      </c>
      <c r="M275" s="9">
        <v>12.063700000000001</v>
      </c>
      <c r="N275" s="9">
        <v>4.9444999999999997</v>
      </c>
      <c r="O275" s="9">
        <v>0.37459999999999999</v>
      </c>
      <c r="P275" s="9">
        <v>1.2192000000000001</v>
      </c>
      <c r="Q275" s="9">
        <v>30.5152</v>
      </c>
      <c r="R275" s="9"/>
      <c r="S275" s="11"/>
    </row>
    <row r="276" spans="1:19" ht="15.75">
      <c r="A276" s="14">
        <v>50253</v>
      </c>
      <c r="B276" s="8">
        <f>CHOOSE( CONTROL!$C$29, 6.4732, 6.4685) * CHOOSE(CONTROL!$C$12, $D$11, 100%, $F$11)</f>
        <v>5.2044528000000003</v>
      </c>
      <c r="C276" s="8">
        <f>CHOOSE( CONTROL!$C$29, 6.4836, 6.4789) * CHOOSE(CONTROL!$C$12, $D$11, 100%, $F$11)</f>
        <v>5.2128144000000001</v>
      </c>
      <c r="D276" s="8">
        <f>CHOOSE( CONTROL!$C$29, 6.4785, 6.4738) * CHOOSE( CONTROL!$C$12, $D$11, 100%, $F$11)</f>
        <v>5.2087140000000005</v>
      </c>
      <c r="E276" s="12">
        <f>CHOOSE( CONTROL!$C$29, 6.4788, 6.4741) * CHOOSE( CONTROL!$C$12, $D$11, 100%, $F$11)</f>
        <v>5.2089552000000001</v>
      </c>
      <c r="F276" s="4">
        <f>CHOOSE( CONTROL!$C$29, 7.47, 7.4653) * CHOOSE(CONTROL!$C$12, $D$11, 100%, $F$11)</f>
        <v>6.0058800000000003</v>
      </c>
      <c r="G276" s="8">
        <f>CHOOSE( CONTROL!$C$29, 6.2995, 6.2949) * CHOOSE( CONTROL!$C$12, $D$11, 100%, $F$11)</f>
        <v>5.0647980000000006</v>
      </c>
      <c r="H276" s="4">
        <f>CHOOSE( CONTROL!$C$29, 7.2053, 7.2007) * CHOOSE(CONTROL!$C$12, $D$11, 100%, $F$11)</f>
        <v>5.7930612000000004</v>
      </c>
      <c r="I276" s="8">
        <f>CHOOSE( CONTROL!$C$29, 6.2572, 6.2527) * CHOOSE(CONTROL!$C$12, $D$11, 100%, $F$11)</f>
        <v>5.0307888000000007</v>
      </c>
      <c r="J276" s="4">
        <f>CHOOSE( CONTROL!$C$29, 6.1979, 6.1934) * CHOOSE(CONTROL!$C$12, $D$11, 100%, $F$11)</f>
        <v>4.9831116</v>
      </c>
      <c r="K276" s="4"/>
      <c r="L276" s="9">
        <v>29.520499999999998</v>
      </c>
      <c r="M276" s="9">
        <v>12.063700000000001</v>
      </c>
      <c r="N276" s="9">
        <v>4.9444999999999997</v>
      </c>
      <c r="O276" s="9">
        <v>0.37459999999999999</v>
      </c>
      <c r="P276" s="9">
        <v>1.2192000000000001</v>
      </c>
      <c r="Q276" s="9">
        <v>30.5152</v>
      </c>
      <c r="R276" s="9"/>
      <c r="S276" s="11"/>
    </row>
    <row r="277" spans="1:19" ht="15.75">
      <c r="A277" s="14">
        <v>50284</v>
      </c>
      <c r="B277" s="8">
        <f>CHOOSE( CONTROL!$C$29, 6.3378, 6.3331) * CHOOSE(CONTROL!$C$12, $D$11, 100%, $F$11)</f>
        <v>5.0955912000000003</v>
      </c>
      <c r="C277" s="8">
        <f>CHOOSE( CONTROL!$C$29, 6.3482, 6.3435) * CHOOSE(CONTROL!$C$12, $D$11, 100%, $F$11)</f>
        <v>5.103952800000001</v>
      </c>
      <c r="D277" s="8">
        <f>CHOOSE( CONTROL!$C$29, 6.3389, 6.3342) * CHOOSE( CONTROL!$C$12, $D$11, 100%, $F$11)</f>
        <v>5.0964755999999998</v>
      </c>
      <c r="E277" s="12">
        <f>CHOOSE( CONTROL!$C$29, 6.3407, 6.336) * CHOOSE( CONTROL!$C$12, $D$11, 100%, $F$11)</f>
        <v>5.0979228000000001</v>
      </c>
      <c r="F277" s="4">
        <f>CHOOSE( CONTROL!$C$29, 7.3268, 7.3221) * CHOOSE(CONTROL!$C$12, $D$11, 100%, $F$11)</f>
        <v>5.8907472000000007</v>
      </c>
      <c r="G277" s="8">
        <f>CHOOSE( CONTROL!$C$29, 6.1662, 6.1616) * CHOOSE( CONTROL!$C$12, $D$11, 100%, $F$11)</f>
        <v>4.9576248000000005</v>
      </c>
      <c r="H277" s="4">
        <f>CHOOSE( CONTROL!$C$29, 7.0657, 7.0611) * CHOOSE(CONTROL!$C$12, $D$11, 100%, $F$11)</f>
        <v>5.6808227999999996</v>
      </c>
      <c r="I277" s="8">
        <f>CHOOSE( CONTROL!$C$29, 6.1287, 6.1242) * CHOOSE(CONTROL!$C$12, $D$11, 100%, $F$11)</f>
        <v>4.9274748000000006</v>
      </c>
      <c r="J277" s="4">
        <f>CHOOSE( CONTROL!$C$29, 6.0681, 6.0636) * CHOOSE(CONTROL!$C$12, $D$11, 100%, $F$11)</f>
        <v>4.8787524000000007</v>
      </c>
      <c r="K277" s="4"/>
      <c r="L277" s="9">
        <v>28.568200000000001</v>
      </c>
      <c r="M277" s="9">
        <v>11.6745</v>
      </c>
      <c r="N277" s="9">
        <v>4.7850000000000001</v>
      </c>
      <c r="O277" s="9">
        <v>0.36249999999999999</v>
      </c>
      <c r="P277" s="9">
        <v>1.1798</v>
      </c>
      <c r="Q277" s="9">
        <v>29.530799999999999</v>
      </c>
      <c r="R277" s="9"/>
      <c r="S277" s="11"/>
    </row>
    <row r="278" spans="1:19" ht="15.75">
      <c r="A278" s="14">
        <v>50314</v>
      </c>
      <c r="B278" s="8">
        <f>6.6142 * CHOOSE(CONTROL!$C$12, $D$11, 100%, $F$11)</f>
        <v>5.3178168000000001</v>
      </c>
      <c r="C278" s="8">
        <f>6.6247 * CHOOSE(CONTROL!$C$12, $D$11, 100%, $F$11)</f>
        <v>5.3262587999999997</v>
      </c>
      <c r="D278" s="8">
        <f>6.6162 * CHOOSE( CONTROL!$C$12, $D$11, 100%, $F$11)</f>
        <v>5.3194248000000002</v>
      </c>
      <c r="E278" s="12">
        <f>6.6179 * CHOOSE( CONTROL!$C$12, $D$11, 100%, $F$11)</f>
        <v>5.3207915999999997</v>
      </c>
      <c r="F278" s="4">
        <f>7.6032 * CHOOSE(CONTROL!$C$12, $D$11, 100%, $F$11)</f>
        <v>6.1129728000000005</v>
      </c>
      <c r="G278" s="8">
        <f>6.4353 * CHOOSE( CONTROL!$C$12, $D$11, 100%, $F$11)</f>
        <v>5.1739812000000001</v>
      </c>
      <c r="H278" s="4">
        <f>7.3351 * CHOOSE(CONTROL!$C$12, $D$11, 100%, $F$11)</f>
        <v>5.8974204000000006</v>
      </c>
      <c r="I278" s="8">
        <f>6.3957 * CHOOSE(CONTROL!$C$12, $D$11, 100%, $F$11)</f>
        <v>5.1421428000000002</v>
      </c>
      <c r="J278" s="4">
        <f>6.333 * CHOOSE(CONTROL!$C$12, $D$11, 100%, $F$11)</f>
        <v>5.0917320000000004</v>
      </c>
      <c r="K278" s="4"/>
      <c r="L278" s="9">
        <v>28.921800000000001</v>
      </c>
      <c r="M278" s="9">
        <v>12.063700000000001</v>
      </c>
      <c r="N278" s="9">
        <v>4.9444999999999997</v>
      </c>
      <c r="O278" s="9">
        <v>0.37459999999999999</v>
      </c>
      <c r="P278" s="9">
        <v>1.2192000000000001</v>
      </c>
      <c r="Q278" s="9">
        <v>30.5152</v>
      </c>
      <c r="R278" s="9"/>
      <c r="S278" s="11"/>
    </row>
    <row r="279" spans="1:19" ht="15.75">
      <c r="A279" s="14">
        <v>50345</v>
      </c>
      <c r="B279" s="8">
        <f>7.1331 * CHOOSE(CONTROL!$C$12, $D$11, 100%, $F$11)</f>
        <v>5.7350124000000005</v>
      </c>
      <c r="C279" s="8">
        <f>7.1435 * CHOOSE(CONTROL!$C$12, $D$11, 100%, $F$11)</f>
        <v>5.7433740000000011</v>
      </c>
      <c r="D279" s="8">
        <f>7.1238 * CHOOSE( CONTROL!$C$12, $D$11, 100%, $F$11)</f>
        <v>5.7275352000000002</v>
      </c>
      <c r="E279" s="12">
        <f>7.1299 * CHOOSE( CONTROL!$C$12, $D$11, 100%, $F$11)</f>
        <v>5.7324396000000002</v>
      </c>
      <c r="F279" s="4">
        <f>8.1247 * CHOOSE(CONTROL!$C$12, $D$11, 100%, $F$11)</f>
        <v>6.532258800000001</v>
      </c>
      <c r="G279" s="8">
        <f>6.9601 * CHOOSE( CONTROL!$C$12, $D$11, 100%, $F$11)</f>
        <v>5.5959203999999998</v>
      </c>
      <c r="H279" s="4">
        <f>7.8435 * CHOOSE(CONTROL!$C$12, $D$11, 100%, $F$11)</f>
        <v>6.3061740000000004</v>
      </c>
      <c r="I279" s="8">
        <f>6.9234 * CHOOSE(CONTROL!$C$12, $D$11, 100%, $F$11)</f>
        <v>5.5664136000000006</v>
      </c>
      <c r="J279" s="4">
        <f>6.8302 * CHOOSE(CONTROL!$C$12, $D$11, 100%, $F$11)</f>
        <v>5.4914807999999997</v>
      </c>
      <c r="K279" s="4"/>
      <c r="L279" s="9">
        <v>26.515499999999999</v>
      </c>
      <c r="M279" s="9">
        <v>11.6745</v>
      </c>
      <c r="N279" s="9">
        <v>4.7850000000000001</v>
      </c>
      <c r="O279" s="9">
        <v>0.36249999999999999</v>
      </c>
      <c r="P279" s="9">
        <v>1.2522</v>
      </c>
      <c r="Q279" s="9">
        <v>29.530799999999999</v>
      </c>
      <c r="R279" s="9"/>
      <c r="S279" s="11"/>
    </row>
    <row r="280" spans="1:19" ht="15.75">
      <c r="A280" s="14">
        <v>50375</v>
      </c>
      <c r="B280" s="8">
        <f>7.1201 * CHOOSE(CONTROL!$C$12, $D$11, 100%, $F$11)</f>
        <v>5.7245604000000005</v>
      </c>
      <c r="C280" s="8">
        <f>7.1306 * CHOOSE(CONTROL!$C$12, $D$11, 100%, $F$11)</f>
        <v>5.7330024000000002</v>
      </c>
      <c r="D280" s="8">
        <f>7.1127 * CHOOSE( CONTROL!$C$12, $D$11, 100%, $F$11)</f>
        <v>5.7186108000000004</v>
      </c>
      <c r="E280" s="12">
        <f>7.1181 * CHOOSE( CONTROL!$C$12, $D$11, 100%, $F$11)</f>
        <v>5.7229524000000005</v>
      </c>
      <c r="F280" s="4">
        <f>8.1117 * CHOOSE(CONTROL!$C$12, $D$11, 100%, $F$11)</f>
        <v>6.5218068000000011</v>
      </c>
      <c r="G280" s="8">
        <f>6.9489 * CHOOSE( CONTROL!$C$12, $D$11, 100%, $F$11)</f>
        <v>5.5869156000000002</v>
      </c>
      <c r="H280" s="4">
        <f>7.8308 * CHOOSE(CONTROL!$C$12, $D$11, 100%, $F$11)</f>
        <v>6.2959632000000001</v>
      </c>
      <c r="I280" s="8">
        <f>6.9178 * CHOOSE(CONTROL!$C$12, $D$11, 100%, $F$11)</f>
        <v>5.5619111999999999</v>
      </c>
      <c r="J280" s="4">
        <f>6.8178 * CHOOSE(CONTROL!$C$12, $D$11, 100%, $F$11)</f>
        <v>5.4815112000000008</v>
      </c>
      <c r="K280" s="4"/>
      <c r="L280" s="9">
        <v>27.3993</v>
      </c>
      <c r="M280" s="9">
        <v>12.063700000000001</v>
      </c>
      <c r="N280" s="9">
        <v>4.9444999999999997</v>
      </c>
      <c r="O280" s="9">
        <v>0.37459999999999999</v>
      </c>
      <c r="P280" s="9">
        <v>1.2939000000000001</v>
      </c>
      <c r="Q280" s="9">
        <v>30.5152</v>
      </c>
      <c r="R280" s="9"/>
      <c r="S280" s="11"/>
    </row>
    <row r="281" spans="1:19" ht="15.75">
      <c r="A281" s="13">
        <v>50436</v>
      </c>
      <c r="B281" s="8">
        <f>7.3921 * CHOOSE(CONTROL!$C$12, $D$11, 100%, $F$11)</f>
        <v>5.9432484000000008</v>
      </c>
      <c r="C281" s="8">
        <f>7.4025 * CHOOSE(CONTROL!$C$12, $D$11, 100%, $F$11)</f>
        <v>5.9516100000000005</v>
      </c>
      <c r="D281" s="8">
        <f>7.4002 * CHOOSE( CONTROL!$C$12, $D$11, 100%, $F$11)</f>
        <v>5.9497608</v>
      </c>
      <c r="E281" s="12">
        <f>7.3999 * CHOOSE( CONTROL!$C$12, $D$11, 100%, $F$11)</f>
        <v>5.9495196000000004</v>
      </c>
      <c r="F281" s="4">
        <f>8.415 * CHOOSE(CONTROL!$C$12, $D$11, 100%, $F$11)</f>
        <v>6.7656599999999996</v>
      </c>
      <c r="G281" s="8">
        <f>7.2331 * CHOOSE( CONTROL!$C$12, $D$11, 100%, $F$11)</f>
        <v>5.8154124000000005</v>
      </c>
      <c r="H281" s="4">
        <f>8.1264 * CHOOSE(CONTROL!$C$12, $D$11, 100%, $F$11)</f>
        <v>6.5336256000000006</v>
      </c>
      <c r="I281" s="8">
        <f>7.1905 * CHOOSE(CONTROL!$C$12, $D$11, 100%, $F$11)</f>
        <v>5.7811620000000001</v>
      </c>
      <c r="J281" s="4">
        <f>7.0783 * CHOOSE(CONTROL!$C$12, $D$11, 100%, $F$11)</f>
        <v>5.6909532</v>
      </c>
      <c r="K281" s="4"/>
      <c r="L281" s="9">
        <v>27.3993</v>
      </c>
      <c r="M281" s="9">
        <v>12.063700000000001</v>
      </c>
      <c r="N281" s="9">
        <v>4.9444999999999997</v>
      </c>
      <c r="O281" s="9">
        <v>0.37459999999999999</v>
      </c>
      <c r="P281" s="9">
        <v>1.2939000000000001</v>
      </c>
      <c r="Q281" s="9">
        <v>30.451899999999998</v>
      </c>
      <c r="R281" s="9"/>
      <c r="S281" s="11"/>
    </row>
    <row r="282" spans="1:19" ht="15.75">
      <c r="A282" s="13">
        <v>50464</v>
      </c>
      <c r="B282" s="8">
        <f>6.9145 * CHOOSE(CONTROL!$C$12, $D$11, 100%, $F$11)</f>
        <v>5.5592580000000007</v>
      </c>
      <c r="C282" s="8">
        <f>6.925 * CHOOSE(CONTROL!$C$12, $D$11, 100%, $F$11)</f>
        <v>5.5677000000000003</v>
      </c>
      <c r="D282" s="8">
        <f>6.9249 * CHOOSE( CONTROL!$C$12, $D$11, 100%, $F$11)</f>
        <v>5.5676196000000004</v>
      </c>
      <c r="E282" s="12">
        <f>6.9238 * CHOOSE( CONTROL!$C$12, $D$11, 100%, $F$11)</f>
        <v>5.5667352000000001</v>
      </c>
      <c r="F282" s="4">
        <f>7.9296 * CHOOSE(CONTROL!$C$12, $D$11, 100%, $F$11)</f>
        <v>6.3753983999999999</v>
      </c>
      <c r="G282" s="8">
        <f>6.7674 * CHOOSE( CONTROL!$C$12, $D$11, 100%, $F$11)</f>
        <v>5.4409896000000009</v>
      </c>
      <c r="H282" s="4">
        <f>7.6533 * CHOOSE(CONTROL!$C$12, $D$11, 100%, $F$11)</f>
        <v>6.1532532</v>
      </c>
      <c r="I282" s="8">
        <f>6.7217 * CHOOSE(CONTROL!$C$12, $D$11, 100%, $F$11)</f>
        <v>5.4042468000000001</v>
      </c>
      <c r="J282" s="4">
        <f>6.6207 * CHOOSE(CONTROL!$C$12, $D$11, 100%, $F$11)</f>
        <v>5.3230428000000005</v>
      </c>
      <c r="K282" s="4"/>
      <c r="L282" s="9">
        <v>24.747800000000002</v>
      </c>
      <c r="M282" s="9">
        <v>10.8962</v>
      </c>
      <c r="N282" s="9">
        <v>4.4660000000000002</v>
      </c>
      <c r="O282" s="9">
        <v>0.33829999999999999</v>
      </c>
      <c r="P282" s="9">
        <v>1.1687000000000001</v>
      </c>
      <c r="Q282" s="9">
        <v>27.504999999999999</v>
      </c>
      <c r="R282" s="9"/>
      <c r="S282" s="11"/>
    </row>
    <row r="283" spans="1:19" ht="15.75">
      <c r="A283" s="13">
        <v>50495</v>
      </c>
      <c r="B283" s="8">
        <f>6.7674 * CHOOSE(CONTROL!$C$12, $D$11, 100%, $F$11)</f>
        <v>5.4409896000000009</v>
      </c>
      <c r="C283" s="8">
        <f>6.7779 * CHOOSE(CONTROL!$C$12, $D$11, 100%, $F$11)</f>
        <v>5.4494316000000005</v>
      </c>
      <c r="D283" s="8">
        <f>6.7577 * CHOOSE( CONTROL!$C$12, $D$11, 100%, $F$11)</f>
        <v>5.4331908000000002</v>
      </c>
      <c r="E283" s="12">
        <f>6.764 * CHOOSE( CONTROL!$C$12, $D$11, 100%, $F$11)</f>
        <v>5.4382560000000009</v>
      </c>
      <c r="F283" s="4">
        <f>7.7663 * CHOOSE(CONTROL!$C$12, $D$11, 100%, $F$11)</f>
        <v>6.2441052000000008</v>
      </c>
      <c r="G283" s="8">
        <f>6.6036 * CHOOSE( CONTROL!$C$12, $D$11, 100%, $F$11)</f>
        <v>5.3092944000000006</v>
      </c>
      <c r="H283" s="4">
        <f>7.4942 * CHOOSE(CONTROL!$C$12, $D$11, 100%, $F$11)</f>
        <v>6.0253368000000007</v>
      </c>
      <c r="I283" s="8">
        <f>6.5412 * CHOOSE(CONTROL!$C$12, $D$11, 100%, $F$11)</f>
        <v>5.2591248000000004</v>
      </c>
      <c r="J283" s="4">
        <f>6.4798 * CHOOSE(CONTROL!$C$12, $D$11, 100%, $F$11)</f>
        <v>5.2097592000000006</v>
      </c>
      <c r="K283" s="4"/>
      <c r="L283" s="9">
        <v>27.3993</v>
      </c>
      <c r="M283" s="9">
        <v>12.063700000000001</v>
      </c>
      <c r="N283" s="9">
        <v>4.9444999999999997</v>
      </c>
      <c r="O283" s="9">
        <v>0.37459999999999999</v>
      </c>
      <c r="P283" s="9">
        <v>1.2939000000000001</v>
      </c>
      <c r="Q283" s="9">
        <v>30.451899999999998</v>
      </c>
      <c r="R283" s="9"/>
      <c r="S283" s="11"/>
    </row>
    <row r="284" spans="1:19" ht="15.75">
      <c r="A284" s="13">
        <v>50525</v>
      </c>
      <c r="B284" s="8">
        <f>6.8702 * CHOOSE(CONTROL!$C$12, $D$11, 100%, $F$11)</f>
        <v>5.5236407999999999</v>
      </c>
      <c r="C284" s="8">
        <f>6.8806 * CHOOSE(CONTROL!$C$12, $D$11, 100%, $F$11)</f>
        <v>5.5320024000000005</v>
      </c>
      <c r="D284" s="8">
        <f>6.8838 * CHOOSE( CONTROL!$C$12, $D$11, 100%, $F$11)</f>
        <v>5.5345751999999999</v>
      </c>
      <c r="E284" s="12">
        <f>6.8816 * CHOOSE( CONTROL!$C$12, $D$11, 100%, $F$11)</f>
        <v>5.5328064000000001</v>
      </c>
      <c r="F284" s="4">
        <f>7.8775 * CHOOSE(CONTROL!$C$12, $D$11, 100%, $F$11)</f>
        <v>6.3335100000000004</v>
      </c>
      <c r="G284" s="8">
        <f>6.6916 * CHOOSE( CONTROL!$C$12, $D$11, 100%, $F$11)</f>
        <v>5.3800464000000003</v>
      </c>
      <c r="H284" s="4">
        <f>7.6025 * CHOOSE(CONTROL!$C$12, $D$11, 100%, $F$11)</f>
        <v>6.1124100000000006</v>
      </c>
      <c r="I284" s="8">
        <f>6.6298 * CHOOSE(CONTROL!$C$12, $D$11, 100%, $F$11)</f>
        <v>5.3303592000000002</v>
      </c>
      <c r="J284" s="4">
        <f>6.5783 * CHOOSE(CONTROL!$C$12, $D$11, 100%, $F$11)</f>
        <v>5.2889531999999999</v>
      </c>
      <c r="K284" s="4"/>
      <c r="L284" s="9">
        <v>27.988800000000001</v>
      </c>
      <c r="M284" s="9">
        <v>11.6745</v>
      </c>
      <c r="N284" s="9">
        <v>4.7850000000000001</v>
      </c>
      <c r="O284" s="9">
        <v>0.36249999999999999</v>
      </c>
      <c r="P284" s="9">
        <v>1.1798</v>
      </c>
      <c r="Q284" s="9">
        <v>29.4696</v>
      </c>
      <c r="R284" s="9"/>
      <c r="S284" s="11"/>
    </row>
    <row r="285" spans="1:19" ht="15.75">
      <c r="A285" s="13">
        <v>50556</v>
      </c>
      <c r="B285" s="8">
        <f>CHOOSE( CONTROL!$C$29, 7.0578, 7.0531) * CHOOSE(CONTROL!$C$12, $D$11, 100%, $F$11)</f>
        <v>5.6744712000000002</v>
      </c>
      <c r="C285" s="8">
        <f>CHOOSE( CONTROL!$C$29, 7.0683, 7.0636) * CHOOSE(CONTROL!$C$12, $D$11, 100%, $F$11)</f>
        <v>5.6829131999999998</v>
      </c>
      <c r="D285" s="8">
        <f>CHOOSE( CONTROL!$C$29, 7.0462, 7.0415) * CHOOSE( CONTROL!$C$12, $D$11, 100%, $F$11)</f>
        <v>5.6651448000000002</v>
      </c>
      <c r="E285" s="12">
        <f>CHOOSE( CONTROL!$C$29, 7.0526, 7.0479) * CHOOSE( CONTROL!$C$12, $D$11, 100%, $F$11)</f>
        <v>5.6702904000000007</v>
      </c>
      <c r="F285" s="4">
        <f>CHOOSE( CONTROL!$C$29, 8.0327, 8.028) * CHOOSE(CONTROL!$C$12, $D$11, 100%, $F$11)</f>
        <v>6.4582908000000003</v>
      </c>
      <c r="G285" s="8">
        <f>CHOOSE( CONTROL!$C$29, 6.8558, 6.8513) * CHOOSE( CONTROL!$C$12, $D$11, 100%, $F$11)</f>
        <v>5.5120632000000009</v>
      </c>
      <c r="H285" s="4">
        <f>CHOOSE( CONTROL!$C$29, 7.7538, 7.7493) * CHOOSE(CONTROL!$C$12, $D$11, 100%, $F$11)</f>
        <v>6.2340552000000002</v>
      </c>
      <c r="I285" s="8">
        <f>CHOOSE( CONTROL!$C$29, 6.7881, 6.7836) * CHOOSE(CONTROL!$C$12, $D$11, 100%, $F$11)</f>
        <v>5.4576324000000005</v>
      </c>
      <c r="J285" s="4">
        <f>CHOOSE( CONTROL!$C$29, 6.7581, 6.7536) * CHOOSE(CONTROL!$C$12, $D$11, 100%, $F$11)</f>
        <v>5.4335124000000006</v>
      </c>
      <c r="K285" s="4"/>
      <c r="L285" s="9">
        <v>29.520499999999998</v>
      </c>
      <c r="M285" s="9">
        <v>12.063700000000001</v>
      </c>
      <c r="N285" s="9">
        <v>4.9444999999999997</v>
      </c>
      <c r="O285" s="9">
        <v>0.37459999999999999</v>
      </c>
      <c r="P285" s="9">
        <v>1.2192000000000001</v>
      </c>
      <c r="Q285" s="9">
        <v>30.451899999999998</v>
      </c>
      <c r="R285" s="9"/>
      <c r="S285" s="11"/>
    </row>
    <row r="286" spans="1:19" ht="15.75">
      <c r="A286" s="13">
        <v>50586</v>
      </c>
      <c r="B286" s="8">
        <f>CHOOSE( CONTROL!$C$29, 6.9445, 6.9398) * CHOOSE(CONTROL!$C$12, $D$11, 100%, $F$11)</f>
        <v>5.5833779999999997</v>
      </c>
      <c r="C286" s="8">
        <f>CHOOSE( CONTROL!$C$29, 6.955, 6.9503) * CHOOSE(CONTROL!$C$12, $D$11, 100%, $F$11)</f>
        <v>5.5918200000000002</v>
      </c>
      <c r="D286" s="8">
        <f>CHOOSE( CONTROL!$C$29, 6.9273, 6.9226) * CHOOSE( CONTROL!$C$12, $D$11, 100%, $F$11)</f>
        <v>5.5695492</v>
      </c>
      <c r="E286" s="12">
        <f>CHOOSE( CONTROL!$C$29, 6.9357, 6.931) * CHOOSE( CONTROL!$C$12, $D$11, 100%, $F$11)</f>
        <v>5.5763028000000006</v>
      </c>
      <c r="F286" s="4">
        <f>CHOOSE( CONTROL!$C$29, 7.909, 7.9043) * CHOOSE(CONTROL!$C$12, $D$11, 100%, $F$11)</f>
        <v>6.3588360000000002</v>
      </c>
      <c r="G286" s="8">
        <f>CHOOSE( CONTROL!$C$29, 6.7441, 6.7395) * CHOOSE( CONTROL!$C$12, $D$11, 100%, $F$11)</f>
        <v>5.4222564000000011</v>
      </c>
      <c r="H286" s="4">
        <f>CHOOSE( CONTROL!$C$29, 7.6332, 7.6286) * CHOOSE(CONTROL!$C$12, $D$11, 100%, $F$11)</f>
        <v>6.1370928000000005</v>
      </c>
      <c r="I286" s="8">
        <f>CHOOSE( CONTROL!$C$29, 6.6817, 6.6772) * CHOOSE(CONTROL!$C$12, $D$11, 100%, $F$11)</f>
        <v>5.3720868000000008</v>
      </c>
      <c r="J286" s="4">
        <f>CHOOSE( CONTROL!$C$29, 6.6495, 6.645) * CHOOSE(CONTROL!$C$12, $D$11, 100%, $F$11)</f>
        <v>5.3461980000000002</v>
      </c>
      <c r="K286" s="4"/>
      <c r="L286" s="9">
        <v>28.568200000000001</v>
      </c>
      <c r="M286" s="9">
        <v>11.6745</v>
      </c>
      <c r="N286" s="9">
        <v>4.7850000000000001</v>
      </c>
      <c r="O286" s="9">
        <v>0.36249999999999999</v>
      </c>
      <c r="P286" s="9">
        <v>1.1798</v>
      </c>
      <c r="Q286" s="9">
        <v>29.4696</v>
      </c>
      <c r="R286" s="9"/>
      <c r="S286" s="11"/>
    </row>
    <row r="287" spans="1:19" ht="15.75">
      <c r="A287" s="13">
        <v>50617</v>
      </c>
      <c r="B287" s="8">
        <f>CHOOSE( CONTROL!$C$29, 7.2429, 7.2382) * CHOOSE(CONTROL!$C$12, $D$11, 100%, $F$11)</f>
        <v>5.8232916000000001</v>
      </c>
      <c r="C287" s="8">
        <f>CHOOSE( CONTROL!$C$29, 7.2534, 7.2487) * CHOOSE(CONTROL!$C$12, $D$11, 100%, $F$11)</f>
        <v>5.8317336000000006</v>
      </c>
      <c r="D287" s="8">
        <f>CHOOSE( CONTROL!$C$29, 7.2449, 7.2402) * CHOOSE( CONTROL!$C$12, $D$11, 100%, $F$11)</f>
        <v>5.8248996000000002</v>
      </c>
      <c r="E287" s="12">
        <f>CHOOSE( CONTROL!$C$29, 7.2464, 7.2417) * CHOOSE( CONTROL!$C$12, $D$11, 100%, $F$11)</f>
        <v>5.8261056000000009</v>
      </c>
      <c r="F287" s="4">
        <f>CHOOSE( CONTROL!$C$29, 8.2345, 8.2298) * CHOOSE(CONTROL!$C$12, $D$11, 100%, $F$11)</f>
        <v>6.6205380000000007</v>
      </c>
      <c r="G287" s="8">
        <f>CHOOSE( CONTROL!$C$29, 7.0477, 7.0431) * CHOOSE( CONTROL!$C$12, $D$11, 100%, $F$11)</f>
        <v>5.6663508</v>
      </c>
      <c r="H287" s="4">
        <f>CHOOSE( CONTROL!$C$29, 7.9505, 7.946) * CHOOSE(CONTROL!$C$12, $D$11, 100%, $F$11)</f>
        <v>6.3922020000000002</v>
      </c>
      <c r="I287" s="8">
        <f>CHOOSE( CONTROL!$C$29, 6.9905, 6.986) * CHOOSE(CONTROL!$C$12, $D$11, 100%, $F$11)</f>
        <v>5.6203620000000001</v>
      </c>
      <c r="J287" s="4">
        <f>CHOOSE( CONTROL!$C$29, 6.9354, 6.9309) * CHOOSE(CONTROL!$C$12, $D$11, 100%, $F$11)</f>
        <v>5.5760616000000001</v>
      </c>
      <c r="K287" s="4"/>
      <c r="L287" s="9">
        <v>29.520499999999998</v>
      </c>
      <c r="M287" s="9">
        <v>12.063700000000001</v>
      </c>
      <c r="N287" s="9">
        <v>4.9444999999999997</v>
      </c>
      <c r="O287" s="9">
        <v>0.37459999999999999</v>
      </c>
      <c r="P287" s="9">
        <v>1.2192000000000001</v>
      </c>
      <c r="Q287" s="9">
        <v>30.451899999999998</v>
      </c>
      <c r="R287" s="9"/>
      <c r="S287" s="11"/>
    </row>
    <row r="288" spans="1:19" ht="15.75">
      <c r="A288" s="13">
        <v>50648</v>
      </c>
      <c r="B288" s="8">
        <f>CHOOSE( CONTROL!$C$29, 6.6846, 6.6799) * CHOOSE(CONTROL!$C$12, $D$11, 100%, $F$11)</f>
        <v>5.3744183999999997</v>
      </c>
      <c r="C288" s="8">
        <f>CHOOSE( CONTROL!$C$29, 6.695, 6.6903) * CHOOSE(CONTROL!$C$12, $D$11, 100%, $F$11)</f>
        <v>5.3827800000000003</v>
      </c>
      <c r="D288" s="8">
        <f>CHOOSE( CONTROL!$C$29, 6.6899, 6.6852) * CHOOSE( CONTROL!$C$12, $D$11, 100%, $F$11)</f>
        <v>5.3786795999999999</v>
      </c>
      <c r="E288" s="12">
        <f>CHOOSE( CONTROL!$C$29, 6.6902, 6.6855) * CHOOSE( CONTROL!$C$12, $D$11, 100%, $F$11)</f>
        <v>5.3789208000000004</v>
      </c>
      <c r="F288" s="4">
        <f>CHOOSE( CONTROL!$C$29, 7.6814, 7.6767) * CHOOSE(CONTROL!$C$12, $D$11, 100%, $F$11)</f>
        <v>6.1758456000000006</v>
      </c>
      <c r="G288" s="8">
        <f>CHOOSE( CONTROL!$C$29, 6.5055, 6.5009) * CHOOSE( CONTROL!$C$12, $D$11, 100%, $F$11)</f>
        <v>5.2304219999999999</v>
      </c>
      <c r="H288" s="4">
        <f>CHOOSE( CONTROL!$C$29, 7.4114, 7.4068) * CHOOSE(CONTROL!$C$12, $D$11, 100%, $F$11)</f>
        <v>5.9587656000000004</v>
      </c>
      <c r="I288" s="8">
        <f>CHOOSE( CONTROL!$C$29, 6.4598, 6.4553) * CHOOSE(CONTROL!$C$12, $D$11, 100%, $F$11)</f>
        <v>5.1936792000000009</v>
      </c>
      <c r="J288" s="4">
        <f>CHOOSE( CONTROL!$C$29, 6.4004, 6.3959) * CHOOSE(CONTROL!$C$12, $D$11, 100%, $F$11)</f>
        <v>5.1459216000000003</v>
      </c>
      <c r="K288" s="4"/>
      <c r="L288" s="9">
        <v>29.520499999999998</v>
      </c>
      <c r="M288" s="9">
        <v>12.063700000000001</v>
      </c>
      <c r="N288" s="9">
        <v>4.9444999999999997</v>
      </c>
      <c r="O288" s="9">
        <v>0.37459999999999999</v>
      </c>
      <c r="P288" s="9">
        <v>1.2192000000000001</v>
      </c>
      <c r="Q288" s="9">
        <v>30.451899999999998</v>
      </c>
      <c r="R288" s="9"/>
      <c r="S288" s="11"/>
    </row>
    <row r="289" spans="1:19" ht="15.75">
      <c r="A289" s="13">
        <v>50678</v>
      </c>
      <c r="B289" s="8">
        <f>CHOOSE( CONTROL!$C$29, 6.5448, 6.5401) * CHOOSE(CONTROL!$C$12, $D$11, 100%, $F$11)</f>
        <v>5.262019200000001</v>
      </c>
      <c r="C289" s="8">
        <f>CHOOSE( CONTROL!$C$29, 6.5552, 6.5505) * CHOOSE(CONTROL!$C$12, $D$11, 100%, $F$11)</f>
        <v>5.2703808000000008</v>
      </c>
      <c r="D289" s="8">
        <f>CHOOSE( CONTROL!$C$29, 6.5459, 6.5412) * CHOOSE( CONTROL!$C$12, $D$11, 100%, $F$11)</f>
        <v>5.2629035999999996</v>
      </c>
      <c r="E289" s="12">
        <f>CHOOSE( CONTROL!$C$29, 6.5477, 6.543) * CHOOSE( CONTROL!$C$12, $D$11, 100%, $F$11)</f>
        <v>5.2643507999999999</v>
      </c>
      <c r="F289" s="4">
        <f>CHOOSE( CONTROL!$C$29, 7.5337, 7.529) * CHOOSE(CONTROL!$C$12, $D$11, 100%, $F$11)</f>
        <v>6.0570947999999998</v>
      </c>
      <c r="G289" s="8">
        <f>CHOOSE( CONTROL!$C$29, 6.368, 6.3634) * CHOOSE( CONTROL!$C$12, $D$11, 100%, $F$11)</f>
        <v>5.1198720000000009</v>
      </c>
      <c r="H289" s="4">
        <f>CHOOSE( CONTROL!$C$29, 7.2674, 7.2629) * CHOOSE(CONTROL!$C$12, $D$11, 100%, $F$11)</f>
        <v>5.842989600000001</v>
      </c>
      <c r="I289" s="8">
        <f>CHOOSE( CONTROL!$C$29, 6.3271, 6.3226) * CHOOSE(CONTROL!$C$12, $D$11, 100%, $F$11)</f>
        <v>5.0869884000000001</v>
      </c>
      <c r="J289" s="4">
        <f>CHOOSE( CONTROL!$C$29, 6.2664, 6.2619) * CHOOSE(CONTROL!$C$12, $D$11, 100%, $F$11)</f>
        <v>5.0381856000000003</v>
      </c>
      <c r="K289" s="4"/>
      <c r="L289" s="9">
        <v>28.568200000000001</v>
      </c>
      <c r="M289" s="9">
        <v>11.6745</v>
      </c>
      <c r="N289" s="9">
        <v>4.7850000000000001</v>
      </c>
      <c r="O289" s="9">
        <v>0.36249999999999999</v>
      </c>
      <c r="P289" s="9">
        <v>1.1798</v>
      </c>
      <c r="Q289" s="9">
        <v>29.4696</v>
      </c>
      <c r="R289" s="9"/>
      <c r="S289" s="11"/>
    </row>
    <row r="290" spans="1:19" ht="15.75">
      <c r="A290" s="13">
        <v>50709</v>
      </c>
      <c r="B290" s="8">
        <f>6.8304 * CHOOSE(CONTROL!$C$12, $D$11, 100%, $F$11)</f>
        <v>5.4916416000000003</v>
      </c>
      <c r="C290" s="8">
        <f>6.8408 * CHOOSE(CONTROL!$C$12, $D$11, 100%, $F$11)</f>
        <v>5.5000032000000001</v>
      </c>
      <c r="D290" s="8">
        <f>6.8324 * CHOOSE( CONTROL!$C$12, $D$11, 100%, $F$11)</f>
        <v>5.4932496000000004</v>
      </c>
      <c r="E290" s="12">
        <f>6.8341 * CHOOSE( CONTROL!$C$12, $D$11, 100%, $F$11)</f>
        <v>5.4946164000000008</v>
      </c>
      <c r="F290" s="4">
        <f>7.8194 * CHOOSE(CONTROL!$C$12, $D$11, 100%, $F$11)</f>
        <v>6.2867975999999999</v>
      </c>
      <c r="G290" s="8">
        <f>6.646 * CHOOSE( CONTROL!$C$12, $D$11, 100%, $F$11)</f>
        <v>5.3433840000000004</v>
      </c>
      <c r="H290" s="4">
        <f>7.5458 * CHOOSE(CONTROL!$C$12, $D$11, 100%, $F$11)</f>
        <v>6.0668232</v>
      </c>
      <c r="I290" s="8">
        <f>6.603 * CHOOSE(CONTROL!$C$12, $D$11, 100%, $F$11)</f>
        <v>5.3088120000000005</v>
      </c>
      <c r="J290" s="4">
        <f>6.5401 * CHOOSE(CONTROL!$C$12, $D$11, 100%, $F$11)</f>
        <v>5.2582404</v>
      </c>
      <c r="K290" s="4"/>
      <c r="L290" s="9">
        <v>28.921800000000001</v>
      </c>
      <c r="M290" s="9">
        <v>12.063700000000001</v>
      </c>
      <c r="N290" s="9">
        <v>4.9444999999999997</v>
      </c>
      <c r="O290" s="9">
        <v>0.37459999999999999</v>
      </c>
      <c r="P290" s="9">
        <v>1.2192000000000001</v>
      </c>
      <c r="Q290" s="9">
        <v>30.451899999999998</v>
      </c>
      <c r="R290" s="9"/>
      <c r="S290" s="11"/>
    </row>
    <row r="291" spans="1:19" ht="15.75">
      <c r="A291" s="13">
        <v>50739</v>
      </c>
      <c r="B291" s="8">
        <f>7.3662 * CHOOSE(CONTROL!$C$12, $D$11, 100%, $F$11)</f>
        <v>5.9224248000000008</v>
      </c>
      <c r="C291" s="8">
        <f>7.3767 * CHOOSE(CONTROL!$C$12, $D$11, 100%, $F$11)</f>
        <v>5.9308668000000004</v>
      </c>
      <c r="D291" s="8">
        <f>7.3569 * CHOOSE( CONTROL!$C$12, $D$11, 100%, $F$11)</f>
        <v>5.9149476000000005</v>
      </c>
      <c r="E291" s="12">
        <f>7.363 * CHOOSE( CONTROL!$C$12, $D$11, 100%, $F$11)</f>
        <v>5.9198520000000006</v>
      </c>
      <c r="F291" s="4">
        <f>8.3578 * CHOOSE(CONTROL!$C$12, $D$11, 100%, $F$11)</f>
        <v>6.7196711999999996</v>
      </c>
      <c r="G291" s="8">
        <f>7.1873 * CHOOSE( CONTROL!$C$12, $D$11, 100%, $F$11)</f>
        <v>5.7785891999999999</v>
      </c>
      <c r="H291" s="4">
        <f>8.0707 * CHOOSE(CONTROL!$C$12, $D$11, 100%, $F$11)</f>
        <v>6.4888428000000005</v>
      </c>
      <c r="I291" s="8">
        <f>7.1469 * CHOOSE(CONTROL!$C$12, $D$11, 100%, $F$11)</f>
        <v>5.7461076000000002</v>
      </c>
      <c r="J291" s="4">
        <f>7.0536 * CHOOSE(CONTROL!$C$12, $D$11, 100%, $F$11)</f>
        <v>5.6710944000000003</v>
      </c>
      <c r="K291" s="4"/>
      <c r="L291" s="9">
        <v>26.515499999999999</v>
      </c>
      <c r="M291" s="9">
        <v>11.6745</v>
      </c>
      <c r="N291" s="9">
        <v>4.7850000000000001</v>
      </c>
      <c r="O291" s="9">
        <v>0.36249999999999999</v>
      </c>
      <c r="P291" s="9">
        <v>1.2522</v>
      </c>
      <c r="Q291" s="9">
        <v>29.4696</v>
      </c>
      <c r="R291" s="9"/>
      <c r="S291" s="11"/>
    </row>
    <row r="292" spans="1:19" ht="15.75">
      <c r="A292" s="13">
        <v>50770</v>
      </c>
      <c r="B292" s="8">
        <f>7.3528 * CHOOSE(CONTROL!$C$12, $D$11, 100%, $F$11)</f>
        <v>5.9116512000000006</v>
      </c>
      <c r="C292" s="8">
        <f>7.3633 * CHOOSE(CONTROL!$C$12, $D$11, 100%, $F$11)</f>
        <v>5.9200932000000002</v>
      </c>
      <c r="D292" s="8">
        <f>7.3454 * CHOOSE( CONTROL!$C$12, $D$11, 100%, $F$11)</f>
        <v>5.9057016000000004</v>
      </c>
      <c r="E292" s="12">
        <f>7.3508 * CHOOSE( CONTROL!$C$12, $D$11, 100%, $F$11)</f>
        <v>5.9100431999999996</v>
      </c>
      <c r="F292" s="4">
        <f>8.3444 * CHOOSE(CONTROL!$C$12, $D$11, 100%, $F$11)</f>
        <v>6.7088976000000002</v>
      </c>
      <c r="G292" s="8">
        <f>7.1758 * CHOOSE( CONTROL!$C$12, $D$11, 100%, $F$11)</f>
        <v>5.7693431999999998</v>
      </c>
      <c r="H292" s="4">
        <f>8.0577 * CHOOSE(CONTROL!$C$12, $D$11, 100%, $F$11)</f>
        <v>6.4783908000000006</v>
      </c>
      <c r="I292" s="8">
        <f>7.1409 * CHOOSE(CONTROL!$C$12, $D$11, 100%, $F$11)</f>
        <v>5.7412836000000009</v>
      </c>
      <c r="J292" s="4">
        <f>7.0407 * CHOOSE(CONTROL!$C$12, $D$11, 100%, $F$11)</f>
        <v>5.6607228000000003</v>
      </c>
      <c r="K292" s="4"/>
      <c r="L292" s="9">
        <v>27.3993</v>
      </c>
      <c r="M292" s="9">
        <v>12.063700000000001</v>
      </c>
      <c r="N292" s="9">
        <v>4.9444999999999997</v>
      </c>
      <c r="O292" s="9">
        <v>0.37459999999999999</v>
      </c>
      <c r="P292" s="9">
        <v>1.2939000000000001</v>
      </c>
      <c r="Q292" s="9">
        <v>30.451899999999998</v>
      </c>
      <c r="R292" s="9"/>
      <c r="S292" s="11"/>
    </row>
    <row r="293" spans="1:19" ht="15.75">
      <c r="A293" s="13">
        <v>50801</v>
      </c>
      <c r="B293" s="8">
        <f>7.6337 * CHOOSE(CONTROL!$C$12, $D$11, 100%, $F$11)</f>
        <v>6.1374948000000007</v>
      </c>
      <c r="C293" s="8">
        <f>7.6441 * CHOOSE(CONTROL!$C$12, $D$11, 100%, $F$11)</f>
        <v>6.1458564000000004</v>
      </c>
      <c r="D293" s="8">
        <f>7.6418 * CHOOSE( CONTROL!$C$12, $D$11, 100%, $F$11)</f>
        <v>6.1440071999999999</v>
      </c>
      <c r="E293" s="12">
        <f>7.6415 * CHOOSE( CONTROL!$C$12, $D$11, 100%, $F$11)</f>
        <v>6.1437660000000003</v>
      </c>
      <c r="F293" s="4">
        <f>8.6566 * CHOOSE(CONTROL!$C$12, $D$11, 100%, $F$11)</f>
        <v>6.9599063999999995</v>
      </c>
      <c r="G293" s="8">
        <f>7.4686 * CHOOSE( CONTROL!$C$12, $D$11, 100%, $F$11)</f>
        <v>6.0047544000000004</v>
      </c>
      <c r="H293" s="4">
        <f>8.3619 * CHOOSE(CONTROL!$C$12, $D$11, 100%, $F$11)</f>
        <v>6.7229676000000005</v>
      </c>
      <c r="I293" s="8">
        <f>7.4221 * CHOOSE(CONTROL!$C$12, $D$11, 100%, $F$11)</f>
        <v>5.9673684000000007</v>
      </c>
      <c r="J293" s="4">
        <f>7.3098 * CHOOSE(CONTROL!$C$12, $D$11, 100%, $F$11)</f>
        <v>5.8770792000000007</v>
      </c>
      <c r="K293" s="4"/>
      <c r="L293" s="9">
        <v>27.3993</v>
      </c>
      <c r="M293" s="9">
        <v>12.063700000000001</v>
      </c>
      <c r="N293" s="9">
        <v>4.9444999999999997</v>
      </c>
      <c r="O293" s="9">
        <v>0.37459999999999999</v>
      </c>
      <c r="P293" s="9">
        <v>1.2939000000000001</v>
      </c>
      <c r="Q293" s="9">
        <v>30.386800000000001</v>
      </c>
      <c r="R293" s="9"/>
      <c r="S293" s="11"/>
    </row>
    <row r="294" spans="1:19" ht="15.75">
      <c r="A294" s="13">
        <v>50829</v>
      </c>
      <c r="B294" s="8">
        <f>7.1405 * CHOOSE(CONTROL!$C$12, $D$11, 100%, $F$11)</f>
        <v>5.7409620000000006</v>
      </c>
      <c r="C294" s="8">
        <f>7.1509 * CHOOSE(CONTROL!$C$12, $D$11, 100%, $F$11)</f>
        <v>5.7493236000000003</v>
      </c>
      <c r="D294" s="8">
        <f>7.1509 * CHOOSE( CONTROL!$C$12, $D$11, 100%, $F$11)</f>
        <v>5.7493236000000003</v>
      </c>
      <c r="E294" s="12">
        <f>7.1498 * CHOOSE( CONTROL!$C$12, $D$11, 100%, $F$11)</f>
        <v>5.7484392</v>
      </c>
      <c r="F294" s="4">
        <f>8.1556 * CHOOSE(CONTROL!$C$12, $D$11, 100%, $F$11)</f>
        <v>6.5571023999999998</v>
      </c>
      <c r="G294" s="8">
        <f>6.9877 * CHOOSE( CONTROL!$C$12, $D$11, 100%, $F$11)</f>
        <v>5.6181108000000002</v>
      </c>
      <c r="H294" s="4">
        <f>7.8736 * CHOOSE(CONTROL!$C$12, $D$11, 100%, $F$11)</f>
        <v>6.3303744000000002</v>
      </c>
      <c r="I294" s="8">
        <f>6.9383 * CHOOSE(CONTROL!$C$12, $D$11, 100%, $F$11)</f>
        <v>5.5783931999999998</v>
      </c>
      <c r="J294" s="4">
        <f>6.8373 * CHOOSE(CONTROL!$C$12, $D$11, 100%, $F$11)</f>
        <v>5.4971892000000002</v>
      </c>
      <c r="K294" s="4"/>
      <c r="L294" s="9">
        <v>24.747800000000002</v>
      </c>
      <c r="M294" s="9">
        <v>10.8962</v>
      </c>
      <c r="N294" s="9">
        <v>4.4660000000000002</v>
      </c>
      <c r="O294" s="9">
        <v>0.33829999999999999</v>
      </c>
      <c r="P294" s="9">
        <v>1.1687000000000001</v>
      </c>
      <c r="Q294" s="9">
        <v>27.446200000000001</v>
      </c>
      <c r="R294" s="9"/>
      <c r="S294" s="11"/>
    </row>
    <row r="295" spans="1:19" ht="15.75">
      <c r="A295" s="13">
        <v>50860</v>
      </c>
      <c r="B295" s="8">
        <f>6.9886 * CHOOSE(CONTROL!$C$12, $D$11, 100%, $F$11)</f>
        <v>5.6188343999999999</v>
      </c>
      <c r="C295" s="8">
        <f>6.999 * CHOOSE(CONTROL!$C$12, $D$11, 100%, $F$11)</f>
        <v>5.6271959999999996</v>
      </c>
      <c r="D295" s="8">
        <f>6.9789 * CHOOSE( CONTROL!$C$12, $D$11, 100%, $F$11)</f>
        <v>5.611035600000001</v>
      </c>
      <c r="E295" s="12">
        <f>6.9851 * CHOOSE( CONTROL!$C$12, $D$11, 100%, $F$11)</f>
        <v>5.6160204</v>
      </c>
      <c r="F295" s="4">
        <f>7.9875 * CHOOSE(CONTROL!$C$12, $D$11, 100%, $F$11)</f>
        <v>6.4219499999999998</v>
      </c>
      <c r="G295" s="8">
        <f>6.8191 * CHOOSE( CONTROL!$C$12, $D$11, 100%, $F$11)</f>
        <v>5.4825564</v>
      </c>
      <c r="H295" s="4">
        <f>7.7097 * CHOOSE(CONTROL!$C$12, $D$11, 100%, $F$11)</f>
        <v>6.1985988000000001</v>
      </c>
      <c r="I295" s="8">
        <f>6.7532 * CHOOSE(CONTROL!$C$12, $D$11, 100%, $F$11)</f>
        <v>5.4295727999999999</v>
      </c>
      <c r="J295" s="4">
        <f>6.6917 * CHOOSE(CONTROL!$C$12, $D$11, 100%, $F$11)</f>
        <v>5.3801268000000002</v>
      </c>
      <c r="K295" s="4"/>
      <c r="L295" s="9">
        <v>27.3993</v>
      </c>
      <c r="M295" s="9">
        <v>12.063700000000001</v>
      </c>
      <c r="N295" s="9">
        <v>4.9444999999999997</v>
      </c>
      <c r="O295" s="9">
        <v>0.37459999999999999</v>
      </c>
      <c r="P295" s="9">
        <v>1.2939000000000001</v>
      </c>
      <c r="Q295" s="9">
        <v>30.386800000000001</v>
      </c>
      <c r="R295" s="9"/>
      <c r="S295" s="11"/>
    </row>
    <row r="296" spans="1:19" ht="15.75">
      <c r="A296" s="13">
        <v>50890</v>
      </c>
      <c r="B296" s="8">
        <f>7.0947 * CHOOSE(CONTROL!$C$12, $D$11, 100%, $F$11)</f>
        <v>5.7041388</v>
      </c>
      <c r="C296" s="8">
        <f>7.1052 * CHOOSE(CONTROL!$C$12, $D$11, 100%, $F$11)</f>
        <v>5.7125808000000005</v>
      </c>
      <c r="D296" s="8">
        <f>7.1084 * CHOOSE( CONTROL!$C$12, $D$11, 100%, $F$11)</f>
        <v>5.7151535999999998</v>
      </c>
      <c r="E296" s="12">
        <f>7.1061 * CHOOSE( CONTROL!$C$12, $D$11, 100%, $F$11)</f>
        <v>5.7133044000000002</v>
      </c>
      <c r="F296" s="4">
        <f>8.102 * CHOOSE(CONTROL!$C$12, $D$11, 100%, $F$11)</f>
        <v>6.5140080000000005</v>
      </c>
      <c r="G296" s="8">
        <f>6.9105 * CHOOSE( CONTROL!$C$12, $D$11, 100%, $F$11)</f>
        <v>5.5560420000000006</v>
      </c>
      <c r="H296" s="4">
        <f>7.8213 * CHOOSE(CONTROL!$C$12, $D$11, 100%, $F$11)</f>
        <v>6.2883252000000001</v>
      </c>
      <c r="I296" s="8">
        <f>6.845 * CHOOSE(CONTROL!$C$12, $D$11, 100%, $F$11)</f>
        <v>5.5033799999999999</v>
      </c>
      <c r="J296" s="4">
        <f>6.7934 * CHOOSE(CONTROL!$C$12, $D$11, 100%, $F$11)</f>
        <v>5.4618936000000007</v>
      </c>
      <c r="K296" s="4"/>
      <c r="L296" s="9">
        <v>27.988800000000001</v>
      </c>
      <c r="M296" s="9">
        <v>11.6745</v>
      </c>
      <c r="N296" s="9">
        <v>4.7850000000000001</v>
      </c>
      <c r="O296" s="9">
        <v>0.36249999999999999</v>
      </c>
      <c r="P296" s="9">
        <v>1.1798</v>
      </c>
      <c r="Q296" s="9">
        <v>29.406600000000001</v>
      </c>
      <c r="R296" s="9"/>
      <c r="S296" s="11"/>
    </row>
    <row r="297" spans="1:19" ht="15.75">
      <c r="A297" s="13">
        <v>50921</v>
      </c>
      <c r="B297" s="8">
        <f>CHOOSE( CONTROL!$C$29, 7.2883, 7.2836) * CHOOSE(CONTROL!$C$12, $D$11, 100%, $F$11)</f>
        <v>5.8597932000000004</v>
      </c>
      <c r="C297" s="8">
        <f>CHOOSE( CONTROL!$C$29, 7.2988, 7.2941) * CHOOSE(CONTROL!$C$12, $D$11, 100%, $F$11)</f>
        <v>5.8682352</v>
      </c>
      <c r="D297" s="8">
        <f>CHOOSE( CONTROL!$C$29, 7.2767, 7.272) * CHOOSE( CONTROL!$C$12, $D$11, 100%, $F$11)</f>
        <v>5.8504668000000004</v>
      </c>
      <c r="E297" s="12">
        <f>CHOOSE( CONTROL!$C$29, 7.2831, 7.2784) * CHOOSE( CONTROL!$C$12, $D$11, 100%, $F$11)</f>
        <v>5.8556124000000001</v>
      </c>
      <c r="F297" s="4">
        <f>CHOOSE( CONTROL!$C$29, 8.2632, 8.2585) * CHOOSE(CONTROL!$C$12, $D$11, 100%, $F$11)</f>
        <v>6.6436127999999997</v>
      </c>
      <c r="G297" s="8">
        <f>CHOOSE( CONTROL!$C$29, 7.0805, 7.0759) * CHOOSE( CONTROL!$C$12, $D$11, 100%, $F$11)</f>
        <v>5.6927219999999998</v>
      </c>
      <c r="H297" s="4">
        <f>CHOOSE( CONTROL!$C$29, 7.9785, 7.9739) * CHOOSE(CONTROL!$C$12, $D$11, 100%, $F$11)</f>
        <v>6.4147140000000009</v>
      </c>
      <c r="I297" s="8">
        <f>CHOOSE( CONTROL!$C$29, 7.0091, 7.0046) * CHOOSE(CONTROL!$C$12, $D$11, 100%, $F$11)</f>
        <v>5.6353164000000007</v>
      </c>
      <c r="J297" s="4">
        <f>CHOOSE( CONTROL!$C$29, 6.9789, 6.9744) * CHOOSE(CONTROL!$C$12, $D$11, 100%, $F$11)</f>
        <v>5.611035600000001</v>
      </c>
      <c r="K297" s="4"/>
      <c r="L297" s="9">
        <v>29.520499999999998</v>
      </c>
      <c r="M297" s="9">
        <v>12.063700000000001</v>
      </c>
      <c r="N297" s="9">
        <v>4.9444999999999997</v>
      </c>
      <c r="O297" s="9">
        <v>0.37459999999999999</v>
      </c>
      <c r="P297" s="9">
        <v>1.2192000000000001</v>
      </c>
      <c r="Q297" s="9">
        <v>30.386800000000001</v>
      </c>
      <c r="R297" s="9"/>
      <c r="S297" s="11"/>
    </row>
    <row r="298" spans="1:19" ht="15.75">
      <c r="A298" s="13">
        <v>50951</v>
      </c>
      <c r="B298" s="8">
        <f>CHOOSE( CONTROL!$C$29, 7.1713, 7.1666) * CHOOSE(CONTROL!$C$12, $D$11, 100%, $F$11)</f>
        <v>5.7657252000000003</v>
      </c>
      <c r="C298" s="8">
        <f>CHOOSE( CONTROL!$C$29, 7.1818, 7.1771) * CHOOSE(CONTROL!$C$12, $D$11, 100%, $F$11)</f>
        <v>5.7741671999999999</v>
      </c>
      <c r="D298" s="8">
        <f>CHOOSE( CONTROL!$C$29, 7.1541, 7.1494) * CHOOSE( CONTROL!$C$12, $D$11, 100%, $F$11)</f>
        <v>5.7518963999999997</v>
      </c>
      <c r="E298" s="12">
        <f>CHOOSE( CONTROL!$C$29, 7.1625, 7.1578) * CHOOSE( CONTROL!$C$12, $D$11, 100%, $F$11)</f>
        <v>5.7586500000000003</v>
      </c>
      <c r="F298" s="4">
        <f>CHOOSE( CONTROL!$C$29, 8.1358, 8.1311) * CHOOSE(CONTROL!$C$12, $D$11, 100%, $F$11)</f>
        <v>6.5411831999999999</v>
      </c>
      <c r="G298" s="8">
        <f>CHOOSE( CONTROL!$C$29, 6.9652, 6.9606) * CHOOSE( CONTROL!$C$12, $D$11, 100%, $F$11)</f>
        <v>5.6000208000000002</v>
      </c>
      <c r="H298" s="4">
        <f>CHOOSE( CONTROL!$C$29, 7.8543, 7.8497) * CHOOSE(CONTROL!$C$12, $D$11, 100%, $F$11)</f>
        <v>6.3148572000000005</v>
      </c>
      <c r="I298" s="8">
        <f>CHOOSE( CONTROL!$C$29, 6.8991, 6.8946) * CHOOSE(CONTROL!$C$12, $D$11, 100%, $F$11)</f>
        <v>5.5468764000000004</v>
      </c>
      <c r="J298" s="4">
        <f>CHOOSE( CONTROL!$C$29, 6.8668, 6.8623) * CHOOSE(CONTROL!$C$12, $D$11, 100%, $F$11)</f>
        <v>5.5209071999999999</v>
      </c>
      <c r="K298" s="4"/>
      <c r="L298" s="9">
        <v>28.568200000000001</v>
      </c>
      <c r="M298" s="9">
        <v>11.6745</v>
      </c>
      <c r="N298" s="9">
        <v>4.7850000000000001</v>
      </c>
      <c r="O298" s="9">
        <v>0.36249999999999999</v>
      </c>
      <c r="P298" s="9">
        <v>1.1798</v>
      </c>
      <c r="Q298" s="9">
        <v>29.406600000000001</v>
      </c>
      <c r="R298" s="9"/>
      <c r="S298" s="11"/>
    </row>
    <row r="299" spans="1:19" ht="15.75">
      <c r="A299" s="13">
        <v>50982</v>
      </c>
      <c r="B299" s="8">
        <f>CHOOSE( CONTROL!$C$29, 7.4795, 7.4748) * CHOOSE(CONTROL!$C$12, $D$11, 100%, $F$11)</f>
        <v>6.0135180000000004</v>
      </c>
      <c r="C299" s="8">
        <f>CHOOSE( CONTROL!$C$29, 7.4899, 7.4852) * CHOOSE(CONTROL!$C$12, $D$11, 100%, $F$11)</f>
        <v>6.0218796000000001</v>
      </c>
      <c r="D299" s="8">
        <f>CHOOSE( CONTROL!$C$29, 7.4815, 7.4768) * CHOOSE( CONTROL!$C$12, $D$11, 100%, $F$11)</f>
        <v>6.0151260000000004</v>
      </c>
      <c r="E299" s="12">
        <f>CHOOSE( CONTROL!$C$29, 7.483, 7.4783) * CHOOSE( CONTROL!$C$12, $D$11, 100%, $F$11)</f>
        <v>6.0163320000000002</v>
      </c>
      <c r="F299" s="4">
        <f>CHOOSE( CONTROL!$C$29, 8.4711, 8.4664) * CHOOSE(CONTROL!$C$12, $D$11, 100%, $F$11)</f>
        <v>6.8107644000000001</v>
      </c>
      <c r="G299" s="8">
        <f>CHOOSE( CONTROL!$C$29, 7.2783, 7.2737) * CHOOSE( CONTROL!$C$12, $D$11, 100%, $F$11)</f>
        <v>5.8517532000000001</v>
      </c>
      <c r="H299" s="4">
        <f>CHOOSE( CONTROL!$C$29, 8.1811, 8.1765) * CHOOSE(CONTROL!$C$12, $D$11, 100%, $F$11)</f>
        <v>6.5776044000000011</v>
      </c>
      <c r="I299" s="8">
        <f>CHOOSE( CONTROL!$C$29, 7.2173, 7.2128) * CHOOSE(CONTROL!$C$12, $D$11, 100%, $F$11)</f>
        <v>5.8027091999999998</v>
      </c>
      <c r="J299" s="4">
        <f>CHOOSE( CONTROL!$C$29, 7.1621, 7.1576) * CHOOSE(CONTROL!$C$12, $D$11, 100%, $F$11)</f>
        <v>5.7583283999999999</v>
      </c>
      <c r="K299" s="4"/>
      <c r="L299" s="9">
        <v>29.520499999999998</v>
      </c>
      <c r="M299" s="9">
        <v>12.063700000000001</v>
      </c>
      <c r="N299" s="9">
        <v>4.9444999999999997</v>
      </c>
      <c r="O299" s="9">
        <v>0.37459999999999999</v>
      </c>
      <c r="P299" s="9">
        <v>1.2192000000000001</v>
      </c>
      <c r="Q299" s="9">
        <v>30.386800000000001</v>
      </c>
      <c r="R299" s="9"/>
      <c r="S299" s="11"/>
    </row>
    <row r="300" spans="1:19" ht="15.75">
      <c r="A300" s="13">
        <v>51013</v>
      </c>
      <c r="B300" s="8">
        <f>CHOOSE( CONTROL!$C$29, 6.9029, 6.8982) * CHOOSE(CONTROL!$C$12, $D$11, 100%, $F$11)</f>
        <v>5.5499315999999999</v>
      </c>
      <c r="C300" s="8">
        <f>CHOOSE( CONTROL!$C$29, 6.9133, 6.9086) * CHOOSE(CONTROL!$C$12, $D$11, 100%, $F$11)</f>
        <v>5.5582931999999996</v>
      </c>
      <c r="D300" s="8">
        <f>CHOOSE( CONTROL!$C$29, 6.9082, 6.9035) * CHOOSE( CONTROL!$C$12, $D$11, 100%, $F$11)</f>
        <v>5.5541928</v>
      </c>
      <c r="E300" s="12">
        <f>CHOOSE( CONTROL!$C$29, 6.9085, 6.9038) * CHOOSE( CONTROL!$C$12, $D$11, 100%, $F$11)</f>
        <v>5.5544340000000005</v>
      </c>
      <c r="F300" s="4">
        <f>CHOOSE( CONTROL!$C$29, 7.8997, 7.895) * CHOOSE(CONTROL!$C$12, $D$11, 100%, $F$11)</f>
        <v>6.3513588000000007</v>
      </c>
      <c r="G300" s="8">
        <f>CHOOSE( CONTROL!$C$29, 6.7183, 6.7137) * CHOOSE( CONTROL!$C$12, $D$11, 100%, $F$11)</f>
        <v>5.4015132000000001</v>
      </c>
      <c r="H300" s="4">
        <f>CHOOSE( CONTROL!$C$29, 7.6241, 7.6196) * CHOOSE(CONTROL!$C$12, $D$11, 100%, $F$11)</f>
        <v>6.1297764000000008</v>
      </c>
      <c r="I300" s="8">
        <f>CHOOSE( CONTROL!$C$29, 6.6691, 6.6646) * CHOOSE(CONTROL!$C$12, $D$11, 100%, $F$11)</f>
        <v>5.3619564000000004</v>
      </c>
      <c r="J300" s="4">
        <f>CHOOSE( CONTROL!$C$29, 6.6096, 6.6051) * CHOOSE(CONTROL!$C$12, $D$11, 100%, $F$11)</f>
        <v>5.3141184000000008</v>
      </c>
      <c r="K300" s="4"/>
      <c r="L300" s="9">
        <v>29.520499999999998</v>
      </c>
      <c r="M300" s="9">
        <v>12.063700000000001</v>
      </c>
      <c r="N300" s="9">
        <v>4.9444999999999997</v>
      </c>
      <c r="O300" s="9">
        <v>0.37459999999999999</v>
      </c>
      <c r="P300" s="9">
        <v>1.2192000000000001</v>
      </c>
      <c r="Q300" s="9">
        <v>30.386800000000001</v>
      </c>
      <c r="R300" s="9"/>
      <c r="S300" s="11"/>
    </row>
    <row r="301" spans="1:19" ht="15.75">
      <c r="A301" s="13">
        <v>51043</v>
      </c>
      <c r="B301" s="8">
        <f>CHOOSE( CONTROL!$C$29, 6.7585, 6.7538) * CHOOSE(CONTROL!$C$12, $D$11, 100%, $F$11)</f>
        <v>5.4338340000000001</v>
      </c>
      <c r="C301" s="8">
        <f>CHOOSE( CONTROL!$C$29, 6.7689, 6.7642) * CHOOSE(CONTROL!$C$12, $D$11, 100%, $F$11)</f>
        <v>5.4421956000000007</v>
      </c>
      <c r="D301" s="8">
        <f>CHOOSE( CONTROL!$C$29, 6.7596, 6.7549) * CHOOSE( CONTROL!$C$12, $D$11, 100%, $F$11)</f>
        <v>5.4347184000000004</v>
      </c>
      <c r="E301" s="12">
        <f>CHOOSE( CONTROL!$C$29, 6.7614, 6.7567) * CHOOSE( CONTROL!$C$12, $D$11, 100%, $F$11)</f>
        <v>5.4361656000000007</v>
      </c>
      <c r="F301" s="4">
        <f>CHOOSE( CONTROL!$C$29, 7.7475, 7.7428) * CHOOSE(CONTROL!$C$12, $D$11, 100%, $F$11)</f>
        <v>6.2289900000000005</v>
      </c>
      <c r="G301" s="8">
        <f>CHOOSE( CONTROL!$C$29, 6.5763, 6.5717) * CHOOSE( CONTROL!$C$12, $D$11, 100%, $F$11)</f>
        <v>5.2873451999999999</v>
      </c>
      <c r="H301" s="4">
        <f>CHOOSE( CONTROL!$C$29, 7.4758, 7.4712) * CHOOSE(CONTROL!$C$12, $D$11, 100%, $F$11)</f>
        <v>6.0105431999999999</v>
      </c>
      <c r="I301" s="8">
        <f>CHOOSE( CONTROL!$C$29, 6.532, 6.5275) * CHOOSE(CONTROL!$C$12, $D$11, 100%, $F$11)</f>
        <v>5.251728</v>
      </c>
      <c r="J301" s="4">
        <f>CHOOSE( CONTROL!$C$29, 6.4712, 6.4667) * CHOOSE(CONTROL!$C$12, $D$11, 100%, $F$11)</f>
        <v>5.2028448000000003</v>
      </c>
      <c r="K301" s="4"/>
      <c r="L301" s="9">
        <v>28.568200000000001</v>
      </c>
      <c r="M301" s="9">
        <v>11.6745</v>
      </c>
      <c r="N301" s="9">
        <v>4.7850000000000001</v>
      </c>
      <c r="O301" s="9">
        <v>0.36249999999999999</v>
      </c>
      <c r="P301" s="9">
        <v>1.1798</v>
      </c>
      <c r="Q301" s="9">
        <v>29.406600000000001</v>
      </c>
      <c r="R301" s="9"/>
      <c r="S301" s="11"/>
    </row>
    <row r="302" spans="1:19" ht="15.75">
      <c r="A302" s="13">
        <v>51074</v>
      </c>
      <c r="B302" s="8">
        <f>7.0536 * CHOOSE(CONTROL!$C$12, $D$11, 100%, $F$11)</f>
        <v>5.6710944000000003</v>
      </c>
      <c r="C302" s="8">
        <f>7.064 * CHOOSE(CONTROL!$C$12, $D$11, 100%, $F$11)</f>
        <v>5.6794560000000001</v>
      </c>
      <c r="D302" s="8">
        <f>7.0556 * CHOOSE( CONTROL!$C$12, $D$11, 100%, $F$11)</f>
        <v>5.6727024000000004</v>
      </c>
      <c r="E302" s="12">
        <f>7.0573 * CHOOSE( CONTROL!$C$12, $D$11, 100%, $F$11)</f>
        <v>5.6740691999999999</v>
      </c>
      <c r="F302" s="4">
        <f>8.0426 * CHOOSE(CONTROL!$C$12, $D$11, 100%, $F$11)</f>
        <v>6.4662504000000007</v>
      </c>
      <c r="G302" s="8">
        <f>6.8636 * CHOOSE( CONTROL!$C$12, $D$11, 100%, $F$11)</f>
        <v>5.5183344000000005</v>
      </c>
      <c r="H302" s="4">
        <f>7.7634 * CHOOSE(CONTROL!$C$12, $D$11, 100%, $F$11)</f>
        <v>6.2417736000000001</v>
      </c>
      <c r="I302" s="8">
        <f>6.8169 * CHOOSE(CONTROL!$C$12, $D$11, 100%, $F$11)</f>
        <v>5.4807876000000011</v>
      </c>
      <c r="J302" s="4">
        <f>6.754 * CHOOSE(CONTROL!$C$12, $D$11, 100%, $F$11)</f>
        <v>5.4302159999999997</v>
      </c>
      <c r="K302" s="4"/>
      <c r="L302" s="9">
        <v>28.921800000000001</v>
      </c>
      <c r="M302" s="9">
        <v>12.063700000000001</v>
      </c>
      <c r="N302" s="9">
        <v>4.9444999999999997</v>
      </c>
      <c r="O302" s="9">
        <v>0.37459999999999999</v>
      </c>
      <c r="P302" s="9">
        <v>1.2192000000000001</v>
      </c>
      <c r="Q302" s="9">
        <v>30.386800000000001</v>
      </c>
      <c r="R302" s="9"/>
      <c r="S302" s="11"/>
    </row>
    <row r="303" spans="1:19" ht="15.75">
      <c r="A303" s="13">
        <v>51104</v>
      </c>
      <c r="B303" s="8">
        <f>7.607 * CHOOSE(CONTROL!$C$12, $D$11, 100%, $F$11)</f>
        <v>6.1160280000000009</v>
      </c>
      <c r="C303" s="8">
        <f>7.6174 * CHOOSE(CONTROL!$C$12, $D$11, 100%, $F$11)</f>
        <v>6.1243896000000007</v>
      </c>
      <c r="D303" s="8">
        <f>7.5977 * CHOOSE( CONTROL!$C$12, $D$11, 100%, $F$11)</f>
        <v>6.1085507999999997</v>
      </c>
      <c r="E303" s="12">
        <f>7.6038 * CHOOSE( CONTROL!$C$12, $D$11, 100%, $F$11)</f>
        <v>6.1134551999999998</v>
      </c>
      <c r="F303" s="4">
        <f>8.5986 * CHOOSE(CONTROL!$C$12, $D$11, 100%, $F$11)</f>
        <v>6.9132743999999997</v>
      </c>
      <c r="G303" s="8">
        <f>7.422 * CHOOSE( CONTROL!$C$12, $D$11, 100%, $F$11)</f>
        <v>5.9672879999999999</v>
      </c>
      <c r="H303" s="4">
        <f>8.3054 * CHOOSE(CONTROL!$C$12, $D$11, 100%, $F$11)</f>
        <v>6.6775416000000005</v>
      </c>
      <c r="I303" s="8">
        <f>7.3777 * CHOOSE(CONTROL!$C$12, $D$11, 100%, $F$11)</f>
        <v>5.9316708</v>
      </c>
      <c r="J303" s="4">
        <f>7.2842 * CHOOSE(CONTROL!$C$12, $D$11, 100%, $F$11)</f>
        <v>5.8564968000000004</v>
      </c>
      <c r="K303" s="4"/>
      <c r="L303" s="9">
        <v>26.515499999999999</v>
      </c>
      <c r="M303" s="9">
        <v>11.6745</v>
      </c>
      <c r="N303" s="9">
        <v>4.7850000000000001</v>
      </c>
      <c r="O303" s="9">
        <v>0.36249999999999999</v>
      </c>
      <c r="P303" s="9">
        <v>1.2522</v>
      </c>
      <c r="Q303" s="9">
        <v>29.406600000000001</v>
      </c>
      <c r="R303" s="9"/>
      <c r="S303" s="11"/>
    </row>
    <row r="304" spans="1:19" ht="15.75">
      <c r="A304" s="13">
        <v>51135</v>
      </c>
      <c r="B304" s="8">
        <f>7.5931 * CHOOSE(CONTROL!$C$12, $D$11, 100%, $F$11)</f>
        <v>6.1048524000000004</v>
      </c>
      <c r="C304" s="8">
        <f>7.6036 * CHOOSE(CONTROL!$C$12, $D$11, 100%, $F$11)</f>
        <v>6.1132944000000009</v>
      </c>
      <c r="D304" s="8">
        <f>7.5857 * CHOOSE( CONTROL!$C$12, $D$11, 100%, $F$11)</f>
        <v>6.0989028000000003</v>
      </c>
      <c r="E304" s="12">
        <f>7.5911 * CHOOSE( CONTROL!$C$12, $D$11, 100%, $F$11)</f>
        <v>6.1032444000000003</v>
      </c>
      <c r="F304" s="4">
        <f>8.5847 * CHOOSE(CONTROL!$C$12, $D$11, 100%, $F$11)</f>
        <v>6.9020988000000001</v>
      </c>
      <c r="G304" s="8">
        <f>7.41 * CHOOSE( CONTROL!$C$12, $D$11, 100%, $F$11)</f>
        <v>5.9576400000000005</v>
      </c>
      <c r="H304" s="4">
        <f>8.2919 * CHOOSE(CONTROL!$C$12, $D$11, 100%, $F$11)</f>
        <v>6.6666876000000004</v>
      </c>
      <c r="I304" s="8">
        <f>7.3713 * CHOOSE(CONTROL!$C$12, $D$11, 100%, $F$11)</f>
        <v>5.9265252000000004</v>
      </c>
      <c r="J304" s="4">
        <f>7.271 * CHOOSE(CONTROL!$C$12, $D$11, 100%, $F$11)</f>
        <v>5.8458839999999999</v>
      </c>
      <c r="K304" s="4"/>
      <c r="L304" s="9">
        <v>27.3993</v>
      </c>
      <c r="M304" s="9">
        <v>12.063700000000001</v>
      </c>
      <c r="N304" s="9">
        <v>4.9444999999999997</v>
      </c>
      <c r="O304" s="9">
        <v>0.37459999999999999</v>
      </c>
      <c r="P304" s="9">
        <v>1.2939000000000001</v>
      </c>
      <c r="Q304" s="9">
        <v>30.386800000000001</v>
      </c>
      <c r="R304" s="9"/>
      <c r="S304" s="11"/>
    </row>
    <row r="305" spans="1:19" ht="15.75">
      <c r="A305" s="13">
        <v>51166</v>
      </c>
      <c r="B305" s="8">
        <f>7.8832 * CHOOSE(CONTROL!$C$12, $D$11, 100%, $F$11)</f>
        <v>6.338092800000001</v>
      </c>
      <c r="C305" s="8">
        <f>7.8936 * CHOOSE(CONTROL!$C$12, $D$11, 100%, $F$11)</f>
        <v>6.3464544000000007</v>
      </c>
      <c r="D305" s="8">
        <f>7.8912 * CHOOSE( CONTROL!$C$12, $D$11, 100%, $F$11)</f>
        <v>6.3445248000000003</v>
      </c>
      <c r="E305" s="12">
        <f>7.891 * CHOOSE( CONTROL!$C$12, $D$11, 100%, $F$11)</f>
        <v>6.3443640000000006</v>
      </c>
      <c r="F305" s="4">
        <f>8.9061 * CHOOSE(CONTROL!$C$12, $D$11, 100%, $F$11)</f>
        <v>7.1605044000000007</v>
      </c>
      <c r="G305" s="8">
        <f>7.7118 * CHOOSE( CONTROL!$C$12, $D$11, 100%, $F$11)</f>
        <v>6.2002872000000009</v>
      </c>
      <c r="H305" s="4">
        <f>8.6051 * CHOOSE(CONTROL!$C$12, $D$11, 100%, $F$11)</f>
        <v>6.918500400000001</v>
      </c>
      <c r="I305" s="8">
        <f>7.6612 * CHOOSE(CONTROL!$C$12, $D$11, 100%, $F$11)</f>
        <v>6.1596048000000003</v>
      </c>
      <c r="J305" s="4">
        <f>7.5489 * CHOOSE(CONTROL!$C$12, $D$11, 100%, $F$11)</f>
        <v>6.0693156000000004</v>
      </c>
      <c r="K305" s="4"/>
      <c r="L305" s="9">
        <v>27.3993</v>
      </c>
      <c r="M305" s="9">
        <v>12.063700000000001</v>
      </c>
      <c r="N305" s="9">
        <v>4.9444999999999997</v>
      </c>
      <c r="O305" s="9">
        <v>0.37459999999999999</v>
      </c>
      <c r="P305" s="9">
        <v>1.2939000000000001</v>
      </c>
      <c r="Q305" s="9">
        <v>30.3217</v>
      </c>
      <c r="R305" s="9"/>
      <c r="S305" s="11"/>
    </row>
    <row r="306" spans="1:19" ht="15.75">
      <c r="A306" s="13">
        <v>51194</v>
      </c>
      <c r="B306" s="8">
        <f>7.3738 * CHOOSE(CONTROL!$C$12, $D$11, 100%, $F$11)</f>
        <v>5.9285352000000007</v>
      </c>
      <c r="C306" s="8">
        <f>7.3843 * CHOOSE(CONTROL!$C$12, $D$11, 100%, $F$11)</f>
        <v>5.9369772000000003</v>
      </c>
      <c r="D306" s="8">
        <f>7.3842 * CHOOSE( CONTROL!$C$12, $D$11, 100%, $F$11)</f>
        <v>5.9368968000000004</v>
      </c>
      <c r="E306" s="12">
        <f>7.3831 * CHOOSE( CONTROL!$C$12, $D$11, 100%, $F$11)</f>
        <v>5.9360124000000001</v>
      </c>
      <c r="F306" s="4">
        <f>8.3889 * CHOOSE(CONTROL!$C$12, $D$11, 100%, $F$11)</f>
        <v>6.7446755999999999</v>
      </c>
      <c r="G306" s="8">
        <f>7.2152 * CHOOSE( CONTROL!$C$12, $D$11, 100%, $F$11)</f>
        <v>5.8010208000000008</v>
      </c>
      <c r="H306" s="4">
        <f>8.101 * CHOOSE(CONTROL!$C$12, $D$11, 100%, $F$11)</f>
        <v>6.5132040000000009</v>
      </c>
      <c r="I306" s="8">
        <f>7.162 * CHOOSE(CONTROL!$C$12, $D$11, 100%, $F$11)</f>
        <v>5.758248</v>
      </c>
      <c r="J306" s="4">
        <f>7.0609 * CHOOSE(CONTROL!$C$12, $D$11, 100%, $F$11)</f>
        <v>5.6769636000000006</v>
      </c>
      <c r="K306" s="4"/>
      <c r="L306" s="9">
        <v>25.631599999999999</v>
      </c>
      <c r="M306" s="9">
        <v>11.285299999999999</v>
      </c>
      <c r="N306" s="9">
        <v>4.6254999999999997</v>
      </c>
      <c r="O306" s="9">
        <v>0.35039999999999999</v>
      </c>
      <c r="P306" s="9">
        <v>1.2104999999999999</v>
      </c>
      <c r="Q306" s="9">
        <v>28.365500000000001</v>
      </c>
      <c r="R306" s="9"/>
      <c r="S306" s="11"/>
    </row>
    <row r="307" spans="1:19" ht="15.75">
      <c r="A307" s="13">
        <v>51226</v>
      </c>
      <c r="B307" s="8">
        <f>7.217 * CHOOSE(CONTROL!$C$12, $D$11, 100%, $F$11)</f>
        <v>5.8024680000000002</v>
      </c>
      <c r="C307" s="8">
        <f>7.2274 * CHOOSE(CONTROL!$C$12, $D$11, 100%, $F$11)</f>
        <v>5.8108296000000008</v>
      </c>
      <c r="D307" s="8">
        <f>7.2072 * CHOOSE( CONTROL!$C$12, $D$11, 100%, $F$11)</f>
        <v>5.7945888000000005</v>
      </c>
      <c r="E307" s="12">
        <f>7.2135 * CHOOSE( CONTROL!$C$12, $D$11, 100%, $F$11)</f>
        <v>5.7996540000000003</v>
      </c>
      <c r="F307" s="4">
        <f>8.2159 * CHOOSE(CONTROL!$C$12, $D$11, 100%, $F$11)</f>
        <v>6.6055836000000001</v>
      </c>
      <c r="G307" s="8">
        <f>7.0418 * CHOOSE( CONTROL!$C$12, $D$11, 100%, $F$11)</f>
        <v>5.6616072000000006</v>
      </c>
      <c r="H307" s="4">
        <f>7.9324 * CHOOSE(CONTROL!$C$12, $D$11, 100%, $F$11)</f>
        <v>6.3776496000000007</v>
      </c>
      <c r="I307" s="8">
        <f>6.9721 * CHOOSE(CONTROL!$C$12, $D$11, 100%, $F$11)</f>
        <v>5.6055684000000001</v>
      </c>
      <c r="J307" s="4">
        <f>6.9105 * CHOOSE(CONTROL!$C$12, $D$11, 100%, $F$11)</f>
        <v>5.5560420000000006</v>
      </c>
      <c r="K307" s="4"/>
      <c r="L307" s="9">
        <v>27.3993</v>
      </c>
      <c r="M307" s="9">
        <v>12.063700000000001</v>
      </c>
      <c r="N307" s="9">
        <v>4.9444999999999997</v>
      </c>
      <c r="O307" s="9">
        <v>0.37459999999999999</v>
      </c>
      <c r="P307" s="9">
        <v>1.2939000000000001</v>
      </c>
      <c r="Q307" s="9">
        <v>30.3217</v>
      </c>
      <c r="R307" s="9"/>
      <c r="S307" s="11"/>
    </row>
    <row r="308" spans="1:19" ht="15.75">
      <c r="A308" s="13">
        <v>51256</v>
      </c>
      <c r="B308" s="8">
        <f>7.3266 * CHOOSE(CONTROL!$C$12, $D$11, 100%, $F$11)</f>
        <v>5.8905864000000001</v>
      </c>
      <c r="C308" s="8">
        <f>7.337 * CHOOSE(CONTROL!$C$12, $D$11, 100%, $F$11)</f>
        <v>5.8989479999999999</v>
      </c>
      <c r="D308" s="8">
        <f>7.3402 * CHOOSE( CONTROL!$C$12, $D$11, 100%, $F$11)</f>
        <v>5.901520800000001</v>
      </c>
      <c r="E308" s="12">
        <f>7.338 * CHOOSE( CONTROL!$C$12, $D$11, 100%, $F$11)</f>
        <v>5.8997520000000003</v>
      </c>
      <c r="F308" s="4">
        <f>8.3338 * CHOOSE(CONTROL!$C$12, $D$11, 100%, $F$11)</f>
        <v>6.7003752000000008</v>
      </c>
      <c r="G308" s="8">
        <f>7.1365 * CHOOSE( CONTROL!$C$12, $D$11, 100%, $F$11)</f>
        <v>5.7377460000000005</v>
      </c>
      <c r="H308" s="4">
        <f>8.0473 * CHOOSE(CONTROL!$C$12, $D$11, 100%, $F$11)</f>
        <v>6.4700291999999999</v>
      </c>
      <c r="I308" s="8">
        <f>7.0673 * CHOOSE(CONTROL!$C$12, $D$11, 100%, $F$11)</f>
        <v>5.6821092000000002</v>
      </c>
      <c r="J308" s="4">
        <f>7.0156 * CHOOSE(CONTROL!$C$12, $D$11, 100%, $F$11)</f>
        <v>5.6405424000000002</v>
      </c>
      <c r="K308" s="4"/>
      <c r="L308" s="9">
        <v>27.988800000000001</v>
      </c>
      <c r="M308" s="9">
        <v>11.6745</v>
      </c>
      <c r="N308" s="9">
        <v>4.7850000000000001</v>
      </c>
      <c r="O308" s="9">
        <v>0.36249999999999999</v>
      </c>
      <c r="P308" s="9">
        <v>1.1798</v>
      </c>
      <c r="Q308" s="9">
        <v>29.343599999999999</v>
      </c>
      <c r="R308" s="9"/>
      <c r="S308" s="11"/>
    </row>
    <row r="309" spans="1:19" ht="15.75">
      <c r="A309" s="13">
        <v>51287</v>
      </c>
      <c r="B309" s="8">
        <f>CHOOSE( CONTROL!$C$29, 7.5264, 7.5217) * CHOOSE(CONTROL!$C$12, $D$11, 100%, $F$11)</f>
        <v>6.0512256000000004</v>
      </c>
      <c r="C309" s="8">
        <f>CHOOSE( CONTROL!$C$29, 7.5368, 7.5321) * CHOOSE(CONTROL!$C$12, $D$11, 100%, $F$11)</f>
        <v>6.0595872000000011</v>
      </c>
      <c r="D309" s="8">
        <f>CHOOSE( CONTROL!$C$29, 7.5148, 7.5101) * CHOOSE( CONTROL!$C$12, $D$11, 100%, $F$11)</f>
        <v>6.0418992000000005</v>
      </c>
      <c r="E309" s="12">
        <f>CHOOSE( CONTROL!$C$29, 7.5212, 7.5165) * CHOOSE( CONTROL!$C$12, $D$11, 100%, $F$11)</f>
        <v>6.047044800000001</v>
      </c>
      <c r="F309" s="4">
        <f>CHOOSE( CONTROL!$C$29, 8.5013, 8.4966) * CHOOSE(CONTROL!$C$12, $D$11, 100%, $F$11)</f>
        <v>6.8350452000000006</v>
      </c>
      <c r="G309" s="8">
        <f>CHOOSE( CONTROL!$C$29, 7.3126, 7.308) * CHOOSE( CONTROL!$C$12, $D$11, 100%, $F$11)</f>
        <v>5.8793303999999997</v>
      </c>
      <c r="H309" s="4">
        <f>CHOOSE( CONTROL!$C$29, 8.2106, 8.206) * CHOOSE(CONTROL!$C$12, $D$11, 100%, $F$11)</f>
        <v>6.6013223999999999</v>
      </c>
      <c r="I309" s="8">
        <f>CHOOSE( CONTROL!$C$29, 7.2373, 7.2328) * CHOOSE(CONTROL!$C$12, $D$11, 100%, $F$11)</f>
        <v>5.8187892000000003</v>
      </c>
      <c r="J309" s="4">
        <f>CHOOSE( CONTROL!$C$29, 7.207, 7.2025) * CHOOSE(CONTROL!$C$12, $D$11, 100%, $F$11)</f>
        <v>5.7944279999999999</v>
      </c>
      <c r="K309" s="4"/>
      <c r="L309" s="9">
        <v>29.520499999999998</v>
      </c>
      <c r="M309" s="9">
        <v>12.063700000000001</v>
      </c>
      <c r="N309" s="9">
        <v>4.9444999999999997</v>
      </c>
      <c r="O309" s="9">
        <v>0.37459999999999999</v>
      </c>
      <c r="P309" s="9">
        <v>1.2192000000000001</v>
      </c>
      <c r="Q309" s="9">
        <v>30.3217</v>
      </c>
      <c r="R309" s="9"/>
      <c r="S309" s="11"/>
    </row>
    <row r="310" spans="1:19" ht="15.75">
      <c r="A310" s="13">
        <v>51317</v>
      </c>
      <c r="B310" s="8">
        <f>CHOOSE( CONTROL!$C$29, 7.4055, 7.4008) * CHOOSE(CONTROL!$C$12, $D$11, 100%, $F$11)</f>
        <v>5.9540220000000001</v>
      </c>
      <c r="C310" s="8">
        <f>CHOOSE( CONTROL!$C$29, 7.416, 7.4113) * CHOOSE(CONTROL!$C$12, $D$11, 100%, $F$11)</f>
        <v>5.9624640000000007</v>
      </c>
      <c r="D310" s="8">
        <f>CHOOSE( CONTROL!$C$29, 7.3883, 7.3836) * CHOOSE( CONTROL!$C$12, $D$11, 100%, $F$11)</f>
        <v>5.9401932000000004</v>
      </c>
      <c r="E310" s="12">
        <f>CHOOSE( CONTROL!$C$29, 7.3967, 7.392) * CHOOSE( CONTROL!$C$12, $D$11, 100%, $F$11)</f>
        <v>5.9469468000000001</v>
      </c>
      <c r="F310" s="4">
        <f>CHOOSE( CONTROL!$C$29, 8.37, 8.3653) * CHOOSE(CONTROL!$C$12, $D$11, 100%, $F$11)</f>
        <v>6.7294799999999997</v>
      </c>
      <c r="G310" s="8">
        <f>CHOOSE( CONTROL!$C$29, 7.1935, 7.1889) * CHOOSE( CONTROL!$C$12, $D$11, 100%, $F$11)</f>
        <v>5.7835740000000007</v>
      </c>
      <c r="H310" s="4">
        <f>CHOOSE( CONTROL!$C$29, 8.0826, 8.078) * CHOOSE(CONTROL!$C$12, $D$11, 100%, $F$11)</f>
        <v>6.4984104</v>
      </c>
      <c r="I310" s="8">
        <f>CHOOSE( CONTROL!$C$29, 7.1236, 7.1191) * CHOOSE(CONTROL!$C$12, $D$11, 100%, $F$11)</f>
        <v>5.7273744000000004</v>
      </c>
      <c r="J310" s="4">
        <f>CHOOSE( CONTROL!$C$29, 7.0912, 7.0867) * CHOOSE(CONTROL!$C$12, $D$11, 100%, $F$11)</f>
        <v>5.7013248000000001</v>
      </c>
      <c r="K310" s="4"/>
      <c r="L310" s="9">
        <v>28.568200000000001</v>
      </c>
      <c r="M310" s="9">
        <v>11.6745</v>
      </c>
      <c r="N310" s="9">
        <v>4.7850000000000001</v>
      </c>
      <c r="O310" s="9">
        <v>0.36249999999999999</v>
      </c>
      <c r="P310" s="9">
        <v>1.1798</v>
      </c>
      <c r="Q310" s="9">
        <v>29.343599999999999</v>
      </c>
      <c r="R310" s="9"/>
      <c r="S310" s="11"/>
    </row>
    <row r="311" spans="1:19" ht="15.75">
      <c r="A311" s="13">
        <v>51348</v>
      </c>
      <c r="B311" s="8">
        <f>CHOOSE( CONTROL!$C$29, 7.7238, 7.7191) * CHOOSE(CONTROL!$C$12, $D$11, 100%, $F$11)</f>
        <v>6.2099352000000003</v>
      </c>
      <c r="C311" s="8">
        <f>CHOOSE( CONTROL!$C$29, 7.7342, 7.7295) * CHOOSE(CONTROL!$C$12, $D$11, 100%, $F$11)</f>
        <v>6.218296800000001</v>
      </c>
      <c r="D311" s="8">
        <f>CHOOSE( CONTROL!$C$29, 7.7258, 7.7211) * CHOOSE( CONTROL!$C$12, $D$11, 100%, $F$11)</f>
        <v>6.2115432000000004</v>
      </c>
      <c r="E311" s="12">
        <f>CHOOSE( CONTROL!$C$29, 7.7273, 7.7226) * CHOOSE( CONTROL!$C$12, $D$11, 100%, $F$11)</f>
        <v>6.2127492000000002</v>
      </c>
      <c r="F311" s="4">
        <f>CHOOSE( CONTROL!$C$29, 8.7154, 8.7107) * CHOOSE(CONTROL!$C$12, $D$11, 100%, $F$11)</f>
        <v>7.0071816000000009</v>
      </c>
      <c r="G311" s="8">
        <f>CHOOSE( CONTROL!$C$29, 7.5164, 7.5118) * CHOOSE( CONTROL!$C$12, $D$11, 100%, $F$11)</f>
        <v>6.0431856000000002</v>
      </c>
      <c r="H311" s="4">
        <f>CHOOSE( CONTROL!$C$29, 8.4193, 8.4147) * CHOOSE(CONTROL!$C$12, $D$11, 100%, $F$11)</f>
        <v>6.7691172000000002</v>
      </c>
      <c r="I311" s="8">
        <f>CHOOSE( CONTROL!$C$29, 7.4515, 7.447) * CHOOSE(CONTROL!$C$12, $D$11, 100%, $F$11)</f>
        <v>5.9910060000000005</v>
      </c>
      <c r="J311" s="4">
        <f>CHOOSE( CONTROL!$C$29, 7.3962, 7.3917) * CHOOSE(CONTROL!$C$12, $D$11, 100%, $F$11)</f>
        <v>5.9465448000000007</v>
      </c>
      <c r="K311" s="4"/>
      <c r="L311" s="9">
        <v>29.520499999999998</v>
      </c>
      <c r="M311" s="9">
        <v>12.063700000000001</v>
      </c>
      <c r="N311" s="9">
        <v>4.9444999999999997</v>
      </c>
      <c r="O311" s="9">
        <v>0.37459999999999999</v>
      </c>
      <c r="P311" s="9">
        <v>1.2192000000000001</v>
      </c>
      <c r="Q311" s="9">
        <v>30.3217</v>
      </c>
      <c r="R311" s="9"/>
      <c r="S311" s="11"/>
    </row>
    <row r="312" spans="1:19" ht="15.75">
      <c r="A312" s="13">
        <v>51379</v>
      </c>
      <c r="B312" s="8">
        <f>CHOOSE( CONTROL!$C$29, 7.1283, 7.1236) * CHOOSE(CONTROL!$C$12, $D$11, 100%, $F$11)</f>
        <v>5.7311532000000005</v>
      </c>
      <c r="C312" s="8">
        <f>CHOOSE( CONTROL!$C$29, 7.1387, 7.134) * CHOOSE(CONTROL!$C$12, $D$11, 100%, $F$11)</f>
        <v>5.7395148000000002</v>
      </c>
      <c r="D312" s="8">
        <f>CHOOSE( CONTROL!$C$29, 7.1336, 7.1289) * CHOOSE( CONTROL!$C$12, $D$11, 100%, $F$11)</f>
        <v>5.7354144000000007</v>
      </c>
      <c r="E312" s="12">
        <f>CHOOSE( CONTROL!$C$29, 7.1339, 7.1292) * CHOOSE( CONTROL!$C$12, $D$11, 100%, $F$11)</f>
        <v>5.7356556000000003</v>
      </c>
      <c r="F312" s="4">
        <f>CHOOSE( CONTROL!$C$29, 8.1251, 8.1204) * CHOOSE(CONTROL!$C$12, $D$11, 100%, $F$11)</f>
        <v>6.5325804000000005</v>
      </c>
      <c r="G312" s="8">
        <f>CHOOSE( CONTROL!$C$29, 6.9381, 6.9335) * CHOOSE( CONTROL!$C$12, $D$11, 100%, $F$11)</f>
        <v>5.578232400000001</v>
      </c>
      <c r="H312" s="4">
        <f>CHOOSE( CONTROL!$C$29, 7.8439, 7.8393) * CHOOSE(CONTROL!$C$12, $D$11, 100%, $F$11)</f>
        <v>6.3064955999999999</v>
      </c>
      <c r="I312" s="8">
        <f>CHOOSE( CONTROL!$C$29, 6.8852, 6.8807) * CHOOSE(CONTROL!$C$12, $D$11, 100%, $F$11)</f>
        <v>5.5357008000000008</v>
      </c>
      <c r="J312" s="4">
        <f>CHOOSE( CONTROL!$C$29, 6.8256, 6.8211) * CHOOSE(CONTROL!$C$12, $D$11, 100%, $F$11)</f>
        <v>5.4877824000000004</v>
      </c>
      <c r="K312" s="4"/>
      <c r="L312" s="9">
        <v>29.520499999999998</v>
      </c>
      <c r="M312" s="9">
        <v>12.063700000000001</v>
      </c>
      <c r="N312" s="9">
        <v>4.9444999999999997</v>
      </c>
      <c r="O312" s="9">
        <v>0.37459999999999999</v>
      </c>
      <c r="P312" s="9">
        <v>1.2192000000000001</v>
      </c>
      <c r="Q312" s="9">
        <v>30.3217</v>
      </c>
      <c r="R312" s="9"/>
      <c r="S312" s="11"/>
    </row>
    <row r="313" spans="1:19" ht="15.75">
      <c r="A313" s="13">
        <v>51409</v>
      </c>
      <c r="B313" s="8">
        <f>CHOOSE( CONTROL!$C$29, 6.9792, 6.9745) * CHOOSE(CONTROL!$C$12, $D$11, 100%, $F$11)</f>
        <v>5.6112767999999997</v>
      </c>
      <c r="C313" s="8">
        <f>CHOOSE( CONTROL!$C$29, 6.9896, 6.9849) * CHOOSE(CONTROL!$C$12, $D$11, 100%, $F$11)</f>
        <v>5.6196384000000004</v>
      </c>
      <c r="D313" s="8">
        <f>CHOOSE( CONTROL!$C$29, 6.9803, 6.9756) * CHOOSE( CONTROL!$C$12, $D$11, 100%, $F$11)</f>
        <v>5.6121612000000001</v>
      </c>
      <c r="E313" s="12">
        <f>CHOOSE( CONTROL!$C$29, 6.9821, 6.9774) * CHOOSE( CONTROL!$C$12, $D$11, 100%, $F$11)</f>
        <v>5.6136084000000004</v>
      </c>
      <c r="F313" s="4">
        <f>CHOOSE( CONTROL!$C$29, 7.9682, 7.9635) * CHOOSE(CONTROL!$C$12, $D$11, 100%, $F$11)</f>
        <v>6.406432800000001</v>
      </c>
      <c r="G313" s="8">
        <f>CHOOSE( CONTROL!$C$29, 6.7914, 6.7868) * CHOOSE( CONTROL!$C$12, $D$11, 100%, $F$11)</f>
        <v>5.4602856000000006</v>
      </c>
      <c r="H313" s="4">
        <f>CHOOSE( CONTROL!$C$29, 7.6909, 7.6863) * CHOOSE(CONTROL!$C$12, $D$11, 100%, $F$11)</f>
        <v>6.1834836000000006</v>
      </c>
      <c r="I313" s="8">
        <f>CHOOSE( CONTROL!$C$29, 6.7436, 6.7391) * CHOOSE(CONTROL!$C$12, $D$11, 100%, $F$11)</f>
        <v>5.4218544</v>
      </c>
      <c r="J313" s="4">
        <f>CHOOSE( CONTROL!$C$29, 6.6827, 6.6782) * CHOOSE(CONTROL!$C$12, $D$11, 100%, $F$11)</f>
        <v>5.3728908000000004</v>
      </c>
      <c r="K313" s="4"/>
      <c r="L313" s="9">
        <v>28.568200000000001</v>
      </c>
      <c r="M313" s="9">
        <v>11.6745</v>
      </c>
      <c r="N313" s="9">
        <v>4.7850000000000001</v>
      </c>
      <c r="O313" s="9">
        <v>0.36249999999999999</v>
      </c>
      <c r="P313" s="9">
        <v>1.1798</v>
      </c>
      <c r="Q313" s="9">
        <v>29.343599999999999</v>
      </c>
      <c r="R313" s="9"/>
      <c r="S313" s="11"/>
    </row>
    <row r="314" spans="1:19" ht="15.75">
      <c r="A314" s="13">
        <v>51440</v>
      </c>
      <c r="B314" s="8">
        <f>7.2841 * CHOOSE(CONTROL!$C$12, $D$11, 100%, $F$11)</f>
        <v>5.8564163999999996</v>
      </c>
      <c r="C314" s="8">
        <f>7.2945 * CHOOSE(CONTROL!$C$12, $D$11, 100%, $F$11)</f>
        <v>5.8647780000000003</v>
      </c>
      <c r="D314" s="8">
        <f>7.2861 * CHOOSE( CONTROL!$C$12, $D$11, 100%, $F$11)</f>
        <v>5.8580244000000006</v>
      </c>
      <c r="E314" s="12">
        <f>7.2878 * CHOOSE( CONTROL!$C$12, $D$11, 100%, $F$11)</f>
        <v>5.8593912000000001</v>
      </c>
      <c r="F314" s="4">
        <f>8.2731 * CHOOSE(CONTROL!$C$12, $D$11, 100%, $F$11)</f>
        <v>6.6515724000000001</v>
      </c>
      <c r="G314" s="8">
        <f>7.0883 * CHOOSE( CONTROL!$C$12, $D$11, 100%, $F$11)</f>
        <v>5.6989932000000003</v>
      </c>
      <c r="H314" s="4">
        <f>7.9881 * CHOOSE(CONTROL!$C$12, $D$11, 100%, $F$11)</f>
        <v>6.4224324000000008</v>
      </c>
      <c r="I314" s="8">
        <f>7.0379 * CHOOSE(CONTROL!$C$12, $D$11, 100%, $F$11)</f>
        <v>5.6584716000000004</v>
      </c>
      <c r="J314" s="4">
        <f>6.9749 * CHOOSE(CONTROL!$C$12, $D$11, 100%, $F$11)</f>
        <v>5.6078196</v>
      </c>
      <c r="K314" s="4"/>
      <c r="L314" s="9">
        <v>28.921800000000001</v>
      </c>
      <c r="M314" s="9">
        <v>12.063700000000001</v>
      </c>
      <c r="N314" s="9">
        <v>4.9444999999999997</v>
      </c>
      <c r="O314" s="9">
        <v>0.37459999999999999</v>
      </c>
      <c r="P314" s="9">
        <v>1.2192000000000001</v>
      </c>
      <c r="Q314" s="9">
        <v>30.3217</v>
      </c>
      <c r="R314" s="9"/>
      <c r="S314" s="11"/>
    </row>
    <row r="315" spans="1:19" ht="15.75">
      <c r="A315" s="13">
        <v>51470</v>
      </c>
      <c r="B315" s="8">
        <f>7.8556 * CHOOSE(CONTROL!$C$12, $D$11, 100%, $F$11)</f>
        <v>6.3159024000000006</v>
      </c>
      <c r="C315" s="8">
        <f>7.866 * CHOOSE(CONTROL!$C$12, $D$11, 100%, $F$11)</f>
        <v>6.3242640000000003</v>
      </c>
      <c r="D315" s="8">
        <f>7.8463 * CHOOSE( CONTROL!$C$12, $D$11, 100%, $F$11)</f>
        <v>6.3084252000000003</v>
      </c>
      <c r="E315" s="12">
        <f>7.8524 * CHOOSE( CONTROL!$C$12, $D$11, 100%, $F$11)</f>
        <v>6.3133296000000003</v>
      </c>
      <c r="F315" s="4">
        <f>8.8472 * CHOOSE(CONTROL!$C$12, $D$11, 100%, $F$11)</f>
        <v>7.1131488000000012</v>
      </c>
      <c r="G315" s="8">
        <f>7.6644 * CHOOSE( CONTROL!$C$12, $D$11, 100%, $F$11)</f>
        <v>6.1621775999999997</v>
      </c>
      <c r="H315" s="4">
        <f>8.5477 * CHOOSE(CONTROL!$C$12, $D$11, 100%, $F$11)</f>
        <v>6.8723508000000013</v>
      </c>
      <c r="I315" s="8">
        <f>7.616 * CHOOSE(CONTROL!$C$12, $D$11, 100%, $F$11)</f>
        <v>6.1232639999999998</v>
      </c>
      <c r="J315" s="4">
        <f>7.5225 * CHOOSE(CONTROL!$C$12, $D$11, 100%, $F$11)</f>
        <v>6.0480900000000002</v>
      </c>
      <c r="K315" s="4"/>
      <c r="L315" s="9">
        <v>26.515499999999999</v>
      </c>
      <c r="M315" s="9">
        <v>11.6745</v>
      </c>
      <c r="N315" s="9">
        <v>4.7850000000000001</v>
      </c>
      <c r="O315" s="9">
        <v>0.36249999999999999</v>
      </c>
      <c r="P315" s="9">
        <v>1.2522</v>
      </c>
      <c r="Q315" s="9">
        <v>29.343599999999999</v>
      </c>
      <c r="R315" s="9"/>
      <c r="S315" s="11"/>
    </row>
    <row r="316" spans="1:19" ht="15.75">
      <c r="A316" s="13">
        <v>51501</v>
      </c>
      <c r="B316" s="8">
        <f>7.8413 * CHOOSE(CONTROL!$C$12, $D$11, 100%, $F$11)</f>
        <v>6.3044052000000006</v>
      </c>
      <c r="C316" s="8">
        <f>7.8517 * CHOOSE(CONTROL!$C$12, $D$11, 100%, $F$11)</f>
        <v>6.3127668000000003</v>
      </c>
      <c r="D316" s="8">
        <f>7.8339 * CHOOSE( CONTROL!$C$12, $D$11, 100%, $F$11)</f>
        <v>6.2984556000000005</v>
      </c>
      <c r="E316" s="12">
        <f>7.8393 * CHOOSE( CONTROL!$C$12, $D$11, 100%, $F$11)</f>
        <v>6.3027972000000005</v>
      </c>
      <c r="F316" s="4">
        <f>8.8329 * CHOOSE(CONTROL!$C$12, $D$11, 100%, $F$11)</f>
        <v>7.1016516000000012</v>
      </c>
      <c r="G316" s="8">
        <f>7.6519 * CHOOSE( CONTROL!$C$12, $D$11, 100%, $F$11)</f>
        <v>6.1521276000000009</v>
      </c>
      <c r="H316" s="4">
        <f>8.5338 * CHOOSE(CONTROL!$C$12, $D$11, 100%, $F$11)</f>
        <v>6.8611751999999999</v>
      </c>
      <c r="I316" s="8">
        <f>7.6092 * CHOOSE(CONTROL!$C$12, $D$11, 100%, $F$11)</f>
        <v>6.1177968000000007</v>
      </c>
      <c r="J316" s="4">
        <f>7.5088 * CHOOSE(CONTROL!$C$12, $D$11, 100%, $F$11)</f>
        <v>6.0370752000000003</v>
      </c>
      <c r="K316" s="4"/>
      <c r="L316" s="9">
        <v>27.3993</v>
      </c>
      <c r="M316" s="9">
        <v>12.063700000000001</v>
      </c>
      <c r="N316" s="9">
        <v>4.9444999999999997</v>
      </c>
      <c r="O316" s="9">
        <v>0.37459999999999999</v>
      </c>
      <c r="P316" s="9">
        <v>1.2939000000000001</v>
      </c>
      <c r="Q316" s="9">
        <v>30.3217</v>
      </c>
      <c r="R316" s="9"/>
      <c r="S316" s="11"/>
    </row>
    <row r="317" spans="1:19" ht="15.75">
      <c r="A317" s="13">
        <v>51532</v>
      </c>
      <c r="B317" s="8">
        <f>8.1408 * CHOOSE(CONTROL!$C$12, $D$11, 100%, $F$11)</f>
        <v>6.5452032000000004</v>
      </c>
      <c r="C317" s="8">
        <f>8.1512 * CHOOSE(CONTROL!$C$12, $D$11, 100%, $F$11)</f>
        <v>6.5535648000000002</v>
      </c>
      <c r="D317" s="8">
        <f>8.1489 * CHOOSE( CONTROL!$C$12, $D$11, 100%, $F$11)</f>
        <v>6.5517155999999996</v>
      </c>
      <c r="E317" s="12">
        <f>8.1486 * CHOOSE( CONTROL!$C$12, $D$11, 100%, $F$11)</f>
        <v>6.5514744</v>
      </c>
      <c r="F317" s="4">
        <f>9.1637 * CHOOSE(CONTROL!$C$12, $D$11, 100%, $F$11)</f>
        <v>7.367614800000001</v>
      </c>
      <c r="G317" s="8">
        <f>7.9629 * CHOOSE( CONTROL!$C$12, $D$11, 100%, $F$11)</f>
        <v>6.4021716000000009</v>
      </c>
      <c r="H317" s="4">
        <f>8.8563 * CHOOSE(CONTROL!$C$12, $D$11, 100%, $F$11)</f>
        <v>7.1204651999999999</v>
      </c>
      <c r="I317" s="8">
        <f>7.9082 * CHOOSE(CONTROL!$C$12, $D$11, 100%, $F$11)</f>
        <v>6.3581928000000003</v>
      </c>
      <c r="J317" s="4">
        <f>7.7958 * CHOOSE(CONTROL!$C$12, $D$11, 100%, $F$11)</f>
        <v>6.2678232000000005</v>
      </c>
      <c r="K317" s="4"/>
      <c r="L317" s="9">
        <v>27.3993</v>
      </c>
      <c r="M317" s="9">
        <v>12.063700000000001</v>
      </c>
      <c r="N317" s="9">
        <v>4.9444999999999997</v>
      </c>
      <c r="O317" s="9">
        <v>0.37459999999999999</v>
      </c>
      <c r="P317" s="9">
        <v>1.2939000000000001</v>
      </c>
      <c r="Q317" s="9">
        <v>30.258500000000002</v>
      </c>
      <c r="R317" s="9"/>
      <c r="S317" s="11"/>
    </row>
    <row r="318" spans="1:19" ht="15.75">
      <c r="A318" s="13">
        <v>51560</v>
      </c>
      <c r="B318" s="8">
        <f>7.6148 * CHOOSE(CONTROL!$C$12, $D$11, 100%, $F$11)</f>
        <v>6.1222992000000005</v>
      </c>
      <c r="C318" s="8">
        <f>7.6253 * CHOOSE(CONTROL!$C$12, $D$11, 100%, $F$11)</f>
        <v>6.1307412000000001</v>
      </c>
      <c r="D318" s="8">
        <f>7.6252 * CHOOSE( CONTROL!$C$12, $D$11, 100%, $F$11)</f>
        <v>6.1306608000000011</v>
      </c>
      <c r="E318" s="12">
        <f>7.6241 * CHOOSE( CONTROL!$C$12, $D$11, 100%, $F$11)</f>
        <v>6.1297764000000008</v>
      </c>
      <c r="F318" s="4">
        <f>8.6299 * CHOOSE(CONTROL!$C$12, $D$11, 100%, $F$11)</f>
        <v>6.9384395999999997</v>
      </c>
      <c r="G318" s="8">
        <f>7.4501 * CHOOSE( CONTROL!$C$12, $D$11, 100%, $F$11)</f>
        <v>5.9898804000000005</v>
      </c>
      <c r="H318" s="4">
        <f>8.3359 * CHOOSE(CONTROL!$C$12, $D$11, 100%, $F$11)</f>
        <v>6.7020636000000007</v>
      </c>
      <c r="I318" s="8">
        <f>7.3931 * CHOOSE(CONTROL!$C$12, $D$11, 100%, $F$11)</f>
        <v>5.9440524000000003</v>
      </c>
      <c r="J318" s="4">
        <f>7.2918 * CHOOSE(CONTROL!$C$12, $D$11, 100%, $F$11)</f>
        <v>5.8626072000000002</v>
      </c>
      <c r="K318" s="4"/>
      <c r="L318" s="9">
        <v>24.747800000000002</v>
      </c>
      <c r="M318" s="9">
        <v>10.8962</v>
      </c>
      <c r="N318" s="9">
        <v>4.4660000000000002</v>
      </c>
      <c r="O318" s="9">
        <v>0.33829999999999999</v>
      </c>
      <c r="P318" s="9">
        <v>1.1687000000000001</v>
      </c>
      <c r="Q318" s="9">
        <v>27.330200000000001</v>
      </c>
      <c r="R318" s="9"/>
      <c r="S318" s="11"/>
    </row>
    <row r="319" spans="1:19" ht="15.75">
      <c r="A319" s="13">
        <v>51591</v>
      </c>
      <c r="B319" s="8">
        <f>7.4528 * CHOOSE(CONTROL!$C$12, $D$11, 100%, $F$11)</f>
        <v>5.9920512000000006</v>
      </c>
      <c r="C319" s="8">
        <f>7.4633 * CHOOSE(CONTROL!$C$12, $D$11, 100%, $F$11)</f>
        <v>6.0004932000000002</v>
      </c>
      <c r="D319" s="8">
        <f>7.4431 * CHOOSE( CONTROL!$C$12, $D$11, 100%, $F$11)</f>
        <v>5.9842524000000008</v>
      </c>
      <c r="E319" s="12">
        <f>7.4494 * CHOOSE( CONTROL!$C$12, $D$11, 100%, $F$11)</f>
        <v>5.9893176000000006</v>
      </c>
      <c r="F319" s="4">
        <f>8.4517 * CHOOSE(CONTROL!$C$12, $D$11, 100%, $F$11)</f>
        <v>6.7951668000000005</v>
      </c>
      <c r="G319" s="8">
        <f>7.2717 * CHOOSE( CONTROL!$C$12, $D$11, 100%, $F$11)</f>
        <v>5.8464468000000007</v>
      </c>
      <c r="H319" s="4">
        <f>8.1623 * CHOOSE(CONTROL!$C$12, $D$11, 100%, $F$11)</f>
        <v>6.5624892000000008</v>
      </c>
      <c r="I319" s="8">
        <f>7.1983 * CHOOSE(CONTROL!$C$12, $D$11, 100%, $F$11)</f>
        <v>5.7874331999999997</v>
      </c>
      <c r="J319" s="4">
        <f>7.1366 * CHOOSE(CONTROL!$C$12, $D$11, 100%, $F$11)</f>
        <v>5.7378264000000003</v>
      </c>
      <c r="K319" s="4"/>
      <c r="L319" s="9">
        <v>27.3993</v>
      </c>
      <c r="M319" s="9">
        <v>12.063700000000001</v>
      </c>
      <c r="N319" s="9">
        <v>4.9444999999999997</v>
      </c>
      <c r="O319" s="9">
        <v>0.37459999999999999</v>
      </c>
      <c r="P319" s="9">
        <v>1.2939000000000001</v>
      </c>
      <c r="Q319" s="9">
        <v>30.258500000000002</v>
      </c>
      <c r="R319" s="9"/>
      <c r="S319" s="11"/>
    </row>
    <row r="320" spans="1:19" ht="15.75">
      <c r="A320" s="13">
        <v>51621</v>
      </c>
      <c r="B320" s="8">
        <f>7.566 * CHOOSE(CONTROL!$C$12, $D$11, 100%, $F$11)</f>
        <v>6.0830640000000002</v>
      </c>
      <c r="C320" s="8">
        <f>7.5765 * CHOOSE(CONTROL!$C$12, $D$11, 100%, $F$11)</f>
        <v>6.0915060000000008</v>
      </c>
      <c r="D320" s="8">
        <f>7.5797 * CHOOSE( CONTROL!$C$12, $D$11, 100%, $F$11)</f>
        <v>6.0940788000000001</v>
      </c>
      <c r="E320" s="12">
        <f>7.5774 * CHOOSE( CONTROL!$C$12, $D$11, 100%, $F$11)</f>
        <v>6.0922296000000005</v>
      </c>
      <c r="F320" s="4">
        <f>8.5733 * CHOOSE(CONTROL!$C$12, $D$11, 100%, $F$11)</f>
        <v>6.8929331999999999</v>
      </c>
      <c r="G320" s="8">
        <f>7.3699 * CHOOSE( CONTROL!$C$12, $D$11, 100%, $F$11)</f>
        <v>5.9253996000000004</v>
      </c>
      <c r="H320" s="4">
        <f>8.2808 * CHOOSE(CONTROL!$C$12, $D$11, 100%, $F$11)</f>
        <v>6.6577631999999998</v>
      </c>
      <c r="I320" s="8">
        <f>7.2969 * CHOOSE(CONTROL!$C$12, $D$11, 100%, $F$11)</f>
        <v>5.8667076000000007</v>
      </c>
      <c r="J320" s="4">
        <f>7.245 * CHOOSE(CONTROL!$C$12, $D$11, 100%, $F$11)</f>
        <v>5.82498</v>
      </c>
      <c r="K320" s="4"/>
      <c r="L320" s="9">
        <v>27.988800000000001</v>
      </c>
      <c r="M320" s="9">
        <v>11.6745</v>
      </c>
      <c r="N320" s="9">
        <v>4.7850000000000001</v>
      </c>
      <c r="O320" s="9">
        <v>0.36249999999999999</v>
      </c>
      <c r="P320" s="9">
        <v>1.1798</v>
      </c>
      <c r="Q320" s="9">
        <v>29.282399999999999</v>
      </c>
      <c r="R320" s="9"/>
      <c r="S320" s="11"/>
    </row>
    <row r="321" spans="1:19" ht="15.75">
      <c r="A321" s="13">
        <v>51652</v>
      </c>
      <c r="B321" s="8">
        <f>CHOOSE( CONTROL!$C$29, 7.7722, 7.7675) * CHOOSE(CONTROL!$C$12, $D$11, 100%, $F$11)</f>
        <v>6.2488488000000002</v>
      </c>
      <c r="C321" s="8">
        <f>CHOOSE( CONTROL!$C$29, 7.7826, 7.7779) * CHOOSE(CONTROL!$C$12, $D$11, 100%, $F$11)</f>
        <v>6.2572104000000008</v>
      </c>
      <c r="D321" s="8">
        <f>CHOOSE( CONTROL!$C$29, 7.7606, 7.7559) * CHOOSE( CONTROL!$C$12, $D$11, 100%, $F$11)</f>
        <v>6.2395224000000002</v>
      </c>
      <c r="E321" s="12">
        <f>CHOOSE( CONTROL!$C$29, 7.767, 7.7623) * CHOOSE( CONTROL!$C$12, $D$11, 100%, $F$11)</f>
        <v>6.2446680000000008</v>
      </c>
      <c r="F321" s="4">
        <f>CHOOSE( CONTROL!$C$29, 8.7471, 8.7424) * CHOOSE(CONTROL!$C$12, $D$11, 100%, $F$11)</f>
        <v>7.0326684000000004</v>
      </c>
      <c r="G321" s="8">
        <f>CHOOSE( CONTROL!$C$29, 7.5522, 7.5476) * CHOOSE( CONTROL!$C$12, $D$11, 100%, $F$11)</f>
        <v>6.0719688000000005</v>
      </c>
      <c r="H321" s="4">
        <f>CHOOSE( CONTROL!$C$29, 8.4502, 8.4456) * CHOOSE(CONTROL!$C$12, $D$11, 100%, $F$11)</f>
        <v>6.7939608000000007</v>
      </c>
      <c r="I321" s="8">
        <f>CHOOSE( CONTROL!$C$29, 7.473, 7.4685) * CHOOSE(CONTROL!$C$12, $D$11, 100%, $F$11)</f>
        <v>6.008292</v>
      </c>
      <c r="J321" s="4">
        <f>CHOOSE( CONTROL!$C$29, 7.4426, 7.4381) * CHOOSE(CONTROL!$C$12, $D$11, 100%, $F$11)</f>
        <v>5.9838503999999997</v>
      </c>
      <c r="K321" s="4"/>
      <c r="L321" s="9">
        <v>29.520499999999998</v>
      </c>
      <c r="M321" s="9">
        <v>12.063700000000001</v>
      </c>
      <c r="N321" s="9">
        <v>4.9444999999999997</v>
      </c>
      <c r="O321" s="9">
        <v>0.37459999999999999</v>
      </c>
      <c r="P321" s="9">
        <v>1.2192000000000001</v>
      </c>
      <c r="Q321" s="9">
        <v>30.258500000000002</v>
      </c>
      <c r="R321" s="9"/>
      <c r="S321" s="11"/>
    </row>
    <row r="322" spans="1:19" ht="15.75">
      <c r="A322" s="13">
        <v>51682</v>
      </c>
      <c r="B322" s="8">
        <f>CHOOSE( CONTROL!$C$29, 7.6474, 7.6427) * CHOOSE(CONTROL!$C$12, $D$11, 100%, $F$11)</f>
        <v>6.1485096000000006</v>
      </c>
      <c r="C322" s="8">
        <f>CHOOSE( CONTROL!$C$29, 7.6578, 7.6531) * CHOOSE(CONTROL!$C$12, $D$11, 100%, $F$11)</f>
        <v>6.1568712000000003</v>
      </c>
      <c r="D322" s="8">
        <f>CHOOSE( CONTROL!$C$29, 7.6302, 7.6255) * CHOOSE( CONTROL!$C$12, $D$11, 100%, $F$11)</f>
        <v>6.1346808000000008</v>
      </c>
      <c r="E322" s="12">
        <f>CHOOSE( CONTROL!$C$29, 7.6386, 7.6339) * CHOOSE( CONTROL!$C$12, $D$11, 100%, $F$11)</f>
        <v>6.1414344000000005</v>
      </c>
      <c r="F322" s="4">
        <f>CHOOSE( CONTROL!$C$29, 8.6119, 8.6072) * CHOOSE(CONTROL!$C$12, $D$11, 100%, $F$11)</f>
        <v>6.923967600000001</v>
      </c>
      <c r="G322" s="8">
        <f>CHOOSE( CONTROL!$C$29, 7.4293, 7.4247) * CHOOSE( CONTROL!$C$12, $D$11, 100%, $F$11)</f>
        <v>5.9731572000000002</v>
      </c>
      <c r="H322" s="4">
        <f>CHOOSE( CONTROL!$C$29, 8.3184, 8.3138) * CHOOSE(CONTROL!$C$12, $D$11, 100%, $F$11)</f>
        <v>6.6879936000000004</v>
      </c>
      <c r="I322" s="8">
        <f>CHOOSE( CONTROL!$C$29, 7.3555, 7.351) * CHOOSE(CONTROL!$C$12, $D$11, 100%, $F$11)</f>
        <v>5.9138220000000006</v>
      </c>
      <c r="J322" s="4">
        <f>CHOOSE( CONTROL!$C$29, 7.323, 7.3185) * CHOOSE(CONTROL!$C$12, $D$11, 100%, $F$11)</f>
        <v>5.8876920000000004</v>
      </c>
      <c r="K322" s="4"/>
      <c r="L322" s="9">
        <v>28.568200000000001</v>
      </c>
      <c r="M322" s="9">
        <v>11.6745</v>
      </c>
      <c r="N322" s="9">
        <v>4.7850000000000001</v>
      </c>
      <c r="O322" s="9">
        <v>0.36249999999999999</v>
      </c>
      <c r="P322" s="9">
        <v>1.1798</v>
      </c>
      <c r="Q322" s="9">
        <v>29.282399999999999</v>
      </c>
      <c r="R322" s="9"/>
      <c r="S322" s="11"/>
    </row>
    <row r="323" spans="1:19" ht="15.75">
      <c r="A323" s="13">
        <v>51713</v>
      </c>
      <c r="B323" s="8">
        <f>CHOOSE( CONTROL!$C$29, 7.9761, 7.9714) * CHOOSE(CONTROL!$C$12, $D$11, 100%, $F$11)</f>
        <v>6.4127844000000005</v>
      </c>
      <c r="C323" s="8">
        <f>CHOOSE( CONTROL!$C$29, 7.9865, 7.9818) * CHOOSE(CONTROL!$C$12, $D$11, 100%, $F$11)</f>
        <v>6.4211460000000002</v>
      </c>
      <c r="D323" s="8">
        <f>CHOOSE( CONTROL!$C$29, 7.978, 7.9733) * CHOOSE( CONTROL!$C$12, $D$11, 100%, $F$11)</f>
        <v>6.4143119999999998</v>
      </c>
      <c r="E323" s="12">
        <f>CHOOSE( CONTROL!$C$29, 7.9795, 7.9748) * CHOOSE( CONTROL!$C$12, $D$11, 100%, $F$11)</f>
        <v>6.4155180000000005</v>
      </c>
      <c r="F323" s="4">
        <f>CHOOSE( CONTROL!$C$29, 8.9677, 8.963) * CHOOSE(CONTROL!$C$12, $D$11, 100%, $F$11)</f>
        <v>7.2100308000000011</v>
      </c>
      <c r="G323" s="8">
        <f>CHOOSE( CONTROL!$C$29, 7.7623, 7.7577) * CHOOSE( CONTROL!$C$12, $D$11, 100%, $F$11)</f>
        <v>6.2408891999999998</v>
      </c>
      <c r="H323" s="4">
        <f>CHOOSE( CONTROL!$C$29, 8.6652, 8.6606) * CHOOSE(CONTROL!$C$12, $D$11, 100%, $F$11)</f>
        <v>6.9668208000000007</v>
      </c>
      <c r="I323" s="8">
        <f>CHOOSE( CONTROL!$C$29, 7.6933, 7.6888) * CHOOSE(CONTROL!$C$12, $D$11, 100%, $F$11)</f>
        <v>6.1854132000000002</v>
      </c>
      <c r="J323" s="4">
        <f>CHOOSE( CONTROL!$C$29, 7.6379, 7.6334) * CHOOSE(CONTROL!$C$12, $D$11, 100%, $F$11)</f>
        <v>6.1408716000000005</v>
      </c>
      <c r="K323" s="4"/>
      <c r="L323" s="9">
        <v>29.520499999999998</v>
      </c>
      <c r="M323" s="9">
        <v>12.063700000000001</v>
      </c>
      <c r="N323" s="9">
        <v>4.9444999999999997</v>
      </c>
      <c r="O323" s="9">
        <v>0.37459999999999999</v>
      </c>
      <c r="P323" s="9">
        <v>1.2192000000000001</v>
      </c>
      <c r="Q323" s="9">
        <v>30.258500000000002</v>
      </c>
      <c r="R323" s="9"/>
      <c r="S323" s="11"/>
    </row>
    <row r="324" spans="1:19" ht="15.75">
      <c r="A324" s="13">
        <v>51744</v>
      </c>
      <c r="B324" s="8">
        <f>CHOOSE( CONTROL!$C$29, 7.3611, 7.3564) * CHOOSE(CONTROL!$C$12, $D$11, 100%, $F$11)</f>
        <v>5.9183244000000004</v>
      </c>
      <c r="C324" s="8">
        <f>CHOOSE( CONTROL!$C$29, 7.3715, 7.3668) * CHOOSE(CONTROL!$C$12, $D$11, 100%, $F$11)</f>
        <v>5.9266860000000001</v>
      </c>
      <c r="D324" s="8">
        <f>CHOOSE( CONTROL!$C$29, 7.3664, 7.3617) * CHOOSE( CONTROL!$C$12, $D$11, 100%, $F$11)</f>
        <v>5.9225855999999997</v>
      </c>
      <c r="E324" s="12">
        <f>CHOOSE( CONTROL!$C$29, 7.3667, 7.362) * CHOOSE( CONTROL!$C$12, $D$11, 100%, $F$11)</f>
        <v>5.9228268000000002</v>
      </c>
      <c r="F324" s="4">
        <f>CHOOSE( CONTROL!$C$29, 8.3579, 8.3532) * CHOOSE(CONTROL!$C$12, $D$11, 100%, $F$11)</f>
        <v>6.7197516000000013</v>
      </c>
      <c r="G324" s="8">
        <f>CHOOSE( CONTROL!$C$29, 7.165, 7.1604) * CHOOSE( CONTROL!$C$12, $D$11, 100%, $F$11)</f>
        <v>5.7606600000000006</v>
      </c>
      <c r="H324" s="4">
        <f>CHOOSE( CONTROL!$C$29, 8.0708, 8.0662) * CHOOSE(CONTROL!$C$12, $D$11, 100%, $F$11)</f>
        <v>6.4889232000000003</v>
      </c>
      <c r="I324" s="8">
        <f>CHOOSE( CONTROL!$C$29, 7.1084, 7.1039) * CHOOSE(CONTROL!$C$12, $D$11, 100%, $F$11)</f>
        <v>5.7151535999999998</v>
      </c>
      <c r="J324" s="4">
        <f>CHOOSE( CONTROL!$C$29, 7.0487, 7.0442) * CHOOSE(CONTROL!$C$12, $D$11, 100%, $F$11)</f>
        <v>5.6671548000000005</v>
      </c>
      <c r="K324" s="4"/>
      <c r="L324" s="9">
        <v>29.520499999999998</v>
      </c>
      <c r="M324" s="9">
        <v>12.063700000000001</v>
      </c>
      <c r="N324" s="9">
        <v>4.9444999999999997</v>
      </c>
      <c r="O324" s="9">
        <v>0.37459999999999999</v>
      </c>
      <c r="P324" s="9">
        <v>1.2192000000000001</v>
      </c>
      <c r="Q324" s="9">
        <v>30.258500000000002</v>
      </c>
      <c r="R324" s="9"/>
      <c r="S324" s="11"/>
    </row>
    <row r="325" spans="1:19" ht="15.75">
      <c r="A325" s="13">
        <v>51774</v>
      </c>
      <c r="B325" s="8">
        <f>CHOOSE( CONTROL!$C$29, 7.2071, 7.2024) * CHOOSE(CONTROL!$C$12, $D$11, 100%, $F$11)</f>
        <v>5.7945083999999998</v>
      </c>
      <c r="C325" s="8">
        <f>CHOOSE( CONTROL!$C$29, 7.2176, 7.2129) * CHOOSE(CONTROL!$C$12, $D$11, 100%, $F$11)</f>
        <v>5.8029504000000003</v>
      </c>
      <c r="D325" s="8">
        <f>CHOOSE( CONTROL!$C$29, 7.2082, 7.2035) * CHOOSE( CONTROL!$C$12, $D$11, 100%, $F$11)</f>
        <v>5.7953928000000001</v>
      </c>
      <c r="E325" s="12">
        <f>CHOOSE( CONTROL!$C$29, 7.21, 7.2053) * CHOOSE( CONTROL!$C$12, $D$11, 100%, $F$11)</f>
        <v>5.7968400000000004</v>
      </c>
      <c r="F325" s="4">
        <f>CHOOSE( CONTROL!$C$29, 8.1961, 8.1914) * CHOOSE(CONTROL!$C$12, $D$11, 100%, $F$11)</f>
        <v>6.5896644000000002</v>
      </c>
      <c r="G325" s="8">
        <f>CHOOSE( CONTROL!$C$29, 7.0136, 7.009) * CHOOSE( CONTROL!$C$12, $D$11, 100%, $F$11)</f>
        <v>5.6389344000000001</v>
      </c>
      <c r="H325" s="4">
        <f>CHOOSE( CONTROL!$C$29, 7.9131, 7.9085) * CHOOSE(CONTROL!$C$12, $D$11, 100%, $F$11)</f>
        <v>6.3621324000000001</v>
      </c>
      <c r="I325" s="8">
        <f>CHOOSE( CONTROL!$C$29, 6.9621, 6.9576) * CHOOSE(CONTROL!$C$12, $D$11, 100%, $F$11)</f>
        <v>5.5975284000000007</v>
      </c>
      <c r="J325" s="4">
        <f>CHOOSE( CONTROL!$C$29, 6.9011, 6.8966) * CHOOSE(CONTROL!$C$12, $D$11, 100%, $F$11)</f>
        <v>5.5484844000000004</v>
      </c>
      <c r="K325" s="4"/>
      <c r="L325" s="9">
        <v>28.568200000000001</v>
      </c>
      <c r="M325" s="9">
        <v>11.6745</v>
      </c>
      <c r="N325" s="9">
        <v>4.7850000000000001</v>
      </c>
      <c r="O325" s="9">
        <v>0.36249999999999999</v>
      </c>
      <c r="P325" s="9">
        <v>1.1798</v>
      </c>
      <c r="Q325" s="9">
        <v>29.282399999999999</v>
      </c>
      <c r="R325" s="9"/>
      <c r="S325" s="11"/>
    </row>
    <row r="326" spans="1:19" ht="15.75">
      <c r="A326" s="13">
        <v>51805</v>
      </c>
      <c r="B326" s="8">
        <f>7.5222 * CHOOSE(CONTROL!$C$12, $D$11, 100%, $F$11)</f>
        <v>6.0478488000000006</v>
      </c>
      <c r="C326" s="8">
        <f>7.5326 * CHOOSE(CONTROL!$C$12, $D$11, 100%, $F$11)</f>
        <v>6.0562104000000003</v>
      </c>
      <c r="D326" s="8">
        <f>7.5241 * CHOOSE( CONTROL!$C$12, $D$11, 100%, $F$11)</f>
        <v>6.0493763999999999</v>
      </c>
      <c r="E326" s="12">
        <f>7.5258 * CHOOSE( CONTROL!$C$12, $D$11, 100%, $F$11)</f>
        <v>6.0507432000000003</v>
      </c>
      <c r="F326" s="4">
        <f>8.5111 * CHOOSE(CONTROL!$C$12, $D$11, 100%, $F$11)</f>
        <v>6.8429244000000011</v>
      </c>
      <c r="G326" s="8">
        <f>7.3203 * CHOOSE( CONTROL!$C$12, $D$11, 100%, $F$11)</f>
        <v>5.8855212000000003</v>
      </c>
      <c r="H326" s="4">
        <f>8.2202 * CHOOSE(CONTROL!$C$12, $D$11, 100%, $F$11)</f>
        <v>6.6090408000000007</v>
      </c>
      <c r="I326" s="8">
        <f>7.2662 * CHOOSE(CONTROL!$C$12, $D$11, 100%, $F$11)</f>
        <v>5.8420248000000008</v>
      </c>
      <c r="J326" s="4">
        <f>7.203 * CHOOSE(CONTROL!$C$12, $D$11, 100%, $F$11)</f>
        <v>5.7912120000000007</v>
      </c>
      <c r="K326" s="4"/>
      <c r="L326" s="9">
        <v>28.921800000000001</v>
      </c>
      <c r="M326" s="9">
        <v>12.063700000000001</v>
      </c>
      <c r="N326" s="9">
        <v>4.9444999999999997</v>
      </c>
      <c r="O326" s="9">
        <v>0.37459999999999999</v>
      </c>
      <c r="P326" s="9">
        <v>1.2192000000000001</v>
      </c>
      <c r="Q326" s="9">
        <v>30.258500000000002</v>
      </c>
      <c r="R326" s="9"/>
      <c r="S326" s="11"/>
    </row>
    <row r="327" spans="1:19" ht="15.75">
      <c r="A327" s="13">
        <v>51835</v>
      </c>
      <c r="B327" s="8">
        <f>8.1123 * CHOOSE(CONTROL!$C$12, $D$11, 100%, $F$11)</f>
        <v>6.5222892000000003</v>
      </c>
      <c r="C327" s="8">
        <f>8.1228 * CHOOSE(CONTROL!$C$12, $D$11, 100%, $F$11)</f>
        <v>6.5307312</v>
      </c>
      <c r="D327" s="8">
        <f>8.103 * CHOOSE( CONTROL!$C$12, $D$11, 100%, $F$11)</f>
        <v>6.514812</v>
      </c>
      <c r="E327" s="12">
        <f>8.1091 * CHOOSE( CONTROL!$C$12, $D$11, 100%, $F$11)</f>
        <v>6.5197164000000001</v>
      </c>
      <c r="F327" s="4">
        <f>9.1039 * CHOOSE(CONTROL!$C$12, $D$11, 100%, $F$11)</f>
        <v>7.3195356</v>
      </c>
      <c r="G327" s="8">
        <f>7.9146 * CHOOSE( CONTROL!$C$12, $D$11, 100%, $F$11)</f>
        <v>6.3633384000000008</v>
      </c>
      <c r="H327" s="4">
        <f>8.798 * CHOOSE(CONTROL!$C$12, $D$11, 100%, $F$11)</f>
        <v>7.0735920000000005</v>
      </c>
      <c r="I327" s="8">
        <f>7.8621 * CHOOSE(CONTROL!$C$12, $D$11, 100%, $F$11)</f>
        <v>6.3211284000000001</v>
      </c>
      <c r="J327" s="4">
        <f>7.7685 * CHOOSE(CONTROL!$C$12, $D$11, 100%, $F$11)</f>
        <v>6.2458740000000006</v>
      </c>
      <c r="K327" s="4"/>
      <c r="L327" s="9">
        <v>26.515499999999999</v>
      </c>
      <c r="M327" s="9">
        <v>11.6745</v>
      </c>
      <c r="N327" s="9">
        <v>4.7850000000000001</v>
      </c>
      <c r="O327" s="9">
        <v>0.36249999999999999</v>
      </c>
      <c r="P327" s="9">
        <v>1.2522</v>
      </c>
      <c r="Q327" s="9">
        <v>29.282399999999999</v>
      </c>
      <c r="R327" s="9"/>
      <c r="S327" s="11"/>
    </row>
    <row r="328" spans="1:19" ht="15.75">
      <c r="A328" s="13">
        <v>51866</v>
      </c>
      <c r="B328" s="8">
        <f>8.0976 * CHOOSE(CONTROL!$C$12, $D$11, 100%, $F$11)</f>
        <v>6.5104704</v>
      </c>
      <c r="C328" s="8">
        <f>8.108 * CHOOSE(CONTROL!$C$12, $D$11, 100%, $F$11)</f>
        <v>6.5188320000000006</v>
      </c>
      <c r="D328" s="8">
        <f>8.0902 * CHOOSE( CONTROL!$C$12, $D$11, 100%, $F$11)</f>
        <v>6.5045207999999999</v>
      </c>
      <c r="E328" s="12">
        <f>8.0956 * CHOOSE( CONTROL!$C$12, $D$11, 100%, $F$11)</f>
        <v>6.5088623999999999</v>
      </c>
      <c r="F328" s="4">
        <f>9.0892 * CHOOSE(CONTROL!$C$12, $D$11, 100%, $F$11)</f>
        <v>7.3077168000000006</v>
      </c>
      <c r="G328" s="8">
        <f>7.9017 * CHOOSE( CONTROL!$C$12, $D$11, 100%, $F$11)</f>
        <v>6.3529667999999999</v>
      </c>
      <c r="H328" s="4">
        <f>8.7836 * CHOOSE(CONTROL!$C$12, $D$11, 100%, $F$11)</f>
        <v>7.0620144000000007</v>
      </c>
      <c r="I328" s="8">
        <f>7.8549 * CHOOSE(CONTROL!$C$12, $D$11, 100%, $F$11)</f>
        <v>6.3153396000000006</v>
      </c>
      <c r="J328" s="4">
        <f>7.7543 * CHOOSE(CONTROL!$C$12, $D$11, 100%, $F$11)</f>
        <v>6.2344572000000005</v>
      </c>
      <c r="K328" s="4"/>
      <c r="L328" s="9">
        <v>27.3993</v>
      </c>
      <c r="M328" s="9">
        <v>12.063700000000001</v>
      </c>
      <c r="N328" s="9">
        <v>4.9444999999999997</v>
      </c>
      <c r="O328" s="9">
        <v>0.37459999999999999</v>
      </c>
      <c r="P328" s="9">
        <v>1.2939000000000001</v>
      </c>
      <c r="Q328" s="9">
        <v>30.258500000000002</v>
      </c>
      <c r="R328" s="9"/>
      <c r="S328" s="11"/>
    </row>
    <row r="329" spans="1:19" ht="15.75">
      <c r="A329" s="13">
        <v>51897</v>
      </c>
      <c r="B329" s="8">
        <f>8.4069 * CHOOSE(CONTROL!$C$12, $D$11, 100%, $F$11)</f>
        <v>6.7591476000000004</v>
      </c>
      <c r="C329" s="8">
        <f>8.4173 * CHOOSE(CONTROL!$C$12, $D$11, 100%, $F$11)</f>
        <v>6.7675092000000001</v>
      </c>
      <c r="D329" s="8">
        <f>8.415 * CHOOSE( CONTROL!$C$12, $D$11, 100%, $F$11)</f>
        <v>6.7656599999999996</v>
      </c>
      <c r="E329" s="12">
        <f>8.4147 * CHOOSE( CONTROL!$C$12, $D$11, 100%, $F$11)</f>
        <v>6.7654188</v>
      </c>
      <c r="F329" s="4">
        <f>9.4298 * CHOOSE(CONTROL!$C$12, $D$11, 100%, $F$11)</f>
        <v>7.5815592000000009</v>
      </c>
      <c r="G329" s="8">
        <f>8.2223 * CHOOSE( CONTROL!$C$12, $D$11, 100%, $F$11)</f>
        <v>6.6107292000000006</v>
      </c>
      <c r="H329" s="4">
        <f>9.1156 * CHOOSE(CONTROL!$C$12, $D$11, 100%, $F$11)</f>
        <v>7.3289424000000007</v>
      </c>
      <c r="I329" s="8">
        <f>8.1633 * CHOOSE(CONTROL!$C$12, $D$11, 100%, $F$11)</f>
        <v>6.5632932000000004</v>
      </c>
      <c r="J329" s="4">
        <f>8.0507 * CHOOSE(CONTROL!$C$12, $D$11, 100%, $F$11)</f>
        <v>6.4727628000000008</v>
      </c>
      <c r="K329" s="4"/>
      <c r="L329" s="9">
        <v>27.3993</v>
      </c>
      <c r="M329" s="9">
        <v>12.063700000000001</v>
      </c>
      <c r="N329" s="9">
        <v>4.9444999999999997</v>
      </c>
      <c r="O329" s="9">
        <v>0.37459999999999999</v>
      </c>
      <c r="P329" s="9">
        <v>1.2939000000000001</v>
      </c>
      <c r="Q329" s="9">
        <v>20.593900000000001</v>
      </c>
      <c r="R329" s="9"/>
      <c r="S329" s="11"/>
    </row>
    <row r="330" spans="1:19" ht="15.75">
      <c r="A330" s="13">
        <v>51925</v>
      </c>
      <c r="B330" s="8">
        <f>7.8637 * CHOOSE(CONTROL!$C$12, $D$11, 100%, $F$11)</f>
        <v>6.3224147999999998</v>
      </c>
      <c r="C330" s="8">
        <f>7.8741 * CHOOSE(CONTROL!$C$12, $D$11, 100%, $F$11)</f>
        <v>6.3307764000000004</v>
      </c>
      <c r="D330" s="8">
        <f>7.8741 * CHOOSE( CONTROL!$C$12, $D$11, 100%, $F$11)</f>
        <v>6.3307764000000004</v>
      </c>
      <c r="E330" s="12">
        <f>7.873 * CHOOSE( CONTROL!$C$12, $D$11, 100%, $F$11)</f>
        <v>6.329892000000001</v>
      </c>
      <c r="F330" s="4">
        <f>8.8788 * CHOOSE(CONTROL!$C$12, $D$11, 100%, $F$11)</f>
        <v>7.1385552000000008</v>
      </c>
      <c r="G330" s="8">
        <f>7.6927 * CHOOSE( CONTROL!$C$12, $D$11, 100%, $F$11)</f>
        <v>6.1849308000000009</v>
      </c>
      <c r="H330" s="4">
        <f>8.5785 * CHOOSE(CONTROL!$C$12, $D$11, 100%, $F$11)</f>
        <v>6.8971140000000002</v>
      </c>
      <c r="I330" s="8">
        <f>7.6317 * CHOOSE(CONTROL!$C$12, $D$11, 100%, $F$11)</f>
        <v>6.1358868000000006</v>
      </c>
      <c r="J330" s="4">
        <f>7.5302 * CHOOSE(CONTROL!$C$12, $D$11, 100%, $F$11)</f>
        <v>6.0542807999999999</v>
      </c>
      <c r="K330" s="4"/>
      <c r="L330" s="9">
        <v>24.747800000000002</v>
      </c>
      <c r="M330" s="9">
        <v>10.8962</v>
      </c>
      <c r="N330" s="9">
        <v>4.4660000000000002</v>
      </c>
      <c r="O330" s="9">
        <v>0.33829999999999999</v>
      </c>
      <c r="P330" s="9">
        <v>1.1687000000000001</v>
      </c>
      <c r="Q330" s="9">
        <v>18.600999999999999</v>
      </c>
      <c r="R330" s="9"/>
      <c r="S330" s="11"/>
    </row>
    <row r="331" spans="1:19" ht="15.75">
      <c r="A331" s="13">
        <v>51956</v>
      </c>
      <c r="B331" s="8">
        <f>7.6964 * CHOOSE(CONTROL!$C$12, $D$11, 100%, $F$11)</f>
        <v>6.1879055999999997</v>
      </c>
      <c r="C331" s="8">
        <f>7.7068 * CHOOSE(CONTROL!$C$12, $D$11, 100%, $F$11)</f>
        <v>6.1962672000000003</v>
      </c>
      <c r="D331" s="8">
        <f>7.6867 * CHOOSE( CONTROL!$C$12, $D$11, 100%, $F$11)</f>
        <v>6.1801068000000008</v>
      </c>
      <c r="E331" s="12">
        <f>7.6929 * CHOOSE( CONTROL!$C$12, $D$11, 100%, $F$11)</f>
        <v>6.1850916000000007</v>
      </c>
      <c r="F331" s="4">
        <f>8.6953 * CHOOSE(CONTROL!$C$12, $D$11, 100%, $F$11)</f>
        <v>6.9910212000000005</v>
      </c>
      <c r="G331" s="8">
        <f>7.5091 * CHOOSE( CONTROL!$C$12, $D$11, 100%, $F$11)</f>
        <v>6.0373164000000008</v>
      </c>
      <c r="H331" s="4">
        <f>8.3997 * CHOOSE(CONTROL!$C$12, $D$11, 100%, $F$11)</f>
        <v>6.7533588</v>
      </c>
      <c r="I331" s="8">
        <f>7.4318 * CHOOSE(CONTROL!$C$12, $D$11, 100%, $F$11)</f>
        <v>5.9751672000000005</v>
      </c>
      <c r="J331" s="4">
        <f>7.3699 * CHOOSE(CONTROL!$C$12, $D$11, 100%, $F$11)</f>
        <v>5.9253996000000004</v>
      </c>
      <c r="K331" s="4"/>
      <c r="L331" s="9">
        <v>27.3993</v>
      </c>
      <c r="M331" s="9">
        <v>12.063700000000001</v>
      </c>
      <c r="N331" s="9">
        <v>4.9444999999999997</v>
      </c>
      <c r="O331" s="9">
        <v>0.37459999999999999</v>
      </c>
      <c r="P331" s="9">
        <v>1.2939000000000001</v>
      </c>
      <c r="Q331" s="9">
        <v>20.593900000000001</v>
      </c>
      <c r="R331" s="9"/>
      <c r="S331" s="11"/>
    </row>
    <row r="332" spans="1:19" ht="15.75">
      <c r="A332" s="13">
        <v>51986</v>
      </c>
      <c r="B332" s="8">
        <f>7.8133 * CHOOSE(CONTROL!$C$12, $D$11, 100%, $F$11)</f>
        <v>6.2818932000000007</v>
      </c>
      <c r="C332" s="8">
        <f>7.8237 * CHOOSE(CONTROL!$C$12, $D$11, 100%, $F$11)</f>
        <v>6.2902548000000005</v>
      </c>
      <c r="D332" s="8">
        <f>7.8269 * CHOOSE( CONTROL!$C$12, $D$11, 100%, $F$11)</f>
        <v>6.2928276000000007</v>
      </c>
      <c r="E332" s="12">
        <f>7.8247 * CHOOSE( CONTROL!$C$12, $D$11, 100%, $F$11)</f>
        <v>6.2910588000000001</v>
      </c>
      <c r="F332" s="4">
        <f>8.8206 * CHOOSE(CONTROL!$C$12, $D$11, 100%, $F$11)</f>
        <v>7.0917624000000012</v>
      </c>
      <c r="G332" s="8">
        <f>7.6109 * CHOOSE( CONTROL!$C$12, $D$11, 100%, $F$11)</f>
        <v>6.1191636000000003</v>
      </c>
      <c r="H332" s="4">
        <f>8.5218 * CHOOSE(CONTROL!$C$12, $D$11, 100%, $F$11)</f>
        <v>6.8515272000000014</v>
      </c>
      <c r="I332" s="8">
        <f>7.5339 * CHOOSE(CONTROL!$C$12, $D$11, 100%, $F$11)</f>
        <v>6.0572556000000004</v>
      </c>
      <c r="J332" s="4">
        <f>7.482 * CHOOSE(CONTROL!$C$12, $D$11, 100%, $F$11)</f>
        <v>6.0155280000000007</v>
      </c>
      <c r="K332" s="4"/>
      <c r="L332" s="9">
        <v>27.988800000000001</v>
      </c>
      <c r="M332" s="9">
        <v>11.6745</v>
      </c>
      <c r="N332" s="9">
        <v>4.7850000000000001</v>
      </c>
      <c r="O332" s="9">
        <v>0.36249999999999999</v>
      </c>
      <c r="P332" s="9">
        <v>1.1798</v>
      </c>
      <c r="Q332" s="9">
        <v>19.929600000000001</v>
      </c>
      <c r="R332" s="9"/>
      <c r="S332" s="11"/>
    </row>
    <row r="333" spans="1:19" ht="15.75">
      <c r="A333" s="13">
        <v>52017</v>
      </c>
      <c r="B333" s="8">
        <f>CHOOSE( CONTROL!$C$29, 8.0261, 8.0214) * CHOOSE(CONTROL!$C$12, $D$11, 100%, $F$11)</f>
        <v>6.4529844000000001</v>
      </c>
      <c r="C333" s="8">
        <f>CHOOSE( CONTROL!$C$29, 8.0365, 8.0318) * CHOOSE(CONTROL!$C$12, $D$11, 100%, $F$11)</f>
        <v>6.4613460000000007</v>
      </c>
      <c r="D333" s="8">
        <f>CHOOSE( CONTROL!$C$29, 8.0145, 8.0098) * CHOOSE( CONTROL!$C$12, $D$11, 100%, $F$11)</f>
        <v>6.4436580000000001</v>
      </c>
      <c r="E333" s="12">
        <f>CHOOSE( CONTROL!$C$29, 8.0209, 8.0162) * CHOOSE( CONTROL!$C$12, $D$11, 100%, $F$11)</f>
        <v>6.4488035999999997</v>
      </c>
      <c r="F333" s="4">
        <f>CHOOSE( CONTROL!$C$29, 9.001, 8.9963) * CHOOSE(CONTROL!$C$12, $D$11, 100%, $F$11)</f>
        <v>7.2368040000000002</v>
      </c>
      <c r="G333" s="8">
        <f>CHOOSE( CONTROL!$C$29, 7.7996, 7.7951) * CHOOSE( CONTROL!$C$12, $D$11, 100%, $F$11)</f>
        <v>6.2708784</v>
      </c>
      <c r="H333" s="4">
        <f>CHOOSE( CONTROL!$C$29, 8.6976, 8.6931) * CHOOSE(CONTROL!$C$12, $D$11, 100%, $F$11)</f>
        <v>6.9928704000000002</v>
      </c>
      <c r="I333" s="8">
        <f>CHOOSE( CONTROL!$C$29, 7.7164, 7.7119) * CHOOSE(CONTROL!$C$12, $D$11, 100%, $F$11)</f>
        <v>6.2039856000000002</v>
      </c>
      <c r="J333" s="4">
        <f>CHOOSE( CONTROL!$C$29, 7.6858, 7.6813) * CHOOSE(CONTROL!$C$12, $D$11, 100%, $F$11)</f>
        <v>6.1793832000000011</v>
      </c>
      <c r="K333" s="4"/>
      <c r="L333" s="9">
        <v>29.520499999999998</v>
      </c>
      <c r="M333" s="9">
        <v>12.063700000000001</v>
      </c>
      <c r="N333" s="9">
        <v>4.9444999999999997</v>
      </c>
      <c r="O333" s="9">
        <v>0.37459999999999999</v>
      </c>
      <c r="P333" s="9">
        <v>1.2192000000000001</v>
      </c>
      <c r="Q333" s="9">
        <v>20.593900000000001</v>
      </c>
      <c r="R333" s="9"/>
      <c r="S333" s="11"/>
    </row>
    <row r="334" spans="1:19" ht="15.75">
      <c r="A334" s="13">
        <v>52047</v>
      </c>
      <c r="B334" s="8">
        <f>CHOOSE( CONTROL!$C$29, 7.8972, 7.8925) * CHOOSE(CONTROL!$C$12, $D$11, 100%, $F$11)</f>
        <v>6.3493488000000005</v>
      </c>
      <c r="C334" s="8">
        <f>CHOOSE( CONTROL!$C$29, 7.9076, 7.9029) * CHOOSE(CONTROL!$C$12, $D$11, 100%, $F$11)</f>
        <v>6.3577104000000011</v>
      </c>
      <c r="D334" s="8">
        <f>CHOOSE( CONTROL!$C$29, 7.88, 7.8753) * CHOOSE( CONTROL!$C$12, $D$11, 100%, $F$11)</f>
        <v>6.3355200000000007</v>
      </c>
      <c r="E334" s="12">
        <f>CHOOSE( CONTROL!$C$29, 7.8884, 7.8837) * CHOOSE( CONTROL!$C$12, $D$11, 100%, $F$11)</f>
        <v>6.3422736000000004</v>
      </c>
      <c r="F334" s="4">
        <f>CHOOSE( CONTROL!$C$29, 8.8617, 8.8569) * CHOOSE(CONTROL!$C$12, $D$11, 100%, $F$11)</f>
        <v>7.1248068000000009</v>
      </c>
      <c r="G334" s="8">
        <f>CHOOSE( CONTROL!$C$29, 7.6727, 7.6682) * CHOOSE( CONTROL!$C$12, $D$11, 100%, $F$11)</f>
        <v>6.1688508000000004</v>
      </c>
      <c r="H334" s="4">
        <f>CHOOSE( CONTROL!$C$29, 8.5618, 8.5573) * CHOOSE(CONTROL!$C$12, $D$11, 100%, $F$11)</f>
        <v>6.8836872000000007</v>
      </c>
      <c r="I334" s="8">
        <f>CHOOSE( CONTROL!$C$29, 7.595, 7.5905) * CHOOSE(CONTROL!$C$12, $D$11, 100%, $F$11)</f>
        <v>6.1063800000000006</v>
      </c>
      <c r="J334" s="4">
        <f>CHOOSE( CONTROL!$C$29, 7.5623, 7.5578) * CHOOSE(CONTROL!$C$12, $D$11, 100%, $F$11)</f>
        <v>6.0800891999999997</v>
      </c>
      <c r="K334" s="4"/>
      <c r="L334" s="9">
        <v>28.568200000000001</v>
      </c>
      <c r="M334" s="9">
        <v>11.6745</v>
      </c>
      <c r="N334" s="9">
        <v>4.7850000000000001</v>
      </c>
      <c r="O334" s="9">
        <v>0.36249999999999999</v>
      </c>
      <c r="P334" s="9">
        <v>1.1798</v>
      </c>
      <c r="Q334" s="9">
        <v>19.929600000000001</v>
      </c>
      <c r="R334" s="9"/>
      <c r="S334" s="11"/>
    </row>
    <row r="335" spans="1:19" ht="15.75">
      <c r="A335" s="13">
        <v>52078</v>
      </c>
      <c r="B335" s="8">
        <f>CHOOSE( CONTROL!$C$29, 8.2366, 8.2319) * CHOOSE(CONTROL!$C$12, $D$11, 100%, $F$11)</f>
        <v>6.6222263999999997</v>
      </c>
      <c r="C335" s="8">
        <f>CHOOSE( CONTROL!$C$29, 8.247, 8.2423) * CHOOSE(CONTROL!$C$12, $D$11, 100%, $F$11)</f>
        <v>6.6305880000000004</v>
      </c>
      <c r="D335" s="8">
        <f>CHOOSE( CONTROL!$C$29, 8.2386, 8.2339) * CHOOSE( CONTROL!$C$12, $D$11, 100%, $F$11)</f>
        <v>6.6238344000000007</v>
      </c>
      <c r="E335" s="12">
        <f>CHOOSE( CONTROL!$C$29, 8.2401, 8.2354) * CHOOSE( CONTROL!$C$12, $D$11, 100%, $F$11)</f>
        <v>6.6250404000000005</v>
      </c>
      <c r="F335" s="4">
        <f>CHOOSE( CONTROL!$C$29, 9.2282, 9.2235) * CHOOSE(CONTROL!$C$12, $D$11, 100%, $F$11)</f>
        <v>7.4194728000000003</v>
      </c>
      <c r="G335" s="8">
        <f>CHOOSE( CONTROL!$C$29, 8.0163, 8.0117) * CHOOSE( CONTROL!$C$12, $D$11, 100%, $F$11)</f>
        <v>6.4451051999999995</v>
      </c>
      <c r="H335" s="4">
        <f>CHOOSE( CONTROL!$C$29, 8.9191, 8.9145) * CHOOSE(CONTROL!$C$12, $D$11, 100%, $F$11)</f>
        <v>7.1709564000000006</v>
      </c>
      <c r="I335" s="8">
        <f>CHOOSE( CONTROL!$C$29, 7.9431, 7.9386) * CHOOSE(CONTROL!$C$12, $D$11, 100%, $F$11)</f>
        <v>6.3862524000000009</v>
      </c>
      <c r="J335" s="4">
        <f>CHOOSE( CONTROL!$C$29, 7.8875, 7.883) * CHOOSE(CONTROL!$C$12, $D$11, 100%, $F$11)</f>
        <v>6.3415500000000007</v>
      </c>
      <c r="K335" s="4"/>
      <c r="L335" s="9">
        <v>29.520499999999998</v>
      </c>
      <c r="M335" s="9">
        <v>12.063700000000001</v>
      </c>
      <c r="N335" s="9">
        <v>4.9444999999999997</v>
      </c>
      <c r="O335" s="9">
        <v>0.37459999999999999</v>
      </c>
      <c r="P335" s="9">
        <v>1.2192000000000001</v>
      </c>
      <c r="Q335" s="9">
        <v>20.593900000000001</v>
      </c>
      <c r="R335" s="9"/>
      <c r="S335" s="11"/>
    </row>
    <row r="336" spans="1:19" ht="15.75">
      <c r="A336" s="13">
        <v>52109</v>
      </c>
      <c r="B336" s="8">
        <f>CHOOSE( CONTROL!$C$29, 7.6015, 7.5968) * CHOOSE(CONTROL!$C$12, $D$11, 100%, $F$11)</f>
        <v>6.1116060000000001</v>
      </c>
      <c r="C336" s="8">
        <f>CHOOSE( CONTROL!$C$29, 7.612, 7.6073) * CHOOSE(CONTROL!$C$12, $D$11, 100%, $F$11)</f>
        <v>6.1200480000000006</v>
      </c>
      <c r="D336" s="8">
        <f>CHOOSE( CONTROL!$C$29, 7.6068, 7.6021) * CHOOSE( CONTROL!$C$12, $D$11, 100%, $F$11)</f>
        <v>6.1158672000000003</v>
      </c>
      <c r="E336" s="12">
        <f>CHOOSE( CONTROL!$C$29, 7.6071, 7.6024) * CHOOSE( CONTROL!$C$12, $D$11, 100%, $F$11)</f>
        <v>6.1161084000000008</v>
      </c>
      <c r="F336" s="4">
        <f>CHOOSE( CONTROL!$C$29, 8.5983, 8.5936) * CHOOSE(CONTROL!$C$12, $D$11, 100%, $F$11)</f>
        <v>6.9130332000000001</v>
      </c>
      <c r="G336" s="8">
        <f>CHOOSE( CONTROL!$C$29, 7.3994, 7.3948) * CHOOSE( CONTROL!$C$12, $D$11, 100%, $F$11)</f>
        <v>5.9491176000000001</v>
      </c>
      <c r="H336" s="4">
        <f>CHOOSE( CONTROL!$C$29, 8.3052, 8.3006) * CHOOSE(CONTROL!$C$12, $D$11, 100%, $F$11)</f>
        <v>6.6773807999999999</v>
      </c>
      <c r="I336" s="8">
        <f>CHOOSE( CONTROL!$C$29, 7.3389, 7.3344) * CHOOSE(CONTROL!$C$12, $D$11, 100%, $F$11)</f>
        <v>5.9004756</v>
      </c>
      <c r="J336" s="4">
        <f>CHOOSE( CONTROL!$C$29, 7.279, 7.2745) * CHOOSE(CONTROL!$C$12, $D$11, 100%, $F$11)</f>
        <v>5.8523160000000001</v>
      </c>
      <c r="K336" s="4"/>
      <c r="L336" s="9">
        <v>29.520499999999998</v>
      </c>
      <c r="M336" s="9">
        <v>12.063700000000001</v>
      </c>
      <c r="N336" s="9">
        <v>4.9444999999999997</v>
      </c>
      <c r="O336" s="9">
        <v>0.37459999999999999</v>
      </c>
      <c r="P336" s="9">
        <v>1.2192000000000001</v>
      </c>
      <c r="Q336" s="9">
        <v>20.593900000000001</v>
      </c>
      <c r="R336" s="9"/>
      <c r="S336" s="11"/>
    </row>
    <row r="337" spans="1:19" ht="15.75">
      <c r="A337" s="13">
        <v>52139</v>
      </c>
      <c r="B337" s="8">
        <f>CHOOSE( CONTROL!$C$29, 7.4425, 7.4378) * CHOOSE(CONTROL!$C$12, $D$11, 100%, $F$11)</f>
        <v>5.9837700000000007</v>
      </c>
      <c r="C337" s="8">
        <f>CHOOSE( CONTROL!$C$29, 7.4529, 7.4482) * CHOOSE(CONTROL!$C$12, $D$11, 100%, $F$11)</f>
        <v>5.9921316000000004</v>
      </c>
      <c r="D337" s="8">
        <f>CHOOSE( CONTROL!$C$29, 7.4436, 7.4389) * CHOOSE( CONTROL!$C$12, $D$11, 100%, $F$11)</f>
        <v>5.9846544000000002</v>
      </c>
      <c r="E337" s="12">
        <f>CHOOSE( CONTROL!$C$29, 7.4454, 7.4407) * CHOOSE( CONTROL!$C$12, $D$11, 100%, $F$11)</f>
        <v>5.9861016000000005</v>
      </c>
      <c r="F337" s="4">
        <f>CHOOSE( CONTROL!$C$29, 8.4315, 8.4268) * CHOOSE(CONTROL!$C$12, $D$11, 100%, $F$11)</f>
        <v>6.7789260000000002</v>
      </c>
      <c r="G337" s="8">
        <f>CHOOSE( CONTROL!$C$29, 7.2431, 7.2385) * CHOOSE( CONTROL!$C$12, $D$11, 100%, $F$11)</f>
        <v>5.8234524000000008</v>
      </c>
      <c r="H337" s="4">
        <f>CHOOSE( CONTROL!$C$29, 8.1425, 8.1379) * CHOOSE(CONTROL!$C$12, $D$11, 100%, $F$11)</f>
        <v>6.5465700000000009</v>
      </c>
      <c r="I337" s="8">
        <f>CHOOSE( CONTROL!$C$29, 7.1878, 7.1832) * CHOOSE(CONTROL!$C$12, $D$11, 100%, $F$11)</f>
        <v>5.7789912000000001</v>
      </c>
      <c r="J337" s="4">
        <f>CHOOSE( CONTROL!$C$29, 7.1267, 7.1221) * CHOOSE(CONTROL!$C$12, $D$11, 100%, $F$11)</f>
        <v>5.7298667999999999</v>
      </c>
      <c r="K337" s="4"/>
      <c r="L337" s="9">
        <v>28.568200000000001</v>
      </c>
      <c r="M337" s="9">
        <v>11.6745</v>
      </c>
      <c r="N337" s="9">
        <v>4.7850000000000001</v>
      </c>
      <c r="O337" s="9">
        <v>0.36249999999999999</v>
      </c>
      <c r="P337" s="9">
        <v>1.1798</v>
      </c>
      <c r="Q337" s="9">
        <v>19.929600000000001</v>
      </c>
      <c r="R337" s="9"/>
      <c r="S337" s="11"/>
    </row>
    <row r="338" spans="1:19" ht="15.75">
      <c r="A338" s="13">
        <v>52170</v>
      </c>
      <c r="B338" s="8">
        <f>7.768 * CHOOSE(CONTROL!$C$12, $D$11, 100%, $F$11)</f>
        <v>6.2454720000000004</v>
      </c>
      <c r="C338" s="8">
        <f>7.7784 * CHOOSE(CONTROL!$C$12, $D$11, 100%, $F$11)</f>
        <v>6.253833600000001</v>
      </c>
      <c r="D338" s="8">
        <f>7.77 * CHOOSE( CONTROL!$C$12, $D$11, 100%, $F$11)</f>
        <v>6.2470800000000004</v>
      </c>
      <c r="E338" s="12">
        <f>7.7717 * CHOOSE( CONTROL!$C$12, $D$11, 100%, $F$11)</f>
        <v>6.2484468000000009</v>
      </c>
      <c r="F338" s="4">
        <f>8.757 * CHOOSE(CONTROL!$C$12, $D$11, 100%, $F$11)</f>
        <v>7.0406279999999999</v>
      </c>
      <c r="G338" s="8">
        <f>7.5599 * CHOOSE( CONTROL!$C$12, $D$11, 100%, $F$11)</f>
        <v>6.0781596000000002</v>
      </c>
      <c r="H338" s="4">
        <f>8.4598 * CHOOSE(CONTROL!$C$12, $D$11, 100%, $F$11)</f>
        <v>6.8016791999999997</v>
      </c>
      <c r="I338" s="8">
        <f>7.5018 * CHOOSE(CONTROL!$C$12, $D$11, 100%, $F$11)</f>
        <v>6.0314472000000006</v>
      </c>
      <c r="J338" s="4">
        <f>7.4385 * CHOOSE(CONTROL!$C$12, $D$11, 100%, $F$11)</f>
        <v>5.9805540000000006</v>
      </c>
      <c r="K338" s="4"/>
      <c r="L338" s="9">
        <v>28.921800000000001</v>
      </c>
      <c r="M338" s="9">
        <v>12.063700000000001</v>
      </c>
      <c r="N338" s="9">
        <v>4.9444999999999997</v>
      </c>
      <c r="O338" s="9">
        <v>0.37459999999999999</v>
      </c>
      <c r="P338" s="9">
        <v>1.2192000000000001</v>
      </c>
      <c r="Q338" s="9">
        <v>20.593900000000001</v>
      </c>
      <c r="R338" s="9"/>
      <c r="S338" s="11"/>
    </row>
    <row r="339" spans="1:19" ht="15.75">
      <c r="A339" s="13">
        <v>52200</v>
      </c>
      <c r="B339" s="8">
        <f>8.3775 * CHOOSE(CONTROL!$C$12, $D$11, 100%, $F$11)</f>
        <v>6.7355099999999997</v>
      </c>
      <c r="C339" s="8">
        <f>8.3879 * CHOOSE(CONTROL!$C$12, $D$11, 100%, $F$11)</f>
        <v>6.7438716000000003</v>
      </c>
      <c r="D339" s="8">
        <f>8.3682 * CHOOSE( CONTROL!$C$12, $D$11, 100%, $F$11)</f>
        <v>6.7280328000000003</v>
      </c>
      <c r="E339" s="12">
        <f>8.3743 * CHOOSE( CONTROL!$C$12, $D$11, 100%, $F$11)</f>
        <v>6.7329372000000003</v>
      </c>
      <c r="F339" s="4">
        <f>9.3691 * CHOOSE(CONTROL!$C$12, $D$11, 100%, $F$11)</f>
        <v>7.5327564000000002</v>
      </c>
      <c r="G339" s="8">
        <f>8.1731 * CHOOSE( CONTROL!$C$12, $D$11, 100%, $F$11)</f>
        <v>6.5711724</v>
      </c>
      <c r="H339" s="4">
        <f>9.0564 * CHOOSE(CONTROL!$C$12, $D$11, 100%, $F$11)</f>
        <v>7.2813456000000008</v>
      </c>
      <c r="I339" s="8">
        <f>8.1163 * CHOOSE(CONTROL!$C$12, $D$11, 100%, $F$11)</f>
        <v>6.5255052000000013</v>
      </c>
      <c r="J339" s="4">
        <f>8.0225 * CHOOSE(CONTROL!$C$12, $D$11, 100%, $F$11)</f>
        <v>6.4500900000000012</v>
      </c>
      <c r="K339" s="4"/>
      <c r="L339" s="9">
        <v>26.515499999999999</v>
      </c>
      <c r="M339" s="9">
        <v>11.6745</v>
      </c>
      <c r="N339" s="9">
        <v>4.7850000000000001</v>
      </c>
      <c r="O339" s="9">
        <v>0.36249999999999999</v>
      </c>
      <c r="P339" s="9">
        <v>1.2522</v>
      </c>
      <c r="Q339" s="9">
        <v>19.929600000000001</v>
      </c>
      <c r="R339" s="9"/>
      <c r="S339" s="11"/>
    </row>
    <row r="340" spans="1:19" ht="15.75">
      <c r="A340" s="13">
        <v>52231</v>
      </c>
      <c r="B340" s="8">
        <f>8.3622 * CHOOSE(CONTROL!$C$12, $D$11, 100%, $F$11)</f>
        <v>6.7232088000000001</v>
      </c>
      <c r="C340" s="8">
        <f>8.3727 * CHOOSE(CONTROL!$C$12, $D$11, 100%, $F$11)</f>
        <v>6.7316508000000006</v>
      </c>
      <c r="D340" s="8">
        <f>8.3548 * CHOOSE( CONTROL!$C$12, $D$11, 100%, $F$11)</f>
        <v>6.7172592</v>
      </c>
      <c r="E340" s="12">
        <f>8.3602 * CHOOSE( CONTROL!$C$12, $D$11, 100%, $F$11)</f>
        <v>6.7216008000000009</v>
      </c>
      <c r="F340" s="4">
        <f>9.3538 * CHOOSE(CONTROL!$C$12, $D$11, 100%, $F$11)</f>
        <v>7.5204551999999998</v>
      </c>
      <c r="G340" s="8">
        <f>8.1597 * CHOOSE( CONTROL!$C$12, $D$11, 100%, $F$11)</f>
        <v>6.5603988000000006</v>
      </c>
      <c r="H340" s="4">
        <f>9.0416 * CHOOSE(CONTROL!$C$12, $D$11, 100%, $F$11)</f>
        <v>7.2694464000000014</v>
      </c>
      <c r="I340" s="8">
        <f>8.1086 * CHOOSE(CONTROL!$C$12, $D$11, 100%, $F$11)</f>
        <v>6.5193143999999998</v>
      </c>
      <c r="J340" s="4">
        <f>8.0079 * CHOOSE(CONTROL!$C$12, $D$11, 100%, $F$11)</f>
        <v>6.4383515999999998</v>
      </c>
      <c r="K340" s="4"/>
      <c r="L340" s="9">
        <v>27.3993</v>
      </c>
      <c r="M340" s="9">
        <v>12.063700000000001</v>
      </c>
      <c r="N340" s="9">
        <v>4.9444999999999997</v>
      </c>
      <c r="O340" s="9">
        <v>0.37459999999999999</v>
      </c>
      <c r="P340" s="9">
        <v>1.2939000000000001</v>
      </c>
      <c r="Q340" s="9">
        <v>20.593900000000001</v>
      </c>
      <c r="R340" s="9"/>
      <c r="S340" s="11"/>
    </row>
    <row r="341" spans="1:19" ht="15.75">
      <c r="A341" s="13">
        <v>52262</v>
      </c>
      <c r="B341" s="8">
        <f>8.6816 * CHOOSE(CONTROL!$C$12, $D$11, 100%, $F$11)</f>
        <v>6.9800063999999997</v>
      </c>
      <c r="C341" s="8">
        <f>8.6921 * CHOOSE(CONTROL!$C$12, $D$11, 100%, $F$11)</f>
        <v>6.9884484000000002</v>
      </c>
      <c r="D341" s="8">
        <f>8.6897 * CHOOSE( CONTROL!$C$12, $D$11, 100%, $F$11)</f>
        <v>6.9865188000000007</v>
      </c>
      <c r="E341" s="12">
        <f>8.6895 * CHOOSE( CONTROL!$C$12, $D$11, 100%, $F$11)</f>
        <v>6.986358000000001</v>
      </c>
      <c r="F341" s="4">
        <f>9.7046 * CHOOSE(CONTROL!$C$12, $D$11, 100%, $F$11)</f>
        <v>7.8024984000000002</v>
      </c>
      <c r="G341" s="8">
        <f>8.4901 * CHOOSE( CONTROL!$C$12, $D$11, 100%, $F$11)</f>
        <v>6.8260404000000001</v>
      </c>
      <c r="H341" s="4">
        <f>9.3835 * CHOOSE(CONTROL!$C$12, $D$11, 100%, $F$11)</f>
        <v>7.5443340000000001</v>
      </c>
      <c r="I341" s="8">
        <f>8.4267 * CHOOSE(CONTROL!$C$12, $D$11, 100%, $F$11)</f>
        <v>6.7750668000000003</v>
      </c>
      <c r="J341" s="4">
        <f>8.314 * CHOOSE(CONTROL!$C$12, $D$11, 100%, $F$11)</f>
        <v>6.6844560000000008</v>
      </c>
      <c r="K341" s="4"/>
      <c r="L341" s="9">
        <v>27.3993</v>
      </c>
      <c r="M341" s="9">
        <v>12.063700000000001</v>
      </c>
      <c r="N341" s="9">
        <v>4.9444999999999997</v>
      </c>
      <c r="O341" s="9">
        <v>0.37459999999999999</v>
      </c>
      <c r="P341" s="9">
        <v>1.2939000000000001</v>
      </c>
      <c r="Q341" s="9">
        <v>20.5288</v>
      </c>
      <c r="R341" s="9"/>
      <c r="S341" s="11"/>
    </row>
    <row r="342" spans="1:19" ht="15.75">
      <c r="A342" s="13">
        <v>52290</v>
      </c>
      <c r="B342" s="8">
        <f>8.1207 * CHOOSE(CONTROL!$C$12, $D$11, 100%, $F$11)</f>
        <v>6.5290428</v>
      </c>
      <c r="C342" s="8">
        <f>8.1311 * CHOOSE(CONTROL!$C$12, $D$11, 100%, $F$11)</f>
        <v>6.5374044000000007</v>
      </c>
      <c r="D342" s="8">
        <f>8.1311 * CHOOSE( CONTROL!$C$12, $D$11, 100%, $F$11)</f>
        <v>6.5374044000000007</v>
      </c>
      <c r="E342" s="12">
        <f>8.13 * CHOOSE( CONTROL!$C$12, $D$11, 100%, $F$11)</f>
        <v>6.5365200000000012</v>
      </c>
      <c r="F342" s="4">
        <f>9.1358 * CHOOSE(CONTROL!$C$12, $D$11, 100%, $F$11)</f>
        <v>7.3451832000000001</v>
      </c>
      <c r="G342" s="8">
        <f>7.9432 * CHOOSE( CONTROL!$C$12, $D$11, 100%, $F$11)</f>
        <v>6.3863328000000008</v>
      </c>
      <c r="H342" s="4">
        <f>8.8291 * CHOOSE(CONTROL!$C$12, $D$11, 100%, $F$11)</f>
        <v>7.0985964000000008</v>
      </c>
      <c r="I342" s="8">
        <f>7.878 * CHOOSE(CONTROL!$C$12, $D$11, 100%, $F$11)</f>
        <v>6.3339120000000007</v>
      </c>
      <c r="J342" s="4">
        <f>7.7765 * CHOOSE(CONTROL!$C$12, $D$11, 100%, $F$11)</f>
        <v>6.2523060000000008</v>
      </c>
      <c r="K342" s="4"/>
      <c r="L342" s="9">
        <v>24.747800000000002</v>
      </c>
      <c r="M342" s="9">
        <v>10.8962</v>
      </c>
      <c r="N342" s="9">
        <v>4.4660000000000002</v>
      </c>
      <c r="O342" s="9">
        <v>0.33829999999999999</v>
      </c>
      <c r="P342" s="9">
        <v>1.1687000000000001</v>
      </c>
      <c r="Q342" s="9">
        <v>18.542200000000001</v>
      </c>
      <c r="R342" s="9"/>
      <c r="S342" s="11"/>
    </row>
    <row r="343" spans="1:19" ht="15.75">
      <c r="A343" s="13">
        <v>52321</v>
      </c>
      <c r="B343" s="8">
        <f>7.9479 * CHOOSE(CONTROL!$C$12, $D$11, 100%, $F$11)</f>
        <v>6.3901116</v>
      </c>
      <c r="C343" s="8">
        <f>7.9584 * CHOOSE(CONTROL!$C$12, $D$11, 100%, $F$11)</f>
        <v>6.3985536000000005</v>
      </c>
      <c r="D343" s="8">
        <f>7.9382 * CHOOSE( CONTROL!$C$12, $D$11, 100%, $F$11)</f>
        <v>6.3823128000000002</v>
      </c>
      <c r="E343" s="12">
        <f>7.9445 * CHOOSE( CONTROL!$C$12, $D$11, 100%, $F$11)</f>
        <v>6.387378</v>
      </c>
      <c r="F343" s="4">
        <f>8.9469 * CHOOSE(CONTROL!$C$12, $D$11, 100%, $F$11)</f>
        <v>7.1933075999999998</v>
      </c>
      <c r="G343" s="8">
        <f>7.7543 * CHOOSE( CONTROL!$C$12, $D$11, 100%, $F$11)</f>
        <v>6.2344572000000005</v>
      </c>
      <c r="H343" s="4">
        <f>8.6449 * CHOOSE(CONTROL!$C$12, $D$11, 100%, $F$11)</f>
        <v>6.9504996000000006</v>
      </c>
      <c r="I343" s="8">
        <f>7.6729 * CHOOSE(CONTROL!$C$12, $D$11, 100%, $F$11)</f>
        <v>6.1690116000000002</v>
      </c>
      <c r="J343" s="4">
        <f>7.611 * CHOOSE(CONTROL!$C$12, $D$11, 100%, $F$11)</f>
        <v>6.1192440000000001</v>
      </c>
      <c r="K343" s="4"/>
      <c r="L343" s="9">
        <v>27.3993</v>
      </c>
      <c r="M343" s="9">
        <v>12.063700000000001</v>
      </c>
      <c r="N343" s="9">
        <v>4.9444999999999997</v>
      </c>
      <c r="O343" s="9">
        <v>0.37459999999999999</v>
      </c>
      <c r="P343" s="9">
        <v>1.2939000000000001</v>
      </c>
      <c r="Q343" s="9">
        <v>20.5288</v>
      </c>
      <c r="R343" s="9"/>
      <c r="S343" s="11"/>
    </row>
    <row r="344" spans="1:19" ht="15.75">
      <c r="A344" s="13">
        <v>52351</v>
      </c>
      <c r="B344" s="8">
        <f>8.0687 * CHOOSE(CONTROL!$C$12, $D$11, 100%, $F$11)</f>
        <v>6.4872348000000004</v>
      </c>
      <c r="C344" s="8">
        <f>8.0791 * CHOOSE(CONTROL!$C$12, $D$11, 100%, $F$11)</f>
        <v>6.495596400000001</v>
      </c>
      <c r="D344" s="8">
        <f>8.0823 * CHOOSE( CONTROL!$C$12, $D$11, 100%, $F$11)</f>
        <v>6.4981692000000004</v>
      </c>
      <c r="E344" s="12">
        <f>8.0801 * CHOOSE( CONTROL!$C$12, $D$11, 100%, $F$11)</f>
        <v>6.4964004000000006</v>
      </c>
      <c r="F344" s="4">
        <f>9.0759 * CHOOSE(CONTROL!$C$12, $D$11, 100%, $F$11)</f>
        <v>7.2970236000000011</v>
      </c>
      <c r="G344" s="8">
        <f>7.8598 * CHOOSE( CONTROL!$C$12, $D$11, 100%, $F$11)</f>
        <v>6.3192792000000004</v>
      </c>
      <c r="H344" s="4">
        <f>8.7707 * CHOOSE(CONTROL!$C$12, $D$11, 100%, $F$11)</f>
        <v>7.0516427999999998</v>
      </c>
      <c r="I344" s="8">
        <f>7.7787 * CHOOSE(CONTROL!$C$12, $D$11, 100%, $F$11)</f>
        <v>6.2540747999999997</v>
      </c>
      <c r="J344" s="4">
        <f>7.7266 * CHOOSE(CONTROL!$C$12, $D$11, 100%, $F$11)</f>
        <v>6.2121864000000002</v>
      </c>
      <c r="K344" s="4"/>
      <c r="L344" s="9">
        <v>27.988800000000001</v>
      </c>
      <c r="M344" s="9">
        <v>11.6745</v>
      </c>
      <c r="N344" s="9">
        <v>4.7850000000000001</v>
      </c>
      <c r="O344" s="9">
        <v>0.36249999999999999</v>
      </c>
      <c r="P344" s="9">
        <v>1.1798</v>
      </c>
      <c r="Q344" s="9">
        <v>19.866599999999998</v>
      </c>
      <c r="R344" s="9"/>
      <c r="S344" s="11"/>
    </row>
    <row r="345" spans="1:19" ht="15.75">
      <c r="A345" s="13">
        <v>52382</v>
      </c>
      <c r="B345" s="8">
        <f>CHOOSE( CONTROL!$C$29, 8.2882, 8.2835) * CHOOSE(CONTROL!$C$12, $D$11, 100%, $F$11)</f>
        <v>6.6637127999999999</v>
      </c>
      <c r="C345" s="8">
        <f>CHOOSE( CONTROL!$C$29, 8.2987, 8.294) * CHOOSE(CONTROL!$C$12, $D$11, 100%, $F$11)</f>
        <v>6.6721548000000004</v>
      </c>
      <c r="D345" s="8">
        <f>CHOOSE( CONTROL!$C$29, 8.2766, 8.2719) * CHOOSE( CONTROL!$C$12, $D$11, 100%, $F$11)</f>
        <v>6.6543864000000008</v>
      </c>
      <c r="E345" s="12">
        <f>CHOOSE( CONTROL!$C$29, 8.283, 8.2783) * CHOOSE( CONTROL!$C$12, $D$11, 100%, $F$11)</f>
        <v>6.6595319999999996</v>
      </c>
      <c r="F345" s="4">
        <f>CHOOSE( CONTROL!$C$29, 9.2631, 9.2584) * CHOOSE(CONTROL!$C$12, $D$11, 100%, $F$11)</f>
        <v>7.4475324000000001</v>
      </c>
      <c r="G345" s="8">
        <f>CHOOSE( CONTROL!$C$29, 8.0552, 8.0506) * CHOOSE( CONTROL!$C$12, $D$11, 100%, $F$11)</f>
        <v>6.4763807999999994</v>
      </c>
      <c r="H345" s="4">
        <f>CHOOSE( CONTROL!$C$29, 8.9532, 8.9486) * CHOOSE(CONTROL!$C$12, $D$11, 100%, $F$11)</f>
        <v>7.1983728000000013</v>
      </c>
      <c r="I345" s="8">
        <f>CHOOSE( CONTROL!$C$29, 7.9677, 7.9632) * CHOOSE(CONTROL!$C$12, $D$11, 100%, $F$11)</f>
        <v>6.4060307999999999</v>
      </c>
      <c r="J345" s="4">
        <f>CHOOSE( CONTROL!$C$29, 7.937, 7.9325) * CHOOSE(CONTROL!$C$12, $D$11, 100%, $F$11)</f>
        <v>6.3813480000000009</v>
      </c>
      <c r="K345" s="4"/>
      <c r="L345" s="9">
        <v>29.520499999999998</v>
      </c>
      <c r="M345" s="9">
        <v>12.063700000000001</v>
      </c>
      <c r="N345" s="9">
        <v>4.9444999999999997</v>
      </c>
      <c r="O345" s="9">
        <v>0.37459999999999999</v>
      </c>
      <c r="P345" s="9">
        <v>1.2192000000000001</v>
      </c>
      <c r="Q345" s="9">
        <v>20.5288</v>
      </c>
      <c r="R345" s="9"/>
      <c r="S345" s="11"/>
    </row>
    <row r="346" spans="1:19" ht="15.75">
      <c r="A346" s="13">
        <v>52412</v>
      </c>
      <c r="B346" s="8">
        <f>CHOOSE( CONTROL!$C$29, 8.1551, 8.1504) * CHOOSE(CONTROL!$C$12, $D$11, 100%, $F$11)</f>
        <v>6.5567003999999995</v>
      </c>
      <c r="C346" s="8">
        <f>CHOOSE( CONTROL!$C$29, 8.1656, 8.1609) * CHOOSE(CONTROL!$C$12, $D$11, 100%, $F$11)</f>
        <v>6.5651424</v>
      </c>
      <c r="D346" s="8">
        <f>CHOOSE( CONTROL!$C$29, 8.1379, 8.1332) * CHOOSE( CONTROL!$C$12, $D$11, 100%, $F$11)</f>
        <v>6.5428716000000007</v>
      </c>
      <c r="E346" s="12">
        <f>CHOOSE( CONTROL!$C$29, 8.1463, 8.1416) * CHOOSE( CONTROL!$C$12, $D$11, 100%, $F$11)</f>
        <v>6.5496252000000004</v>
      </c>
      <c r="F346" s="4">
        <f>CHOOSE( CONTROL!$C$29, 9.1196, 9.1149) * CHOOSE(CONTROL!$C$12, $D$11, 100%, $F$11)</f>
        <v>7.3321584000000009</v>
      </c>
      <c r="G346" s="8">
        <f>CHOOSE( CONTROL!$C$29, 7.9242, 7.9196) * CHOOSE( CONTROL!$C$12, $D$11, 100%, $F$11)</f>
        <v>6.3710568000000007</v>
      </c>
      <c r="H346" s="4">
        <f>CHOOSE( CONTROL!$C$29, 8.8133, 8.8087) * CHOOSE(CONTROL!$C$12, $D$11, 100%, $F$11)</f>
        <v>7.0858932000000001</v>
      </c>
      <c r="I346" s="8">
        <f>CHOOSE( CONTROL!$C$29, 7.8423, 7.8378) * CHOOSE(CONTROL!$C$12, $D$11, 100%, $F$11)</f>
        <v>6.3052092000000002</v>
      </c>
      <c r="J346" s="4">
        <f>CHOOSE( CONTROL!$C$29, 7.8095, 7.805) * CHOOSE(CONTROL!$C$12, $D$11, 100%, $F$11)</f>
        <v>6.2788380000000004</v>
      </c>
      <c r="K346" s="4"/>
      <c r="L346" s="9">
        <v>28.568200000000001</v>
      </c>
      <c r="M346" s="9">
        <v>11.6745</v>
      </c>
      <c r="N346" s="9">
        <v>4.7850000000000001</v>
      </c>
      <c r="O346" s="9">
        <v>0.36249999999999999</v>
      </c>
      <c r="P346" s="9">
        <v>1.1798</v>
      </c>
      <c r="Q346" s="9">
        <v>19.866599999999998</v>
      </c>
      <c r="R346" s="9"/>
      <c r="S346" s="11"/>
    </row>
    <row r="347" spans="1:19" ht="15.75">
      <c r="A347" s="13">
        <v>52443</v>
      </c>
      <c r="B347" s="8">
        <f>CHOOSE( CONTROL!$C$29, 8.5056, 8.5009) * CHOOSE(CONTROL!$C$12, $D$11, 100%, $F$11)</f>
        <v>6.8385024000000003</v>
      </c>
      <c r="C347" s="8">
        <f>CHOOSE( CONTROL!$C$29, 8.5161, 8.5114) * CHOOSE(CONTROL!$C$12, $D$11, 100%, $F$11)</f>
        <v>6.8469443999999999</v>
      </c>
      <c r="D347" s="8">
        <f>CHOOSE( CONTROL!$C$29, 8.5076, 8.5029) * CHOOSE( CONTROL!$C$12, $D$11, 100%, $F$11)</f>
        <v>6.8401104000000004</v>
      </c>
      <c r="E347" s="12">
        <f>CHOOSE( CONTROL!$C$29, 8.5091, 8.5044) * CHOOSE( CONTROL!$C$12, $D$11, 100%, $F$11)</f>
        <v>6.8413164000000002</v>
      </c>
      <c r="F347" s="4">
        <f>CHOOSE( CONTROL!$C$29, 9.4972, 9.4925) * CHOOSE(CONTROL!$C$12, $D$11, 100%, $F$11)</f>
        <v>7.6357488</v>
      </c>
      <c r="G347" s="8">
        <f>CHOOSE( CONTROL!$C$29, 8.2785, 8.274) * CHOOSE( CONTROL!$C$12, $D$11, 100%, $F$11)</f>
        <v>6.6559140000000001</v>
      </c>
      <c r="H347" s="4">
        <f>CHOOSE( CONTROL!$C$29, 9.1814, 9.1768) * CHOOSE(CONTROL!$C$12, $D$11, 100%, $F$11)</f>
        <v>7.3818456000000001</v>
      </c>
      <c r="I347" s="8">
        <f>CHOOSE( CONTROL!$C$29, 8.201, 8.1965) * CHOOSE(CONTROL!$C$12, $D$11, 100%, $F$11)</f>
        <v>6.5936040000000009</v>
      </c>
      <c r="J347" s="4">
        <f>CHOOSE( CONTROL!$C$29, 8.1453, 8.1408) * CHOOSE(CONTROL!$C$12, $D$11, 100%, $F$11)</f>
        <v>6.5488212000000008</v>
      </c>
      <c r="K347" s="4"/>
      <c r="L347" s="9">
        <v>29.520499999999998</v>
      </c>
      <c r="M347" s="9">
        <v>12.063700000000001</v>
      </c>
      <c r="N347" s="9">
        <v>4.9444999999999997</v>
      </c>
      <c r="O347" s="9">
        <v>0.37459999999999999</v>
      </c>
      <c r="P347" s="9">
        <v>1.2192000000000001</v>
      </c>
      <c r="Q347" s="9">
        <v>20.5288</v>
      </c>
      <c r="R347" s="9"/>
      <c r="S347" s="11"/>
    </row>
    <row r="348" spans="1:19" ht="15.75">
      <c r="A348" s="13">
        <v>52474</v>
      </c>
      <c r="B348" s="8">
        <f>CHOOSE( CONTROL!$C$29, 7.8498, 7.8451) * CHOOSE(CONTROL!$C$12, $D$11, 100%, $F$11)</f>
        <v>6.3112392000000002</v>
      </c>
      <c r="C348" s="8">
        <f>CHOOSE( CONTROL!$C$29, 7.8602, 7.8555) * CHOOSE(CONTROL!$C$12, $D$11, 100%, $F$11)</f>
        <v>6.3196007999999999</v>
      </c>
      <c r="D348" s="8">
        <f>CHOOSE( CONTROL!$C$29, 7.8551, 7.8504) * CHOOSE( CONTROL!$C$12, $D$11, 100%, $F$11)</f>
        <v>6.3155004000000003</v>
      </c>
      <c r="E348" s="12">
        <f>CHOOSE( CONTROL!$C$29, 7.8554, 7.8507) * CHOOSE( CONTROL!$C$12, $D$11, 100%, $F$11)</f>
        <v>6.3157416000000008</v>
      </c>
      <c r="F348" s="4">
        <f>CHOOSE( CONTROL!$C$29, 8.8466, 8.8419) * CHOOSE(CONTROL!$C$12, $D$11, 100%, $F$11)</f>
        <v>7.1126664000000011</v>
      </c>
      <c r="G348" s="8">
        <f>CHOOSE( CONTROL!$C$29, 7.6414, 7.6368) * CHOOSE( CONTROL!$C$12, $D$11, 100%, $F$11)</f>
        <v>6.1436856000000004</v>
      </c>
      <c r="H348" s="4">
        <f>CHOOSE( CONTROL!$C$29, 8.5472, 8.5426) * CHOOSE(CONTROL!$C$12, $D$11, 100%, $F$11)</f>
        <v>6.8719488000000002</v>
      </c>
      <c r="I348" s="8">
        <f>CHOOSE( CONTROL!$C$29, 7.5769, 7.5724) * CHOOSE(CONTROL!$C$12, $D$11, 100%, $F$11)</f>
        <v>6.0918276000000002</v>
      </c>
      <c r="J348" s="4">
        <f>CHOOSE( CONTROL!$C$29, 7.5169, 7.5124) * CHOOSE(CONTROL!$C$12, $D$11, 100%, $F$11)</f>
        <v>6.0435876000000004</v>
      </c>
      <c r="K348" s="4"/>
      <c r="L348" s="9">
        <v>29.520499999999998</v>
      </c>
      <c r="M348" s="9">
        <v>12.063700000000001</v>
      </c>
      <c r="N348" s="9">
        <v>4.9444999999999997</v>
      </c>
      <c r="O348" s="9">
        <v>0.37459999999999999</v>
      </c>
      <c r="P348" s="9">
        <v>1.2192000000000001</v>
      </c>
      <c r="Q348" s="9">
        <v>20.5288</v>
      </c>
      <c r="R348" s="9"/>
      <c r="S348" s="11"/>
    </row>
    <row r="349" spans="1:19" ht="15.75">
      <c r="A349" s="13">
        <v>52504</v>
      </c>
      <c r="B349" s="8">
        <f>CHOOSE( CONTROL!$C$29, 7.6856, 7.6809) * CHOOSE(CONTROL!$C$12, $D$11, 100%, $F$11)</f>
        <v>6.1792224000000004</v>
      </c>
      <c r="C349" s="8">
        <f>CHOOSE( CONTROL!$C$29, 7.696, 7.6913) * CHOOSE(CONTROL!$C$12, $D$11, 100%, $F$11)</f>
        <v>6.1875840000000002</v>
      </c>
      <c r="D349" s="8">
        <f>CHOOSE( CONTROL!$C$29, 7.6867, 7.682) * CHOOSE( CONTROL!$C$12, $D$11, 100%, $F$11)</f>
        <v>6.1801068000000008</v>
      </c>
      <c r="E349" s="12">
        <f>CHOOSE( CONTROL!$C$29, 7.6885, 7.6838) * CHOOSE( CONTROL!$C$12, $D$11, 100%, $F$11)</f>
        <v>6.1815540000000002</v>
      </c>
      <c r="F349" s="4">
        <f>CHOOSE( CONTROL!$C$29, 8.6746, 8.6699) * CHOOSE(CONTROL!$C$12, $D$11, 100%, $F$11)</f>
        <v>6.9743784</v>
      </c>
      <c r="G349" s="8">
        <f>CHOOSE( CONTROL!$C$29, 7.48, 7.4754) * CHOOSE( CONTROL!$C$12, $D$11, 100%, $F$11)</f>
        <v>6.0139200000000006</v>
      </c>
      <c r="H349" s="4">
        <f>CHOOSE( CONTROL!$C$29, 8.3795, 8.3749) * CHOOSE(CONTROL!$C$12, $D$11, 100%, $F$11)</f>
        <v>6.7371180000000006</v>
      </c>
      <c r="I349" s="8">
        <f>CHOOSE( CONTROL!$C$29, 7.4208, 7.4163) * CHOOSE(CONTROL!$C$12, $D$11, 100%, $F$11)</f>
        <v>5.9663232000000006</v>
      </c>
      <c r="J349" s="4">
        <f>CHOOSE( CONTROL!$C$29, 7.3596, 7.3551) * CHOOSE(CONTROL!$C$12, $D$11, 100%, $F$11)</f>
        <v>5.9171184000000006</v>
      </c>
      <c r="K349" s="4"/>
      <c r="L349" s="9">
        <v>28.568200000000001</v>
      </c>
      <c r="M349" s="9">
        <v>11.6745</v>
      </c>
      <c r="N349" s="9">
        <v>4.7850000000000001</v>
      </c>
      <c r="O349" s="9">
        <v>0.36249999999999999</v>
      </c>
      <c r="P349" s="9">
        <v>1.1798</v>
      </c>
      <c r="Q349" s="9">
        <v>19.866599999999998</v>
      </c>
      <c r="R349" s="9"/>
      <c r="S349" s="11"/>
    </row>
    <row r="350" spans="1:19" ht="15.75">
      <c r="A350" s="13">
        <v>52535</v>
      </c>
      <c r="B350" s="8">
        <f>8.0219 * CHOOSE(CONTROL!$C$12, $D$11, 100%, $F$11)</f>
        <v>6.4496076000000011</v>
      </c>
      <c r="C350" s="8">
        <f>8.0323 * CHOOSE(CONTROL!$C$12, $D$11, 100%, $F$11)</f>
        <v>6.4579692</v>
      </c>
      <c r="D350" s="8">
        <f>8.0239 * CHOOSE( CONTROL!$C$12, $D$11, 100%, $F$11)</f>
        <v>6.4512156000000003</v>
      </c>
      <c r="E350" s="12">
        <f>8.0256 * CHOOSE( CONTROL!$C$12, $D$11, 100%, $F$11)</f>
        <v>6.4525824000000007</v>
      </c>
      <c r="F350" s="4">
        <f>9.0109 * CHOOSE(CONTROL!$C$12, $D$11, 100%, $F$11)</f>
        <v>7.2447635999999997</v>
      </c>
      <c r="G350" s="8">
        <f>7.8074 * CHOOSE( CONTROL!$C$12, $D$11, 100%, $F$11)</f>
        <v>6.2771496000000004</v>
      </c>
      <c r="H350" s="4">
        <f>8.7073 * CHOOSE(CONTROL!$C$12, $D$11, 100%, $F$11)</f>
        <v>7.0006692000000008</v>
      </c>
      <c r="I350" s="8">
        <f>7.7452 * CHOOSE(CONTROL!$C$12, $D$11, 100%, $F$11)</f>
        <v>6.2271407999999999</v>
      </c>
      <c r="J350" s="4">
        <f>7.6818 * CHOOSE(CONTROL!$C$12, $D$11, 100%, $F$11)</f>
        <v>6.1761672000000001</v>
      </c>
      <c r="K350" s="4"/>
      <c r="L350" s="9">
        <v>28.921800000000001</v>
      </c>
      <c r="M350" s="9">
        <v>12.063700000000001</v>
      </c>
      <c r="N350" s="9">
        <v>4.9444999999999997</v>
      </c>
      <c r="O350" s="9">
        <v>0.37459999999999999</v>
      </c>
      <c r="P350" s="9">
        <v>1.2192000000000001</v>
      </c>
      <c r="Q350" s="9">
        <v>20.5288</v>
      </c>
      <c r="R350" s="9"/>
      <c r="S350" s="11"/>
    </row>
    <row r="351" spans="1:19" ht="15.75">
      <c r="A351" s="13">
        <v>52565</v>
      </c>
      <c r="B351" s="8">
        <f>8.6513 * CHOOSE(CONTROL!$C$12, $D$11, 100%, $F$11)</f>
        <v>6.9556452000000011</v>
      </c>
      <c r="C351" s="8">
        <f>8.6617 * CHOOSE(CONTROL!$C$12, $D$11, 100%, $F$11)</f>
        <v>6.9640067999999999</v>
      </c>
      <c r="D351" s="8">
        <f>8.642 * CHOOSE( CONTROL!$C$12, $D$11, 100%, $F$11)</f>
        <v>6.9481679999999999</v>
      </c>
      <c r="E351" s="12">
        <f>8.6481 * CHOOSE( CONTROL!$C$12, $D$11, 100%, $F$11)</f>
        <v>6.9530723999999999</v>
      </c>
      <c r="F351" s="4">
        <f>9.6429 * CHOOSE(CONTROL!$C$12, $D$11, 100%, $F$11)</f>
        <v>7.7528915999999999</v>
      </c>
      <c r="G351" s="8">
        <f>8.44 * CHOOSE( CONTROL!$C$12, $D$11, 100%, $F$11)</f>
        <v>6.7857599999999998</v>
      </c>
      <c r="H351" s="4">
        <f>9.3234 * CHOOSE(CONTROL!$C$12, $D$11, 100%, $F$11)</f>
        <v>7.4960136000000004</v>
      </c>
      <c r="I351" s="8">
        <f>8.3788 * CHOOSE(CONTROL!$C$12, $D$11, 100%, $F$11)</f>
        <v>6.7365552000000006</v>
      </c>
      <c r="J351" s="4">
        <f>8.2849 * CHOOSE(CONTROL!$C$12, $D$11, 100%, $F$11)</f>
        <v>6.6610596000000006</v>
      </c>
      <c r="K351" s="4"/>
      <c r="L351" s="9">
        <v>26.515499999999999</v>
      </c>
      <c r="M351" s="9">
        <v>11.6745</v>
      </c>
      <c r="N351" s="9">
        <v>4.7850000000000001</v>
      </c>
      <c r="O351" s="9">
        <v>0.36249999999999999</v>
      </c>
      <c r="P351" s="9">
        <v>1.2522</v>
      </c>
      <c r="Q351" s="9">
        <v>19.866599999999998</v>
      </c>
      <c r="R351" s="9"/>
      <c r="S351" s="11"/>
    </row>
    <row r="352" spans="1:19" ht="15.75">
      <c r="A352" s="13">
        <v>52596</v>
      </c>
      <c r="B352" s="8">
        <f>8.6355 * CHOOSE(CONTROL!$C$12, $D$11, 100%, $F$11)</f>
        <v>6.9429420000000004</v>
      </c>
      <c r="C352" s="8">
        <f>8.646 * CHOOSE(CONTROL!$C$12, $D$11, 100%, $F$11)</f>
        <v>6.9513840000000009</v>
      </c>
      <c r="D352" s="8">
        <f>8.6281 * CHOOSE( CONTROL!$C$12, $D$11, 100%, $F$11)</f>
        <v>6.9369924000000003</v>
      </c>
      <c r="E352" s="12">
        <f>8.6335 * CHOOSE( CONTROL!$C$12, $D$11, 100%, $F$11)</f>
        <v>6.9413340000000003</v>
      </c>
      <c r="F352" s="4">
        <f>9.6271 * CHOOSE(CONTROL!$C$12, $D$11, 100%, $F$11)</f>
        <v>7.740188400000001</v>
      </c>
      <c r="G352" s="8">
        <f>8.4261 * CHOOSE( CONTROL!$C$12, $D$11, 100%, $F$11)</f>
        <v>6.7745844000000002</v>
      </c>
      <c r="H352" s="4">
        <f>9.308 * CHOOSE(CONTROL!$C$12, $D$11, 100%, $F$11)</f>
        <v>7.4836320000000001</v>
      </c>
      <c r="I352" s="8">
        <f>8.3706 * CHOOSE(CONTROL!$C$12, $D$11, 100%, $F$11)</f>
        <v>6.7299623999999998</v>
      </c>
      <c r="J352" s="4">
        <f>8.2698 * CHOOSE(CONTROL!$C$12, $D$11, 100%, $F$11)</f>
        <v>6.6489192000000008</v>
      </c>
      <c r="K352" s="4"/>
      <c r="L352" s="9">
        <v>27.3993</v>
      </c>
      <c r="M352" s="9">
        <v>12.063700000000001</v>
      </c>
      <c r="N352" s="9">
        <v>4.9444999999999997</v>
      </c>
      <c r="O352" s="9">
        <v>0.37459999999999999</v>
      </c>
      <c r="P352" s="9">
        <v>1.2939000000000001</v>
      </c>
      <c r="Q352" s="9">
        <v>20.5288</v>
      </c>
      <c r="R352" s="9"/>
      <c r="S352" s="11"/>
    </row>
    <row r="353" spans="1:19" ht="15.75">
      <c r="A353" s="13">
        <v>52627</v>
      </c>
      <c r="B353" s="8">
        <f>8.9654 * CHOOSE(CONTROL!$C$12, $D$11, 100%, $F$11)</f>
        <v>7.2081816000000014</v>
      </c>
      <c r="C353" s="8">
        <f>8.9758 * CHOOSE(CONTROL!$C$12, $D$11, 100%, $F$11)</f>
        <v>7.2165432000000003</v>
      </c>
      <c r="D353" s="8">
        <f>8.9735 * CHOOSE( CONTROL!$C$12, $D$11, 100%, $F$11)</f>
        <v>7.2146939999999997</v>
      </c>
      <c r="E353" s="12">
        <f>8.9732 * CHOOSE( CONTROL!$C$12, $D$11, 100%, $F$11)</f>
        <v>7.214452800000001</v>
      </c>
      <c r="F353" s="4">
        <f>9.9883 * CHOOSE(CONTROL!$C$12, $D$11, 100%, $F$11)</f>
        <v>8.0305932000000002</v>
      </c>
      <c r="G353" s="8">
        <f>8.7667 * CHOOSE( CONTROL!$C$12, $D$11, 100%, $F$11)</f>
        <v>7.0484268000000005</v>
      </c>
      <c r="H353" s="4">
        <f>9.6601 * CHOOSE(CONTROL!$C$12, $D$11, 100%, $F$11)</f>
        <v>7.7667204000000005</v>
      </c>
      <c r="I353" s="8">
        <f>8.6988 * CHOOSE(CONTROL!$C$12, $D$11, 100%, $F$11)</f>
        <v>6.9938352000000004</v>
      </c>
      <c r="J353" s="4">
        <f>8.5859 * CHOOSE(CONTROL!$C$12, $D$11, 100%, $F$11)</f>
        <v>6.9030636000000012</v>
      </c>
      <c r="K353" s="4"/>
      <c r="L353" s="9">
        <v>27.3993</v>
      </c>
      <c r="M353" s="9">
        <v>12.063700000000001</v>
      </c>
      <c r="N353" s="9">
        <v>4.9444999999999997</v>
      </c>
      <c r="O353" s="9">
        <v>0.37459999999999999</v>
      </c>
      <c r="P353" s="9">
        <v>1.2939000000000001</v>
      </c>
      <c r="Q353" s="9">
        <v>20.4619</v>
      </c>
      <c r="R353" s="9"/>
      <c r="S353" s="11"/>
    </row>
    <row r="354" spans="1:19" ht="15.75">
      <c r="A354" s="13">
        <v>52655</v>
      </c>
      <c r="B354" s="8">
        <f>8.3861 * CHOOSE(CONTROL!$C$12, $D$11, 100%, $F$11)</f>
        <v>6.7424244000000009</v>
      </c>
      <c r="C354" s="8">
        <f>8.3966 * CHOOSE(CONTROL!$C$12, $D$11, 100%, $F$11)</f>
        <v>6.7508663999999996</v>
      </c>
      <c r="D354" s="8">
        <f>8.3965 * CHOOSE( CONTROL!$C$12, $D$11, 100%, $F$11)</f>
        <v>6.7507859999999997</v>
      </c>
      <c r="E354" s="12">
        <f>8.3954 * CHOOSE( CONTROL!$C$12, $D$11, 100%, $F$11)</f>
        <v>6.7499016000000012</v>
      </c>
      <c r="F354" s="4">
        <f>9.4012 * CHOOSE(CONTROL!$C$12, $D$11, 100%, $F$11)</f>
        <v>7.5585648000000001</v>
      </c>
      <c r="G354" s="8">
        <f>8.2019 * CHOOSE( CONTROL!$C$12, $D$11, 100%, $F$11)</f>
        <v>6.5943276000000006</v>
      </c>
      <c r="H354" s="4">
        <f>9.0878 * CHOOSE(CONTROL!$C$12, $D$11, 100%, $F$11)</f>
        <v>7.3065911999999997</v>
      </c>
      <c r="I354" s="8">
        <f>8.1325 * CHOOSE(CONTROL!$C$12, $D$11, 100%, $F$11)</f>
        <v>6.5385300000000006</v>
      </c>
      <c r="J354" s="4">
        <f>8.0308 * CHOOSE(CONTROL!$C$12, $D$11, 100%, $F$11)</f>
        <v>6.4567632000000001</v>
      </c>
      <c r="K354" s="4"/>
      <c r="L354" s="9">
        <v>25.631599999999999</v>
      </c>
      <c r="M354" s="9">
        <v>11.285299999999999</v>
      </c>
      <c r="N354" s="9">
        <v>4.6254999999999997</v>
      </c>
      <c r="O354" s="9">
        <v>0.35039999999999999</v>
      </c>
      <c r="P354" s="9">
        <v>1.2104999999999999</v>
      </c>
      <c r="Q354" s="9">
        <v>19.1417</v>
      </c>
      <c r="R354" s="9"/>
      <c r="S354" s="11"/>
    </row>
    <row r="355" spans="1:19" ht="15.75">
      <c r="A355" s="13">
        <v>52687</v>
      </c>
      <c r="B355" s="8">
        <f>8.2077 * CHOOSE(CONTROL!$C$12, $D$11, 100%, $F$11)</f>
        <v>6.598990800000001</v>
      </c>
      <c r="C355" s="8">
        <f>8.2181 * CHOOSE(CONTROL!$C$12, $D$11, 100%, $F$11)</f>
        <v>6.6073523999999999</v>
      </c>
      <c r="D355" s="8">
        <f>8.198 * CHOOSE( CONTROL!$C$12, $D$11, 100%, $F$11)</f>
        <v>6.5911920000000004</v>
      </c>
      <c r="E355" s="12">
        <f>8.2042 * CHOOSE( CONTROL!$C$12, $D$11, 100%, $F$11)</f>
        <v>6.5961768000000003</v>
      </c>
      <c r="F355" s="4">
        <f>9.2066 * CHOOSE(CONTROL!$C$12, $D$11, 100%, $F$11)</f>
        <v>7.4021064000000001</v>
      </c>
      <c r="G355" s="8">
        <f>8.0075 * CHOOSE( CONTROL!$C$12, $D$11, 100%, $F$11)</f>
        <v>6.4380300000000004</v>
      </c>
      <c r="H355" s="4">
        <f>8.8981 * CHOOSE(CONTROL!$C$12, $D$11, 100%, $F$11)</f>
        <v>7.1540723999999996</v>
      </c>
      <c r="I355" s="8">
        <f>7.9219 * CHOOSE(CONTROL!$C$12, $D$11, 100%, $F$11)</f>
        <v>6.3692076000000002</v>
      </c>
      <c r="J355" s="4">
        <f>7.8599 * CHOOSE(CONTROL!$C$12, $D$11, 100%, $F$11)</f>
        <v>6.3193596000000003</v>
      </c>
      <c r="K355" s="4"/>
      <c r="L355" s="9">
        <v>27.3993</v>
      </c>
      <c r="M355" s="9">
        <v>12.063700000000001</v>
      </c>
      <c r="N355" s="9">
        <v>4.9444999999999997</v>
      </c>
      <c r="O355" s="9">
        <v>0.37459999999999999</v>
      </c>
      <c r="P355" s="9">
        <v>1.2939000000000001</v>
      </c>
      <c r="Q355" s="9">
        <v>20.4619</v>
      </c>
      <c r="R355" s="9"/>
      <c r="S355" s="11"/>
    </row>
    <row r="356" spans="1:19" ht="15.75">
      <c r="A356" s="13">
        <v>52717</v>
      </c>
      <c r="B356" s="8">
        <f>8.3324 * CHOOSE(CONTROL!$C$12, $D$11, 100%, $F$11)</f>
        <v>6.6992495999999999</v>
      </c>
      <c r="C356" s="8">
        <f>8.3428 * CHOOSE(CONTROL!$C$12, $D$11, 100%, $F$11)</f>
        <v>6.7076112000000006</v>
      </c>
      <c r="D356" s="8">
        <f>8.346 * CHOOSE( CONTROL!$C$12, $D$11, 100%, $F$11)</f>
        <v>6.7101840000000008</v>
      </c>
      <c r="E356" s="12">
        <f>8.3438 * CHOOSE( CONTROL!$C$12, $D$11, 100%, $F$11)</f>
        <v>6.7084152000000001</v>
      </c>
      <c r="F356" s="4">
        <f>9.3396 * CHOOSE(CONTROL!$C$12, $D$11, 100%, $F$11)</f>
        <v>7.5090384000000014</v>
      </c>
      <c r="G356" s="8">
        <f>8.1169 * CHOOSE( CONTROL!$C$12, $D$11, 100%, $F$11)</f>
        <v>6.5259875999999997</v>
      </c>
      <c r="H356" s="4">
        <f>9.0278 * CHOOSE(CONTROL!$C$12, $D$11, 100%, $F$11)</f>
        <v>7.2583511999999999</v>
      </c>
      <c r="I356" s="8">
        <f>8.0316 * CHOOSE(CONTROL!$C$12, $D$11, 100%, $F$11)</f>
        <v>6.4574064</v>
      </c>
      <c r="J356" s="4">
        <f>7.9793 * CHOOSE(CONTROL!$C$12, $D$11, 100%, $F$11)</f>
        <v>6.4153572000000008</v>
      </c>
      <c r="K356" s="4"/>
      <c r="L356" s="9">
        <v>27.988800000000001</v>
      </c>
      <c r="M356" s="9">
        <v>11.6745</v>
      </c>
      <c r="N356" s="9">
        <v>4.7850000000000001</v>
      </c>
      <c r="O356" s="9">
        <v>0.36249999999999999</v>
      </c>
      <c r="P356" s="9">
        <v>1.1798</v>
      </c>
      <c r="Q356" s="9">
        <v>19.8018</v>
      </c>
      <c r="R356" s="9"/>
      <c r="S356" s="11"/>
    </row>
    <row r="357" spans="1:19" ht="15.75">
      <c r="A357" s="13">
        <v>52748</v>
      </c>
      <c r="B357" s="8">
        <f>CHOOSE( CONTROL!$C$29, 8.559, 8.5543) * CHOOSE(CONTROL!$C$12, $D$11, 100%, $F$11)</f>
        <v>6.8814359999999999</v>
      </c>
      <c r="C357" s="8">
        <f>CHOOSE( CONTROL!$C$29, 8.5694, 8.5647) * CHOOSE(CONTROL!$C$12, $D$11, 100%, $F$11)</f>
        <v>6.8897976000000005</v>
      </c>
      <c r="D357" s="8">
        <f>CHOOSE( CONTROL!$C$29, 8.5474, 8.5427) * CHOOSE( CONTROL!$C$12, $D$11, 100%, $F$11)</f>
        <v>6.8721095999999999</v>
      </c>
      <c r="E357" s="12">
        <f>CHOOSE( CONTROL!$C$29, 8.5538, 8.5491) * CHOOSE( CONTROL!$C$12, $D$11, 100%, $F$11)</f>
        <v>6.8772552000000013</v>
      </c>
      <c r="F357" s="4">
        <f>CHOOSE( CONTROL!$C$29, 9.5339, 9.5292) * CHOOSE(CONTROL!$C$12, $D$11, 100%, $F$11)</f>
        <v>7.6652556000000001</v>
      </c>
      <c r="G357" s="8">
        <f>CHOOSE( CONTROL!$C$29, 8.3191, 8.3145) * CHOOSE( CONTROL!$C$12, $D$11, 100%, $F$11)</f>
        <v>6.6885564000000013</v>
      </c>
      <c r="H357" s="4">
        <f>CHOOSE( CONTROL!$C$29, 9.2171, 9.2125) * CHOOSE(CONTROL!$C$12, $D$11, 100%, $F$11)</f>
        <v>7.4105484000000006</v>
      </c>
      <c r="I357" s="8">
        <f>CHOOSE( CONTROL!$C$29, 8.2273, 8.2227) * CHOOSE(CONTROL!$C$12, $D$11, 100%, $F$11)</f>
        <v>6.6147492000000003</v>
      </c>
      <c r="J357" s="4">
        <f>CHOOSE( CONTROL!$C$29, 8.1965, 8.1919) * CHOOSE(CONTROL!$C$12, $D$11, 100%, $F$11)</f>
        <v>6.5899860000000006</v>
      </c>
      <c r="K357" s="4"/>
      <c r="L357" s="9">
        <v>29.520499999999998</v>
      </c>
      <c r="M357" s="9">
        <v>12.063700000000001</v>
      </c>
      <c r="N357" s="9">
        <v>4.9444999999999997</v>
      </c>
      <c r="O357" s="9">
        <v>0.37459999999999999</v>
      </c>
      <c r="P357" s="9">
        <v>1.2192000000000001</v>
      </c>
      <c r="Q357" s="9">
        <v>20.4619</v>
      </c>
      <c r="R357" s="9"/>
      <c r="S357" s="11"/>
    </row>
    <row r="358" spans="1:19" ht="15.75">
      <c r="A358" s="13">
        <v>52778</v>
      </c>
      <c r="B358" s="8">
        <f>CHOOSE( CONTROL!$C$29, 8.4215, 8.4168) * CHOOSE(CONTROL!$C$12, $D$11, 100%, $F$11)</f>
        <v>6.770886</v>
      </c>
      <c r="C358" s="8">
        <f>CHOOSE( CONTROL!$C$29, 8.432, 8.4273) * CHOOSE(CONTROL!$C$12, $D$11, 100%, $F$11)</f>
        <v>6.7793280000000005</v>
      </c>
      <c r="D358" s="8">
        <f>CHOOSE( CONTROL!$C$29, 8.4043, 8.3996) * CHOOSE( CONTROL!$C$12, $D$11, 100%, $F$11)</f>
        <v>6.7570572000000002</v>
      </c>
      <c r="E358" s="12">
        <f>CHOOSE( CONTROL!$C$29, 8.4127, 8.408) * CHOOSE( CONTROL!$C$12, $D$11, 100%, $F$11)</f>
        <v>6.7638107999999999</v>
      </c>
      <c r="F358" s="4">
        <f>CHOOSE( CONTROL!$C$29, 9.386, 9.3813) * CHOOSE(CONTROL!$C$12, $D$11, 100%, $F$11)</f>
        <v>7.5463439999999995</v>
      </c>
      <c r="G358" s="8">
        <f>CHOOSE( CONTROL!$C$29, 8.1839, 8.1793) * CHOOSE( CONTROL!$C$12, $D$11, 100%, $F$11)</f>
        <v>6.5798556000000001</v>
      </c>
      <c r="H358" s="4">
        <f>CHOOSE( CONTROL!$C$29, 9.0729, 9.0684) * CHOOSE(CONTROL!$C$12, $D$11, 100%, $F$11)</f>
        <v>7.2946116000000005</v>
      </c>
      <c r="I358" s="8">
        <f>CHOOSE( CONTROL!$C$29, 8.0976, 8.0931) * CHOOSE(CONTROL!$C$12, $D$11, 100%, $F$11)</f>
        <v>6.5104704</v>
      </c>
      <c r="J358" s="4">
        <f>CHOOSE( CONTROL!$C$29, 8.0647, 8.0602) * CHOOSE(CONTROL!$C$12, $D$11, 100%, $F$11)</f>
        <v>6.4840188000000003</v>
      </c>
      <c r="K358" s="4"/>
      <c r="L358" s="9">
        <v>28.568200000000001</v>
      </c>
      <c r="M358" s="9">
        <v>11.6745</v>
      </c>
      <c r="N358" s="9">
        <v>4.7850000000000001</v>
      </c>
      <c r="O358" s="9">
        <v>0.36249999999999999</v>
      </c>
      <c r="P358" s="9">
        <v>1.1798</v>
      </c>
      <c r="Q358" s="9">
        <v>19.8018</v>
      </c>
      <c r="R358" s="9"/>
      <c r="S358" s="11"/>
    </row>
    <row r="359" spans="1:19" ht="15.75">
      <c r="A359" s="13">
        <v>52809</v>
      </c>
      <c r="B359" s="8">
        <f>CHOOSE( CONTROL!$C$29, 8.7835, 8.7788) * CHOOSE(CONTROL!$C$12, $D$11, 100%, $F$11)</f>
        <v>7.0619340000000008</v>
      </c>
      <c r="C359" s="8">
        <f>CHOOSE( CONTROL!$C$29, 8.7939, 8.7892) * CHOOSE(CONTROL!$C$12, $D$11, 100%, $F$11)</f>
        <v>7.0702956000000006</v>
      </c>
      <c r="D359" s="8">
        <f>CHOOSE( CONTROL!$C$29, 8.7855, 8.7808) * CHOOSE( CONTROL!$C$12, $D$11, 100%, $F$11)</f>
        <v>7.0635420000000009</v>
      </c>
      <c r="E359" s="12">
        <f>CHOOSE( CONTROL!$C$29, 8.787, 8.7823) * CHOOSE( CONTROL!$C$12, $D$11, 100%, $F$11)</f>
        <v>7.0647480000000007</v>
      </c>
      <c r="F359" s="4">
        <f>CHOOSE( CONTROL!$C$29, 9.7751, 9.7704) * CHOOSE(CONTROL!$C$12, $D$11, 100%, $F$11)</f>
        <v>7.8591804000000005</v>
      </c>
      <c r="G359" s="8">
        <f>CHOOSE( CONTROL!$C$29, 8.5494, 8.5448) * CHOOSE( CONTROL!$C$12, $D$11, 100%, $F$11)</f>
        <v>6.8737176000000009</v>
      </c>
      <c r="H359" s="4">
        <f>CHOOSE( CONTROL!$C$29, 9.4522, 9.4476) * CHOOSE(CONTROL!$C$12, $D$11, 100%, $F$11)</f>
        <v>7.5995688000000001</v>
      </c>
      <c r="I359" s="8">
        <f>CHOOSE( CONTROL!$C$29, 8.4674, 8.4629) * CHOOSE(CONTROL!$C$12, $D$11, 100%, $F$11)</f>
        <v>6.8077896000000004</v>
      </c>
      <c r="J359" s="4">
        <f>CHOOSE( CONTROL!$C$29, 8.4116, 8.4071) * CHOOSE(CONTROL!$C$12, $D$11, 100%, $F$11)</f>
        <v>6.7629264000000004</v>
      </c>
      <c r="K359" s="4"/>
      <c r="L359" s="9">
        <v>29.520499999999998</v>
      </c>
      <c r="M359" s="9">
        <v>12.063700000000001</v>
      </c>
      <c r="N359" s="9">
        <v>4.9444999999999997</v>
      </c>
      <c r="O359" s="9">
        <v>0.37459999999999999</v>
      </c>
      <c r="P359" s="9">
        <v>1.2192000000000001</v>
      </c>
      <c r="Q359" s="9">
        <v>20.4619</v>
      </c>
      <c r="R359" s="9"/>
      <c r="S359" s="11"/>
    </row>
    <row r="360" spans="1:19" ht="15.75">
      <c r="A360" s="13">
        <v>52840</v>
      </c>
      <c r="B360" s="8">
        <f>CHOOSE( CONTROL!$C$29, 8.1062, 8.1015) * CHOOSE(CONTROL!$C$12, $D$11, 100%, $F$11)</f>
        <v>6.5173848000000003</v>
      </c>
      <c r="C360" s="8">
        <f>CHOOSE( CONTROL!$C$29, 8.1167, 8.1119) * CHOOSE(CONTROL!$C$12, $D$11, 100%, $F$11)</f>
        <v>6.5258267999999999</v>
      </c>
      <c r="D360" s="8">
        <f>CHOOSE( CONTROL!$C$29, 8.1115, 8.1068) * CHOOSE( CONTROL!$C$12, $D$11, 100%, $F$11)</f>
        <v>6.5216459999999996</v>
      </c>
      <c r="E360" s="12">
        <f>CHOOSE( CONTROL!$C$29, 8.1118, 8.1071) * CHOOSE( CONTROL!$C$12, $D$11, 100%, $F$11)</f>
        <v>6.521887200000001</v>
      </c>
      <c r="F360" s="4">
        <f>CHOOSE( CONTROL!$C$29, 9.103, 9.0983) * CHOOSE(CONTROL!$C$12, $D$11, 100%, $F$11)</f>
        <v>7.3188120000000003</v>
      </c>
      <c r="G360" s="8">
        <f>CHOOSE( CONTROL!$C$29, 7.8913, 7.8867) * CHOOSE( CONTROL!$C$12, $D$11, 100%, $F$11)</f>
        <v>6.3446052000000002</v>
      </c>
      <c r="H360" s="4">
        <f>CHOOSE( CONTROL!$C$29, 8.7971, 8.7925) * CHOOSE(CONTROL!$C$12, $D$11, 100%, $F$11)</f>
        <v>7.0728684000000008</v>
      </c>
      <c r="I360" s="8">
        <f>CHOOSE( CONTROL!$C$29, 7.8227, 7.8182) * CHOOSE(CONTROL!$C$12, $D$11, 100%, $F$11)</f>
        <v>6.2894508000000009</v>
      </c>
      <c r="J360" s="4">
        <f>CHOOSE( CONTROL!$C$29, 7.7626, 7.7581) * CHOOSE(CONTROL!$C$12, $D$11, 100%, $F$11)</f>
        <v>6.2411304000000003</v>
      </c>
      <c r="K360" s="4"/>
      <c r="L360" s="9">
        <v>29.520499999999998</v>
      </c>
      <c r="M360" s="9">
        <v>12.063700000000001</v>
      </c>
      <c r="N360" s="9">
        <v>4.9444999999999997</v>
      </c>
      <c r="O360" s="9">
        <v>0.37459999999999999</v>
      </c>
      <c r="P360" s="9">
        <v>1.2192000000000001</v>
      </c>
      <c r="Q360" s="9">
        <v>20.4619</v>
      </c>
      <c r="R360" s="9"/>
      <c r="S360" s="11"/>
    </row>
    <row r="361" spans="1:19" ht="15.75">
      <c r="A361" s="13">
        <v>52870</v>
      </c>
      <c r="B361" s="8">
        <f>CHOOSE( CONTROL!$C$29, 7.9366, 7.9319) * CHOOSE(CONTROL!$C$12, $D$11, 100%, $F$11)</f>
        <v>6.3810264000000005</v>
      </c>
      <c r="C361" s="8">
        <f>CHOOSE( CONTROL!$C$29, 7.9471, 7.9423) * CHOOSE(CONTROL!$C$12, $D$11, 100%, $F$11)</f>
        <v>6.3894684000000002</v>
      </c>
      <c r="D361" s="8">
        <f>CHOOSE( CONTROL!$C$29, 7.9377, 7.933) * CHOOSE( CONTROL!$C$12, $D$11, 100%, $F$11)</f>
        <v>6.3819108000000009</v>
      </c>
      <c r="E361" s="12">
        <f>CHOOSE( CONTROL!$C$29, 7.9395, 7.9348) * CHOOSE( CONTROL!$C$12, $D$11, 100%, $F$11)</f>
        <v>6.3833580000000003</v>
      </c>
      <c r="F361" s="4">
        <f>CHOOSE( CONTROL!$C$29, 8.9256, 8.9209) * CHOOSE(CONTROL!$C$12, $D$11, 100%, $F$11)</f>
        <v>7.1761824000000001</v>
      </c>
      <c r="G361" s="8">
        <f>CHOOSE( CONTROL!$C$29, 7.7247, 7.7201) * CHOOSE( CONTROL!$C$12, $D$11, 100%, $F$11)</f>
        <v>6.2106588000000009</v>
      </c>
      <c r="H361" s="4">
        <f>CHOOSE( CONTROL!$C$29, 8.6242, 8.6196) * CHOOSE(CONTROL!$C$12, $D$11, 100%, $F$11)</f>
        <v>6.9338568</v>
      </c>
      <c r="I361" s="8">
        <f>CHOOSE( CONTROL!$C$29, 7.6614, 7.6569) * CHOOSE(CONTROL!$C$12, $D$11, 100%, $F$11)</f>
        <v>6.159765600000001</v>
      </c>
      <c r="J361" s="4">
        <f>CHOOSE( CONTROL!$C$29, 7.6001, 7.5956) * CHOOSE(CONTROL!$C$12, $D$11, 100%, $F$11)</f>
        <v>6.110480400000001</v>
      </c>
      <c r="K361" s="4"/>
      <c r="L361" s="9">
        <v>28.568200000000001</v>
      </c>
      <c r="M361" s="9">
        <v>11.6745</v>
      </c>
      <c r="N361" s="9">
        <v>4.7850000000000001</v>
      </c>
      <c r="O361" s="9">
        <v>0.36249999999999999</v>
      </c>
      <c r="P361" s="9">
        <v>1.1798</v>
      </c>
      <c r="Q361" s="9">
        <v>19.8018</v>
      </c>
      <c r="R361" s="9"/>
      <c r="S361" s="11"/>
    </row>
    <row r="362" spans="1:19" ht="15.75">
      <c r="A362" s="13">
        <v>52901</v>
      </c>
      <c r="B362" s="8">
        <f>8.2841 * CHOOSE(CONTROL!$C$12, $D$11, 100%, $F$11)</f>
        <v>6.6604164000000008</v>
      </c>
      <c r="C362" s="8">
        <f>8.2945 * CHOOSE(CONTROL!$C$12, $D$11, 100%, $F$11)</f>
        <v>6.6687779999999997</v>
      </c>
      <c r="D362" s="8">
        <f>8.286 * CHOOSE( CONTROL!$C$12, $D$11, 100%, $F$11)</f>
        <v>6.6619440000000001</v>
      </c>
      <c r="E362" s="12">
        <f>8.2877 * CHOOSE( CONTROL!$C$12, $D$11, 100%, $F$11)</f>
        <v>6.6633107999999996</v>
      </c>
      <c r="F362" s="4">
        <f>9.273 * CHOOSE(CONTROL!$C$12, $D$11, 100%, $F$11)</f>
        <v>7.4554920000000005</v>
      </c>
      <c r="G362" s="8">
        <f>8.063 * CHOOSE( CONTROL!$C$12, $D$11, 100%, $F$11)</f>
        <v>6.4826520000000007</v>
      </c>
      <c r="H362" s="4">
        <f>8.9629 * CHOOSE(CONTROL!$C$12, $D$11, 100%, $F$11)</f>
        <v>7.2061716000000002</v>
      </c>
      <c r="I362" s="8">
        <f>7.9966 * CHOOSE(CONTROL!$C$12, $D$11, 100%, $F$11)</f>
        <v>6.4292664000000004</v>
      </c>
      <c r="J362" s="4">
        <f>7.933 * CHOOSE(CONTROL!$C$12, $D$11, 100%, $F$11)</f>
        <v>6.3781319999999999</v>
      </c>
      <c r="K362" s="4"/>
      <c r="L362" s="9">
        <v>28.921800000000001</v>
      </c>
      <c r="M362" s="9">
        <v>12.063700000000001</v>
      </c>
      <c r="N362" s="9">
        <v>4.9444999999999997</v>
      </c>
      <c r="O362" s="9">
        <v>0.37459999999999999</v>
      </c>
      <c r="P362" s="9">
        <v>1.2192000000000001</v>
      </c>
      <c r="Q362" s="9">
        <v>20.4619</v>
      </c>
      <c r="R362" s="9"/>
      <c r="S362" s="11"/>
    </row>
    <row r="363" spans="1:19" ht="15.75">
      <c r="A363" s="13">
        <v>52931</v>
      </c>
      <c r="B363" s="8">
        <f>8.934 * CHOOSE(CONTROL!$C$12, $D$11, 100%, $F$11)</f>
        <v>7.1829359999999998</v>
      </c>
      <c r="C363" s="8">
        <f>8.9445 * CHOOSE(CONTROL!$C$12, $D$11, 100%, $F$11)</f>
        <v>7.1913780000000003</v>
      </c>
      <c r="D363" s="8">
        <f>8.9247 * CHOOSE( CONTROL!$C$12, $D$11, 100%, $F$11)</f>
        <v>7.1754588000000004</v>
      </c>
      <c r="E363" s="12">
        <f>8.9308 * CHOOSE( CONTROL!$C$12, $D$11, 100%, $F$11)</f>
        <v>7.1803632000000004</v>
      </c>
      <c r="F363" s="4">
        <f>9.9256 * CHOOSE(CONTROL!$C$12, $D$11, 100%, $F$11)</f>
        <v>7.9801824000000003</v>
      </c>
      <c r="G363" s="8">
        <f>8.7156 * CHOOSE( CONTROL!$C$12, $D$11, 100%, $F$11)</f>
        <v>7.0073424000000006</v>
      </c>
      <c r="H363" s="4">
        <f>9.599 * CHOOSE(CONTROL!$C$12, $D$11, 100%, $F$11)</f>
        <v>7.7175960000000003</v>
      </c>
      <c r="I363" s="8">
        <f>8.6499 * CHOOSE(CONTROL!$C$12, $D$11, 100%, $F$11)</f>
        <v>6.9545196000000011</v>
      </c>
      <c r="J363" s="4">
        <f>8.5558 * CHOOSE(CONTROL!$C$12, $D$11, 100%, $F$11)</f>
        <v>6.8788632000000005</v>
      </c>
      <c r="K363" s="4"/>
      <c r="L363" s="9">
        <v>26.515499999999999</v>
      </c>
      <c r="M363" s="9">
        <v>11.6745</v>
      </c>
      <c r="N363" s="9">
        <v>4.7850000000000001</v>
      </c>
      <c r="O363" s="9">
        <v>0.36249999999999999</v>
      </c>
      <c r="P363" s="9">
        <v>1.2522</v>
      </c>
      <c r="Q363" s="9">
        <v>19.8018</v>
      </c>
      <c r="R363" s="9"/>
      <c r="S363" s="11"/>
    </row>
    <row r="364" spans="1:19" ht="15.75">
      <c r="A364" s="13">
        <v>52962</v>
      </c>
      <c r="B364" s="8">
        <f>8.9178 * CHOOSE(CONTROL!$C$12, $D$11, 100%, $F$11)</f>
        <v>7.1699112000000005</v>
      </c>
      <c r="C364" s="8">
        <f>8.9282 * CHOOSE(CONTROL!$C$12, $D$11, 100%, $F$11)</f>
        <v>7.1782728000000011</v>
      </c>
      <c r="D364" s="8">
        <f>8.9104 * CHOOSE( CONTROL!$C$12, $D$11, 100%, $F$11)</f>
        <v>7.1639615999999995</v>
      </c>
      <c r="E364" s="12">
        <f>8.9158 * CHOOSE( CONTROL!$C$12, $D$11, 100%, $F$11)</f>
        <v>7.1683032000000013</v>
      </c>
      <c r="F364" s="4">
        <f>9.9094 * CHOOSE(CONTROL!$C$12, $D$11, 100%, $F$11)</f>
        <v>7.9671576000000002</v>
      </c>
      <c r="G364" s="8">
        <f>8.7012 * CHOOSE( CONTROL!$C$12, $D$11, 100%, $F$11)</f>
        <v>6.9957648000000008</v>
      </c>
      <c r="H364" s="4">
        <f>9.5832 * CHOOSE(CONTROL!$C$12, $D$11, 100%, $F$11)</f>
        <v>7.7048928000000005</v>
      </c>
      <c r="I364" s="8">
        <f>8.6412 * CHOOSE(CONTROL!$C$12, $D$11, 100%, $F$11)</f>
        <v>6.9475248000000001</v>
      </c>
      <c r="J364" s="4">
        <f>8.5403 * CHOOSE(CONTROL!$C$12, $D$11, 100%, $F$11)</f>
        <v>6.8664012000000003</v>
      </c>
      <c r="K364" s="4"/>
      <c r="L364" s="9">
        <v>27.3993</v>
      </c>
      <c r="M364" s="9">
        <v>12.063700000000001</v>
      </c>
      <c r="N364" s="9">
        <v>4.9444999999999997</v>
      </c>
      <c r="O364" s="9">
        <v>0.37459999999999999</v>
      </c>
      <c r="P364" s="9">
        <v>1.2939000000000001</v>
      </c>
      <c r="Q364" s="9">
        <v>20.4619</v>
      </c>
      <c r="R364" s="9"/>
      <c r="S364" s="11"/>
    </row>
    <row r="365" spans="1:19" ht="15.75">
      <c r="A365" s="13">
        <v>52993</v>
      </c>
      <c r="B365" s="8">
        <f>9.2584 * CHOOSE(CONTROL!$C$12, $D$11, 100%, $F$11)</f>
        <v>7.4437536000000009</v>
      </c>
      <c r="C365" s="8">
        <f>9.2689 * CHOOSE(CONTROL!$C$12, $D$11, 100%, $F$11)</f>
        <v>7.4521956000000005</v>
      </c>
      <c r="D365" s="8">
        <f>9.2665 * CHOOSE( CONTROL!$C$12, $D$11, 100%, $F$11)</f>
        <v>7.4502660000000009</v>
      </c>
      <c r="E365" s="12">
        <f>9.2663 * CHOOSE( CONTROL!$C$12, $D$11, 100%, $F$11)</f>
        <v>7.4501052000000003</v>
      </c>
      <c r="F365" s="4">
        <f>10.2814 * CHOOSE(CONTROL!$C$12, $D$11, 100%, $F$11)</f>
        <v>8.2662455999999995</v>
      </c>
      <c r="G365" s="8">
        <f>9.0524 * CHOOSE( CONTROL!$C$12, $D$11, 100%, $F$11)</f>
        <v>7.2781296000000006</v>
      </c>
      <c r="H365" s="4">
        <f>9.9457 * CHOOSE(CONTROL!$C$12, $D$11, 100%, $F$11)</f>
        <v>7.9963428000000008</v>
      </c>
      <c r="I365" s="8">
        <f>8.9797 * CHOOSE(CONTROL!$C$12, $D$11, 100%, $F$11)</f>
        <v>7.2196787999999996</v>
      </c>
      <c r="J365" s="4">
        <f>8.8667 * CHOOSE(CONTROL!$C$12, $D$11, 100%, $F$11)</f>
        <v>7.1288268000000006</v>
      </c>
      <c r="K365" s="4"/>
      <c r="L365" s="9">
        <v>27.3993</v>
      </c>
      <c r="M365" s="9">
        <v>12.063700000000001</v>
      </c>
      <c r="N365" s="9">
        <v>4.9444999999999997</v>
      </c>
      <c r="O365" s="9">
        <v>0.37459999999999999</v>
      </c>
      <c r="P365" s="9">
        <v>1.2939000000000001</v>
      </c>
      <c r="Q365" s="9">
        <v>20.396799999999999</v>
      </c>
      <c r="R365" s="9"/>
      <c r="S365" s="11"/>
    </row>
    <row r="366" spans="1:19" ht="15.75">
      <c r="A366" s="13">
        <v>53021</v>
      </c>
      <c r="B366" s="8">
        <f>8.6602 * CHOOSE(CONTROL!$C$12, $D$11, 100%, $F$11)</f>
        <v>6.9628008000000001</v>
      </c>
      <c r="C366" s="8">
        <f>8.6707 * CHOOSE(CONTROL!$C$12, $D$11, 100%, $F$11)</f>
        <v>6.9712428000000006</v>
      </c>
      <c r="D366" s="8">
        <f>8.6706 * CHOOSE( CONTROL!$C$12, $D$11, 100%, $F$11)</f>
        <v>6.9711624000000008</v>
      </c>
      <c r="E366" s="12">
        <f>8.6695 * CHOOSE( CONTROL!$C$12, $D$11, 100%, $F$11)</f>
        <v>6.9702779999999995</v>
      </c>
      <c r="F366" s="4">
        <f>9.6753 * CHOOSE(CONTROL!$C$12, $D$11, 100%, $F$11)</f>
        <v>7.7789412000000002</v>
      </c>
      <c r="G366" s="8">
        <f>8.4691 * CHOOSE( CONTROL!$C$12, $D$11, 100%, $F$11)</f>
        <v>6.8091564</v>
      </c>
      <c r="H366" s="4">
        <f>9.355 * CHOOSE(CONTROL!$C$12, $D$11, 100%, $F$11)</f>
        <v>7.5214200000000009</v>
      </c>
      <c r="I366" s="8">
        <f>8.3953 * CHOOSE(CONTROL!$C$12, $D$11, 100%, $F$11)</f>
        <v>6.7498212000000013</v>
      </c>
      <c r="J366" s="4">
        <f>8.2935 * CHOOSE(CONTROL!$C$12, $D$11, 100%, $F$11)</f>
        <v>6.6679740000000001</v>
      </c>
      <c r="K366" s="4"/>
      <c r="L366" s="9">
        <v>24.747800000000002</v>
      </c>
      <c r="M366" s="9">
        <v>10.8962</v>
      </c>
      <c r="N366" s="9">
        <v>4.4660000000000002</v>
      </c>
      <c r="O366" s="9">
        <v>0.33829999999999999</v>
      </c>
      <c r="P366" s="9">
        <v>1.1687000000000001</v>
      </c>
      <c r="Q366" s="9">
        <v>18.422899999999998</v>
      </c>
      <c r="R366" s="9"/>
      <c r="S366" s="11"/>
    </row>
    <row r="367" spans="1:19" ht="15.75">
      <c r="A367" s="13">
        <v>53052</v>
      </c>
      <c r="B367" s="8">
        <f>8.476 * CHOOSE(CONTROL!$C$12, $D$11, 100%, $F$11)</f>
        <v>6.8147040000000008</v>
      </c>
      <c r="C367" s="8">
        <f>8.4864 * CHOOSE(CONTROL!$C$12, $D$11, 100%, $F$11)</f>
        <v>6.8230656000000005</v>
      </c>
      <c r="D367" s="8">
        <f>8.4662 * CHOOSE( CONTROL!$C$12, $D$11, 100%, $F$11)</f>
        <v>6.8068248000000011</v>
      </c>
      <c r="E367" s="12">
        <f>8.4725 * CHOOSE( CONTROL!$C$12, $D$11, 100%, $F$11)</f>
        <v>6.8118900000000009</v>
      </c>
      <c r="F367" s="4">
        <f>9.4749 * CHOOSE(CONTROL!$C$12, $D$11, 100%, $F$11)</f>
        <v>7.6178196000000007</v>
      </c>
      <c r="G367" s="8">
        <f>8.269 * CHOOSE( CONTROL!$C$12, $D$11, 100%, $F$11)</f>
        <v>6.6482760000000001</v>
      </c>
      <c r="H367" s="4">
        <f>9.1596 * CHOOSE(CONTROL!$C$12, $D$11, 100%, $F$11)</f>
        <v>7.3643184000000002</v>
      </c>
      <c r="I367" s="8">
        <f>8.1791 * CHOOSE(CONTROL!$C$12, $D$11, 100%, $F$11)</f>
        <v>6.5759964000000002</v>
      </c>
      <c r="J367" s="4">
        <f>8.1169 * CHOOSE(CONTROL!$C$12, $D$11, 100%, $F$11)</f>
        <v>6.5259875999999997</v>
      </c>
      <c r="K367" s="4"/>
      <c r="L367" s="9">
        <v>27.3993</v>
      </c>
      <c r="M367" s="9">
        <v>12.063700000000001</v>
      </c>
      <c r="N367" s="9">
        <v>4.9444999999999997</v>
      </c>
      <c r="O367" s="9">
        <v>0.37459999999999999</v>
      </c>
      <c r="P367" s="9">
        <v>1.2939000000000001</v>
      </c>
      <c r="Q367" s="9">
        <v>20.396799999999999</v>
      </c>
      <c r="R367" s="9"/>
      <c r="S367" s="11"/>
    </row>
    <row r="368" spans="1:19" ht="15.75">
      <c r="A368" s="13">
        <v>53082</v>
      </c>
      <c r="B368" s="8">
        <f>8.6047 * CHOOSE(CONTROL!$C$12, $D$11, 100%, $F$11)</f>
        <v>6.9181787999999997</v>
      </c>
      <c r="C368" s="8">
        <f>8.6152 * CHOOSE(CONTROL!$C$12, $D$11, 100%, $F$11)</f>
        <v>6.9266208000000002</v>
      </c>
      <c r="D368" s="8">
        <f>8.6184 * CHOOSE( CONTROL!$C$12, $D$11, 100%, $F$11)</f>
        <v>6.9291935999999996</v>
      </c>
      <c r="E368" s="12">
        <f>8.6161 * CHOOSE( CONTROL!$C$12, $D$11, 100%, $F$11)</f>
        <v>6.9273444</v>
      </c>
      <c r="F368" s="4">
        <f>9.612 * CHOOSE(CONTROL!$C$12, $D$11, 100%, $F$11)</f>
        <v>7.7280480000000003</v>
      </c>
      <c r="G368" s="8">
        <f>8.3824 * CHOOSE( CONTROL!$C$12, $D$11, 100%, $F$11)</f>
        <v>6.7394496000000013</v>
      </c>
      <c r="H368" s="4">
        <f>9.2932 * CHOOSE(CONTROL!$C$12, $D$11, 100%, $F$11)</f>
        <v>7.4717328000000007</v>
      </c>
      <c r="I368" s="8">
        <f>8.2926 * CHOOSE(CONTROL!$C$12, $D$11, 100%, $F$11)</f>
        <v>6.6672504000000004</v>
      </c>
      <c r="J368" s="4">
        <f>8.2403 * CHOOSE(CONTROL!$C$12, $D$11, 100%, $F$11)</f>
        <v>6.6252012000000002</v>
      </c>
      <c r="K368" s="4"/>
      <c r="L368" s="9">
        <v>27.988800000000001</v>
      </c>
      <c r="M368" s="9">
        <v>11.6745</v>
      </c>
      <c r="N368" s="9">
        <v>4.7850000000000001</v>
      </c>
      <c r="O368" s="9">
        <v>0.36249999999999999</v>
      </c>
      <c r="P368" s="9">
        <v>1.1798</v>
      </c>
      <c r="Q368" s="9">
        <v>19.738800000000001</v>
      </c>
      <c r="R368" s="9"/>
      <c r="S368" s="11"/>
    </row>
    <row r="369" spans="1:19" ht="15.75">
      <c r="A369" s="13">
        <v>53113</v>
      </c>
      <c r="B369" s="8">
        <f>CHOOSE( CONTROL!$C$29, 8.8386, 8.8339) * CHOOSE(CONTROL!$C$12, $D$11, 100%, $F$11)</f>
        <v>7.1062344</v>
      </c>
      <c r="C369" s="8">
        <f>CHOOSE( CONTROL!$C$29, 8.849, 8.8443) * CHOOSE(CONTROL!$C$12, $D$11, 100%, $F$11)</f>
        <v>7.1145960000000006</v>
      </c>
      <c r="D369" s="8">
        <f>CHOOSE( CONTROL!$C$29, 8.827, 8.8223) * CHOOSE( CONTROL!$C$12, $D$11, 100%, $F$11)</f>
        <v>7.096908</v>
      </c>
      <c r="E369" s="12">
        <f>CHOOSE( CONTROL!$C$29, 8.8334, 8.8287) * CHOOSE( CONTROL!$C$12, $D$11, 100%, $F$11)</f>
        <v>7.1020535999999996</v>
      </c>
      <c r="F369" s="4">
        <f>CHOOSE( CONTROL!$C$29, 9.8135, 9.8088) * CHOOSE(CONTROL!$C$12, $D$11, 100%, $F$11)</f>
        <v>7.8900540000000001</v>
      </c>
      <c r="G369" s="8">
        <f>CHOOSE( CONTROL!$C$29, 8.5916, 8.5871) * CHOOSE( CONTROL!$C$12, $D$11, 100%, $F$11)</f>
        <v>6.9076464</v>
      </c>
      <c r="H369" s="4">
        <f>CHOOSE( CONTROL!$C$29, 9.4896, 9.4851) * CHOOSE(CONTROL!$C$12, $D$11, 100%, $F$11)</f>
        <v>7.6296384000000002</v>
      </c>
      <c r="I369" s="8">
        <f>CHOOSE( CONTROL!$C$29, 8.4953, 8.4908) * CHOOSE(CONTROL!$C$12, $D$11, 100%, $F$11)</f>
        <v>6.8302212000000004</v>
      </c>
      <c r="J369" s="4">
        <f>CHOOSE( CONTROL!$C$29, 8.4644, 8.4599) * CHOOSE(CONTROL!$C$12, $D$11, 100%, $F$11)</f>
        <v>6.8053775999999999</v>
      </c>
      <c r="K369" s="4"/>
      <c r="L369" s="9">
        <v>29.520499999999998</v>
      </c>
      <c r="M369" s="9">
        <v>12.063700000000001</v>
      </c>
      <c r="N369" s="9">
        <v>4.9444999999999997</v>
      </c>
      <c r="O369" s="9">
        <v>0.37459999999999999</v>
      </c>
      <c r="P369" s="9">
        <v>1.2192000000000001</v>
      </c>
      <c r="Q369" s="9">
        <v>20.396799999999999</v>
      </c>
      <c r="R369" s="9"/>
      <c r="S369" s="11"/>
    </row>
    <row r="370" spans="1:19" ht="15.75">
      <c r="A370" s="13">
        <v>53143</v>
      </c>
      <c r="B370" s="8">
        <f>CHOOSE( CONTROL!$C$29, 8.6966, 8.6919) * CHOOSE(CONTROL!$C$12, $D$11, 100%, $F$11)</f>
        <v>6.9920664000000006</v>
      </c>
      <c r="C370" s="8">
        <f>CHOOSE( CONTROL!$C$29, 8.7071, 8.7024) * CHOOSE(CONTROL!$C$12, $D$11, 100%, $F$11)</f>
        <v>7.0005084000000011</v>
      </c>
      <c r="D370" s="8">
        <f>CHOOSE( CONTROL!$C$29, 8.6794, 8.6747) * CHOOSE( CONTROL!$C$12, $D$11, 100%, $F$11)</f>
        <v>6.9782375999999999</v>
      </c>
      <c r="E370" s="12">
        <f>CHOOSE( CONTROL!$C$29, 8.6878, 8.6831) * CHOOSE( CONTROL!$C$12, $D$11, 100%, $F$11)</f>
        <v>6.9849911999999996</v>
      </c>
      <c r="F370" s="4">
        <f>CHOOSE( CONTROL!$C$29, 9.6611, 9.6564) * CHOOSE(CONTROL!$C$12, $D$11, 100%, $F$11)</f>
        <v>7.7675244000000001</v>
      </c>
      <c r="G370" s="8">
        <f>CHOOSE( CONTROL!$C$29, 8.452, 8.4474) * CHOOSE( CONTROL!$C$12, $D$11, 100%, $F$11)</f>
        <v>6.7954080000000001</v>
      </c>
      <c r="H370" s="4">
        <f>CHOOSE( CONTROL!$C$29, 9.3411, 9.3365) * CHOOSE(CONTROL!$C$12, $D$11, 100%, $F$11)</f>
        <v>7.5102444000000013</v>
      </c>
      <c r="I370" s="8">
        <f>CHOOSE( CONTROL!$C$29, 8.3614, 8.3569) * CHOOSE(CONTROL!$C$12, $D$11, 100%, $F$11)</f>
        <v>6.7225656000000003</v>
      </c>
      <c r="J370" s="4">
        <f>CHOOSE( CONTROL!$C$29, 8.3283, 8.3238) * CHOOSE(CONTROL!$C$12, $D$11, 100%, $F$11)</f>
        <v>6.6959532000000008</v>
      </c>
      <c r="K370" s="4"/>
      <c r="L370" s="9">
        <v>28.568200000000001</v>
      </c>
      <c r="M370" s="9">
        <v>11.6745</v>
      </c>
      <c r="N370" s="9">
        <v>4.7850000000000001</v>
      </c>
      <c r="O370" s="9">
        <v>0.36249999999999999</v>
      </c>
      <c r="P370" s="9">
        <v>1.1798</v>
      </c>
      <c r="Q370" s="9">
        <v>19.738800000000001</v>
      </c>
      <c r="R370" s="9"/>
      <c r="S370" s="11"/>
    </row>
    <row r="371" spans="1:19" ht="15.75">
      <c r="A371" s="13">
        <v>53174</v>
      </c>
      <c r="B371" s="8">
        <f>CHOOSE( CONTROL!$C$29, 9.0704, 9.0657) * CHOOSE(CONTROL!$C$12, $D$11, 100%, $F$11)</f>
        <v>7.2926016000000002</v>
      </c>
      <c r="C371" s="8">
        <f>CHOOSE( CONTROL!$C$29, 9.0809, 9.0762) * CHOOSE(CONTROL!$C$12, $D$11, 100%, $F$11)</f>
        <v>7.3010435999999999</v>
      </c>
      <c r="D371" s="8">
        <f>CHOOSE( CONTROL!$C$29, 9.0724, 9.0677) * CHOOSE( CONTROL!$C$12, $D$11, 100%, $F$11)</f>
        <v>7.2942096000000003</v>
      </c>
      <c r="E371" s="12">
        <f>CHOOSE( CONTROL!$C$29, 9.0739, 9.0692) * CHOOSE( CONTROL!$C$12, $D$11, 100%, $F$11)</f>
        <v>7.2954156000000001</v>
      </c>
      <c r="F371" s="4">
        <f>CHOOSE( CONTROL!$C$29, 10.062, 10.0573) * CHOOSE(CONTROL!$C$12, $D$11, 100%, $F$11)</f>
        <v>8.0898479999999999</v>
      </c>
      <c r="G371" s="8">
        <f>CHOOSE( CONTROL!$C$29, 8.8291, 8.8245) * CHOOSE( CONTROL!$C$12, $D$11, 100%, $F$11)</f>
        <v>7.0985964000000008</v>
      </c>
      <c r="H371" s="4">
        <f>CHOOSE( CONTROL!$C$29, 9.7319, 9.7273) * CHOOSE(CONTROL!$C$12, $D$11, 100%, $F$11)</f>
        <v>7.8244476000000001</v>
      </c>
      <c r="I371" s="8">
        <f>CHOOSE( CONTROL!$C$29, 8.7425, 8.738) * CHOOSE(CONTROL!$C$12, $D$11, 100%, $F$11)</f>
        <v>7.0289700000000002</v>
      </c>
      <c r="J371" s="4">
        <f>CHOOSE( CONTROL!$C$29, 8.6865, 8.682) * CHOOSE(CONTROL!$C$12, $D$11, 100%, $F$11)</f>
        <v>6.9839460000000004</v>
      </c>
      <c r="K371" s="4"/>
      <c r="L371" s="9">
        <v>29.520499999999998</v>
      </c>
      <c r="M371" s="9">
        <v>12.063700000000001</v>
      </c>
      <c r="N371" s="9">
        <v>4.9444999999999997</v>
      </c>
      <c r="O371" s="9">
        <v>0.37459999999999999</v>
      </c>
      <c r="P371" s="9">
        <v>1.2192000000000001</v>
      </c>
      <c r="Q371" s="9">
        <v>20.396799999999999</v>
      </c>
      <c r="R371" s="9"/>
      <c r="S371" s="11"/>
    </row>
    <row r="372" spans="1:19" ht="15.75">
      <c r="A372" s="13">
        <v>53205</v>
      </c>
      <c r="B372" s="8">
        <f>CHOOSE( CONTROL!$C$29, 8.371, 8.3663) * CHOOSE(CONTROL!$C$12, $D$11, 100%, $F$11)</f>
        <v>6.730284000000001</v>
      </c>
      <c r="C372" s="8">
        <f>CHOOSE( CONTROL!$C$29, 8.3814, 8.3767) * CHOOSE(CONTROL!$C$12, $D$11, 100%, $F$11)</f>
        <v>6.7386455999999999</v>
      </c>
      <c r="D372" s="8">
        <f>CHOOSE( CONTROL!$C$29, 8.3763, 8.3716) * CHOOSE( CONTROL!$C$12, $D$11, 100%, $F$11)</f>
        <v>6.7345452000000012</v>
      </c>
      <c r="E372" s="12">
        <f>CHOOSE( CONTROL!$C$29, 8.3766, 8.3719) * CHOOSE( CONTROL!$C$12, $D$11, 100%, $F$11)</f>
        <v>6.7347864</v>
      </c>
      <c r="F372" s="4">
        <f>CHOOSE( CONTROL!$C$29, 9.3678, 9.3631) * CHOOSE(CONTROL!$C$12, $D$11, 100%, $F$11)</f>
        <v>7.531711200000001</v>
      </c>
      <c r="G372" s="8">
        <f>CHOOSE( CONTROL!$C$29, 8.1494, 8.1448) * CHOOSE( CONTROL!$C$12, $D$11, 100%, $F$11)</f>
        <v>6.5521176000000008</v>
      </c>
      <c r="H372" s="4">
        <f>CHOOSE( CONTROL!$C$29, 9.0552, 9.0507) * CHOOSE(CONTROL!$C$12, $D$11, 100%, $F$11)</f>
        <v>7.2803807999999997</v>
      </c>
      <c r="I372" s="8">
        <f>CHOOSE( CONTROL!$C$29, 8.0766, 8.0721) * CHOOSE(CONTROL!$C$12, $D$11, 100%, $F$11)</f>
        <v>6.4935863999999999</v>
      </c>
      <c r="J372" s="4">
        <f>CHOOSE( CONTROL!$C$29, 8.0163, 8.0118) * CHOOSE(CONTROL!$C$12, $D$11, 100%, $F$11)</f>
        <v>6.4451051999999995</v>
      </c>
      <c r="K372" s="4"/>
      <c r="L372" s="9">
        <v>29.520499999999998</v>
      </c>
      <c r="M372" s="9">
        <v>12.063700000000001</v>
      </c>
      <c r="N372" s="9">
        <v>4.9444999999999997</v>
      </c>
      <c r="O372" s="9">
        <v>0.37459999999999999</v>
      </c>
      <c r="P372" s="9">
        <v>1.2192000000000001</v>
      </c>
      <c r="Q372" s="9">
        <v>20.396799999999999</v>
      </c>
      <c r="R372" s="9"/>
      <c r="S372" s="11"/>
    </row>
    <row r="373" spans="1:19" ht="15.75">
      <c r="A373" s="13">
        <v>53235</v>
      </c>
      <c r="B373" s="8">
        <f>CHOOSE( CONTROL!$C$29, 8.1959, 8.1912) * CHOOSE(CONTROL!$C$12, $D$11, 100%, $F$11)</f>
        <v>6.5895036000000005</v>
      </c>
      <c r="C373" s="8">
        <f>CHOOSE( CONTROL!$C$29, 8.2063, 8.2016) * CHOOSE(CONTROL!$C$12, $D$11, 100%, $F$11)</f>
        <v>6.5978652000000011</v>
      </c>
      <c r="D373" s="8">
        <f>CHOOSE( CONTROL!$C$29, 8.197, 8.1923) * CHOOSE( CONTROL!$C$12, $D$11, 100%, $F$11)</f>
        <v>6.5903879999999999</v>
      </c>
      <c r="E373" s="12">
        <f>CHOOSE( CONTROL!$C$29, 8.1988, 8.1941) * CHOOSE( CONTROL!$C$12, $D$11, 100%, $F$11)</f>
        <v>6.5918352000000002</v>
      </c>
      <c r="F373" s="4">
        <f>CHOOSE( CONTROL!$C$29, 9.1848, 9.1801) * CHOOSE(CONTROL!$C$12, $D$11, 100%, $F$11)</f>
        <v>7.3845792000000001</v>
      </c>
      <c r="G373" s="8">
        <f>CHOOSE( CONTROL!$C$29, 7.9774, 7.9728) * CHOOSE( CONTROL!$C$12, $D$11, 100%, $F$11)</f>
        <v>6.4138296000000006</v>
      </c>
      <c r="H373" s="4">
        <f>CHOOSE( CONTROL!$C$29, 8.8769, 8.8723) * CHOOSE(CONTROL!$C$12, $D$11, 100%, $F$11)</f>
        <v>7.1370275999999997</v>
      </c>
      <c r="I373" s="8">
        <f>CHOOSE( CONTROL!$C$29, 7.91, 7.9055) * CHOOSE(CONTROL!$C$12, $D$11, 100%, $F$11)</f>
        <v>6.3596400000000006</v>
      </c>
      <c r="J373" s="4">
        <f>CHOOSE( CONTROL!$C$29, 7.8485, 7.844) * CHOOSE(CONTROL!$C$12, $D$11, 100%, $F$11)</f>
        <v>6.3101940000000001</v>
      </c>
      <c r="K373" s="4"/>
      <c r="L373" s="9">
        <v>28.568200000000001</v>
      </c>
      <c r="M373" s="9">
        <v>11.6745</v>
      </c>
      <c r="N373" s="9">
        <v>4.7850000000000001</v>
      </c>
      <c r="O373" s="9">
        <v>0.36249999999999999</v>
      </c>
      <c r="P373" s="9">
        <v>1.1798</v>
      </c>
      <c r="Q373" s="9">
        <v>19.738800000000001</v>
      </c>
      <c r="R373" s="9"/>
      <c r="S373" s="11"/>
    </row>
    <row r="374" spans="1:19" ht="15.75">
      <c r="A374" s="13">
        <v>53266</v>
      </c>
      <c r="B374" s="8">
        <f>8.5548 * CHOOSE(CONTROL!$C$12, $D$11, 100%, $F$11)</f>
        <v>6.8780592000000009</v>
      </c>
      <c r="C374" s="8">
        <f>8.5652 * CHOOSE(CONTROL!$C$12, $D$11, 100%, $F$11)</f>
        <v>6.8864208000000007</v>
      </c>
      <c r="D374" s="8">
        <f>8.5568 * CHOOSE( CONTROL!$C$12, $D$11, 100%, $F$11)</f>
        <v>6.879667200000001</v>
      </c>
      <c r="E374" s="12">
        <f>8.5585 * CHOOSE( CONTROL!$C$12, $D$11, 100%, $F$11)</f>
        <v>6.8810340000000005</v>
      </c>
      <c r="F374" s="4">
        <f>9.5438 * CHOOSE(CONTROL!$C$12, $D$11, 100%, $F$11)</f>
        <v>7.6732151999999996</v>
      </c>
      <c r="G374" s="8">
        <f>8.3269 * CHOOSE( CONTROL!$C$12, $D$11, 100%, $F$11)</f>
        <v>6.6948276000000009</v>
      </c>
      <c r="H374" s="4">
        <f>9.2268 * CHOOSE(CONTROL!$C$12, $D$11, 100%, $F$11)</f>
        <v>7.4183472000000013</v>
      </c>
      <c r="I374" s="8">
        <f>8.2561 * CHOOSE(CONTROL!$C$12, $D$11, 100%, $F$11)</f>
        <v>6.6379044</v>
      </c>
      <c r="J374" s="4">
        <f>8.1925 * CHOOSE(CONTROL!$C$12, $D$11, 100%, $F$11)</f>
        <v>6.5867700000000013</v>
      </c>
      <c r="K374" s="4"/>
      <c r="L374" s="9">
        <v>28.921800000000001</v>
      </c>
      <c r="M374" s="9">
        <v>12.063700000000001</v>
      </c>
      <c r="N374" s="9">
        <v>4.9444999999999997</v>
      </c>
      <c r="O374" s="9">
        <v>0.37459999999999999</v>
      </c>
      <c r="P374" s="9">
        <v>1.2192000000000001</v>
      </c>
      <c r="Q374" s="9">
        <v>20.396799999999999</v>
      </c>
      <c r="R374" s="9"/>
      <c r="S374" s="11"/>
    </row>
    <row r="375" spans="1:19" ht="15.75">
      <c r="A375" s="13">
        <v>53296</v>
      </c>
      <c r="B375" s="8">
        <f>9.2261 * CHOOSE(CONTROL!$C$12, $D$11, 100%, $F$11)</f>
        <v>7.4177844000000013</v>
      </c>
      <c r="C375" s="8">
        <f>9.2365 * CHOOSE(CONTROL!$C$12, $D$11, 100%, $F$11)</f>
        <v>7.4261460000000001</v>
      </c>
      <c r="D375" s="8">
        <f>9.2168 * CHOOSE( CONTROL!$C$12, $D$11, 100%, $F$11)</f>
        <v>7.4103072000000001</v>
      </c>
      <c r="E375" s="12">
        <f>9.2229 * CHOOSE( CONTROL!$C$12, $D$11, 100%, $F$11)</f>
        <v>7.4152116000000001</v>
      </c>
      <c r="F375" s="4">
        <f>10.2177 * CHOOSE(CONTROL!$C$12, $D$11, 100%, $F$11)</f>
        <v>8.215030800000001</v>
      </c>
      <c r="G375" s="8">
        <f>9.0003 * CHOOSE( CONTROL!$C$12, $D$11, 100%, $F$11)</f>
        <v>7.2362412000000003</v>
      </c>
      <c r="H375" s="4">
        <f>9.8836 * CHOOSE(CONTROL!$C$12, $D$11, 100%, $F$11)</f>
        <v>7.9464144000000001</v>
      </c>
      <c r="I375" s="8">
        <f>8.9299 * CHOOSE(CONTROL!$C$12, $D$11, 100%, $F$11)</f>
        <v>7.1796396000000007</v>
      </c>
      <c r="J375" s="4">
        <f>8.8356 * CHOOSE(CONTROL!$C$12, $D$11, 100%, $F$11)</f>
        <v>7.1038224000000003</v>
      </c>
      <c r="K375" s="4"/>
      <c r="L375" s="9">
        <v>26.515499999999999</v>
      </c>
      <c r="M375" s="9">
        <v>11.6745</v>
      </c>
      <c r="N375" s="9">
        <v>4.7850000000000001</v>
      </c>
      <c r="O375" s="9">
        <v>0.36249999999999999</v>
      </c>
      <c r="P375" s="9">
        <v>1.2522</v>
      </c>
      <c r="Q375" s="9">
        <v>19.738800000000001</v>
      </c>
      <c r="R375" s="9"/>
      <c r="S375" s="11"/>
    </row>
    <row r="376" spans="1:19" ht="15.75">
      <c r="A376" s="13">
        <v>53327</v>
      </c>
      <c r="B376" s="8">
        <f>9.2093 * CHOOSE(CONTROL!$C$12, $D$11, 100%, $F$11)</f>
        <v>7.404277200000001</v>
      </c>
      <c r="C376" s="8">
        <f>9.2197 * CHOOSE(CONTROL!$C$12, $D$11, 100%, $F$11)</f>
        <v>7.4126387999999999</v>
      </c>
      <c r="D376" s="8">
        <f>9.2019 * CHOOSE( CONTROL!$C$12, $D$11, 100%, $F$11)</f>
        <v>7.3983276000000009</v>
      </c>
      <c r="E376" s="12">
        <f>9.2073 * CHOOSE( CONTROL!$C$12, $D$11, 100%, $F$11)</f>
        <v>7.4026692000000001</v>
      </c>
      <c r="F376" s="4">
        <f>10.2009 * CHOOSE(CONTROL!$C$12, $D$11, 100%, $F$11)</f>
        <v>8.2015236000000016</v>
      </c>
      <c r="G376" s="8">
        <f>8.9854 * CHOOSE( CONTROL!$C$12, $D$11, 100%, $F$11)</f>
        <v>7.2242616000000011</v>
      </c>
      <c r="H376" s="4">
        <f>9.8673 * CHOOSE(CONTROL!$C$12, $D$11, 100%, $F$11)</f>
        <v>7.9333092000000009</v>
      </c>
      <c r="I376" s="8">
        <f>8.9206 * CHOOSE(CONTROL!$C$12, $D$11, 100%, $F$11)</f>
        <v>7.1721624000000004</v>
      </c>
      <c r="J376" s="4">
        <f>8.8196 * CHOOSE(CONTROL!$C$12, $D$11, 100%, $F$11)</f>
        <v>7.0909583999999999</v>
      </c>
      <c r="K376" s="4"/>
      <c r="L376" s="9">
        <v>27.3993</v>
      </c>
      <c r="M376" s="9">
        <v>12.063700000000001</v>
      </c>
      <c r="N376" s="9">
        <v>4.9444999999999997</v>
      </c>
      <c r="O376" s="9">
        <v>0.37459999999999999</v>
      </c>
      <c r="P376" s="9">
        <v>1.2939000000000001</v>
      </c>
      <c r="Q376" s="9">
        <v>20.396799999999999</v>
      </c>
      <c r="R376" s="9"/>
      <c r="S376" s="11"/>
    </row>
    <row r="377" spans="1:19" ht="15.75">
      <c r="A377" s="13">
        <v>53358</v>
      </c>
      <c r="B377" s="8">
        <f>9.5611 * CHOOSE(CONTROL!$C$12, $D$11, 100%, $F$11)</f>
        <v>7.6871244000000001</v>
      </c>
      <c r="C377" s="8">
        <f>9.5715 * CHOOSE(CONTROL!$C$12, $D$11, 100%, $F$11)</f>
        <v>7.6954860000000007</v>
      </c>
      <c r="D377" s="8">
        <f>9.5692 * CHOOSE( CONTROL!$C$12, $D$11, 100%, $F$11)</f>
        <v>7.6936368000000011</v>
      </c>
      <c r="E377" s="12">
        <f>9.5689 * CHOOSE( CONTROL!$C$12, $D$11, 100%, $F$11)</f>
        <v>7.6933955999999997</v>
      </c>
      <c r="F377" s="4">
        <f>10.584 * CHOOSE(CONTROL!$C$12, $D$11, 100%, $F$11)</f>
        <v>8.5095360000000007</v>
      </c>
      <c r="G377" s="8">
        <f>9.3473 * CHOOSE( CONTROL!$C$12, $D$11, 100%, $F$11)</f>
        <v>7.5152292000000012</v>
      </c>
      <c r="H377" s="4">
        <f>10.2407 * CHOOSE(CONTROL!$C$12, $D$11, 100%, $F$11)</f>
        <v>8.2335228000000011</v>
      </c>
      <c r="I377" s="8">
        <f>9.2698 * CHOOSE(CONTROL!$C$12, $D$11, 100%, $F$11)</f>
        <v>7.4529192000000002</v>
      </c>
      <c r="J377" s="4">
        <f>9.1567 * CHOOSE(CONTROL!$C$12, $D$11, 100%, $F$11)</f>
        <v>7.3619868000000013</v>
      </c>
      <c r="K377" s="4"/>
      <c r="L377" s="9">
        <v>27.3993</v>
      </c>
      <c r="M377" s="9">
        <v>12.063700000000001</v>
      </c>
      <c r="N377" s="9">
        <v>4.9444999999999997</v>
      </c>
      <c r="O377" s="9">
        <v>0.37459999999999999</v>
      </c>
      <c r="P377" s="9">
        <v>1.2939000000000001</v>
      </c>
      <c r="Q377" s="9">
        <v>20.331700000000001</v>
      </c>
      <c r="R377" s="9"/>
      <c r="S377" s="11"/>
    </row>
    <row r="378" spans="1:19" ht="15.75">
      <c r="A378" s="13">
        <v>53386</v>
      </c>
      <c r="B378" s="8">
        <f>8.9433 * CHOOSE(CONTROL!$C$12, $D$11, 100%, $F$11)</f>
        <v>7.1904132000000009</v>
      </c>
      <c r="C378" s="8">
        <f>8.9537 * CHOOSE(CONTROL!$C$12, $D$11, 100%, $F$11)</f>
        <v>7.1987747999999998</v>
      </c>
      <c r="D378" s="8">
        <f>8.9537 * CHOOSE( CONTROL!$C$12, $D$11, 100%, $F$11)</f>
        <v>7.1987747999999998</v>
      </c>
      <c r="E378" s="12">
        <f>8.9526 * CHOOSE( CONTROL!$C$12, $D$11, 100%, $F$11)</f>
        <v>7.1978904000000004</v>
      </c>
      <c r="F378" s="4">
        <f>9.9584 * CHOOSE(CONTROL!$C$12, $D$11, 100%, $F$11)</f>
        <v>8.0065536000000002</v>
      </c>
      <c r="G378" s="8">
        <f>8.745 * CHOOSE( CONTROL!$C$12, $D$11, 100%, $F$11)</f>
        <v>7.0309799999999996</v>
      </c>
      <c r="H378" s="4">
        <f>9.6309 * CHOOSE(CONTROL!$C$12, $D$11, 100%, $F$11)</f>
        <v>7.7432436000000004</v>
      </c>
      <c r="I378" s="8">
        <f>8.6666 * CHOOSE(CONTROL!$C$12, $D$11, 100%, $F$11)</f>
        <v>6.9679464000000007</v>
      </c>
      <c r="J378" s="4">
        <f>8.5647 * CHOOSE(CONTROL!$C$12, $D$11, 100%, $F$11)</f>
        <v>6.8860188000000004</v>
      </c>
      <c r="K378" s="4"/>
      <c r="L378" s="9">
        <v>24.747800000000002</v>
      </c>
      <c r="M378" s="9">
        <v>10.8962</v>
      </c>
      <c r="N378" s="9">
        <v>4.4660000000000002</v>
      </c>
      <c r="O378" s="9">
        <v>0.33829999999999999</v>
      </c>
      <c r="P378" s="9">
        <v>1.1687000000000001</v>
      </c>
      <c r="Q378" s="9">
        <v>18.364100000000001</v>
      </c>
      <c r="R378" s="9"/>
      <c r="S378" s="11"/>
    </row>
    <row r="379" spans="1:19" ht="15.75">
      <c r="A379" s="13">
        <v>53417</v>
      </c>
      <c r="B379" s="8">
        <f>8.753 * CHOOSE(CONTROL!$C$12, $D$11, 100%, $F$11)</f>
        <v>7.0374120000000007</v>
      </c>
      <c r="C379" s="8">
        <f>8.7634 * CHOOSE(CONTROL!$C$12, $D$11, 100%, $F$11)</f>
        <v>7.0457736000000013</v>
      </c>
      <c r="D379" s="8">
        <f>8.7433 * CHOOSE( CONTROL!$C$12, $D$11, 100%, $F$11)</f>
        <v>7.0296132</v>
      </c>
      <c r="E379" s="12">
        <f>8.7495 * CHOOSE( CONTROL!$C$12, $D$11, 100%, $F$11)</f>
        <v>7.0345979999999999</v>
      </c>
      <c r="F379" s="4">
        <f>9.7519 * CHOOSE(CONTROL!$C$12, $D$11, 100%, $F$11)</f>
        <v>7.8405275999999997</v>
      </c>
      <c r="G379" s="8">
        <f>8.539 * CHOOSE( CONTROL!$C$12, $D$11, 100%, $F$11)</f>
        <v>6.8653560000000002</v>
      </c>
      <c r="H379" s="4">
        <f>9.4296 * CHOOSE(CONTROL!$C$12, $D$11, 100%, $F$11)</f>
        <v>7.5813984000000012</v>
      </c>
      <c r="I379" s="8">
        <f>8.4447 * CHOOSE(CONTROL!$C$12, $D$11, 100%, $F$11)</f>
        <v>6.7895387999999999</v>
      </c>
      <c r="J379" s="4">
        <f>8.3824 * CHOOSE(CONTROL!$C$12, $D$11, 100%, $F$11)</f>
        <v>6.7394496000000013</v>
      </c>
      <c r="K379" s="4"/>
      <c r="L379" s="9">
        <v>27.3993</v>
      </c>
      <c r="M379" s="9">
        <v>12.063700000000001</v>
      </c>
      <c r="N379" s="9">
        <v>4.9444999999999997</v>
      </c>
      <c r="O379" s="9">
        <v>0.37459999999999999</v>
      </c>
      <c r="P379" s="9">
        <v>1.2939000000000001</v>
      </c>
      <c r="Q379" s="9">
        <v>20.331700000000001</v>
      </c>
      <c r="R379" s="9"/>
      <c r="S379" s="11"/>
    </row>
    <row r="380" spans="1:19" ht="15.75">
      <c r="A380" s="13">
        <v>53447</v>
      </c>
      <c r="B380" s="8">
        <f>8.886 * CHOOSE(CONTROL!$C$12, $D$11, 100%, $F$11)</f>
        <v>7.1443440000000002</v>
      </c>
      <c r="C380" s="8">
        <f>8.8964 * CHOOSE(CONTROL!$C$12, $D$11, 100%, $F$11)</f>
        <v>7.1527056</v>
      </c>
      <c r="D380" s="8">
        <f>8.8996 * CHOOSE( CONTROL!$C$12, $D$11, 100%, $F$11)</f>
        <v>7.1552784000000003</v>
      </c>
      <c r="E380" s="12">
        <f>8.8974 * CHOOSE( CONTROL!$C$12, $D$11, 100%, $F$11)</f>
        <v>7.1535095999999996</v>
      </c>
      <c r="F380" s="4">
        <f>9.8932 * CHOOSE(CONTROL!$C$12, $D$11, 100%, $F$11)</f>
        <v>7.9541328000000009</v>
      </c>
      <c r="G380" s="8">
        <f>8.6565 * CHOOSE( CONTROL!$C$12, $D$11, 100%, $F$11)</f>
        <v>6.9598259999999996</v>
      </c>
      <c r="H380" s="4">
        <f>9.5674 * CHOOSE(CONTROL!$C$12, $D$11, 100%, $F$11)</f>
        <v>7.6921895999999998</v>
      </c>
      <c r="I380" s="8">
        <f>8.5623 * CHOOSE(CONTROL!$C$12, $D$11, 100%, $F$11)</f>
        <v>6.8840892000000009</v>
      </c>
      <c r="J380" s="4">
        <f>8.5098 * CHOOSE(CONTROL!$C$12, $D$11, 100%, $F$11)</f>
        <v>6.841879200000001</v>
      </c>
      <c r="K380" s="4"/>
      <c r="L380" s="9">
        <v>27.988800000000001</v>
      </c>
      <c r="M380" s="9">
        <v>11.6745</v>
      </c>
      <c r="N380" s="9">
        <v>4.7850000000000001</v>
      </c>
      <c r="O380" s="9">
        <v>0.36249999999999999</v>
      </c>
      <c r="P380" s="9">
        <v>1.1798</v>
      </c>
      <c r="Q380" s="9">
        <v>19.675799999999999</v>
      </c>
      <c r="R380" s="9"/>
      <c r="S380" s="11"/>
    </row>
    <row r="381" spans="1:19" ht="15.75">
      <c r="A381" s="13">
        <v>53478</v>
      </c>
      <c r="B381" s="8">
        <f>CHOOSE( CONTROL!$C$29, 9.1273, 9.1226) * CHOOSE(CONTROL!$C$12, $D$11, 100%, $F$11)</f>
        <v>7.3383492000000006</v>
      </c>
      <c r="C381" s="8">
        <f>CHOOSE( CONTROL!$C$29, 9.1377, 9.133) * CHOOSE(CONTROL!$C$12, $D$11, 100%, $F$11)</f>
        <v>7.3467108000000012</v>
      </c>
      <c r="D381" s="8">
        <f>CHOOSE( CONTROL!$C$29, 9.1157, 9.111) * CHOOSE( CONTROL!$C$12, $D$11, 100%, $F$11)</f>
        <v>7.3290228000000006</v>
      </c>
      <c r="E381" s="12">
        <f>CHOOSE( CONTROL!$C$29, 9.1221, 9.1174) * CHOOSE( CONTROL!$C$12, $D$11, 100%, $F$11)</f>
        <v>7.3341684000000003</v>
      </c>
      <c r="F381" s="4">
        <f>CHOOSE( CONTROL!$C$29, 10.1022, 10.0975) * CHOOSE(CONTROL!$C$12, $D$11, 100%, $F$11)</f>
        <v>8.1221688000000007</v>
      </c>
      <c r="G381" s="8">
        <f>CHOOSE( CONTROL!$C$29, 8.8731, 8.8685) * CHOOSE( CONTROL!$C$12, $D$11, 100%, $F$11)</f>
        <v>7.1339724000000011</v>
      </c>
      <c r="H381" s="4">
        <f>CHOOSE( CONTROL!$C$29, 9.7711, 9.7665) * CHOOSE(CONTROL!$C$12, $D$11, 100%, $F$11)</f>
        <v>7.8559644000000013</v>
      </c>
      <c r="I381" s="8">
        <f>CHOOSE( CONTROL!$C$29, 8.7721, 8.7676) * CHOOSE(CONTROL!$C$12, $D$11, 100%, $F$11)</f>
        <v>7.0527684000000006</v>
      </c>
      <c r="J381" s="4">
        <f>CHOOSE( CONTROL!$C$29, 8.741, 8.7365) * CHOOSE(CONTROL!$C$12, $D$11, 100%, $F$11)</f>
        <v>7.0277640000000003</v>
      </c>
      <c r="K381" s="4"/>
      <c r="L381" s="9">
        <v>29.520499999999998</v>
      </c>
      <c r="M381" s="9">
        <v>12.063700000000001</v>
      </c>
      <c r="N381" s="9">
        <v>4.9444999999999997</v>
      </c>
      <c r="O381" s="9">
        <v>0.37459999999999999</v>
      </c>
      <c r="P381" s="9">
        <v>1.2192000000000001</v>
      </c>
      <c r="Q381" s="9">
        <v>20.331700000000001</v>
      </c>
      <c r="R381" s="9"/>
      <c r="S381" s="11"/>
    </row>
    <row r="382" spans="1:19" ht="15.75">
      <c r="A382" s="13">
        <v>53508</v>
      </c>
      <c r="B382" s="8">
        <f>CHOOSE( CONTROL!$C$29, 8.9807, 8.976) * CHOOSE(CONTROL!$C$12, $D$11, 100%, $F$11)</f>
        <v>7.220482800000001</v>
      </c>
      <c r="C382" s="8">
        <f>CHOOSE( CONTROL!$C$29, 8.9912, 8.9865) * CHOOSE(CONTROL!$C$12, $D$11, 100%, $F$11)</f>
        <v>7.2289247999999997</v>
      </c>
      <c r="D382" s="8">
        <f>CHOOSE( CONTROL!$C$29, 8.9635, 8.9588) * CHOOSE( CONTROL!$C$12, $D$11, 100%, $F$11)</f>
        <v>7.2066540000000003</v>
      </c>
      <c r="E382" s="12">
        <f>CHOOSE( CONTROL!$C$29, 8.9719, 8.9672) * CHOOSE( CONTROL!$C$12, $D$11, 100%, $F$11)</f>
        <v>7.2134076</v>
      </c>
      <c r="F382" s="4">
        <f>CHOOSE( CONTROL!$C$29, 9.9452, 9.9405) * CHOOSE(CONTROL!$C$12, $D$11, 100%, $F$11)</f>
        <v>7.9959408000000005</v>
      </c>
      <c r="G382" s="8">
        <f>CHOOSE( CONTROL!$C$29, 8.7289, 8.7244) * CHOOSE( CONTROL!$C$12, $D$11, 100%, $F$11)</f>
        <v>7.0180356000000002</v>
      </c>
      <c r="H382" s="4">
        <f>CHOOSE( CONTROL!$C$29, 9.618, 9.6135) * CHOOSE(CONTROL!$C$12, $D$11, 100%, $F$11)</f>
        <v>7.7328720000000004</v>
      </c>
      <c r="I382" s="8">
        <f>CHOOSE( CONTROL!$C$29, 8.6337, 8.6292) * CHOOSE(CONTROL!$C$12, $D$11, 100%, $F$11)</f>
        <v>6.9414948000000001</v>
      </c>
      <c r="J382" s="4">
        <f>CHOOSE( CONTROL!$C$29, 8.6006, 8.5961) * CHOOSE(CONTROL!$C$12, $D$11, 100%, $F$11)</f>
        <v>6.9148824000000007</v>
      </c>
      <c r="K382" s="4"/>
      <c r="L382" s="9">
        <v>28.568200000000001</v>
      </c>
      <c r="M382" s="9">
        <v>11.6745</v>
      </c>
      <c r="N382" s="9">
        <v>4.7850000000000001</v>
      </c>
      <c r="O382" s="9">
        <v>0.36249999999999999</v>
      </c>
      <c r="P382" s="9">
        <v>1.1798</v>
      </c>
      <c r="Q382" s="9">
        <v>19.675799999999999</v>
      </c>
      <c r="R382" s="9"/>
      <c r="S382" s="11"/>
    </row>
    <row r="383" spans="1:19" ht="15.75">
      <c r="A383" s="13">
        <v>53539</v>
      </c>
      <c r="B383" s="8">
        <f>CHOOSE( CONTROL!$C$29, 9.3667, 9.362) * CHOOSE(CONTROL!$C$12, $D$11, 100%, $F$11)</f>
        <v>7.5308268000000007</v>
      </c>
      <c r="C383" s="8">
        <f>CHOOSE( CONTROL!$C$29, 9.3772, 9.3725) * CHOOSE(CONTROL!$C$12, $D$11, 100%, $F$11)</f>
        <v>7.5392688000000003</v>
      </c>
      <c r="D383" s="8">
        <f>CHOOSE( CONTROL!$C$29, 9.3687, 9.364) * CHOOSE( CONTROL!$C$12, $D$11, 100%, $F$11)</f>
        <v>7.5324348000000008</v>
      </c>
      <c r="E383" s="12">
        <f>CHOOSE( CONTROL!$C$29, 9.3702, 9.3655) * CHOOSE( CONTROL!$C$12, $D$11, 100%, $F$11)</f>
        <v>7.5336408000000006</v>
      </c>
      <c r="F383" s="4">
        <f>CHOOSE( CONTROL!$C$29, 10.3583, 10.3536) * CHOOSE(CONTROL!$C$12, $D$11, 100%, $F$11)</f>
        <v>8.3280732000000004</v>
      </c>
      <c r="G383" s="8">
        <f>CHOOSE( CONTROL!$C$29, 9.1179, 9.1133) * CHOOSE( CONTROL!$C$12, $D$11, 100%, $F$11)</f>
        <v>7.3307916000000013</v>
      </c>
      <c r="H383" s="4">
        <f>CHOOSE( CONTROL!$C$29, 10.0208, 10.0162) * CHOOSE(CONTROL!$C$12, $D$11, 100%, $F$11)</f>
        <v>8.0567232000000004</v>
      </c>
      <c r="I383" s="8">
        <f>CHOOSE( CONTROL!$C$29, 9.0265, 9.022) * CHOOSE(CONTROL!$C$12, $D$11, 100%, $F$11)</f>
        <v>7.2573060000000007</v>
      </c>
      <c r="J383" s="4">
        <f>CHOOSE( CONTROL!$C$29, 8.9705, 8.966) * CHOOSE(CONTROL!$C$12, $D$11, 100%, $F$11)</f>
        <v>7.2122820000000001</v>
      </c>
      <c r="K383" s="4"/>
      <c r="L383" s="9">
        <v>29.520499999999998</v>
      </c>
      <c r="M383" s="9">
        <v>12.063700000000001</v>
      </c>
      <c r="N383" s="9">
        <v>4.9444999999999997</v>
      </c>
      <c r="O383" s="9">
        <v>0.37459999999999999</v>
      </c>
      <c r="P383" s="9">
        <v>1.2192000000000001</v>
      </c>
      <c r="Q383" s="9">
        <v>20.331700000000001</v>
      </c>
      <c r="R383" s="9"/>
      <c r="S383" s="11"/>
    </row>
    <row r="384" spans="1:19" ht="15.75">
      <c r="A384" s="13">
        <v>53570</v>
      </c>
      <c r="B384" s="8">
        <f>CHOOSE( CONTROL!$C$29, 8.6444, 8.6397) * CHOOSE(CONTROL!$C$12, $D$11, 100%, $F$11)</f>
        <v>6.9500975999999994</v>
      </c>
      <c r="C384" s="8">
        <f>CHOOSE( CONTROL!$C$29, 8.6549, 8.6502) * CHOOSE(CONTROL!$C$12, $D$11, 100%, $F$11)</f>
        <v>6.9585395999999999</v>
      </c>
      <c r="D384" s="8">
        <f>CHOOSE( CONTROL!$C$29, 8.6498, 8.6451) * CHOOSE( CONTROL!$C$12, $D$11, 100%, $F$11)</f>
        <v>6.9544392000000013</v>
      </c>
      <c r="E384" s="12">
        <f>CHOOSE( CONTROL!$C$29, 8.65, 8.6453) * CHOOSE( CONTROL!$C$12, $D$11, 100%, $F$11)</f>
        <v>6.954600000000001</v>
      </c>
      <c r="F384" s="4">
        <f>CHOOSE( CONTROL!$C$29, 9.6413, 9.6366) * CHOOSE(CONTROL!$C$12, $D$11, 100%, $F$11)</f>
        <v>7.7516052000000002</v>
      </c>
      <c r="G384" s="8">
        <f>CHOOSE( CONTROL!$C$29, 8.416, 8.4114) * CHOOSE( CONTROL!$C$12, $D$11, 100%, $F$11)</f>
        <v>6.7664640000000009</v>
      </c>
      <c r="H384" s="4">
        <f>CHOOSE( CONTROL!$C$29, 9.3218, 9.3172) * CHOOSE(CONTROL!$C$12, $D$11, 100%, $F$11)</f>
        <v>7.4947271999999998</v>
      </c>
      <c r="I384" s="8">
        <f>CHOOSE( CONTROL!$C$29, 8.3387, 8.3342) * CHOOSE(CONTROL!$C$12, $D$11, 100%, $F$11)</f>
        <v>6.7043147999999997</v>
      </c>
      <c r="J384" s="4">
        <f>CHOOSE( CONTROL!$C$29, 8.2784, 8.2738) * CHOOSE(CONTROL!$C$12, $D$11, 100%, $F$11)</f>
        <v>6.6558336000000002</v>
      </c>
      <c r="K384" s="4"/>
      <c r="L384" s="9">
        <v>29.520499999999998</v>
      </c>
      <c r="M384" s="9">
        <v>12.063700000000001</v>
      </c>
      <c r="N384" s="9">
        <v>4.9444999999999997</v>
      </c>
      <c r="O384" s="9">
        <v>0.37459999999999999</v>
      </c>
      <c r="P384" s="9">
        <v>1.2192000000000001</v>
      </c>
      <c r="Q384" s="9">
        <v>20.331700000000001</v>
      </c>
      <c r="R384" s="9"/>
      <c r="S384" s="11"/>
    </row>
    <row r="385" spans="1:19" ht="15.75">
      <c r="A385" s="13">
        <v>53600</v>
      </c>
      <c r="B385" s="8">
        <f>CHOOSE( CONTROL!$C$29, 8.4636, 8.4589) * CHOOSE(CONTROL!$C$12, $D$11, 100%, $F$11)</f>
        <v>6.8047344000000001</v>
      </c>
      <c r="C385" s="8">
        <f>CHOOSE( CONTROL!$C$29, 8.474, 8.4693) * CHOOSE(CONTROL!$C$12, $D$11, 100%, $F$11)</f>
        <v>6.8130960000000007</v>
      </c>
      <c r="D385" s="8">
        <f>CHOOSE( CONTROL!$C$29, 8.4647, 8.46) * CHOOSE( CONTROL!$C$12, $D$11, 100%, $F$11)</f>
        <v>6.8056188000000004</v>
      </c>
      <c r="E385" s="12">
        <f>CHOOSE( CONTROL!$C$29, 8.4665, 8.4618) * CHOOSE( CONTROL!$C$12, $D$11, 100%, $F$11)</f>
        <v>6.8070660000000007</v>
      </c>
      <c r="F385" s="4">
        <f>CHOOSE( CONTROL!$C$29, 9.4526, 9.4479) * CHOOSE(CONTROL!$C$12, $D$11, 100%, $F$11)</f>
        <v>7.5998904000000005</v>
      </c>
      <c r="G385" s="8">
        <f>CHOOSE( CONTROL!$C$29, 8.2384, 8.2338) * CHOOSE( CONTROL!$C$12, $D$11, 100%, $F$11)</f>
        <v>6.6236736000000009</v>
      </c>
      <c r="H385" s="4">
        <f>CHOOSE( CONTROL!$C$29, 9.1378, 9.1333) * CHOOSE(CONTROL!$C$12, $D$11, 100%, $F$11)</f>
        <v>7.3467912000000011</v>
      </c>
      <c r="I385" s="8">
        <f>CHOOSE( CONTROL!$C$29, 8.1666, 8.1621) * CHOOSE(CONTROL!$C$12, $D$11, 100%, $F$11)</f>
        <v>6.5659464000000014</v>
      </c>
      <c r="J385" s="4">
        <f>CHOOSE( CONTROL!$C$29, 8.105, 8.1005) * CHOOSE(CONTROL!$C$12, $D$11, 100%, $F$11)</f>
        <v>6.516420000000001</v>
      </c>
      <c r="K385" s="4"/>
      <c r="L385" s="9">
        <v>28.568200000000001</v>
      </c>
      <c r="M385" s="9">
        <v>11.6745</v>
      </c>
      <c r="N385" s="9">
        <v>4.7850000000000001</v>
      </c>
      <c r="O385" s="9">
        <v>0.36249999999999999</v>
      </c>
      <c r="P385" s="9">
        <v>1.1798</v>
      </c>
      <c r="Q385" s="9">
        <v>19.675799999999999</v>
      </c>
      <c r="R385" s="9"/>
      <c r="S385" s="11"/>
    </row>
    <row r="386" spans="1:19" ht="15.75">
      <c r="A386" s="13">
        <v>53631</v>
      </c>
      <c r="B386" s="8">
        <f>8.8344 * CHOOSE(CONTROL!$C$12, $D$11, 100%, $F$11)</f>
        <v>7.102857600000001</v>
      </c>
      <c r="C386" s="8">
        <f>8.8449 * CHOOSE(CONTROL!$C$12, $D$11, 100%, $F$11)</f>
        <v>7.1112996000000015</v>
      </c>
      <c r="D386" s="8">
        <f>8.8364 * CHOOSE( CONTROL!$C$12, $D$11, 100%, $F$11)</f>
        <v>7.1044656000000002</v>
      </c>
      <c r="E386" s="12">
        <f>8.8381 * CHOOSE( CONTROL!$C$12, $D$11, 100%, $F$11)</f>
        <v>7.1058324000000006</v>
      </c>
      <c r="F386" s="4">
        <f>9.8234 * CHOOSE(CONTROL!$C$12, $D$11, 100%, $F$11)</f>
        <v>7.8980135999999996</v>
      </c>
      <c r="G386" s="8">
        <f>8.5995 * CHOOSE( CONTROL!$C$12, $D$11, 100%, $F$11)</f>
        <v>6.9139980000000012</v>
      </c>
      <c r="H386" s="4">
        <f>9.4993 * CHOOSE(CONTROL!$C$12, $D$11, 100%, $F$11)</f>
        <v>7.6374371999999999</v>
      </c>
      <c r="I386" s="8">
        <f>8.5242 * CHOOSE(CONTROL!$C$12, $D$11, 100%, $F$11)</f>
        <v>6.8534568000000009</v>
      </c>
      <c r="J386" s="4">
        <f>8.4604 * CHOOSE(CONTROL!$C$12, $D$11, 100%, $F$11)</f>
        <v>6.8021616000000007</v>
      </c>
      <c r="K386" s="4"/>
      <c r="L386" s="9">
        <v>28.921800000000001</v>
      </c>
      <c r="M386" s="9">
        <v>12.063700000000001</v>
      </c>
      <c r="N386" s="9">
        <v>4.9444999999999997</v>
      </c>
      <c r="O386" s="9">
        <v>0.37459999999999999</v>
      </c>
      <c r="P386" s="9">
        <v>1.2192000000000001</v>
      </c>
      <c r="Q386" s="9">
        <v>20.331700000000001</v>
      </c>
      <c r="R386" s="9"/>
      <c r="S386" s="11"/>
    </row>
    <row r="387" spans="1:19" ht="15.75">
      <c r="A387" s="13">
        <v>53661</v>
      </c>
      <c r="B387" s="8">
        <f>9.5276 * CHOOSE(CONTROL!$C$12, $D$11, 100%, $F$11)</f>
        <v>7.6601904000000003</v>
      </c>
      <c r="C387" s="8">
        <f>9.5381 * CHOOSE(CONTROL!$C$12, $D$11, 100%, $F$11)</f>
        <v>7.6686324000000008</v>
      </c>
      <c r="D387" s="8">
        <f>9.5183 * CHOOSE( CONTROL!$C$12, $D$11, 100%, $F$11)</f>
        <v>7.6527132000000009</v>
      </c>
      <c r="E387" s="12">
        <f>9.5244 * CHOOSE( CONTROL!$C$12, $D$11, 100%, $F$11)</f>
        <v>7.6576176</v>
      </c>
      <c r="F387" s="4">
        <f>10.5192 * CHOOSE(CONTROL!$C$12, $D$11, 100%, $F$11)</f>
        <v>8.4574368</v>
      </c>
      <c r="G387" s="8">
        <f>9.2942 * CHOOSE( CONTROL!$C$12, $D$11, 100%, $F$11)</f>
        <v>7.4725368000000003</v>
      </c>
      <c r="H387" s="4">
        <f>10.1776 * CHOOSE(CONTROL!$C$12, $D$11, 100%, $F$11)</f>
        <v>8.1827904</v>
      </c>
      <c r="I387" s="8">
        <f>9.219 * CHOOSE(CONTROL!$C$12, $D$11, 100%, $F$11)</f>
        <v>7.4120759999999999</v>
      </c>
      <c r="J387" s="4">
        <f>9.1246 * CHOOSE(CONTROL!$C$12, $D$11, 100%, $F$11)</f>
        <v>7.3361783999999997</v>
      </c>
      <c r="K387" s="4"/>
      <c r="L387" s="9">
        <v>26.515499999999999</v>
      </c>
      <c r="M387" s="9">
        <v>11.6745</v>
      </c>
      <c r="N387" s="9">
        <v>4.7850000000000001</v>
      </c>
      <c r="O387" s="9">
        <v>0.36249999999999999</v>
      </c>
      <c r="P387" s="9">
        <v>1.2522</v>
      </c>
      <c r="Q387" s="9">
        <v>19.675799999999999</v>
      </c>
      <c r="R387" s="9"/>
      <c r="S387" s="11"/>
    </row>
    <row r="388" spans="1:19" ht="15.75">
      <c r="A388" s="13">
        <v>53692</v>
      </c>
      <c r="B388" s="8">
        <f>9.5103 * CHOOSE(CONTROL!$C$12, $D$11, 100%, $F$11)</f>
        <v>7.6462812000000016</v>
      </c>
      <c r="C388" s="8">
        <f>9.5207 * CHOOSE(CONTROL!$C$12, $D$11, 100%, $F$11)</f>
        <v>7.6546428000000004</v>
      </c>
      <c r="D388" s="8">
        <f>9.5029 * CHOOSE( CONTROL!$C$12, $D$11, 100%, $F$11)</f>
        <v>7.6403316000000006</v>
      </c>
      <c r="E388" s="12">
        <f>9.5083 * CHOOSE( CONTROL!$C$12, $D$11, 100%, $F$11)</f>
        <v>7.6446732000000006</v>
      </c>
      <c r="F388" s="4">
        <f>10.5019 * CHOOSE(CONTROL!$C$12, $D$11, 100%, $F$11)</f>
        <v>8.4435275999999995</v>
      </c>
      <c r="G388" s="8">
        <f>9.2788 * CHOOSE( CONTROL!$C$12, $D$11, 100%, $F$11)</f>
        <v>7.4601552000000009</v>
      </c>
      <c r="H388" s="4">
        <f>10.1607 * CHOOSE(CONTROL!$C$12, $D$11, 100%, $F$11)</f>
        <v>8.1692028000000008</v>
      </c>
      <c r="I388" s="8">
        <f>9.2092 * CHOOSE(CONTROL!$C$12, $D$11, 100%, $F$11)</f>
        <v>7.4041967999999994</v>
      </c>
      <c r="J388" s="4">
        <f>9.108 * CHOOSE(CONTROL!$C$12, $D$11, 100%, $F$11)</f>
        <v>7.3228320000000009</v>
      </c>
      <c r="K388" s="4"/>
      <c r="L388" s="9">
        <v>27.3993</v>
      </c>
      <c r="M388" s="9">
        <v>12.063700000000001</v>
      </c>
      <c r="N388" s="9">
        <v>4.9444999999999997</v>
      </c>
      <c r="O388" s="9">
        <v>0.37459999999999999</v>
      </c>
      <c r="P388" s="9">
        <v>1.2939000000000001</v>
      </c>
      <c r="Q388" s="9">
        <v>20.331700000000001</v>
      </c>
      <c r="R388" s="9"/>
      <c r="S388" s="11"/>
    </row>
    <row r="389" spans="1:19" ht="15.75">
      <c r="A389" s="13">
        <v>53723</v>
      </c>
      <c r="B389" s="8">
        <f>9.8736 * CHOOSE(CONTROL!$C$12, $D$11, 100%, $F$11)</f>
        <v>7.9383743999999998</v>
      </c>
      <c r="C389" s="8">
        <f>9.884 * CHOOSE(CONTROL!$C$12, $D$11, 100%, $F$11)</f>
        <v>7.9467360000000005</v>
      </c>
      <c r="D389" s="8">
        <f>9.8817 * CHOOSE( CONTROL!$C$12, $D$11, 100%, $F$11)</f>
        <v>7.9448868000000008</v>
      </c>
      <c r="E389" s="12">
        <f>9.8814 * CHOOSE( CONTROL!$C$12, $D$11, 100%, $F$11)</f>
        <v>7.9446456000000003</v>
      </c>
      <c r="F389" s="4">
        <f>10.8965 * CHOOSE(CONTROL!$C$12, $D$11, 100%, $F$11)</f>
        <v>8.7607859999999995</v>
      </c>
      <c r="G389" s="8">
        <f>9.652 * CHOOSE( CONTROL!$C$12, $D$11, 100%, $F$11)</f>
        <v>7.7602079999999996</v>
      </c>
      <c r="H389" s="4">
        <f>10.5453 * CHOOSE(CONTROL!$C$12, $D$11, 100%, $F$11)</f>
        <v>8.4784211999999997</v>
      </c>
      <c r="I389" s="8">
        <f>9.5694 * CHOOSE(CONTROL!$C$12, $D$11, 100%, $F$11)</f>
        <v>7.6937976000000008</v>
      </c>
      <c r="J389" s="4">
        <f>9.4561 * CHOOSE(CONTROL!$C$12, $D$11, 100%, $F$11)</f>
        <v>7.6027043999999995</v>
      </c>
      <c r="K389" s="4"/>
      <c r="L389" s="9">
        <v>27.3993</v>
      </c>
      <c r="M389" s="9">
        <v>12.063700000000001</v>
      </c>
      <c r="N389" s="9">
        <v>4.9444999999999997</v>
      </c>
      <c r="O389" s="9">
        <v>0.37459999999999999</v>
      </c>
      <c r="P389" s="9">
        <v>1.2939000000000001</v>
      </c>
      <c r="Q389" s="9">
        <v>20.2666</v>
      </c>
      <c r="R389" s="9"/>
      <c r="S389" s="11"/>
    </row>
    <row r="390" spans="1:19" ht="15.75">
      <c r="A390" s="13">
        <v>53751</v>
      </c>
      <c r="B390" s="8">
        <f>9.2356 * CHOOSE(CONTROL!$C$12, $D$11, 100%, $F$11)</f>
        <v>7.4254224000000004</v>
      </c>
      <c r="C390" s="8">
        <f>9.246 * CHOOSE(CONTROL!$C$12, $D$11, 100%, $F$11)</f>
        <v>7.4337840000000011</v>
      </c>
      <c r="D390" s="8">
        <f>9.246 * CHOOSE( CONTROL!$C$12, $D$11, 100%, $F$11)</f>
        <v>7.4337840000000011</v>
      </c>
      <c r="E390" s="12">
        <f>9.2449 * CHOOSE( CONTROL!$C$12, $D$11, 100%, $F$11)</f>
        <v>7.4328995999999998</v>
      </c>
      <c r="F390" s="4">
        <f>10.2507 * CHOOSE(CONTROL!$C$12, $D$11, 100%, $F$11)</f>
        <v>8.2415628000000005</v>
      </c>
      <c r="G390" s="8">
        <f>9.0299 * CHOOSE( CONTROL!$C$12, $D$11, 100%, $F$11)</f>
        <v>7.2600395999999998</v>
      </c>
      <c r="H390" s="4">
        <f>9.9158 * CHOOSE(CONTROL!$C$12, $D$11, 100%, $F$11)</f>
        <v>7.9723032000000016</v>
      </c>
      <c r="I390" s="8">
        <f>8.9469 * CHOOSE(CONTROL!$C$12, $D$11, 100%, $F$11)</f>
        <v>7.1933075999999998</v>
      </c>
      <c r="J390" s="4">
        <f>8.8448 * CHOOSE(CONTROL!$C$12, $D$11, 100%, $F$11)</f>
        <v>7.1112191999999999</v>
      </c>
      <c r="K390" s="4"/>
      <c r="L390" s="9">
        <v>24.747800000000002</v>
      </c>
      <c r="M390" s="9">
        <v>10.8962</v>
      </c>
      <c r="N390" s="9">
        <v>4.4660000000000002</v>
      </c>
      <c r="O390" s="9">
        <v>0.33829999999999999</v>
      </c>
      <c r="P390" s="9">
        <v>1.1687000000000001</v>
      </c>
      <c r="Q390" s="9">
        <v>18.305299999999999</v>
      </c>
      <c r="R390" s="9"/>
      <c r="S390" s="11"/>
    </row>
    <row r="391" spans="1:19" ht="15.75">
      <c r="A391" s="13">
        <v>53782</v>
      </c>
      <c r="B391" s="8">
        <f>9.0391 * CHOOSE(CONTROL!$C$12, $D$11, 100%, $F$11)</f>
        <v>7.2674364000000002</v>
      </c>
      <c r="C391" s="8">
        <f>9.0495 * CHOOSE(CONTROL!$C$12, $D$11, 100%, $F$11)</f>
        <v>7.2757980000000009</v>
      </c>
      <c r="D391" s="8">
        <f>9.0294 * CHOOSE( CONTROL!$C$12, $D$11, 100%, $F$11)</f>
        <v>7.2596376000000014</v>
      </c>
      <c r="E391" s="12">
        <f>9.0356 * CHOOSE( CONTROL!$C$12, $D$11, 100%, $F$11)</f>
        <v>7.2646224000000013</v>
      </c>
      <c r="F391" s="4">
        <f>10.038 * CHOOSE(CONTROL!$C$12, $D$11, 100%, $F$11)</f>
        <v>8.0705520000000011</v>
      </c>
      <c r="G391" s="8">
        <f>8.8179 * CHOOSE( CONTROL!$C$12, $D$11, 100%, $F$11)</f>
        <v>7.0895916000000003</v>
      </c>
      <c r="H391" s="4">
        <f>9.7085 * CHOOSE(CONTROL!$C$12, $D$11, 100%, $F$11)</f>
        <v>7.8056340000000013</v>
      </c>
      <c r="I391" s="8">
        <f>8.719 * CHOOSE(CONTROL!$C$12, $D$11, 100%, $F$11)</f>
        <v>7.0100759999999998</v>
      </c>
      <c r="J391" s="4">
        <f>8.6565 * CHOOSE(CONTROL!$C$12, $D$11, 100%, $F$11)</f>
        <v>6.9598259999999996</v>
      </c>
      <c r="K391" s="4"/>
      <c r="L391" s="9">
        <v>27.3993</v>
      </c>
      <c r="M391" s="9">
        <v>12.063700000000001</v>
      </c>
      <c r="N391" s="9">
        <v>4.9444999999999997</v>
      </c>
      <c r="O391" s="9">
        <v>0.37459999999999999</v>
      </c>
      <c r="P391" s="9">
        <v>1.2939000000000001</v>
      </c>
      <c r="Q391" s="9">
        <v>20.2666</v>
      </c>
      <c r="R391" s="9"/>
      <c r="S391" s="11"/>
    </row>
    <row r="392" spans="1:19" ht="15.75">
      <c r="A392" s="13">
        <v>53812</v>
      </c>
      <c r="B392" s="8">
        <f>9.1764 * CHOOSE(CONTROL!$C$12, $D$11, 100%, $F$11)</f>
        <v>7.3778255999999995</v>
      </c>
      <c r="C392" s="8">
        <f>9.1868 * CHOOSE(CONTROL!$C$12, $D$11, 100%, $F$11)</f>
        <v>7.3861872000000002</v>
      </c>
      <c r="D392" s="8">
        <f>9.19 * CHOOSE( CONTROL!$C$12, $D$11, 100%, $F$11)</f>
        <v>7.3887600000000004</v>
      </c>
      <c r="E392" s="12">
        <f>9.1878 * CHOOSE( CONTROL!$C$12, $D$11, 100%, $F$11)</f>
        <v>7.3869911999999998</v>
      </c>
      <c r="F392" s="4">
        <f>10.1837 * CHOOSE(CONTROL!$C$12, $D$11, 100%, $F$11)</f>
        <v>8.1876948000000009</v>
      </c>
      <c r="G392" s="8">
        <f>8.9396 * CHOOSE( CONTROL!$C$12, $D$11, 100%, $F$11)</f>
        <v>7.1874384000000004</v>
      </c>
      <c r="H392" s="4">
        <f>9.8505 * CHOOSE(CONTROL!$C$12, $D$11, 100%, $F$11)</f>
        <v>7.9198020000000007</v>
      </c>
      <c r="I392" s="8">
        <f>8.8407 * CHOOSE(CONTROL!$C$12, $D$11, 100%, $F$11)</f>
        <v>7.1079228000000008</v>
      </c>
      <c r="J392" s="4">
        <f>8.7881 * CHOOSE(CONTROL!$C$12, $D$11, 100%, $F$11)</f>
        <v>7.0656324000000001</v>
      </c>
      <c r="K392" s="4"/>
      <c r="L392" s="9">
        <v>27.988800000000001</v>
      </c>
      <c r="M392" s="9">
        <v>11.6745</v>
      </c>
      <c r="N392" s="9">
        <v>4.7850000000000001</v>
      </c>
      <c r="O392" s="9">
        <v>0.36249999999999999</v>
      </c>
      <c r="P392" s="9">
        <v>1.1798</v>
      </c>
      <c r="Q392" s="9">
        <v>19.6128</v>
      </c>
      <c r="R392" s="9"/>
      <c r="S392" s="11"/>
    </row>
    <row r="393" spans="1:19" ht="15.75">
      <c r="A393" s="13">
        <v>53843</v>
      </c>
      <c r="B393" s="8">
        <f>CHOOSE( CONTROL!$C$29, 9.4255, 9.4208) * CHOOSE(CONTROL!$C$12, $D$11, 100%, $F$11)</f>
        <v>7.5781020000000003</v>
      </c>
      <c r="C393" s="8">
        <f>CHOOSE( CONTROL!$C$29, 9.4359, 9.4312) * CHOOSE(CONTROL!$C$12, $D$11, 100%, $F$11)</f>
        <v>7.586463600000001</v>
      </c>
      <c r="D393" s="8">
        <f>CHOOSE( CONTROL!$C$29, 9.4139, 9.4092) * CHOOSE( CONTROL!$C$12, $D$11, 100%, $F$11)</f>
        <v>7.5687756000000004</v>
      </c>
      <c r="E393" s="12">
        <f>CHOOSE( CONTROL!$C$29, 9.4203, 9.4156) * CHOOSE( CONTROL!$C$12, $D$11, 100%, $F$11)</f>
        <v>7.5739212</v>
      </c>
      <c r="F393" s="4">
        <f>CHOOSE( CONTROL!$C$29, 10.4004, 10.3957) * CHOOSE(CONTROL!$C$12, $D$11, 100%, $F$11)</f>
        <v>8.3619216000000005</v>
      </c>
      <c r="G393" s="8">
        <f>CHOOSE( CONTROL!$C$29, 9.1638, 9.1592) * CHOOSE( CONTROL!$C$12, $D$11, 100%, $F$11)</f>
        <v>7.3676952000000009</v>
      </c>
      <c r="H393" s="4">
        <f>CHOOSE( CONTROL!$C$29, 10.0618, 10.0572) * CHOOSE(CONTROL!$C$12, $D$11, 100%, $F$11)</f>
        <v>8.0896872000000002</v>
      </c>
      <c r="I393" s="8">
        <f>CHOOSE( CONTROL!$C$29, 9.058, 9.0535) * CHOOSE(CONTROL!$C$12, $D$11, 100%, $F$11)</f>
        <v>7.2826320000000004</v>
      </c>
      <c r="J393" s="4">
        <f>CHOOSE( CONTROL!$C$29, 9.0267, 9.0222) * CHOOSE(CONTROL!$C$12, $D$11, 100%, $F$11)</f>
        <v>7.2574668000000004</v>
      </c>
      <c r="K393" s="4"/>
      <c r="L393" s="9">
        <v>29.520499999999998</v>
      </c>
      <c r="M393" s="9">
        <v>12.063700000000001</v>
      </c>
      <c r="N393" s="9">
        <v>4.9444999999999997</v>
      </c>
      <c r="O393" s="9">
        <v>0.37459999999999999</v>
      </c>
      <c r="P393" s="9">
        <v>1.2192000000000001</v>
      </c>
      <c r="Q393" s="9">
        <v>20.2666</v>
      </c>
      <c r="R393" s="9"/>
      <c r="S393" s="11"/>
    </row>
    <row r="394" spans="1:19" ht="15.75">
      <c r="A394" s="13">
        <v>53873</v>
      </c>
      <c r="B394" s="8">
        <f>CHOOSE( CONTROL!$C$29, 9.2741, 9.2694) * CHOOSE(CONTROL!$C$12, $D$11, 100%, $F$11)</f>
        <v>7.4563764000000008</v>
      </c>
      <c r="C394" s="8">
        <f>CHOOSE( CONTROL!$C$29, 9.2845, 9.2798) * CHOOSE(CONTROL!$C$12, $D$11, 100%, $F$11)</f>
        <v>7.4647379999999997</v>
      </c>
      <c r="D394" s="8">
        <f>CHOOSE( CONTROL!$C$29, 9.2569, 9.2522) * CHOOSE( CONTROL!$C$12, $D$11, 100%, $F$11)</f>
        <v>7.4425476000000002</v>
      </c>
      <c r="E394" s="12">
        <f>CHOOSE( CONTROL!$C$29, 9.2653, 9.2606) * CHOOSE( CONTROL!$C$12, $D$11, 100%, $F$11)</f>
        <v>7.4493012000000007</v>
      </c>
      <c r="F394" s="4">
        <f>CHOOSE( CONTROL!$C$29, 10.2386, 10.2339) * CHOOSE(CONTROL!$C$12, $D$11, 100%, $F$11)</f>
        <v>8.2318344000000003</v>
      </c>
      <c r="G394" s="8">
        <f>CHOOSE( CONTROL!$C$29, 9.0149, 9.0103) * CHOOSE( CONTROL!$C$12, $D$11, 100%, $F$11)</f>
        <v>7.2479796000000007</v>
      </c>
      <c r="H394" s="4">
        <f>CHOOSE( CONTROL!$C$29, 9.904, 9.8994) * CHOOSE(CONTROL!$C$12, $D$11, 100%, $F$11)</f>
        <v>7.9628160000000001</v>
      </c>
      <c r="I394" s="8">
        <f>CHOOSE( CONTROL!$C$29, 8.915, 8.9105) * CHOOSE(CONTROL!$C$12, $D$11, 100%, $F$11)</f>
        <v>7.1676599999999997</v>
      </c>
      <c r="J394" s="4">
        <f>CHOOSE( CONTROL!$C$29, 8.8817, 8.8772) * CHOOSE(CONTROL!$C$12, $D$11, 100%, $F$11)</f>
        <v>7.1408868000000005</v>
      </c>
      <c r="K394" s="4"/>
      <c r="L394" s="9">
        <v>28.568200000000001</v>
      </c>
      <c r="M394" s="9">
        <v>11.6745</v>
      </c>
      <c r="N394" s="9">
        <v>4.7850000000000001</v>
      </c>
      <c r="O394" s="9">
        <v>0.36249999999999999</v>
      </c>
      <c r="P394" s="9">
        <v>1.1798</v>
      </c>
      <c r="Q394" s="9">
        <v>19.6128</v>
      </c>
      <c r="R394" s="9"/>
      <c r="S394" s="11"/>
    </row>
    <row r="395" spans="1:19" ht="15.75">
      <c r="A395" s="13">
        <v>53904</v>
      </c>
      <c r="B395" s="8">
        <f>CHOOSE( CONTROL!$C$29, 9.6728, 9.6681) * CHOOSE(CONTROL!$C$12, $D$11, 100%, $F$11)</f>
        <v>7.7769312000000008</v>
      </c>
      <c r="C395" s="8">
        <f>CHOOSE( CONTROL!$C$29, 9.6832, 9.6785) * CHOOSE(CONTROL!$C$12, $D$11, 100%, $F$11)</f>
        <v>7.7852927999999997</v>
      </c>
      <c r="D395" s="8">
        <f>CHOOSE( CONTROL!$C$29, 9.6747, 9.67) * CHOOSE( CONTROL!$C$12, $D$11, 100%, $F$11)</f>
        <v>7.7784588000000001</v>
      </c>
      <c r="E395" s="12">
        <f>CHOOSE( CONTROL!$C$29, 9.6762, 9.6715) * CHOOSE( CONTROL!$C$12, $D$11, 100%, $F$11)</f>
        <v>7.7796647999999999</v>
      </c>
      <c r="F395" s="4">
        <f>CHOOSE( CONTROL!$C$29, 10.6644, 10.6597) * CHOOSE(CONTROL!$C$12, $D$11, 100%, $F$11)</f>
        <v>8.5741776000000005</v>
      </c>
      <c r="G395" s="8">
        <f>CHOOSE( CONTROL!$C$29, 9.4162, 9.4116) * CHOOSE( CONTROL!$C$12, $D$11, 100%, $F$11)</f>
        <v>7.5706248</v>
      </c>
      <c r="H395" s="4">
        <f>CHOOSE( CONTROL!$C$29, 10.3191, 10.3145) * CHOOSE(CONTROL!$C$12, $D$11, 100%, $F$11)</f>
        <v>8.2965564000000018</v>
      </c>
      <c r="I395" s="8">
        <f>CHOOSE( CONTROL!$C$29, 9.3199, 9.3154) * CHOOSE(CONTROL!$C$12, $D$11, 100%, $F$11)</f>
        <v>7.4931996000000005</v>
      </c>
      <c r="J395" s="4">
        <f>CHOOSE( CONTROL!$C$29, 9.2637, 9.2592) * CHOOSE(CONTROL!$C$12, $D$11, 100%, $F$11)</f>
        <v>7.4480148000000002</v>
      </c>
      <c r="K395" s="4"/>
      <c r="L395" s="9">
        <v>29.520499999999998</v>
      </c>
      <c r="M395" s="9">
        <v>12.063700000000001</v>
      </c>
      <c r="N395" s="9">
        <v>4.9444999999999997</v>
      </c>
      <c r="O395" s="9">
        <v>0.37459999999999999</v>
      </c>
      <c r="P395" s="9">
        <v>1.2192000000000001</v>
      </c>
      <c r="Q395" s="9">
        <v>20.2666</v>
      </c>
      <c r="R395" s="9"/>
      <c r="S395" s="11"/>
    </row>
    <row r="396" spans="1:19" ht="15.75">
      <c r="A396" s="13">
        <v>53935</v>
      </c>
      <c r="B396" s="8">
        <f>CHOOSE( CONTROL!$C$29, 8.9268, 8.9221) * CHOOSE(CONTROL!$C$12, $D$11, 100%, $F$11)</f>
        <v>7.1771472000000003</v>
      </c>
      <c r="C396" s="8">
        <f>CHOOSE( CONTROL!$C$29, 8.9373, 8.9326) * CHOOSE(CONTROL!$C$12, $D$11, 100%, $F$11)</f>
        <v>7.1855892000000008</v>
      </c>
      <c r="D396" s="8">
        <f>CHOOSE( CONTROL!$C$29, 8.9322, 8.9274) * CHOOSE( CONTROL!$C$12, $D$11, 100%, $F$11)</f>
        <v>7.1814888000000003</v>
      </c>
      <c r="E396" s="12">
        <f>CHOOSE( CONTROL!$C$29, 8.9324, 8.9277) * CHOOSE( CONTROL!$C$12, $D$11, 100%, $F$11)</f>
        <v>7.1816496000000001</v>
      </c>
      <c r="F396" s="4">
        <f>CHOOSE( CONTROL!$C$29, 9.9237, 9.919) * CHOOSE(CONTROL!$C$12, $D$11, 100%, $F$11)</f>
        <v>7.978654800000001</v>
      </c>
      <c r="G396" s="8">
        <f>CHOOSE( CONTROL!$C$29, 8.6912, 8.6866) * CHOOSE( CONTROL!$C$12, $D$11, 100%, $F$11)</f>
        <v>6.9877248000000005</v>
      </c>
      <c r="H396" s="4">
        <f>CHOOSE( CONTROL!$C$29, 9.597, 9.5925) * CHOOSE(CONTROL!$C$12, $D$11, 100%, $F$11)</f>
        <v>7.7159880000000003</v>
      </c>
      <c r="I396" s="8">
        <f>CHOOSE( CONTROL!$C$29, 8.6094, 8.6049) * CHOOSE(CONTROL!$C$12, $D$11, 100%, $F$11)</f>
        <v>6.9219576000000007</v>
      </c>
      <c r="J396" s="4">
        <f>CHOOSE( CONTROL!$C$29, 8.5489, 8.5444) * CHOOSE(CONTROL!$C$12, $D$11, 100%, $F$11)</f>
        <v>6.8733155999999997</v>
      </c>
      <c r="K396" s="4"/>
      <c r="L396" s="9">
        <v>29.520499999999998</v>
      </c>
      <c r="M396" s="9">
        <v>12.063700000000001</v>
      </c>
      <c r="N396" s="9">
        <v>4.9444999999999997</v>
      </c>
      <c r="O396" s="9">
        <v>0.37459999999999999</v>
      </c>
      <c r="P396" s="9">
        <v>1.2192000000000001</v>
      </c>
      <c r="Q396" s="9">
        <v>20.2666</v>
      </c>
      <c r="R396" s="9"/>
      <c r="S396" s="11"/>
    </row>
    <row r="397" spans="1:19" ht="15.75">
      <c r="A397" s="13">
        <v>53965</v>
      </c>
      <c r="B397" s="8">
        <f>CHOOSE( CONTROL!$C$29, 8.7401, 8.7353) * CHOOSE(CONTROL!$C$12, $D$11, 100%, $F$11)</f>
        <v>7.0270404000000006</v>
      </c>
      <c r="C397" s="8">
        <f>CHOOSE( CONTROL!$C$29, 8.7505, 8.7458) * CHOOSE(CONTROL!$C$12, $D$11, 100%, $F$11)</f>
        <v>7.0354020000000013</v>
      </c>
      <c r="D397" s="8">
        <f>CHOOSE( CONTROL!$C$29, 8.7412, 8.7365) * CHOOSE( CONTROL!$C$12, $D$11, 100%, $F$11)</f>
        <v>7.0279248000000001</v>
      </c>
      <c r="E397" s="12">
        <f>CHOOSE( CONTROL!$C$29, 8.743, 8.7383) * CHOOSE( CONTROL!$C$12, $D$11, 100%, $F$11)</f>
        <v>7.0293720000000004</v>
      </c>
      <c r="F397" s="4">
        <f>CHOOSE( CONTROL!$C$29, 9.729, 9.7243) * CHOOSE(CONTROL!$C$12, $D$11, 100%, $F$11)</f>
        <v>7.8221159999999994</v>
      </c>
      <c r="G397" s="8">
        <f>CHOOSE( CONTROL!$C$29, 8.5079, 8.5033) * CHOOSE( CONTROL!$C$12, $D$11, 100%, $F$11)</f>
        <v>6.8403516</v>
      </c>
      <c r="H397" s="4">
        <f>CHOOSE( CONTROL!$C$29, 9.4073, 9.4028) * CHOOSE(CONTROL!$C$12, $D$11, 100%, $F$11)</f>
        <v>7.5634692000000001</v>
      </c>
      <c r="I397" s="8">
        <f>CHOOSE( CONTROL!$C$29, 8.4317, 8.4272) * CHOOSE(CONTROL!$C$12, $D$11, 100%, $F$11)</f>
        <v>6.7790868</v>
      </c>
      <c r="J397" s="4">
        <f>CHOOSE( CONTROL!$C$29, 8.37, 8.3655) * CHOOSE(CONTROL!$C$12, $D$11, 100%, $F$11)</f>
        <v>6.7294799999999997</v>
      </c>
      <c r="K397" s="4"/>
      <c r="L397" s="9">
        <v>28.568200000000001</v>
      </c>
      <c r="M397" s="9">
        <v>11.6745</v>
      </c>
      <c r="N397" s="9">
        <v>4.7850000000000001</v>
      </c>
      <c r="O397" s="9">
        <v>0.36249999999999999</v>
      </c>
      <c r="P397" s="9">
        <v>1.1798</v>
      </c>
      <c r="Q397" s="9">
        <v>19.6128</v>
      </c>
      <c r="R397" s="9"/>
      <c r="S397" s="11"/>
    </row>
    <row r="398" spans="1:19" ht="15.75">
      <c r="A398" s="13">
        <v>53996</v>
      </c>
      <c r="B398" s="8">
        <f>9.1232 * CHOOSE(CONTROL!$C$12, $D$11, 100%, $F$11)</f>
        <v>7.3350528000000006</v>
      </c>
      <c r="C398" s="8">
        <f>9.1336 * CHOOSE(CONTROL!$C$12, $D$11, 100%, $F$11)</f>
        <v>7.3434144000000003</v>
      </c>
      <c r="D398" s="8">
        <f>9.1252 * CHOOSE( CONTROL!$C$12, $D$11, 100%, $F$11)</f>
        <v>7.3366607999999998</v>
      </c>
      <c r="E398" s="12">
        <f>9.1269 * CHOOSE( CONTROL!$C$12, $D$11, 100%, $F$11)</f>
        <v>7.3380275999999993</v>
      </c>
      <c r="F398" s="4">
        <f>10.1122 * CHOOSE(CONTROL!$C$12, $D$11, 100%, $F$11)</f>
        <v>8.1302088000000001</v>
      </c>
      <c r="G398" s="8">
        <f>8.8809 * CHOOSE( CONTROL!$C$12, $D$11, 100%, $F$11)</f>
        <v>7.1402436000000007</v>
      </c>
      <c r="H398" s="4">
        <f>9.7808 * CHOOSE(CONTROL!$C$12, $D$11, 100%, $F$11)</f>
        <v>7.8637632000000002</v>
      </c>
      <c r="I398" s="8">
        <f>8.801 * CHOOSE(CONTROL!$C$12, $D$11, 100%, $F$11)</f>
        <v>7.0760040000000002</v>
      </c>
      <c r="J398" s="4">
        <f>8.7371 * CHOOSE(CONTROL!$C$12, $D$11, 100%, $F$11)</f>
        <v>7.0246284000000001</v>
      </c>
      <c r="K398" s="4"/>
      <c r="L398" s="9">
        <v>28.921800000000001</v>
      </c>
      <c r="M398" s="9">
        <v>12.063700000000001</v>
      </c>
      <c r="N398" s="9">
        <v>4.9444999999999997</v>
      </c>
      <c r="O398" s="9">
        <v>0.37459999999999999</v>
      </c>
      <c r="P398" s="9">
        <v>1.2192000000000001</v>
      </c>
      <c r="Q398" s="9">
        <v>20.2666</v>
      </c>
      <c r="R398" s="9"/>
      <c r="S398" s="11"/>
    </row>
    <row r="399" spans="1:19" ht="15.75">
      <c r="A399" s="13">
        <v>54026</v>
      </c>
      <c r="B399" s="8">
        <f>9.839 * CHOOSE(CONTROL!$C$12, $D$11, 100%, $F$11)</f>
        <v>7.9105560000000006</v>
      </c>
      <c r="C399" s="8">
        <f>9.8495 * CHOOSE(CONTROL!$C$12, $D$11, 100%, $F$11)</f>
        <v>7.9189980000000011</v>
      </c>
      <c r="D399" s="8">
        <f>9.8297 * CHOOSE( CONTROL!$C$12, $D$11, 100%, $F$11)</f>
        <v>7.9030788000000012</v>
      </c>
      <c r="E399" s="12">
        <f>9.8358 * CHOOSE( CONTROL!$C$12, $D$11, 100%, $F$11)</f>
        <v>7.9079832000000012</v>
      </c>
      <c r="F399" s="4">
        <f>10.8306 * CHOOSE(CONTROL!$C$12, $D$11, 100%, $F$11)</f>
        <v>8.7078024000000003</v>
      </c>
      <c r="G399" s="8">
        <f>9.5978 * CHOOSE( CONTROL!$C$12, $D$11, 100%, $F$11)</f>
        <v>7.7166312000000001</v>
      </c>
      <c r="H399" s="4">
        <f>10.4812 * CHOOSE(CONTROL!$C$12, $D$11, 100%, $F$11)</f>
        <v>8.4268847999999998</v>
      </c>
      <c r="I399" s="8">
        <f>9.5175 * CHOOSE(CONTROL!$C$12, $D$11, 100%, $F$11)</f>
        <v>7.6520700000000001</v>
      </c>
      <c r="J399" s="4">
        <f>9.423 * CHOOSE(CONTROL!$C$12, $D$11, 100%, $F$11)</f>
        <v>7.576092</v>
      </c>
      <c r="K399" s="4"/>
      <c r="L399" s="9">
        <v>26.515499999999999</v>
      </c>
      <c r="M399" s="9">
        <v>11.6745</v>
      </c>
      <c r="N399" s="9">
        <v>4.7850000000000001</v>
      </c>
      <c r="O399" s="9">
        <v>0.36249999999999999</v>
      </c>
      <c r="P399" s="9">
        <v>1.2522</v>
      </c>
      <c r="Q399" s="9">
        <v>19.6128</v>
      </c>
      <c r="R399" s="9"/>
      <c r="S399" s="11"/>
    </row>
    <row r="400" spans="1:19" ht="15.75">
      <c r="A400" s="13">
        <v>54057</v>
      </c>
      <c r="B400" s="8">
        <f>9.8212 * CHOOSE(CONTROL!$C$12, $D$11, 100%, $F$11)</f>
        <v>7.8962447999999998</v>
      </c>
      <c r="C400" s="8">
        <f>9.8316 * CHOOSE(CONTROL!$C$12, $D$11, 100%, $F$11)</f>
        <v>7.9046064000000005</v>
      </c>
      <c r="D400" s="8">
        <f>9.8138 * CHOOSE( CONTROL!$C$12, $D$11, 100%, $F$11)</f>
        <v>7.8902952000000006</v>
      </c>
      <c r="E400" s="12">
        <f>9.8192 * CHOOSE( CONTROL!$C$12, $D$11, 100%, $F$11)</f>
        <v>7.8946368000000007</v>
      </c>
      <c r="F400" s="4">
        <f>10.8128 * CHOOSE(CONTROL!$C$12, $D$11, 100%, $F$11)</f>
        <v>8.6934912000000004</v>
      </c>
      <c r="G400" s="8">
        <f>9.5818 * CHOOSE( CONTROL!$C$12, $D$11, 100%, $F$11)</f>
        <v>7.7037671999999997</v>
      </c>
      <c r="H400" s="4">
        <f>10.4637 * CHOOSE(CONTROL!$C$12, $D$11, 100%, $F$11)</f>
        <v>8.4128147999999996</v>
      </c>
      <c r="I400" s="8">
        <f>9.5072 * CHOOSE(CONTROL!$C$12, $D$11, 100%, $F$11)</f>
        <v>7.6437887999999994</v>
      </c>
      <c r="J400" s="4">
        <f>9.4059 * CHOOSE(CONTROL!$C$12, $D$11, 100%, $F$11)</f>
        <v>7.5623436000000011</v>
      </c>
      <c r="K400" s="4"/>
      <c r="L400" s="9">
        <v>27.3993</v>
      </c>
      <c r="M400" s="9">
        <v>12.063700000000001</v>
      </c>
      <c r="N400" s="9">
        <v>4.9444999999999997</v>
      </c>
      <c r="O400" s="9">
        <v>0.37459999999999999</v>
      </c>
      <c r="P400" s="9">
        <v>1.2939000000000001</v>
      </c>
      <c r="Q400" s="9">
        <v>20.2666</v>
      </c>
      <c r="R400" s="9"/>
      <c r="S400" s="11"/>
    </row>
    <row r="401" spans="1:19" ht="15.75">
      <c r="A401" s="13">
        <v>54088</v>
      </c>
      <c r="B401" s="8">
        <f>10.1963 * CHOOSE(CONTROL!$C$12, $D$11, 100%, $F$11)</f>
        <v>8.1978252000000005</v>
      </c>
      <c r="C401" s="8">
        <f>10.2068 * CHOOSE(CONTROL!$C$12, $D$11, 100%, $F$11)</f>
        <v>8.2062671999999992</v>
      </c>
      <c r="D401" s="8">
        <f>10.2044 * CHOOSE( CONTROL!$C$12, $D$11, 100%, $F$11)</f>
        <v>8.2043376000000006</v>
      </c>
      <c r="E401" s="12">
        <f>10.2042 * CHOOSE( CONTROL!$C$12, $D$11, 100%, $F$11)</f>
        <v>8.2041768000000008</v>
      </c>
      <c r="F401" s="4">
        <f>11.2192 * CHOOSE(CONTROL!$C$12, $D$11, 100%, $F$11)</f>
        <v>9.0202368000000011</v>
      </c>
      <c r="G401" s="8">
        <f>9.9666 * CHOOSE( CONTROL!$C$12, $D$11, 100%, $F$11)</f>
        <v>8.0131464000000001</v>
      </c>
      <c r="H401" s="4">
        <f>10.8599 * CHOOSE(CONTROL!$C$12, $D$11, 100%, $F$11)</f>
        <v>8.7313596000000011</v>
      </c>
      <c r="I401" s="8">
        <f>9.8788 * CHOOSE(CONTROL!$C$12, $D$11, 100%, $F$11)</f>
        <v>7.9425552000000001</v>
      </c>
      <c r="J401" s="4">
        <f>9.7654 * CHOOSE(CONTROL!$C$12, $D$11, 100%, $F$11)</f>
        <v>7.8513815999999998</v>
      </c>
      <c r="K401" s="4"/>
      <c r="L401" s="9">
        <v>27.3993</v>
      </c>
      <c r="M401" s="9">
        <v>12.063700000000001</v>
      </c>
      <c r="N401" s="9">
        <v>4.9444999999999997</v>
      </c>
      <c r="O401" s="9">
        <v>0.37459999999999999</v>
      </c>
      <c r="P401" s="9">
        <v>1.2939000000000001</v>
      </c>
      <c r="Q401" s="9">
        <v>20.201499999999999</v>
      </c>
      <c r="R401" s="9"/>
      <c r="S401" s="11"/>
    </row>
    <row r="402" spans="1:19" ht="15.75">
      <c r="A402" s="13">
        <v>54116</v>
      </c>
      <c r="B402" s="8">
        <f>9.5375 * CHOOSE(CONTROL!$C$12, $D$11, 100%, $F$11)</f>
        <v>7.6681499999999998</v>
      </c>
      <c r="C402" s="8">
        <f>9.5479 * CHOOSE(CONTROL!$C$12, $D$11, 100%, $F$11)</f>
        <v>7.6765116000000004</v>
      </c>
      <c r="D402" s="8">
        <f>9.5479 * CHOOSE( CONTROL!$C$12, $D$11, 100%, $F$11)</f>
        <v>7.6765116000000004</v>
      </c>
      <c r="E402" s="12">
        <f>9.5468 * CHOOSE( CONTROL!$C$12, $D$11, 100%, $F$11)</f>
        <v>7.6756272000000001</v>
      </c>
      <c r="F402" s="4">
        <f>10.5526 * CHOOSE(CONTROL!$C$12, $D$11, 100%, $F$11)</f>
        <v>8.4842904000000008</v>
      </c>
      <c r="G402" s="8">
        <f>9.3242 * CHOOSE( CONTROL!$C$12, $D$11, 100%, $F$11)</f>
        <v>7.4966568000000002</v>
      </c>
      <c r="H402" s="4">
        <f>10.2101 * CHOOSE(CONTROL!$C$12, $D$11, 100%, $F$11)</f>
        <v>8.2089204000000002</v>
      </c>
      <c r="I402" s="8">
        <f>9.2363 * CHOOSE(CONTROL!$C$12, $D$11, 100%, $F$11)</f>
        <v>7.4259852000000004</v>
      </c>
      <c r="J402" s="4">
        <f>9.1341 * CHOOSE(CONTROL!$C$12, $D$11, 100%, $F$11)</f>
        <v>7.3438164000000006</v>
      </c>
      <c r="K402" s="4"/>
      <c r="L402" s="9">
        <v>25.631599999999999</v>
      </c>
      <c r="M402" s="9">
        <v>11.285299999999999</v>
      </c>
      <c r="N402" s="9">
        <v>4.6254999999999997</v>
      </c>
      <c r="O402" s="9">
        <v>0.35039999999999999</v>
      </c>
      <c r="P402" s="9">
        <v>1.2104999999999999</v>
      </c>
      <c r="Q402" s="9">
        <v>18.898099999999999</v>
      </c>
      <c r="R402" s="9"/>
      <c r="S402" s="11"/>
    </row>
    <row r="403" spans="1:19" ht="15.75">
      <c r="A403" s="13">
        <v>54148</v>
      </c>
      <c r="B403" s="8">
        <f>9.3345 * CHOOSE(CONTROL!$C$12, $D$11, 100%, $F$11)</f>
        <v>7.504938000000001</v>
      </c>
      <c r="C403" s="8">
        <f>9.345 * CHOOSE(CONTROL!$C$12, $D$11, 100%, $F$11)</f>
        <v>7.5133800000000006</v>
      </c>
      <c r="D403" s="8">
        <f>9.3248 * CHOOSE( CONTROL!$C$12, $D$11, 100%, $F$11)</f>
        <v>7.4971392000000003</v>
      </c>
      <c r="E403" s="12">
        <f>9.3311 * CHOOSE( CONTROL!$C$12, $D$11, 100%, $F$11)</f>
        <v>7.5022044000000001</v>
      </c>
      <c r="F403" s="4">
        <f>10.3335 * CHOOSE(CONTROL!$C$12, $D$11, 100%, $F$11)</f>
        <v>8.3081340000000008</v>
      </c>
      <c r="G403" s="8">
        <f>9.1059 * CHOOSE( CONTROL!$C$12, $D$11, 100%, $F$11)</f>
        <v>7.3211436000000001</v>
      </c>
      <c r="H403" s="4">
        <f>9.9965 * CHOOSE(CONTROL!$C$12, $D$11, 100%, $F$11)</f>
        <v>8.0371860000000002</v>
      </c>
      <c r="I403" s="8">
        <f>9.0022 * CHOOSE(CONTROL!$C$12, $D$11, 100%, $F$11)</f>
        <v>7.2377688000000004</v>
      </c>
      <c r="J403" s="4">
        <f>8.9396 * CHOOSE(CONTROL!$C$12, $D$11, 100%, $F$11)</f>
        <v>7.1874384000000004</v>
      </c>
      <c r="K403" s="4"/>
      <c r="L403" s="9">
        <v>27.3993</v>
      </c>
      <c r="M403" s="9">
        <v>12.063700000000001</v>
      </c>
      <c r="N403" s="9">
        <v>4.9444999999999997</v>
      </c>
      <c r="O403" s="9">
        <v>0.37459999999999999</v>
      </c>
      <c r="P403" s="9">
        <v>1.2939000000000001</v>
      </c>
      <c r="Q403" s="9">
        <v>20.201499999999999</v>
      </c>
      <c r="R403" s="9"/>
      <c r="S403" s="11"/>
    </row>
    <row r="404" spans="1:19" ht="15.75">
      <c r="A404" s="13">
        <v>54178</v>
      </c>
      <c r="B404" s="8">
        <f>9.4763 * CHOOSE(CONTROL!$C$12, $D$11, 100%, $F$11)</f>
        <v>7.6189452000000006</v>
      </c>
      <c r="C404" s="8">
        <f>9.4868 * CHOOSE(CONTROL!$C$12, $D$11, 100%, $F$11)</f>
        <v>7.6273872000000011</v>
      </c>
      <c r="D404" s="8">
        <f>9.49 * CHOOSE( CONTROL!$C$12, $D$11, 100%, $F$11)</f>
        <v>7.6299600000000005</v>
      </c>
      <c r="E404" s="12">
        <f>9.4877 * CHOOSE( CONTROL!$C$12, $D$11, 100%, $F$11)</f>
        <v>7.6281108000000009</v>
      </c>
      <c r="F404" s="4">
        <f>10.4836 * CHOOSE(CONTROL!$C$12, $D$11, 100%, $F$11)</f>
        <v>8.4288144000000003</v>
      </c>
      <c r="G404" s="8">
        <f>9.232 * CHOOSE( CONTROL!$C$12, $D$11, 100%, $F$11)</f>
        <v>7.4225279999999998</v>
      </c>
      <c r="H404" s="4">
        <f>10.1429 * CHOOSE(CONTROL!$C$12, $D$11, 100%, $F$11)</f>
        <v>8.1548915999999991</v>
      </c>
      <c r="I404" s="8">
        <f>9.1283 * CHOOSE(CONTROL!$C$12, $D$11, 100%, $F$11)</f>
        <v>7.3391532000000002</v>
      </c>
      <c r="J404" s="4">
        <f>9.0755 * CHOOSE(CONTROL!$C$12, $D$11, 100%, $F$11)</f>
        <v>7.2967020000000007</v>
      </c>
      <c r="K404" s="4"/>
      <c r="L404" s="9">
        <v>27.988800000000001</v>
      </c>
      <c r="M404" s="9">
        <v>11.6745</v>
      </c>
      <c r="N404" s="9">
        <v>4.7850000000000001</v>
      </c>
      <c r="O404" s="9">
        <v>0.36249999999999999</v>
      </c>
      <c r="P404" s="9">
        <v>1.1798</v>
      </c>
      <c r="Q404" s="9">
        <v>19.549800000000001</v>
      </c>
      <c r="R404" s="9"/>
      <c r="S404" s="11"/>
    </row>
    <row r="405" spans="1:19" ht="15.75">
      <c r="A405" s="13">
        <v>54209</v>
      </c>
      <c r="B405" s="8">
        <f>CHOOSE( CONTROL!$C$29, 9.7334, 9.7287) * CHOOSE(CONTROL!$C$12, $D$11, 100%, $F$11)</f>
        <v>7.8256535999999999</v>
      </c>
      <c r="C405" s="8">
        <f>CHOOSE( CONTROL!$C$29, 9.7439, 9.7392) * CHOOSE(CONTROL!$C$12, $D$11, 100%, $F$11)</f>
        <v>7.8340956000000004</v>
      </c>
      <c r="D405" s="8">
        <f>CHOOSE( CONTROL!$C$29, 9.7218, 9.7171) * CHOOSE( CONTROL!$C$12, $D$11, 100%, $F$11)</f>
        <v>7.8163272000000008</v>
      </c>
      <c r="E405" s="12">
        <f>CHOOSE( CONTROL!$C$29, 9.7282, 9.7235) * CHOOSE( CONTROL!$C$12, $D$11, 100%, $F$11)</f>
        <v>7.8214727999999996</v>
      </c>
      <c r="F405" s="4">
        <f>CHOOSE( CONTROL!$C$29, 10.7083, 10.7036) * CHOOSE(CONTROL!$C$12, $D$11, 100%, $F$11)</f>
        <v>8.6094732</v>
      </c>
      <c r="G405" s="8">
        <f>CHOOSE( CONTROL!$C$29, 9.4639, 9.4593) * CHOOSE( CONTROL!$C$12, $D$11, 100%, $F$11)</f>
        <v>7.6089756000000008</v>
      </c>
      <c r="H405" s="4">
        <f>CHOOSE( CONTROL!$C$29, 10.3619, 10.3573) * CHOOSE(CONTROL!$C$12, $D$11, 100%, $F$11)</f>
        <v>8.330967600000001</v>
      </c>
      <c r="I405" s="8">
        <f>CHOOSE( CONTROL!$C$29, 9.3532, 9.3487) * CHOOSE(CONTROL!$C$12, $D$11, 100%, $F$11)</f>
        <v>7.5199727999999997</v>
      </c>
      <c r="J405" s="4">
        <f>CHOOSE( CONTROL!$C$29, 9.3218, 9.3173) * CHOOSE(CONTROL!$C$12, $D$11, 100%, $F$11)</f>
        <v>7.4947271999999998</v>
      </c>
      <c r="K405" s="4"/>
      <c r="L405" s="9">
        <v>29.520499999999998</v>
      </c>
      <c r="M405" s="9">
        <v>12.063700000000001</v>
      </c>
      <c r="N405" s="9">
        <v>4.9444999999999997</v>
      </c>
      <c r="O405" s="9">
        <v>0.37459999999999999</v>
      </c>
      <c r="P405" s="9">
        <v>1.2192000000000001</v>
      </c>
      <c r="Q405" s="9">
        <v>20.201499999999999</v>
      </c>
      <c r="R405" s="9"/>
      <c r="S405" s="11"/>
    </row>
    <row r="406" spans="1:19" ht="15.75">
      <c r="A406" s="13">
        <v>54239</v>
      </c>
      <c r="B406" s="8">
        <f>CHOOSE( CONTROL!$C$29, 9.5771, 9.5724) * CHOOSE(CONTROL!$C$12, $D$11, 100%, $F$11)</f>
        <v>7.6999884000000005</v>
      </c>
      <c r="C406" s="8">
        <f>CHOOSE( CONTROL!$C$29, 9.5875, 9.5828) * CHOOSE(CONTROL!$C$12, $D$11, 100%, $F$11)</f>
        <v>7.7083500000000011</v>
      </c>
      <c r="D406" s="8">
        <f>CHOOSE( CONTROL!$C$29, 9.5599, 9.5552) * CHOOSE( CONTROL!$C$12, $D$11, 100%, $F$11)</f>
        <v>7.6861596000000008</v>
      </c>
      <c r="E406" s="12">
        <f>CHOOSE( CONTROL!$C$29, 9.5683, 9.5636) * CHOOSE( CONTROL!$C$12, $D$11, 100%, $F$11)</f>
        <v>7.6929132000000013</v>
      </c>
      <c r="F406" s="4">
        <f>CHOOSE( CONTROL!$C$29, 10.5416, 10.5368) * CHOOSE(CONTROL!$C$12, $D$11, 100%, $F$11)</f>
        <v>8.4754464000000009</v>
      </c>
      <c r="G406" s="8">
        <f>CHOOSE( CONTROL!$C$29, 9.3103, 9.3057) * CHOOSE( CONTROL!$C$12, $D$11, 100%, $F$11)</f>
        <v>7.4854812000000006</v>
      </c>
      <c r="H406" s="4">
        <f>CHOOSE( CONTROL!$C$29, 10.1994, 10.1948) * CHOOSE(CONTROL!$C$12, $D$11, 100%, $F$11)</f>
        <v>8.2003176000000018</v>
      </c>
      <c r="I406" s="8">
        <f>CHOOSE( CONTROL!$C$29, 9.2055, 9.201) * CHOOSE(CONTROL!$C$12, $D$11, 100%, $F$11)</f>
        <v>7.4012220000000006</v>
      </c>
      <c r="J406" s="4">
        <f>CHOOSE( CONTROL!$C$29, 9.172, 9.1675) * CHOOSE(CONTROL!$C$12, $D$11, 100%, $F$11)</f>
        <v>7.3742880000000008</v>
      </c>
      <c r="K406" s="4"/>
      <c r="L406" s="9">
        <v>28.568200000000001</v>
      </c>
      <c r="M406" s="9">
        <v>11.6745</v>
      </c>
      <c r="N406" s="9">
        <v>4.7850000000000001</v>
      </c>
      <c r="O406" s="9">
        <v>0.36249999999999999</v>
      </c>
      <c r="P406" s="9">
        <v>1.1798</v>
      </c>
      <c r="Q406" s="9">
        <v>19.549800000000001</v>
      </c>
      <c r="R406" s="9"/>
      <c r="S406" s="11"/>
    </row>
    <row r="407" spans="1:19" ht="15.75">
      <c r="A407" s="13">
        <v>54270</v>
      </c>
      <c r="B407" s="8">
        <f>CHOOSE( CONTROL!$C$29, 9.9888, 9.9841) * CHOOSE(CONTROL!$C$12, $D$11, 100%, $F$11)</f>
        <v>8.0309951999999996</v>
      </c>
      <c r="C407" s="8">
        <f>CHOOSE( CONTROL!$C$29, 9.9992, 9.9945) * CHOOSE(CONTROL!$C$12, $D$11, 100%, $F$11)</f>
        <v>8.0393568000000002</v>
      </c>
      <c r="D407" s="8">
        <f>CHOOSE( CONTROL!$C$29, 9.9908, 9.9861) * CHOOSE( CONTROL!$C$12, $D$11, 100%, $F$11)</f>
        <v>8.0326032000000005</v>
      </c>
      <c r="E407" s="12">
        <f>CHOOSE( CONTROL!$C$29, 9.9923, 9.9876) * CHOOSE( CONTROL!$C$12, $D$11, 100%, $F$11)</f>
        <v>8.0338092000000003</v>
      </c>
      <c r="F407" s="4">
        <f>CHOOSE( CONTROL!$C$29, 10.9804, 10.9757) * CHOOSE(CONTROL!$C$12, $D$11, 100%, $F$11)</f>
        <v>8.8282416000000001</v>
      </c>
      <c r="G407" s="8">
        <f>CHOOSE( CONTROL!$C$29, 9.7243, 9.7197) * CHOOSE( CONTROL!$C$12, $D$11, 100%, $F$11)</f>
        <v>7.8183372000000002</v>
      </c>
      <c r="H407" s="4">
        <f>CHOOSE( CONTROL!$C$29, 10.6271, 10.6225) * CHOOSE(CONTROL!$C$12, $D$11, 100%, $F$11)</f>
        <v>8.5441884000000012</v>
      </c>
      <c r="I407" s="8">
        <f>CHOOSE( CONTROL!$C$29, 9.6229, 9.6184) * CHOOSE(CONTROL!$C$12, $D$11, 100%, $F$11)</f>
        <v>7.7368116000000002</v>
      </c>
      <c r="J407" s="4">
        <f>CHOOSE( CONTROL!$C$29, 9.5665, 9.562) * CHOOSE(CONTROL!$C$12, $D$11, 100%, $F$11)</f>
        <v>7.6914660000000001</v>
      </c>
      <c r="K407" s="4"/>
      <c r="L407" s="9">
        <v>29.520499999999998</v>
      </c>
      <c r="M407" s="9">
        <v>12.063700000000001</v>
      </c>
      <c r="N407" s="9">
        <v>4.9444999999999997</v>
      </c>
      <c r="O407" s="9">
        <v>0.37459999999999999</v>
      </c>
      <c r="P407" s="9">
        <v>1.2192000000000001</v>
      </c>
      <c r="Q407" s="9">
        <v>20.201499999999999</v>
      </c>
      <c r="R407" s="9"/>
      <c r="S407" s="11"/>
    </row>
    <row r="408" spans="1:19" ht="15.75">
      <c r="A408" s="13">
        <v>54301</v>
      </c>
      <c r="B408" s="8">
        <f>CHOOSE( CONTROL!$C$29, 9.2185, 9.2138) * CHOOSE(CONTROL!$C$12, $D$11, 100%, $F$11)</f>
        <v>7.4116740000000005</v>
      </c>
      <c r="C408" s="8">
        <f>CHOOSE( CONTROL!$C$29, 9.2289, 9.2242) * CHOOSE(CONTROL!$C$12, $D$11, 100%, $F$11)</f>
        <v>7.4200356000000003</v>
      </c>
      <c r="D408" s="8">
        <f>CHOOSE( CONTROL!$C$29, 9.2238, 9.2191) * CHOOSE( CONTROL!$C$12, $D$11, 100%, $F$11)</f>
        <v>7.4159352000000007</v>
      </c>
      <c r="E408" s="12">
        <f>CHOOSE( CONTROL!$C$29, 9.2241, 9.2194) * CHOOSE( CONTROL!$C$12, $D$11, 100%, $F$11)</f>
        <v>7.4161764000000003</v>
      </c>
      <c r="F408" s="4">
        <f>CHOOSE( CONTROL!$C$29, 10.2153, 10.2106) * CHOOSE(CONTROL!$C$12, $D$11, 100%, $F$11)</f>
        <v>8.2131012000000005</v>
      </c>
      <c r="G408" s="8">
        <f>CHOOSE( CONTROL!$C$29, 8.9755, 8.9709) * CHOOSE( CONTROL!$C$12, $D$11, 100%, $F$11)</f>
        <v>7.2163020000000007</v>
      </c>
      <c r="H408" s="4">
        <f>CHOOSE( CONTROL!$C$29, 9.8813, 9.8767) * CHOOSE(CONTROL!$C$12, $D$11, 100%, $F$11)</f>
        <v>7.9445652000000004</v>
      </c>
      <c r="I408" s="8">
        <f>CHOOSE( CONTROL!$C$29, 8.889, 8.8845) * CHOOSE(CONTROL!$C$12, $D$11, 100%, $F$11)</f>
        <v>7.1467559999999999</v>
      </c>
      <c r="J408" s="4">
        <f>CHOOSE( CONTROL!$C$29, 8.8284, 8.8239) * CHOOSE(CONTROL!$C$12, $D$11, 100%, $F$11)</f>
        <v>7.0980336000000008</v>
      </c>
      <c r="K408" s="4"/>
      <c r="L408" s="9">
        <v>29.520499999999998</v>
      </c>
      <c r="M408" s="9">
        <v>12.063700000000001</v>
      </c>
      <c r="N408" s="9">
        <v>4.9444999999999997</v>
      </c>
      <c r="O408" s="9">
        <v>0.37459999999999999</v>
      </c>
      <c r="P408" s="9">
        <v>1.2192000000000001</v>
      </c>
      <c r="Q408" s="9">
        <v>20.201499999999999</v>
      </c>
      <c r="R408" s="9"/>
      <c r="S408" s="11"/>
    </row>
    <row r="409" spans="1:19" ht="15.75">
      <c r="A409" s="13">
        <v>54331</v>
      </c>
      <c r="B409" s="8">
        <f>CHOOSE( CONTROL!$C$29, 9.0256, 9.0209) * CHOOSE(CONTROL!$C$12, $D$11, 100%, $F$11)</f>
        <v>7.256582400000001</v>
      </c>
      <c r="C409" s="8">
        <f>CHOOSE( CONTROL!$C$29, 9.036, 9.0313) * CHOOSE(CONTROL!$C$12, $D$11, 100%, $F$11)</f>
        <v>7.2649439999999998</v>
      </c>
      <c r="D409" s="8">
        <f>CHOOSE( CONTROL!$C$29, 9.0267, 9.022) * CHOOSE( CONTROL!$C$12, $D$11, 100%, $F$11)</f>
        <v>7.2574668000000004</v>
      </c>
      <c r="E409" s="12">
        <f>CHOOSE( CONTROL!$C$29, 9.0285, 9.0238) * CHOOSE( CONTROL!$C$12, $D$11, 100%, $F$11)</f>
        <v>7.2589139999999999</v>
      </c>
      <c r="F409" s="4">
        <f>CHOOSE( CONTROL!$C$29, 10.0146, 10.0099) * CHOOSE(CONTROL!$C$12, $D$11, 100%, $F$11)</f>
        <v>8.0517383999999996</v>
      </c>
      <c r="G409" s="8">
        <f>CHOOSE( CONTROL!$C$29, 8.7862, 8.7816) * CHOOSE( CONTROL!$C$12, $D$11, 100%, $F$11)</f>
        <v>7.0641048</v>
      </c>
      <c r="H409" s="4">
        <f>CHOOSE( CONTROL!$C$29, 9.6857, 9.6811) * CHOOSE(CONTROL!$C$12, $D$11, 100%, $F$11)</f>
        <v>7.7873028000000009</v>
      </c>
      <c r="I409" s="8">
        <f>CHOOSE( CONTROL!$C$29, 8.7054, 8.7009) * CHOOSE(CONTROL!$C$12, $D$11, 100%, $F$11)</f>
        <v>6.9991415999999997</v>
      </c>
      <c r="J409" s="4">
        <f>CHOOSE( CONTROL!$C$29, 8.6435, 8.639) * CHOOSE(CONTROL!$C$12, $D$11, 100%, $F$11)</f>
        <v>6.9493739999999997</v>
      </c>
      <c r="K409" s="4"/>
      <c r="L409" s="9">
        <v>28.568200000000001</v>
      </c>
      <c r="M409" s="9">
        <v>11.6745</v>
      </c>
      <c r="N409" s="9">
        <v>4.7850000000000001</v>
      </c>
      <c r="O409" s="9">
        <v>0.36249999999999999</v>
      </c>
      <c r="P409" s="9">
        <v>1.1798</v>
      </c>
      <c r="Q409" s="9">
        <v>19.549800000000001</v>
      </c>
      <c r="R409" s="9"/>
      <c r="S409" s="11"/>
    </row>
    <row r="410" spans="1:19" ht="15.75">
      <c r="A410" s="13">
        <v>54362</v>
      </c>
      <c r="B410" s="8">
        <f>9.4214 * CHOOSE(CONTROL!$C$12, $D$11, 100%, $F$11)</f>
        <v>7.5748056000000004</v>
      </c>
      <c r="C410" s="8">
        <f>9.4318 * CHOOSE(CONTROL!$C$12, $D$11, 100%, $F$11)</f>
        <v>7.583167200000001</v>
      </c>
      <c r="D410" s="8">
        <f>9.4234 * CHOOSE( CONTROL!$C$12, $D$11, 100%, $F$11)</f>
        <v>7.5764136000000013</v>
      </c>
      <c r="E410" s="12">
        <f>9.4251 * CHOOSE( CONTROL!$C$12, $D$11, 100%, $F$11)</f>
        <v>7.5777804000000009</v>
      </c>
      <c r="F410" s="4">
        <f>10.4104 * CHOOSE(CONTROL!$C$12, $D$11, 100%, $F$11)</f>
        <v>8.3699615999999999</v>
      </c>
      <c r="G410" s="8">
        <f>9.1716 * CHOOSE( CONTROL!$C$12, $D$11, 100%, $F$11)</f>
        <v>7.3739664000000005</v>
      </c>
      <c r="H410" s="4">
        <f>10.0715 * CHOOSE(CONTROL!$C$12, $D$11, 100%, $F$11)</f>
        <v>8.097486</v>
      </c>
      <c r="I410" s="8">
        <f>9.0869 * CHOOSE(CONTROL!$C$12, $D$11, 100%, $F$11)</f>
        <v>7.3058676</v>
      </c>
      <c r="J410" s="4">
        <f>9.0228 * CHOOSE(CONTROL!$C$12, $D$11, 100%, $F$11)</f>
        <v>7.2543312000000002</v>
      </c>
      <c r="K410" s="4"/>
      <c r="L410" s="9">
        <v>28.921800000000001</v>
      </c>
      <c r="M410" s="9">
        <v>12.063700000000001</v>
      </c>
      <c r="N410" s="9">
        <v>4.9444999999999997</v>
      </c>
      <c r="O410" s="9">
        <v>0.37459999999999999</v>
      </c>
      <c r="P410" s="9">
        <v>1.2192000000000001</v>
      </c>
      <c r="Q410" s="9">
        <v>20.201499999999999</v>
      </c>
      <c r="R410" s="9"/>
      <c r="S410" s="11"/>
    </row>
    <row r="411" spans="1:19" ht="15.75">
      <c r="A411" s="13">
        <v>54392</v>
      </c>
      <c r="B411" s="8">
        <f>10.1607 * CHOOSE(CONTROL!$C$12, $D$11, 100%, $F$11)</f>
        <v>8.1692028000000008</v>
      </c>
      <c r="C411" s="8">
        <f>10.1711 * CHOOSE(CONTROL!$C$12, $D$11, 100%, $F$11)</f>
        <v>8.1775643999999996</v>
      </c>
      <c r="D411" s="8">
        <f>10.1514 * CHOOSE( CONTROL!$C$12, $D$11, 100%, $F$11)</f>
        <v>8.1617256000000005</v>
      </c>
      <c r="E411" s="12">
        <f>10.1575 * CHOOSE( CONTROL!$C$12, $D$11, 100%, $F$11)</f>
        <v>8.1666300000000014</v>
      </c>
      <c r="F411" s="4">
        <f>11.1523 * CHOOSE(CONTROL!$C$12, $D$11, 100%, $F$11)</f>
        <v>8.9664492000000013</v>
      </c>
      <c r="G411" s="8">
        <f>9.9113 * CHOOSE( CONTROL!$C$12, $D$11, 100%, $F$11)</f>
        <v>7.9686852000000012</v>
      </c>
      <c r="H411" s="4">
        <f>10.7947 * CHOOSE(CONTROL!$C$12, $D$11, 100%, $F$11)</f>
        <v>8.678938800000001</v>
      </c>
      <c r="I411" s="8">
        <f>9.8258 * CHOOSE(CONTROL!$C$12, $D$11, 100%, $F$11)</f>
        <v>7.8999432000000001</v>
      </c>
      <c r="J411" s="4">
        <f>9.7312 * CHOOSE(CONTROL!$C$12, $D$11, 100%, $F$11)</f>
        <v>7.8238848000000001</v>
      </c>
      <c r="K411" s="4"/>
      <c r="L411" s="9">
        <v>26.515499999999999</v>
      </c>
      <c r="M411" s="9">
        <v>11.6745</v>
      </c>
      <c r="N411" s="9">
        <v>4.7850000000000001</v>
      </c>
      <c r="O411" s="9">
        <v>0.36249999999999999</v>
      </c>
      <c r="P411" s="9">
        <v>1.2522</v>
      </c>
      <c r="Q411" s="9">
        <v>19.549800000000001</v>
      </c>
      <c r="R411" s="9"/>
      <c r="S411" s="11"/>
    </row>
    <row r="412" spans="1:19" ht="15.75">
      <c r="A412" s="13">
        <v>54423</v>
      </c>
      <c r="B412" s="8">
        <f>10.1422 * CHOOSE(CONTROL!$C$12, $D$11, 100%, $F$11)</f>
        <v>8.1543288000000018</v>
      </c>
      <c r="C412" s="8">
        <f>10.1526 * CHOOSE(CONTROL!$C$12, $D$11, 100%, $F$11)</f>
        <v>8.1626904000000007</v>
      </c>
      <c r="D412" s="8">
        <f>10.1348 * CHOOSE( CONTROL!$C$12, $D$11, 100%, $F$11)</f>
        <v>8.1483792000000008</v>
      </c>
      <c r="E412" s="12">
        <f>10.1402 * CHOOSE( CONTROL!$C$12, $D$11, 100%, $F$11)</f>
        <v>8.1527208000000009</v>
      </c>
      <c r="F412" s="4">
        <f>11.1338 * CHOOSE(CONTROL!$C$12, $D$11, 100%, $F$11)</f>
        <v>8.9515752000000006</v>
      </c>
      <c r="G412" s="8">
        <f>9.8947 * CHOOSE( CONTROL!$C$12, $D$11, 100%, $F$11)</f>
        <v>7.9553388000000007</v>
      </c>
      <c r="H412" s="4">
        <f>10.7766 * CHOOSE(CONTROL!$C$12, $D$11, 100%, $F$11)</f>
        <v>8.6643864000000015</v>
      </c>
      <c r="I412" s="8">
        <f>9.815 * CHOOSE(CONTROL!$C$12, $D$11, 100%, $F$11)</f>
        <v>7.8912599999999999</v>
      </c>
      <c r="J412" s="4">
        <f>9.7135 * CHOOSE(CONTROL!$C$12, $D$11, 100%, $F$11)</f>
        <v>7.8096540000000001</v>
      </c>
      <c r="K412" s="4"/>
      <c r="L412" s="9">
        <v>27.3993</v>
      </c>
      <c r="M412" s="9">
        <v>12.063700000000001</v>
      </c>
      <c r="N412" s="9">
        <v>4.9444999999999997</v>
      </c>
      <c r="O412" s="9">
        <v>0.37459999999999999</v>
      </c>
      <c r="P412" s="9">
        <v>1.2939000000000001</v>
      </c>
      <c r="Q412" s="9">
        <v>20.201499999999999</v>
      </c>
      <c r="R412" s="9"/>
      <c r="S412" s="11"/>
    </row>
    <row r="413" spans="1:19" ht="15.75">
      <c r="A413" s="13">
        <v>54454</v>
      </c>
      <c r="B413" s="8">
        <f>10.5296 * CHOOSE(CONTROL!$C$12, $D$11, 100%, $F$11)</f>
        <v>8.4657984000000006</v>
      </c>
      <c r="C413" s="8">
        <f>10.5401 * CHOOSE(CONTROL!$C$12, $D$11, 100%, $F$11)</f>
        <v>8.4742404000000011</v>
      </c>
      <c r="D413" s="8">
        <f>10.5377 * CHOOSE( CONTROL!$C$12, $D$11, 100%, $F$11)</f>
        <v>8.4723108000000007</v>
      </c>
      <c r="E413" s="12">
        <f>10.5375 * CHOOSE( CONTROL!$C$12, $D$11, 100%, $F$11)</f>
        <v>8.472150000000001</v>
      </c>
      <c r="F413" s="4">
        <f>11.5525 * CHOOSE(CONTROL!$C$12, $D$11, 100%, $F$11)</f>
        <v>9.2882100000000012</v>
      </c>
      <c r="G413" s="8">
        <f>10.2915 * CHOOSE( CONTROL!$C$12, $D$11, 100%, $F$11)</f>
        <v>8.2743660000000006</v>
      </c>
      <c r="H413" s="4">
        <f>11.1848 * CHOOSE(CONTROL!$C$12, $D$11, 100%, $F$11)</f>
        <v>8.9925791999999998</v>
      </c>
      <c r="I413" s="8">
        <f>10.1984 * CHOOSE(CONTROL!$C$12, $D$11, 100%, $F$11)</f>
        <v>8.1995135999999995</v>
      </c>
      <c r="J413" s="4">
        <f>10.0847 * CHOOSE(CONTROL!$C$12, $D$11, 100%, $F$11)</f>
        <v>8.1080988000000005</v>
      </c>
      <c r="K413" s="4"/>
      <c r="L413" s="9">
        <v>27.3993</v>
      </c>
      <c r="M413" s="9">
        <v>12.063700000000001</v>
      </c>
      <c r="N413" s="9">
        <v>4.9444999999999997</v>
      </c>
      <c r="O413" s="9">
        <v>0.37459999999999999</v>
      </c>
      <c r="P413" s="9">
        <v>1.2939000000000001</v>
      </c>
      <c r="Q413" s="9">
        <v>20.136399999999998</v>
      </c>
      <c r="R413" s="9"/>
      <c r="S413" s="11"/>
    </row>
    <row r="414" spans="1:19" ht="15.75">
      <c r="A414" s="13">
        <v>54482</v>
      </c>
      <c r="B414" s="8">
        <f>9.8492 * CHOOSE(CONTROL!$C$12, $D$11, 100%, $F$11)</f>
        <v>7.9187568000000006</v>
      </c>
      <c r="C414" s="8">
        <f>9.8597 * CHOOSE(CONTROL!$C$12, $D$11, 100%, $F$11)</f>
        <v>7.9271988000000002</v>
      </c>
      <c r="D414" s="8">
        <f>9.8596 * CHOOSE( CONTROL!$C$12, $D$11, 100%, $F$11)</f>
        <v>7.9271184000000003</v>
      </c>
      <c r="E414" s="12">
        <f>9.8585 * CHOOSE( CONTROL!$C$12, $D$11, 100%, $F$11)</f>
        <v>7.926234</v>
      </c>
      <c r="F414" s="4">
        <f>10.8643 * CHOOSE(CONTROL!$C$12, $D$11, 100%, $F$11)</f>
        <v>8.7348972000000007</v>
      </c>
      <c r="G414" s="8">
        <f>9.6281 * CHOOSE( CONTROL!$C$12, $D$11, 100%, $F$11)</f>
        <v>7.7409924000000006</v>
      </c>
      <c r="H414" s="4">
        <f>10.514 * CHOOSE(CONTROL!$C$12, $D$11, 100%, $F$11)</f>
        <v>8.4532559999999997</v>
      </c>
      <c r="I414" s="8">
        <f>9.5351 * CHOOSE(CONTROL!$C$12, $D$11, 100%, $F$11)</f>
        <v>7.6662204000000003</v>
      </c>
      <c r="J414" s="4">
        <f>9.4328 * CHOOSE(CONTROL!$C$12, $D$11, 100%, $F$11)</f>
        <v>7.5839712000000006</v>
      </c>
      <c r="K414" s="4"/>
      <c r="L414" s="9">
        <v>24.747800000000002</v>
      </c>
      <c r="M414" s="9">
        <v>10.8962</v>
      </c>
      <c r="N414" s="9">
        <v>4.4660000000000002</v>
      </c>
      <c r="O414" s="9">
        <v>0.33829999999999999</v>
      </c>
      <c r="P414" s="9">
        <v>1.1687000000000001</v>
      </c>
      <c r="Q414" s="9">
        <v>18.1877</v>
      </c>
      <c r="R414" s="9"/>
      <c r="S414" s="11"/>
    </row>
    <row r="415" spans="1:19" ht="15.75">
      <c r="A415" s="13">
        <v>54513</v>
      </c>
      <c r="B415" s="8">
        <f>9.6397 * CHOOSE(CONTROL!$C$12, $D$11, 100%, $F$11)</f>
        <v>7.7503187999999996</v>
      </c>
      <c r="C415" s="8">
        <f>9.6501 * CHOOSE(CONTROL!$C$12, $D$11, 100%, $F$11)</f>
        <v>7.7586804000000003</v>
      </c>
      <c r="D415" s="8">
        <f>9.6299 * CHOOSE( CONTROL!$C$12, $D$11, 100%, $F$11)</f>
        <v>7.7424396</v>
      </c>
      <c r="E415" s="12">
        <f>9.6362 * CHOOSE( CONTROL!$C$12, $D$11, 100%, $F$11)</f>
        <v>7.7475048000000006</v>
      </c>
      <c r="F415" s="4">
        <f>10.6386 * CHOOSE(CONTROL!$C$12, $D$11, 100%, $F$11)</f>
        <v>8.5534344000000004</v>
      </c>
      <c r="G415" s="8">
        <f>9.4033 * CHOOSE( CONTROL!$C$12, $D$11, 100%, $F$11)</f>
        <v>7.5602532</v>
      </c>
      <c r="H415" s="4">
        <f>10.2939 * CHOOSE(CONTROL!$C$12, $D$11, 100%, $F$11)</f>
        <v>8.276295600000001</v>
      </c>
      <c r="I415" s="8">
        <f>9.2947 * CHOOSE(CONTROL!$C$12, $D$11, 100%, $F$11)</f>
        <v>7.4729388000000005</v>
      </c>
      <c r="J415" s="4">
        <f>9.232 * CHOOSE(CONTROL!$C$12, $D$11, 100%, $F$11)</f>
        <v>7.4225279999999998</v>
      </c>
      <c r="K415" s="4"/>
      <c r="L415" s="9">
        <v>27.3993</v>
      </c>
      <c r="M415" s="9">
        <v>12.063700000000001</v>
      </c>
      <c r="N415" s="9">
        <v>4.9444999999999997</v>
      </c>
      <c r="O415" s="9">
        <v>0.37459999999999999</v>
      </c>
      <c r="P415" s="9">
        <v>1.2939000000000001</v>
      </c>
      <c r="Q415" s="9">
        <v>20.136399999999998</v>
      </c>
      <c r="R415" s="9"/>
      <c r="S415" s="11"/>
    </row>
    <row r="416" spans="1:19" ht="15.75">
      <c r="A416" s="13">
        <v>54543</v>
      </c>
      <c r="B416" s="8">
        <f>9.7861 * CHOOSE(CONTROL!$C$12, $D$11, 100%, $F$11)</f>
        <v>7.8680244000000004</v>
      </c>
      <c r="C416" s="8">
        <f>9.7965 * CHOOSE(CONTROL!$C$12, $D$11, 100%, $F$11)</f>
        <v>7.8763860000000001</v>
      </c>
      <c r="D416" s="8">
        <f>9.7997 * CHOOSE( CONTROL!$C$12, $D$11, 100%, $F$11)</f>
        <v>7.8789588000000004</v>
      </c>
      <c r="E416" s="12">
        <f>9.7975 * CHOOSE( CONTROL!$C$12, $D$11, 100%, $F$11)</f>
        <v>7.8771899999999997</v>
      </c>
      <c r="F416" s="4">
        <f>10.7934 * CHOOSE(CONTROL!$C$12, $D$11, 100%, $F$11)</f>
        <v>8.6778936000000009</v>
      </c>
      <c r="G416" s="8">
        <f>9.5339 * CHOOSE( CONTROL!$C$12, $D$11, 100%, $F$11)</f>
        <v>7.6652556000000001</v>
      </c>
      <c r="H416" s="4">
        <f>10.4448 * CHOOSE(CONTROL!$C$12, $D$11, 100%, $F$11)</f>
        <v>8.3976192000000012</v>
      </c>
      <c r="I416" s="8">
        <f>9.4252 * CHOOSE(CONTROL!$C$12, $D$11, 100%, $F$11)</f>
        <v>7.5778608000000007</v>
      </c>
      <c r="J416" s="4">
        <f>9.3723 * CHOOSE(CONTROL!$C$12, $D$11, 100%, $F$11)</f>
        <v>7.5353291999999996</v>
      </c>
      <c r="K416" s="4"/>
      <c r="L416" s="9">
        <v>27.988800000000001</v>
      </c>
      <c r="M416" s="9">
        <v>11.6745</v>
      </c>
      <c r="N416" s="9">
        <v>4.7850000000000001</v>
      </c>
      <c r="O416" s="9">
        <v>0.36249999999999999</v>
      </c>
      <c r="P416" s="9">
        <v>1.1798</v>
      </c>
      <c r="Q416" s="9">
        <v>19.486799999999999</v>
      </c>
      <c r="R416" s="9"/>
      <c r="S416" s="11"/>
    </row>
    <row r="417" spans="1:19" ht="15.75">
      <c r="A417" s="13">
        <v>54574</v>
      </c>
      <c r="B417" s="8">
        <f>CHOOSE( CONTROL!$C$29, 10.0514, 10.0467) * CHOOSE(CONTROL!$C$12, $D$11, 100%, $F$11)</f>
        <v>8.0813255999999996</v>
      </c>
      <c r="C417" s="8">
        <f>CHOOSE( CONTROL!$C$29, 10.0619, 10.0572) * CHOOSE(CONTROL!$C$12, $D$11, 100%, $F$11)</f>
        <v>8.0897676000000001</v>
      </c>
      <c r="D417" s="8">
        <f>CHOOSE( CONTROL!$C$29, 10.0398, 10.0351) * CHOOSE( CONTROL!$C$12, $D$11, 100%, $F$11)</f>
        <v>8.0719992000000005</v>
      </c>
      <c r="E417" s="12">
        <f>CHOOSE( CONTROL!$C$29, 10.0462, 10.0415) * CHOOSE( CONTROL!$C$12, $D$11, 100%, $F$11)</f>
        <v>8.077144800000001</v>
      </c>
      <c r="F417" s="4">
        <f>CHOOSE( CONTROL!$C$29, 11.0263, 11.0216) * CHOOSE(CONTROL!$C$12, $D$11, 100%, $F$11)</f>
        <v>8.8651452000000006</v>
      </c>
      <c r="G417" s="8">
        <f>CHOOSE( CONTROL!$C$29, 9.7739, 9.7693) * CHOOSE( CONTROL!$C$12, $D$11, 100%, $F$11)</f>
        <v>7.8582156000000003</v>
      </c>
      <c r="H417" s="4">
        <f>CHOOSE( CONTROL!$C$29, 10.6719, 10.6673) * CHOOSE(CONTROL!$C$12, $D$11, 100%, $F$11)</f>
        <v>8.5802076000000014</v>
      </c>
      <c r="I417" s="8">
        <f>CHOOSE( CONTROL!$C$29, 9.658, 9.6535) * CHOOSE(CONTROL!$C$12, $D$11, 100%, $F$11)</f>
        <v>7.7650319999999997</v>
      </c>
      <c r="J417" s="4">
        <f>CHOOSE( CONTROL!$C$29, 9.6265, 9.622) * CHOOSE(CONTROL!$C$12, $D$11, 100%, $F$11)</f>
        <v>7.7397060000000009</v>
      </c>
      <c r="K417" s="4"/>
      <c r="L417" s="9">
        <v>29.520499999999998</v>
      </c>
      <c r="M417" s="9">
        <v>12.063700000000001</v>
      </c>
      <c r="N417" s="9">
        <v>4.9444999999999997</v>
      </c>
      <c r="O417" s="9">
        <v>0.37459999999999999</v>
      </c>
      <c r="P417" s="9">
        <v>1.2192000000000001</v>
      </c>
      <c r="Q417" s="9">
        <v>20.136399999999998</v>
      </c>
      <c r="R417" s="9"/>
      <c r="S417" s="11"/>
    </row>
    <row r="418" spans="1:19" ht="15.75">
      <c r="A418" s="13">
        <v>54604</v>
      </c>
      <c r="B418" s="8">
        <f>CHOOSE( CONTROL!$C$29, 9.89, 9.8853) * CHOOSE(CONTROL!$C$12, $D$11, 100%, $F$11)</f>
        <v>7.9515600000000006</v>
      </c>
      <c r="C418" s="8">
        <f>CHOOSE( CONTROL!$C$29, 9.9004, 9.8957) * CHOOSE(CONTROL!$C$12, $D$11, 100%, $F$11)</f>
        <v>7.9599216000000004</v>
      </c>
      <c r="D418" s="8">
        <f>CHOOSE( CONTROL!$C$29, 9.8728, 9.8681) * CHOOSE( CONTROL!$C$12, $D$11, 100%, $F$11)</f>
        <v>7.9377312</v>
      </c>
      <c r="E418" s="12">
        <f>CHOOSE( CONTROL!$C$29, 9.8812, 9.8765) * CHOOSE( CONTROL!$C$12, $D$11, 100%, $F$11)</f>
        <v>7.9444848000000006</v>
      </c>
      <c r="F418" s="4">
        <f>CHOOSE( CONTROL!$C$29, 10.8544, 10.8497) * CHOOSE(CONTROL!$C$12, $D$11, 100%, $F$11)</f>
        <v>8.7269376000000012</v>
      </c>
      <c r="G418" s="8">
        <f>CHOOSE( CONTROL!$C$29, 9.6153, 9.6107) * CHOOSE( CONTROL!$C$12, $D$11, 100%, $F$11)</f>
        <v>7.7307012000000004</v>
      </c>
      <c r="H418" s="4">
        <f>CHOOSE( CONTROL!$C$29, 10.5044, 10.4998) * CHOOSE(CONTROL!$C$12, $D$11, 100%, $F$11)</f>
        <v>8.4455376000000015</v>
      </c>
      <c r="I418" s="8">
        <f>CHOOSE( CONTROL!$C$29, 9.5054, 9.5009) * CHOOSE(CONTROL!$C$12, $D$11, 100%, $F$11)</f>
        <v>7.6423416</v>
      </c>
      <c r="J418" s="4">
        <f>CHOOSE( CONTROL!$C$29, 9.4718, 9.4673) * CHOOSE(CONTROL!$C$12, $D$11, 100%, $F$11)</f>
        <v>7.6153272000000003</v>
      </c>
      <c r="K418" s="4"/>
      <c r="L418" s="9">
        <v>28.568200000000001</v>
      </c>
      <c r="M418" s="9">
        <v>11.6745</v>
      </c>
      <c r="N418" s="9">
        <v>4.7850000000000001</v>
      </c>
      <c r="O418" s="9">
        <v>0.36249999999999999</v>
      </c>
      <c r="P418" s="9">
        <v>1.1798</v>
      </c>
      <c r="Q418" s="9">
        <v>19.486799999999999</v>
      </c>
      <c r="R418" s="9"/>
      <c r="S418" s="11"/>
    </row>
    <row r="419" spans="1:19" ht="15.75">
      <c r="A419" s="13">
        <v>54635</v>
      </c>
      <c r="B419" s="8">
        <f>CHOOSE( CONTROL!$C$29, 10.3151, 10.3104) * CHOOSE(CONTROL!$C$12, $D$11, 100%, $F$11)</f>
        <v>8.2933403999999999</v>
      </c>
      <c r="C419" s="8">
        <f>CHOOSE( CONTROL!$C$29, 10.3256, 10.3209) * CHOOSE(CONTROL!$C$12, $D$11, 100%, $F$11)</f>
        <v>8.3017824000000005</v>
      </c>
      <c r="D419" s="8">
        <f>CHOOSE( CONTROL!$C$29, 10.3171, 10.3124) * CHOOSE( CONTROL!$C$12, $D$11, 100%, $F$11)</f>
        <v>8.2949484000000009</v>
      </c>
      <c r="E419" s="12">
        <f>CHOOSE( CONTROL!$C$29, 10.3186, 10.3139) * CHOOSE( CONTROL!$C$12, $D$11, 100%, $F$11)</f>
        <v>8.2961544000000007</v>
      </c>
      <c r="F419" s="4">
        <f>CHOOSE( CONTROL!$C$29, 11.3067, 11.302) * CHOOSE(CONTROL!$C$12, $D$11, 100%, $F$11)</f>
        <v>9.0905868000000005</v>
      </c>
      <c r="G419" s="8">
        <f>CHOOSE( CONTROL!$C$29, 10.0424, 10.0378) * CHOOSE( CONTROL!$C$12, $D$11, 100%, $F$11)</f>
        <v>8.0740896000000006</v>
      </c>
      <c r="H419" s="4">
        <f>CHOOSE( CONTROL!$C$29, 10.9452, 10.9406) * CHOOSE(CONTROL!$C$12, $D$11, 100%, $F$11)</f>
        <v>8.7999407999999999</v>
      </c>
      <c r="I419" s="8">
        <f>CHOOSE( CONTROL!$C$29, 9.9357, 9.9312) * CHOOSE(CONTROL!$C$12, $D$11, 100%, $F$11)</f>
        <v>7.9883028000000014</v>
      </c>
      <c r="J419" s="4">
        <f>CHOOSE( CONTROL!$C$29, 9.8792, 9.8747) * CHOOSE(CONTROL!$C$12, $D$11, 100%, $F$11)</f>
        <v>7.9428768000000014</v>
      </c>
      <c r="K419" s="4"/>
      <c r="L419" s="9">
        <v>29.520499999999998</v>
      </c>
      <c r="M419" s="9">
        <v>12.063700000000001</v>
      </c>
      <c r="N419" s="9">
        <v>4.9444999999999997</v>
      </c>
      <c r="O419" s="9">
        <v>0.37459999999999999</v>
      </c>
      <c r="P419" s="9">
        <v>1.2192000000000001</v>
      </c>
      <c r="Q419" s="9">
        <v>20.136399999999998</v>
      </c>
      <c r="R419" s="9"/>
      <c r="S419" s="11"/>
    </row>
    <row r="420" spans="1:19" ht="15.75">
      <c r="A420" s="13">
        <v>54666</v>
      </c>
      <c r="B420" s="8">
        <f>CHOOSE( CONTROL!$C$29, 9.5196, 9.5149) * CHOOSE(CONTROL!$C$12, $D$11, 100%, $F$11)</f>
        <v>7.653758400000001</v>
      </c>
      <c r="C420" s="8">
        <f>CHOOSE( CONTROL!$C$29, 9.5301, 9.5254) * CHOOSE(CONTROL!$C$12, $D$11, 100%, $F$11)</f>
        <v>7.6622003999999997</v>
      </c>
      <c r="D420" s="8">
        <f>CHOOSE( CONTROL!$C$29, 9.5249, 9.5202) * CHOOSE( CONTROL!$C$12, $D$11, 100%, $F$11)</f>
        <v>7.6580196000000011</v>
      </c>
      <c r="E420" s="12">
        <f>CHOOSE( CONTROL!$C$29, 9.5252, 9.5205) * CHOOSE( CONTROL!$C$12, $D$11, 100%, $F$11)</f>
        <v>7.6582608000000008</v>
      </c>
      <c r="F420" s="4">
        <f>CHOOSE( CONTROL!$C$29, 10.5164, 10.5117) * CHOOSE(CONTROL!$C$12, $D$11, 100%, $F$11)</f>
        <v>8.4551856000000019</v>
      </c>
      <c r="G420" s="8">
        <f>CHOOSE( CONTROL!$C$29, 9.2691, 9.2645) * CHOOSE( CONTROL!$C$12, $D$11, 100%, $F$11)</f>
        <v>7.4523564000000002</v>
      </c>
      <c r="H420" s="4">
        <f>CHOOSE( CONTROL!$C$29, 10.1749, 10.1703) * CHOOSE(CONTROL!$C$12, $D$11, 100%, $F$11)</f>
        <v>8.1806196</v>
      </c>
      <c r="I420" s="8">
        <f>CHOOSE( CONTROL!$C$29, 9.1777, 9.1732) * CHOOSE(CONTROL!$C$12, $D$11, 100%, $F$11)</f>
        <v>7.3788708000000005</v>
      </c>
      <c r="J420" s="4">
        <f>CHOOSE( CONTROL!$C$29, 9.1169, 9.1124) * CHOOSE(CONTROL!$C$12, $D$11, 100%, $F$11)</f>
        <v>7.3299875999999999</v>
      </c>
      <c r="K420" s="4"/>
      <c r="L420" s="9">
        <v>29.520499999999998</v>
      </c>
      <c r="M420" s="9">
        <v>12.063700000000001</v>
      </c>
      <c r="N420" s="9">
        <v>4.9444999999999997</v>
      </c>
      <c r="O420" s="9">
        <v>0.37459999999999999</v>
      </c>
      <c r="P420" s="9">
        <v>1.2192000000000001</v>
      </c>
      <c r="Q420" s="9">
        <v>20.136399999999998</v>
      </c>
      <c r="R420" s="9"/>
      <c r="S420" s="11"/>
    </row>
    <row r="421" spans="1:19" ht="15.75">
      <c r="A421" s="13">
        <v>54696</v>
      </c>
      <c r="B421" s="8">
        <f>CHOOSE( CONTROL!$C$29, 9.3204, 9.3157) * CHOOSE(CONTROL!$C$12, $D$11, 100%, $F$11)</f>
        <v>7.4936015999999999</v>
      </c>
      <c r="C421" s="8">
        <f>CHOOSE( CONTROL!$C$29, 9.3309, 9.3262) * CHOOSE(CONTROL!$C$12, $D$11, 100%, $F$11)</f>
        <v>7.5020436000000004</v>
      </c>
      <c r="D421" s="8">
        <f>CHOOSE( CONTROL!$C$29, 9.3215, 9.3168) * CHOOSE( CONTROL!$C$12, $D$11, 100%, $F$11)</f>
        <v>7.4944860000000011</v>
      </c>
      <c r="E421" s="12">
        <f>CHOOSE( CONTROL!$C$29, 9.3233, 9.3186) * CHOOSE( CONTROL!$C$12, $D$11, 100%, $F$11)</f>
        <v>7.4959332000000005</v>
      </c>
      <c r="F421" s="4">
        <f>CHOOSE( CONTROL!$C$29, 10.3094, 10.3047) * CHOOSE(CONTROL!$C$12, $D$11, 100%, $F$11)</f>
        <v>8.2887576000000003</v>
      </c>
      <c r="G421" s="8">
        <f>CHOOSE( CONTROL!$C$29, 9.0736, 9.069) * CHOOSE( CONTROL!$C$12, $D$11, 100%, $F$11)</f>
        <v>7.2951744000000014</v>
      </c>
      <c r="H421" s="4">
        <f>CHOOSE( CONTROL!$C$29, 9.9731, 9.9685) * CHOOSE(CONTROL!$C$12, $D$11, 100%, $F$11)</f>
        <v>8.0183724000000005</v>
      </c>
      <c r="I421" s="8">
        <f>CHOOSE( CONTROL!$C$29, 8.9881, 8.9836) * CHOOSE(CONTROL!$C$12, $D$11, 100%, $F$11)</f>
        <v>7.2264324000000002</v>
      </c>
      <c r="J421" s="4">
        <f>CHOOSE( CONTROL!$C$29, 8.9261, 8.9216) * CHOOSE(CONTROL!$C$12, $D$11, 100%, $F$11)</f>
        <v>7.1765844000000003</v>
      </c>
      <c r="K421" s="4"/>
      <c r="L421" s="9">
        <v>28.568200000000001</v>
      </c>
      <c r="M421" s="9">
        <v>11.6745</v>
      </c>
      <c r="N421" s="9">
        <v>4.7850000000000001</v>
      </c>
      <c r="O421" s="9">
        <v>0.36249999999999999</v>
      </c>
      <c r="P421" s="9">
        <v>1.1798</v>
      </c>
      <c r="Q421" s="9">
        <v>19.486799999999999</v>
      </c>
      <c r="R421" s="9"/>
      <c r="S421" s="11"/>
    </row>
    <row r="422" spans="1:19" ht="15.75">
      <c r="A422" s="13">
        <v>54727</v>
      </c>
      <c r="B422" s="8">
        <f>9.7293 * CHOOSE(CONTROL!$C$12, $D$11, 100%, $F$11)</f>
        <v>7.8223572000000008</v>
      </c>
      <c r="C422" s="8">
        <f>9.7398 * CHOOSE(CONTROL!$C$12, $D$11, 100%, $F$11)</f>
        <v>7.8307992000000013</v>
      </c>
      <c r="D422" s="8">
        <f>9.7313 * CHOOSE( CONTROL!$C$12, $D$11, 100%, $F$11)</f>
        <v>7.8239652</v>
      </c>
      <c r="E422" s="12">
        <f>9.733 * CHOOSE( CONTROL!$C$12, $D$11, 100%, $F$11)</f>
        <v>7.8253320000000013</v>
      </c>
      <c r="F422" s="4">
        <f>10.7183 * CHOOSE(CONTROL!$C$12, $D$11, 100%, $F$11)</f>
        <v>8.6175131999999994</v>
      </c>
      <c r="G422" s="8">
        <f>9.4718 * CHOOSE( CONTROL!$C$12, $D$11, 100%, $F$11)</f>
        <v>7.6153272000000003</v>
      </c>
      <c r="H422" s="4">
        <f>10.3717 * CHOOSE(CONTROL!$C$12, $D$11, 100%, $F$11)</f>
        <v>8.3388468000000007</v>
      </c>
      <c r="I422" s="8">
        <f>9.3821 * CHOOSE(CONTROL!$C$12, $D$11, 100%, $F$11)</f>
        <v>7.5432084000000001</v>
      </c>
      <c r="J422" s="4">
        <f>9.3179 * CHOOSE(CONTROL!$C$12, $D$11, 100%, $F$11)</f>
        <v>7.4915916000000005</v>
      </c>
      <c r="K422" s="4"/>
      <c r="L422" s="9">
        <v>28.921800000000001</v>
      </c>
      <c r="M422" s="9">
        <v>12.063700000000001</v>
      </c>
      <c r="N422" s="9">
        <v>4.9444999999999997</v>
      </c>
      <c r="O422" s="9">
        <v>0.37459999999999999</v>
      </c>
      <c r="P422" s="9">
        <v>1.2192000000000001</v>
      </c>
      <c r="Q422" s="9">
        <v>20.136399999999998</v>
      </c>
      <c r="R422" s="9"/>
      <c r="S422" s="11"/>
    </row>
    <row r="423" spans="1:19" ht="15.75">
      <c r="A423" s="13">
        <v>54757</v>
      </c>
      <c r="B423" s="8">
        <f>10.4928 * CHOOSE(CONTROL!$C$12, $D$11, 100%, $F$11)</f>
        <v>8.4362112000000007</v>
      </c>
      <c r="C423" s="8">
        <f>10.5032 * CHOOSE(CONTROL!$C$12, $D$11, 100%, $F$11)</f>
        <v>8.4445727999999995</v>
      </c>
      <c r="D423" s="8">
        <f>10.4835 * CHOOSE( CONTROL!$C$12, $D$11, 100%, $F$11)</f>
        <v>8.4287340000000004</v>
      </c>
      <c r="E423" s="12">
        <f>10.4896 * CHOOSE( CONTROL!$C$12, $D$11, 100%, $F$11)</f>
        <v>8.4336383999999995</v>
      </c>
      <c r="F423" s="4">
        <f>11.4844 * CHOOSE(CONTROL!$C$12, $D$11, 100%, $F$11)</f>
        <v>9.2334576000000013</v>
      </c>
      <c r="G423" s="8">
        <f>10.235 * CHOOSE( CONTROL!$C$12, $D$11, 100%, $F$11)</f>
        <v>8.2289399999999997</v>
      </c>
      <c r="H423" s="4">
        <f>11.1184 * CHOOSE(CONTROL!$C$12, $D$11, 100%, $F$11)</f>
        <v>8.9391935999999994</v>
      </c>
      <c r="I423" s="8">
        <f>10.1442 * CHOOSE(CONTROL!$C$12, $D$11, 100%, $F$11)</f>
        <v>8.155936800000001</v>
      </c>
      <c r="J423" s="4">
        <f>10.0494 * CHOOSE(CONTROL!$C$12, $D$11, 100%, $F$11)</f>
        <v>8.0797176000000004</v>
      </c>
      <c r="K423" s="4"/>
      <c r="L423" s="9">
        <v>26.515499999999999</v>
      </c>
      <c r="M423" s="9">
        <v>11.6745</v>
      </c>
      <c r="N423" s="9">
        <v>4.7850000000000001</v>
      </c>
      <c r="O423" s="9">
        <v>0.36249999999999999</v>
      </c>
      <c r="P423" s="9">
        <v>1.2522</v>
      </c>
      <c r="Q423" s="9">
        <v>19.486799999999999</v>
      </c>
      <c r="R423" s="9"/>
      <c r="S423" s="11"/>
    </row>
    <row r="424" spans="1:19" ht="15.75">
      <c r="A424" s="13">
        <v>54788</v>
      </c>
      <c r="B424" s="8">
        <f>10.4737 * CHOOSE(CONTROL!$C$12, $D$11, 100%, $F$11)</f>
        <v>8.420854799999999</v>
      </c>
      <c r="C424" s="8">
        <f>10.4841 * CHOOSE(CONTROL!$C$12, $D$11, 100%, $F$11)</f>
        <v>8.4292163999999996</v>
      </c>
      <c r="D424" s="8">
        <f>10.4663 * CHOOSE( CONTROL!$C$12, $D$11, 100%, $F$11)</f>
        <v>8.4149052000000015</v>
      </c>
      <c r="E424" s="12">
        <f>10.4717 * CHOOSE( CONTROL!$C$12, $D$11, 100%, $F$11)</f>
        <v>8.4192467999999998</v>
      </c>
      <c r="F424" s="4">
        <f>11.4653 * CHOOSE(CONTROL!$C$12, $D$11, 100%, $F$11)</f>
        <v>9.2181011999999996</v>
      </c>
      <c r="G424" s="8">
        <f>10.2179 * CHOOSE( CONTROL!$C$12, $D$11, 100%, $F$11)</f>
        <v>8.2151916000000007</v>
      </c>
      <c r="H424" s="4">
        <f>11.0998 * CHOOSE(CONTROL!$C$12, $D$11, 100%, $F$11)</f>
        <v>8.9242392000000006</v>
      </c>
      <c r="I424" s="8">
        <f>10.1328 * CHOOSE(CONTROL!$C$12, $D$11, 100%, $F$11)</f>
        <v>8.1467711999999999</v>
      </c>
      <c r="J424" s="4">
        <f>10.0312 * CHOOSE(CONTROL!$C$12, $D$11, 100%, $F$11)</f>
        <v>8.0650848000000011</v>
      </c>
      <c r="K424" s="4"/>
      <c r="L424" s="9">
        <v>27.3993</v>
      </c>
      <c r="M424" s="9">
        <v>12.063700000000001</v>
      </c>
      <c r="N424" s="9">
        <v>4.9444999999999997</v>
      </c>
      <c r="O424" s="9">
        <v>0.37459999999999999</v>
      </c>
      <c r="P424" s="9">
        <v>1.2939000000000001</v>
      </c>
      <c r="Q424" s="9">
        <v>20.136399999999998</v>
      </c>
      <c r="R424" s="9"/>
      <c r="S424" s="11"/>
    </row>
    <row r="425" spans="1:19" ht="15.75">
      <c r="A425" s="13">
        <v>54819</v>
      </c>
      <c r="B425" s="8">
        <f>10.8738 * CHOOSE(CONTROL!$C$12, $D$11, 100%, $F$11)</f>
        <v>8.7425352000000007</v>
      </c>
      <c r="C425" s="8">
        <f>10.8843 * CHOOSE(CONTROL!$C$12, $D$11, 100%, $F$11)</f>
        <v>8.7509771999999995</v>
      </c>
      <c r="D425" s="8">
        <f>10.8819 * CHOOSE( CONTROL!$C$12, $D$11, 100%, $F$11)</f>
        <v>8.7490476000000008</v>
      </c>
      <c r="E425" s="12">
        <f>10.8817 * CHOOSE( CONTROL!$C$12, $D$11, 100%, $F$11)</f>
        <v>8.7488868000000011</v>
      </c>
      <c r="F425" s="4">
        <f>11.8967 * CHOOSE(CONTROL!$C$12, $D$11, 100%, $F$11)</f>
        <v>9.5649467999999995</v>
      </c>
      <c r="G425" s="8">
        <f>10.627 * CHOOSE( CONTROL!$C$12, $D$11, 100%, $F$11)</f>
        <v>8.5441080000000014</v>
      </c>
      <c r="H425" s="4">
        <f>11.5203 * CHOOSE(CONTROL!$C$12, $D$11, 100%, $F$11)</f>
        <v>9.2623212000000006</v>
      </c>
      <c r="I425" s="8">
        <f>10.5283 * CHOOSE(CONTROL!$C$12, $D$11, 100%, $F$11)</f>
        <v>8.4647532000000005</v>
      </c>
      <c r="J425" s="4">
        <f>10.4145 * CHOOSE(CONTROL!$C$12, $D$11, 100%, $F$11)</f>
        <v>8.3732579999999999</v>
      </c>
      <c r="K425" s="4"/>
      <c r="L425" s="9">
        <v>27.3993</v>
      </c>
      <c r="M425" s="9">
        <v>12.063700000000001</v>
      </c>
      <c r="N425" s="9">
        <v>4.9444999999999997</v>
      </c>
      <c r="O425" s="9">
        <v>0.37459999999999999</v>
      </c>
      <c r="P425" s="9">
        <v>1.2939000000000001</v>
      </c>
      <c r="Q425" s="9">
        <v>20.071300000000001</v>
      </c>
      <c r="R425" s="9"/>
      <c r="S425" s="11"/>
    </row>
    <row r="426" spans="1:19" ht="15.75">
      <c r="A426" s="13">
        <v>54847</v>
      </c>
      <c r="B426" s="8">
        <f>10.1712 * CHOOSE(CONTROL!$C$12, $D$11, 100%, $F$11)</f>
        <v>8.1776448000000013</v>
      </c>
      <c r="C426" s="8">
        <f>10.1816 * CHOOSE(CONTROL!$C$12, $D$11, 100%, $F$11)</f>
        <v>8.1860064000000001</v>
      </c>
      <c r="D426" s="8">
        <f>10.1816 * CHOOSE( CONTROL!$C$12, $D$11, 100%, $F$11)</f>
        <v>8.1860064000000001</v>
      </c>
      <c r="E426" s="12">
        <f>10.1805 * CHOOSE( CONTROL!$C$12, $D$11, 100%, $F$11)</f>
        <v>8.1851220000000016</v>
      </c>
      <c r="F426" s="4">
        <f>11.1862 * CHOOSE(CONTROL!$C$12, $D$11, 100%, $F$11)</f>
        <v>8.9937047999999997</v>
      </c>
      <c r="G426" s="8">
        <f>9.9419 * CHOOSE( CONTROL!$C$12, $D$11, 100%, $F$11)</f>
        <v>7.9932876000000004</v>
      </c>
      <c r="H426" s="4">
        <f>10.8278 * CHOOSE(CONTROL!$C$12, $D$11, 100%, $F$11)</f>
        <v>8.7055512000000004</v>
      </c>
      <c r="I426" s="8">
        <f>9.8438 * CHOOSE(CONTROL!$C$12, $D$11, 100%, $F$11)</f>
        <v>7.9144152000000005</v>
      </c>
      <c r="J426" s="4">
        <f>9.7413 * CHOOSE(CONTROL!$C$12, $D$11, 100%, $F$11)</f>
        <v>7.8320052000000011</v>
      </c>
      <c r="K426" s="4"/>
      <c r="L426" s="9">
        <v>24.747800000000002</v>
      </c>
      <c r="M426" s="9">
        <v>10.8962</v>
      </c>
      <c r="N426" s="9">
        <v>4.4660000000000002</v>
      </c>
      <c r="O426" s="9">
        <v>0.33829999999999999</v>
      </c>
      <c r="P426" s="9">
        <v>1.1687000000000001</v>
      </c>
      <c r="Q426" s="9">
        <v>18.128900000000002</v>
      </c>
      <c r="R426" s="9"/>
      <c r="S426" s="11"/>
    </row>
    <row r="427" spans="1:19" ht="15.75">
      <c r="A427" s="13">
        <v>54878</v>
      </c>
      <c r="B427" s="8">
        <f>9.9548 * CHOOSE(CONTROL!$C$12, $D$11, 100%, $F$11)</f>
        <v>8.0036592000000013</v>
      </c>
      <c r="C427" s="8">
        <f>9.9652 * CHOOSE(CONTROL!$C$12, $D$11, 100%, $F$11)</f>
        <v>8.0120208000000002</v>
      </c>
      <c r="D427" s="8">
        <f>9.945 * CHOOSE( CONTROL!$C$12, $D$11, 100%, $F$11)</f>
        <v>7.9957800000000008</v>
      </c>
      <c r="E427" s="12">
        <f>9.9513 * CHOOSE( CONTROL!$C$12, $D$11, 100%, $F$11)</f>
        <v>8.0008452000000005</v>
      </c>
      <c r="F427" s="4">
        <f>10.9537 * CHOOSE(CONTROL!$C$12, $D$11, 100%, $F$11)</f>
        <v>8.8067747999999995</v>
      </c>
      <c r="G427" s="8">
        <f>9.7105 * CHOOSE( CONTROL!$C$12, $D$11, 100%, $F$11)</f>
        <v>7.8072420000000005</v>
      </c>
      <c r="H427" s="4">
        <f>10.6011 * CHOOSE(CONTROL!$C$12, $D$11, 100%, $F$11)</f>
        <v>8.5232844000000014</v>
      </c>
      <c r="I427" s="8">
        <f>9.5968 * CHOOSE(CONTROL!$C$12, $D$11, 100%, $F$11)</f>
        <v>7.7158272000000006</v>
      </c>
      <c r="J427" s="4">
        <f>9.5339 * CHOOSE(CONTROL!$C$12, $D$11, 100%, $F$11)</f>
        <v>7.6652556000000001</v>
      </c>
      <c r="K427" s="4"/>
      <c r="L427" s="9">
        <v>27.3993</v>
      </c>
      <c r="M427" s="9">
        <v>12.063700000000001</v>
      </c>
      <c r="N427" s="9">
        <v>4.9444999999999997</v>
      </c>
      <c r="O427" s="9">
        <v>0.37459999999999999</v>
      </c>
      <c r="P427" s="9">
        <v>1.2939000000000001</v>
      </c>
      <c r="Q427" s="9">
        <v>20.071300000000001</v>
      </c>
      <c r="R427" s="9"/>
      <c r="S427" s="11"/>
    </row>
    <row r="428" spans="1:19" ht="15.75">
      <c r="A428" s="13">
        <v>54908</v>
      </c>
      <c r="B428" s="8">
        <f>10.106 * CHOOSE(CONTROL!$C$12, $D$11, 100%, $F$11)</f>
        <v>8.1252240000000011</v>
      </c>
      <c r="C428" s="8">
        <f>10.1164 * CHOOSE(CONTROL!$C$12, $D$11, 100%, $F$11)</f>
        <v>8.1335856000000017</v>
      </c>
      <c r="D428" s="8">
        <f>10.1196 * CHOOSE( CONTROL!$C$12, $D$11, 100%, $F$11)</f>
        <v>8.1361584000000011</v>
      </c>
      <c r="E428" s="12">
        <f>10.1174 * CHOOSE( CONTROL!$C$12, $D$11, 100%, $F$11)</f>
        <v>8.1343896000000004</v>
      </c>
      <c r="F428" s="4">
        <f>11.1132 * CHOOSE(CONTROL!$C$12, $D$11, 100%, $F$11)</f>
        <v>8.9350128000000009</v>
      </c>
      <c r="G428" s="8">
        <f>9.8457 * CHOOSE( CONTROL!$C$12, $D$11, 100%, $F$11)</f>
        <v>7.9159428000000007</v>
      </c>
      <c r="H428" s="4">
        <f>10.7566 * CHOOSE(CONTROL!$C$12, $D$11, 100%, $F$11)</f>
        <v>8.6483064000000009</v>
      </c>
      <c r="I428" s="8">
        <f>9.7319 * CHOOSE(CONTROL!$C$12, $D$11, 100%, $F$11)</f>
        <v>7.8244476000000001</v>
      </c>
      <c r="J428" s="4">
        <f>9.6788 * CHOOSE(CONTROL!$C$12, $D$11, 100%, $F$11)</f>
        <v>7.781755200000001</v>
      </c>
      <c r="K428" s="4"/>
      <c r="L428" s="9">
        <v>27.988800000000001</v>
      </c>
      <c r="M428" s="9">
        <v>11.6745</v>
      </c>
      <c r="N428" s="9">
        <v>4.7850000000000001</v>
      </c>
      <c r="O428" s="9">
        <v>0.36249999999999999</v>
      </c>
      <c r="P428" s="9">
        <v>1.1798</v>
      </c>
      <c r="Q428" s="9">
        <v>19.4238</v>
      </c>
      <c r="R428" s="9"/>
      <c r="S428" s="11"/>
    </row>
    <row r="429" spans="1:19" ht="15.75">
      <c r="A429" s="13">
        <v>54939</v>
      </c>
      <c r="B429" s="8">
        <f>CHOOSE( CONTROL!$C$29, 10.3798, 10.3751) * CHOOSE(CONTROL!$C$12, $D$11, 100%, $F$11)</f>
        <v>8.3453592000000008</v>
      </c>
      <c r="C429" s="8">
        <f>CHOOSE( CONTROL!$C$29, 10.3903, 10.3856) * CHOOSE(CONTROL!$C$12, $D$11, 100%, $F$11)</f>
        <v>8.3538012000000013</v>
      </c>
      <c r="D429" s="8">
        <f>CHOOSE( CONTROL!$C$29, 10.3682, 10.3635) * CHOOSE( CONTROL!$C$12, $D$11, 100%, $F$11)</f>
        <v>8.3360327999999999</v>
      </c>
      <c r="E429" s="12">
        <f>CHOOSE( CONTROL!$C$29, 10.3746, 10.3699) * CHOOSE( CONTROL!$C$12, $D$11, 100%, $F$11)</f>
        <v>8.3411784000000004</v>
      </c>
      <c r="F429" s="4">
        <f>CHOOSE( CONTROL!$C$29, 11.3547, 11.35) * CHOOSE(CONTROL!$C$12, $D$11, 100%, $F$11)</f>
        <v>9.1291788</v>
      </c>
      <c r="G429" s="8">
        <f>CHOOSE( CONTROL!$C$29, 10.094, 10.0894) * CHOOSE( CONTROL!$C$12, $D$11, 100%, $F$11)</f>
        <v>8.1155760000000008</v>
      </c>
      <c r="H429" s="4">
        <f>CHOOSE( CONTROL!$C$29, 10.992, 10.9874) * CHOOSE(CONTROL!$C$12, $D$11, 100%, $F$11)</f>
        <v>8.837568000000001</v>
      </c>
      <c r="I429" s="8">
        <f>CHOOSE( CONTROL!$C$29, 9.9729, 9.9684) * CHOOSE(CONTROL!$C$12, $D$11, 100%, $F$11)</f>
        <v>8.018211599999999</v>
      </c>
      <c r="J429" s="4">
        <f>CHOOSE( CONTROL!$C$29, 9.9412, 9.9367) * CHOOSE(CONTROL!$C$12, $D$11, 100%, $F$11)</f>
        <v>7.9927248000000004</v>
      </c>
      <c r="K429" s="4"/>
      <c r="L429" s="9">
        <v>29.520499999999998</v>
      </c>
      <c r="M429" s="9">
        <v>12.063700000000001</v>
      </c>
      <c r="N429" s="9">
        <v>4.9444999999999997</v>
      </c>
      <c r="O429" s="9">
        <v>0.37459999999999999</v>
      </c>
      <c r="P429" s="9">
        <v>1.2192000000000001</v>
      </c>
      <c r="Q429" s="9">
        <v>20.071300000000001</v>
      </c>
      <c r="R429" s="9"/>
      <c r="S429" s="11"/>
    </row>
    <row r="430" spans="1:19" ht="15.75">
      <c r="A430" s="13">
        <v>54969</v>
      </c>
      <c r="B430" s="8">
        <f>CHOOSE( CONTROL!$C$29, 10.2131, 10.2084) * CHOOSE(CONTROL!$C$12, $D$11, 100%, $F$11)</f>
        <v>8.2113324000000016</v>
      </c>
      <c r="C430" s="8">
        <f>CHOOSE( CONTROL!$C$29, 10.2235, 10.2188) * CHOOSE(CONTROL!$C$12, $D$11, 100%, $F$11)</f>
        <v>8.2196940000000005</v>
      </c>
      <c r="D430" s="8">
        <f>CHOOSE( CONTROL!$C$29, 10.1959, 10.1912) * CHOOSE( CONTROL!$C$12, $D$11, 100%, $F$11)</f>
        <v>8.197503600000001</v>
      </c>
      <c r="E430" s="12">
        <f>CHOOSE( CONTROL!$C$29, 10.2043, 10.1996) * CHOOSE( CONTROL!$C$12, $D$11, 100%, $F$11)</f>
        <v>8.2042572000000007</v>
      </c>
      <c r="F430" s="4">
        <f>CHOOSE( CONTROL!$C$29, 11.1776, 11.1729) * CHOOSE(CONTROL!$C$12, $D$11, 100%, $F$11)</f>
        <v>8.9867904000000003</v>
      </c>
      <c r="G430" s="8">
        <f>CHOOSE( CONTROL!$C$29, 9.9302, 9.9256) * CHOOSE( CONTROL!$C$12, $D$11, 100%, $F$11)</f>
        <v>7.9838807999999997</v>
      </c>
      <c r="H430" s="4">
        <f>CHOOSE( CONTROL!$C$29, 10.8193, 10.8147) * CHOOSE(CONTROL!$C$12, $D$11, 100%, $F$11)</f>
        <v>8.6987172000000008</v>
      </c>
      <c r="I430" s="8">
        <f>CHOOSE( CONTROL!$C$29, 9.8152, 9.8107) * CHOOSE(CONTROL!$C$12, $D$11, 100%, $F$11)</f>
        <v>7.8914208000000015</v>
      </c>
      <c r="J430" s="4">
        <f>CHOOSE( CONTROL!$C$29, 9.7814, 9.7769) * CHOOSE(CONTROL!$C$12, $D$11, 100%, $F$11)</f>
        <v>7.8642456000000003</v>
      </c>
      <c r="K430" s="4"/>
      <c r="L430" s="9">
        <v>28.568200000000001</v>
      </c>
      <c r="M430" s="9">
        <v>11.6745</v>
      </c>
      <c r="N430" s="9">
        <v>4.7850000000000001</v>
      </c>
      <c r="O430" s="9">
        <v>0.36249999999999999</v>
      </c>
      <c r="P430" s="9">
        <v>1.1798</v>
      </c>
      <c r="Q430" s="9">
        <v>19.4238</v>
      </c>
      <c r="R430" s="9"/>
      <c r="S430" s="11"/>
    </row>
    <row r="431" spans="1:19" ht="15.75">
      <c r="A431" s="13">
        <v>55000</v>
      </c>
      <c r="B431" s="8">
        <f>CHOOSE( CONTROL!$C$29, 10.6522, 10.6475) * CHOOSE(CONTROL!$C$12, $D$11, 100%, $F$11)</f>
        <v>8.5643688000000004</v>
      </c>
      <c r="C431" s="8">
        <f>CHOOSE( CONTROL!$C$29, 10.6626, 10.6579) * CHOOSE(CONTROL!$C$12, $D$11, 100%, $F$11)</f>
        <v>8.5727303999999993</v>
      </c>
      <c r="D431" s="8">
        <f>CHOOSE( CONTROL!$C$29, 10.6541, 10.6494) * CHOOSE( CONTROL!$C$12, $D$11, 100%, $F$11)</f>
        <v>8.5658963999999997</v>
      </c>
      <c r="E431" s="12">
        <f>CHOOSE( CONTROL!$C$29, 10.6556, 10.6509) * CHOOSE( CONTROL!$C$12, $D$11, 100%, $F$11)</f>
        <v>8.5671023999999996</v>
      </c>
      <c r="F431" s="4">
        <f>CHOOSE( CONTROL!$C$29, 11.6438, 11.6391) * CHOOSE(CONTROL!$C$12, $D$11, 100%, $F$11)</f>
        <v>9.361615200000001</v>
      </c>
      <c r="G431" s="8">
        <f>CHOOSE( CONTROL!$C$29, 10.3709, 10.3663) * CHOOSE( CONTROL!$C$12, $D$11, 100%, $F$11)</f>
        <v>8.3382036000000017</v>
      </c>
      <c r="H431" s="4">
        <f>CHOOSE( CONTROL!$C$29, 11.2738, 11.2692) * CHOOSE(CONTROL!$C$12, $D$11, 100%, $F$11)</f>
        <v>9.0641352000000008</v>
      </c>
      <c r="I431" s="8">
        <f>CHOOSE( CONTROL!$C$29, 10.2588, 10.2543) * CHOOSE(CONTROL!$C$12, $D$11, 100%, $F$11)</f>
        <v>8.2480752000000006</v>
      </c>
      <c r="J431" s="4">
        <f>CHOOSE( CONTROL!$C$29, 10.2021, 10.1976) * CHOOSE(CONTROL!$C$12, $D$11, 100%, $F$11)</f>
        <v>8.2024884</v>
      </c>
      <c r="K431" s="4"/>
      <c r="L431" s="9">
        <v>29.520499999999998</v>
      </c>
      <c r="M431" s="9">
        <v>12.063700000000001</v>
      </c>
      <c r="N431" s="9">
        <v>4.9444999999999997</v>
      </c>
      <c r="O431" s="9">
        <v>0.37459999999999999</v>
      </c>
      <c r="P431" s="9">
        <v>1.2192000000000001</v>
      </c>
      <c r="Q431" s="9">
        <v>20.071300000000001</v>
      </c>
      <c r="R431" s="9"/>
      <c r="S431" s="11"/>
    </row>
    <row r="432" spans="1:19" ht="15.75">
      <c r="A432" s="13">
        <v>55031</v>
      </c>
      <c r="B432" s="8">
        <f>CHOOSE( CONTROL!$C$29, 9.8306, 9.8259) * CHOOSE(CONTROL!$C$12, $D$11, 100%, $F$11)</f>
        <v>7.9038024000000009</v>
      </c>
      <c r="C432" s="8">
        <f>CHOOSE( CONTROL!$C$29, 9.8411, 9.8364) * CHOOSE(CONTROL!$C$12, $D$11, 100%, $F$11)</f>
        <v>7.9122444000000014</v>
      </c>
      <c r="D432" s="8">
        <f>CHOOSE( CONTROL!$C$29, 9.836, 9.8312) * CHOOSE( CONTROL!$C$12, $D$11, 100%, $F$11)</f>
        <v>7.908144000000001</v>
      </c>
      <c r="E432" s="12">
        <f>CHOOSE( CONTROL!$C$29, 9.8362, 9.8315) * CHOOSE( CONTROL!$C$12, $D$11, 100%, $F$11)</f>
        <v>7.9083048000000007</v>
      </c>
      <c r="F432" s="4">
        <f>CHOOSE( CONTROL!$C$29, 10.8275, 10.8227) * CHOOSE(CONTROL!$C$12, $D$11, 100%, $F$11)</f>
        <v>8.7053100000000008</v>
      </c>
      <c r="G432" s="8">
        <f>CHOOSE( CONTROL!$C$29, 9.5722, 9.5676) * CHOOSE( CONTROL!$C$12, $D$11, 100%, $F$11)</f>
        <v>7.6960488000000007</v>
      </c>
      <c r="H432" s="4">
        <f>CHOOSE( CONTROL!$C$29, 10.478, 10.4735) * CHOOSE(CONTROL!$C$12, $D$11, 100%, $F$11)</f>
        <v>8.4243120000000005</v>
      </c>
      <c r="I432" s="8">
        <f>CHOOSE( CONTROL!$C$29, 9.4759, 9.4714) * CHOOSE(CONTROL!$C$12, $D$11, 100%, $F$11)</f>
        <v>7.6186236000000003</v>
      </c>
      <c r="J432" s="4">
        <f>CHOOSE( CONTROL!$C$29, 9.415, 9.4105) * CHOOSE(CONTROL!$C$12, $D$11, 100%, $F$11)</f>
        <v>7.5696599999999998</v>
      </c>
      <c r="K432" s="4"/>
      <c r="L432" s="9">
        <v>29.520499999999998</v>
      </c>
      <c r="M432" s="9">
        <v>12.063700000000001</v>
      </c>
      <c r="N432" s="9">
        <v>4.9444999999999997</v>
      </c>
      <c r="O432" s="9">
        <v>0.37459999999999999</v>
      </c>
      <c r="P432" s="9">
        <v>1.2192000000000001</v>
      </c>
      <c r="Q432" s="9">
        <v>20.071300000000001</v>
      </c>
      <c r="R432" s="9"/>
      <c r="S432" s="11"/>
    </row>
    <row r="433" spans="1:19" ht="15.75">
      <c r="A433" s="13">
        <v>55061</v>
      </c>
      <c r="B433" s="8">
        <f>CHOOSE( CONTROL!$C$29, 9.6249, 9.6202) * CHOOSE(CONTROL!$C$12, $D$11, 100%, $F$11)</f>
        <v>7.7384196000000003</v>
      </c>
      <c r="C433" s="8">
        <f>CHOOSE( CONTROL!$C$29, 9.6354, 9.6306) * CHOOSE(CONTROL!$C$12, $D$11, 100%, $F$11)</f>
        <v>7.7468616000000008</v>
      </c>
      <c r="D433" s="8">
        <f>CHOOSE( CONTROL!$C$29, 9.626, 9.6213) * CHOOSE( CONTROL!$C$12, $D$11, 100%, $F$11)</f>
        <v>7.7393039999999997</v>
      </c>
      <c r="E433" s="12">
        <f>CHOOSE( CONTROL!$C$29, 9.6278, 9.6231) * CHOOSE( CONTROL!$C$12, $D$11, 100%, $F$11)</f>
        <v>7.7407512000000009</v>
      </c>
      <c r="F433" s="4">
        <f>CHOOSE( CONTROL!$C$29, 10.6139, 10.6092) * CHOOSE(CONTROL!$C$12, $D$11, 100%, $F$11)</f>
        <v>8.5335756000000007</v>
      </c>
      <c r="G433" s="8">
        <f>CHOOSE( CONTROL!$C$29, 9.3704, 9.3658) * CHOOSE( CONTROL!$C$12, $D$11, 100%, $F$11)</f>
        <v>7.5338016000000003</v>
      </c>
      <c r="H433" s="4">
        <f>CHOOSE( CONTROL!$C$29, 10.2699, 10.2653) * CHOOSE(CONTROL!$C$12, $D$11, 100%, $F$11)</f>
        <v>8.2569996000000003</v>
      </c>
      <c r="I433" s="8">
        <f>CHOOSE( CONTROL!$C$29, 9.28, 9.2755) * CHOOSE(CONTROL!$C$12, $D$11, 100%, $F$11)</f>
        <v>7.4611200000000002</v>
      </c>
      <c r="J433" s="4">
        <f>CHOOSE( CONTROL!$C$29, 9.2178, 9.2133) * CHOOSE(CONTROL!$C$12, $D$11, 100%, $F$11)</f>
        <v>7.4111112000000006</v>
      </c>
      <c r="K433" s="4"/>
      <c r="L433" s="9">
        <v>28.568200000000001</v>
      </c>
      <c r="M433" s="9">
        <v>11.6745</v>
      </c>
      <c r="N433" s="9">
        <v>4.7850000000000001</v>
      </c>
      <c r="O433" s="9">
        <v>0.36249999999999999</v>
      </c>
      <c r="P433" s="9">
        <v>1.1798</v>
      </c>
      <c r="Q433" s="9">
        <v>19.4238</v>
      </c>
      <c r="R433" s="9"/>
      <c r="S433" s="11"/>
    </row>
    <row r="434" spans="1:19" ht="15.75">
      <c r="A434" s="13">
        <v>55092</v>
      </c>
      <c r="B434" s="8">
        <f>10.0474 * CHOOSE(CONTROL!$C$12, $D$11, 100%, $F$11)</f>
        <v>8.0781095999999994</v>
      </c>
      <c r="C434" s="8">
        <f>10.0578 * CHOOSE(CONTROL!$C$12, $D$11, 100%, $F$11)</f>
        <v>8.0864712000000001</v>
      </c>
      <c r="D434" s="8">
        <f>10.0493 * CHOOSE( CONTROL!$C$12, $D$11, 100%, $F$11)</f>
        <v>8.0796372000000005</v>
      </c>
      <c r="E434" s="12">
        <f>10.051 * CHOOSE( CONTROL!$C$12, $D$11, 100%, $F$11)</f>
        <v>8.0810040000000001</v>
      </c>
      <c r="F434" s="4">
        <f>11.0363 * CHOOSE(CONTROL!$C$12, $D$11, 100%, $F$11)</f>
        <v>8.8731852000000018</v>
      </c>
      <c r="G434" s="8">
        <f>9.7818 * CHOOSE( CONTROL!$C$12, $D$11, 100%, $F$11)</f>
        <v>7.8645672000000006</v>
      </c>
      <c r="H434" s="4">
        <f>10.6817 * CHOOSE(CONTROL!$C$12, $D$11, 100%, $F$11)</f>
        <v>8.5880867999999992</v>
      </c>
      <c r="I434" s="8">
        <f>9.687 * CHOOSE(CONTROL!$C$12, $D$11, 100%, $F$11)</f>
        <v>7.788348</v>
      </c>
      <c r="J434" s="4">
        <f>9.6226 * CHOOSE(CONTROL!$C$12, $D$11, 100%, $F$11)</f>
        <v>7.7365704000000006</v>
      </c>
      <c r="K434" s="4"/>
      <c r="L434" s="9">
        <v>28.921800000000001</v>
      </c>
      <c r="M434" s="9">
        <v>12.063700000000001</v>
      </c>
      <c r="N434" s="9">
        <v>4.9444999999999997</v>
      </c>
      <c r="O434" s="9">
        <v>0.37459999999999999</v>
      </c>
      <c r="P434" s="9">
        <v>1.2192000000000001</v>
      </c>
      <c r="Q434" s="9">
        <v>20.071300000000001</v>
      </c>
      <c r="R434" s="9"/>
      <c r="S434" s="11"/>
    </row>
    <row r="435" spans="1:19" ht="15.75">
      <c r="A435" s="13">
        <v>55122</v>
      </c>
      <c r="B435" s="8">
        <f>10.8358 * CHOOSE(CONTROL!$C$12, $D$11, 100%, $F$11)</f>
        <v>8.7119832000000006</v>
      </c>
      <c r="C435" s="8">
        <f>10.8462 * CHOOSE(CONTROL!$C$12, $D$11, 100%, $F$11)</f>
        <v>8.7203447999999995</v>
      </c>
      <c r="D435" s="8">
        <f>10.8265 * CHOOSE( CONTROL!$C$12, $D$11, 100%, $F$11)</f>
        <v>8.7045060000000003</v>
      </c>
      <c r="E435" s="12">
        <f>10.8326 * CHOOSE( CONTROL!$C$12, $D$11, 100%, $F$11)</f>
        <v>8.7094103999999994</v>
      </c>
      <c r="F435" s="4">
        <f>11.8274 * CHOOSE(CONTROL!$C$12, $D$11, 100%, $F$11)</f>
        <v>9.5092296000000012</v>
      </c>
      <c r="G435" s="8">
        <f>10.5694 * CHOOSE( CONTROL!$C$12, $D$11, 100%, $F$11)</f>
        <v>8.4977976000000002</v>
      </c>
      <c r="H435" s="4">
        <f>11.4527 * CHOOSE(CONTROL!$C$12, $D$11, 100%, $F$11)</f>
        <v>9.2079708</v>
      </c>
      <c r="I435" s="8">
        <f>10.4731 * CHOOSE(CONTROL!$C$12, $D$11, 100%, $F$11)</f>
        <v>8.4203724000000015</v>
      </c>
      <c r="J435" s="4">
        <f>10.3781 * CHOOSE(CONTROL!$C$12, $D$11, 100%, $F$11)</f>
        <v>8.3439924000000012</v>
      </c>
      <c r="K435" s="4"/>
      <c r="L435" s="9">
        <v>26.515499999999999</v>
      </c>
      <c r="M435" s="9">
        <v>11.6745</v>
      </c>
      <c r="N435" s="9">
        <v>4.7850000000000001</v>
      </c>
      <c r="O435" s="9">
        <v>0.36249999999999999</v>
      </c>
      <c r="P435" s="9">
        <v>1.2522</v>
      </c>
      <c r="Q435" s="9">
        <v>19.4238</v>
      </c>
      <c r="R435" s="9"/>
      <c r="S435" s="11"/>
    </row>
    <row r="436" spans="1:19" ht="15.75">
      <c r="A436" s="13">
        <v>55153</v>
      </c>
      <c r="B436" s="8">
        <f>10.8161 * CHOOSE(CONTROL!$C$12, $D$11, 100%, $F$11)</f>
        <v>8.6961444000000014</v>
      </c>
      <c r="C436" s="8">
        <f>10.8265 * CHOOSE(CONTROL!$C$12, $D$11, 100%, $F$11)</f>
        <v>8.7045060000000003</v>
      </c>
      <c r="D436" s="8">
        <f>10.8087 * CHOOSE( CONTROL!$C$12, $D$11, 100%, $F$11)</f>
        <v>8.6901948000000004</v>
      </c>
      <c r="E436" s="12">
        <f>10.8141 * CHOOSE( CONTROL!$C$12, $D$11, 100%, $F$11)</f>
        <v>8.6945364000000005</v>
      </c>
      <c r="F436" s="4">
        <f>11.8077 * CHOOSE(CONTROL!$C$12, $D$11, 100%, $F$11)</f>
        <v>9.4933908000000002</v>
      </c>
      <c r="G436" s="8">
        <f>10.5516 * CHOOSE( CONTROL!$C$12, $D$11, 100%, $F$11)</f>
        <v>8.4834864000000003</v>
      </c>
      <c r="H436" s="4">
        <f>11.4335 * CHOOSE(CONTROL!$C$12, $D$11, 100%, $F$11)</f>
        <v>9.1925340000000002</v>
      </c>
      <c r="I436" s="8">
        <f>10.461 * CHOOSE(CONTROL!$C$12, $D$11, 100%, $F$11)</f>
        <v>8.4106440000000013</v>
      </c>
      <c r="J436" s="4">
        <f>10.3592 * CHOOSE(CONTROL!$C$12, $D$11, 100%, $F$11)</f>
        <v>8.3287967999999992</v>
      </c>
      <c r="K436" s="4"/>
      <c r="L436" s="9">
        <v>27.3993</v>
      </c>
      <c r="M436" s="9">
        <v>12.063700000000001</v>
      </c>
      <c r="N436" s="9">
        <v>4.9444999999999997</v>
      </c>
      <c r="O436" s="9">
        <v>0.37459999999999999</v>
      </c>
      <c r="P436" s="9">
        <v>1.2939000000000001</v>
      </c>
      <c r="Q436" s="9">
        <v>20.071300000000001</v>
      </c>
      <c r="R436" s="9"/>
      <c r="S436" s="11"/>
    </row>
    <row r="437" spans="1:19" ht="15.75">
      <c r="A437" s="13">
        <v>55184</v>
      </c>
      <c r="B437" s="8">
        <f>11.2293 * CHOOSE(CONTROL!$C$12, $D$11, 100%, $F$11)</f>
        <v>9.0283572000000003</v>
      </c>
      <c r="C437" s="8">
        <f>11.2397 * CHOOSE(CONTROL!$C$12, $D$11, 100%, $F$11)</f>
        <v>9.0367187999999992</v>
      </c>
      <c r="D437" s="8">
        <f>11.2374 * CHOOSE( CONTROL!$C$12, $D$11, 100%, $F$11)</f>
        <v>9.0348696000000004</v>
      </c>
      <c r="E437" s="12">
        <f>11.2371 * CHOOSE( CONTROL!$C$12, $D$11, 100%, $F$11)</f>
        <v>9.0346284000000008</v>
      </c>
      <c r="F437" s="4">
        <f>12.2522 * CHOOSE(CONTROL!$C$12, $D$11, 100%, $F$11)</f>
        <v>9.8507688000000009</v>
      </c>
      <c r="G437" s="8">
        <f>10.9735 * CHOOSE( CONTROL!$C$12, $D$11, 100%, $F$11)</f>
        <v>8.8226940000000003</v>
      </c>
      <c r="H437" s="4">
        <f>11.8668 * CHOOSE(CONTROL!$C$12, $D$11, 100%, $F$11)</f>
        <v>9.5409071999999995</v>
      </c>
      <c r="I437" s="8">
        <f>10.8691 * CHOOSE(CONTROL!$C$12, $D$11, 100%, $F$11)</f>
        <v>8.7387563999999998</v>
      </c>
      <c r="J437" s="4">
        <f>10.7551 * CHOOSE(CONTROL!$C$12, $D$11, 100%, $F$11)</f>
        <v>8.6471004000000011</v>
      </c>
      <c r="K437" s="4"/>
      <c r="L437" s="9">
        <v>27.3993</v>
      </c>
      <c r="M437" s="9">
        <v>12.063700000000001</v>
      </c>
      <c r="N437" s="9">
        <v>4.9444999999999997</v>
      </c>
      <c r="O437" s="9">
        <v>0.37459999999999999</v>
      </c>
      <c r="P437" s="9">
        <v>1.2939000000000001</v>
      </c>
      <c r="Q437" s="9">
        <v>20.007999999999999</v>
      </c>
      <c r="R437" s="9"/>
      <c r="S437" s="11"/>
    </row>
    <row r="438" spans="1:19" ht="15.75">
      <c r="A438" s="13">
        <v>55212</v>
      </c>
      <c r="B438" s="8">
        <f>10.5036 * CHOOSE(CONTROL!$C$12, $D$11, 100%, $F$11)</f>
        <v>8.4448944000000008</v>
      </c>
      <c r="C438" s="8">
        <f>10.5141 * CHOOSE(CONTROL!$C$12, $D$11, 100%, $F$11)</f>
        <v>8.4533363999999995</v>
      </c>
      <c r="D438" s="8">
        <f>10.514 * CHOOSE( CONTROL!$C$12, $D$11, 100%, $F$11)</f>
        <v>8.4532559999999997</v>
      </c>
      <c r="E438" s="12">
        <f>10.5129 * CHOOSE( CONTROL!$C$12, $D$11, 100%, $F$11)</f>
        <v>8.4523716000000011</v>
      </c>
      <c r="F438" s="4">
        <f>11.5187 * CHOOSE(CONTROL!$C$12, $D$11, 100%, $F$11)</f>
        <v>9.2610348000000009</v>
      </c>
      <c r="G438" s="8">
        <f>10.266 * CHOOSE( CONTROL!$C$12, $D$11, 100%, $F$11)</f>
        <v>8.2538640000000001</v>
      </c>
      <c r="H438" s="4">
        <f>11.1519 * CHOOSE(CONTROL!$C$12, $D$11, 100%, $F$11)</f>
        <v>8.9661276000000001</v>
      </c>
      <c r="I438" s="8">
        <f>10.1625 * CHOOSE(CONTROL!$C$12, $D$11, 100%, $F$11)</f>
        <v>8.1706500000000002</v>
      </c>
      <c r="J438" s="4">
        <f>10.0598 * CHOOSE(CONTROL!$C$12, $D$11, 100%, $F$11)</f>
        <v>8.0880791999999992</v>
      </c>
      <c r="K438" s="4"/>
      <c r="L438" s="9">
        <v>24.747800000000002</v>
      </c>
      <c r="M438" s="9">
        <v>10.8962</v>
      </c>
      <c r="N438" s="9">
        <v>4.4660000000000002</v>
      </c>
      <c r="O438" s="9">
        <v>0.33829999999999999</v>
      </c>
      <c r="P438" s="9">
        <v>1.1687000000000001</v>
      </c>
      <c r="Q438" s="9">
        <v>18.0718</v>
      </c>
      <c r="R438" s="9"/>
      <c r="S438" s="11"/>
    </row>
    <row r="439" spans="1:19" ht="15.75">
      <c r="A439" s="13">
        <v>55243</v>
      </c>
      <c r="B439" s="8">
        <f>10.2801 * CHOOSE(CONTROL!$C$12, $D$11, 100%, $F$11)</f>
        <v>8.2652003999999994</v>
      </c>
      <c r="C439" s="8">
        <f>10.2906 * CHOOSE(CONTROL!$C$12, $D$11, 100%, $F$11)</f>
        <v>8.2736424</v>
      </c>
      <c r="D439" s="8">
        <f>10.2704 * CHOOSE( CONTROL!$C$12, $D$11, 100%, $F$11)</f>
        <v>8.2574016000000015</v>
      </c>
      <c r="E439" s="12">
        <f>10.2767 * CHOOSE( CONTROL!$C$12, $D$11, 100%, $F$11)</f>
        <v>8.2624668000000003</v>
      </c>
      <c r="F439" s="4">
        <f>11.2791 * CHOOSE(CONTROL!$C$12, $D$11, 100%, $F$11)</f>
        <v>9.068396400000001</v>
      </c>
      <c r="G439" s="8">
        <f>10.0276 * CHOOSE( CONTROL!$C$12, $D$11, 100%, $F$11)</f>
        <v>8.0621904000000004</v>
      </c>
      <c r="H439" s="4">
        <f>10.9183 * CHOOSE(CONTROL!$C$12, $D$11, 100%, $F$11)</f>
        <v>8.7783132000000013</v>
      </c>
      <c r="I439" s="8">
        <f>9.9087 * CHOOSE(CONTROL!$C$12, $D$11, 100%, $F$11)</f>
        <v>7.9665948000000002</v>
      </c>
      <c r="J439" s="4">
        <f>9.8457 * CHOOSE(CONTROL!$C$12, $D$11, 100%, $F$11)</f>
        <v>7.9159428000000007</v>
      </c>
      <c r="K439" s="4"/>
      <c r="L439" s="9">
        <v>27.3993</v>
      </c>
      <c r="M439" s="9">
        <v>12.063700000000001</v>
      </c>
      <c r="N439" s="9">
        <v>4.9444999999999997</v>
      </c>
      <c r="O439" s="9">
        <v>0.37459999999999999</v>
      </c>
      <c r="P439" s="9">
        <v>1.2939000000000001</v>
      </c>
      <c r="Q439" s="9">
        <v>20.007999999999999</v>
      </c>
      <c r="R439" s="9"/>
      <c r="S439" s="11"/>
    </row>
    <row r="440" spans="1:19" ht="15.75">
      <c r="A440" s="13">
        <v>55273</v>
      </c>
      <c r="B440" s="8">
        <f>10.4363 * CHOOSE(CONTROL!$C$12, $D$11, 100%, $F$11)</f>
        <v>8.3907851999999998</v>
      </c>
      <c r="C440" s="8">
        <f>10.4468 * CHOOSE(CONTROL!$C$12, $D$11, 100%, $F$11)</f>
        <v>8.3992272000000003</v>
      </c>
      <c r="D440" s="8">
        <f>10.45 * CHOOSE( CONTROL!$C$12, $D$11, 100%, $F$11)</f>
        <v>8.4017999999999997</v>
      </c>
      <c r="E440" s="12">
        <f>10.4477 * CHOOSE( CONTROL!$C$12, $D$11, 100%, $F$11)</f>
        <v>8.3999507999999992</v>
      </c>
      <c r="F440" s="4">
        <f>11.4436 * CHOOSE(CONTROL!$C$12, $D$11, 100%, $F$11)</f>
        <v>9.2006544000000012</v>
      </c>
      <c r="G440" s="8">
        <f>10.1678 * CHOOSE( CONTROL!$C$12, $D$11, 100%, $F$11)</f>
        <v>8.1749112000000004</v>
      </c>
      <c r="H440" s="4">
        <f>11.0786 * CHOOSE(CONTROL!$C$12, $D$11, 100%, $F$11)</f>
        <v>8.9071943999999998</v>
      </c>
      <c r="I440" s="8">
        <f>10.0486 * CHOOSE(CONTROL!$C$12, $D$11, 100%, $F$11)</f>
        <v>8.0790744000000014</v>
      </c>
      <c r="J440" s="4">
        <f>9.9953 * CHOOSE(CONTROL!$C$12, $D$11, 100%, $F$11)</f>
        <v>8.0362212</v>
      </c>
      <c r="K440" s="4"/>
      <c r="L440" s="9">
        <v>27.988800000000001</v>
      </c>
      <c r="M440" s="9">
        <v>11.6745</v>
      </c>
      <c r="N440" s="9">
        <v>4.7850000000000001</v>
      </c>
      <c r="O440" s="9">
        <v>0.36249999999999999</v>
      </c>
      <c r="P440" s="9">
        <v>1.1798</v>
      </c>
      <c r="Q440" s="9">
        <v>19.3626</v>
      </c>
      <c r="R440" s="9"/>
      <c r="S440" s="11"/>
    </row>
    <row r="441" spans="1:19" ht="15.75">
      <c r="A441" s="13">
        <v>55304</v>
      </c>
      <c r="B441" s="8">
        <f>CHOOSE( CONTROL!$C$29, 10.719, 10.7143) * CHOOSE(CONTROL!$C$12, $D$11, 100%, $F$11)</f>
        <v>8.6180760000000003</v>
      </c>
      <c r="C441" s="8">
        <f>CHOOSE( CONTROL!$C$29, 10.7294, 10.7247) * CHOOSE(CONTROL!$C$12, $D$11, 100%, $F$11)</f>
        <v>8.6264376000000009</v>
      </c>
      <c r="D441" s="8">
        <f>CHOOSE( CONTROL!$C$29, 10.7074, 10.7027) * CHOOSE( CONTROL!$C$12, $D$11, 100%, $F$11)</f>
        <v>8.6087496000000012</v>
      </c>
      <c r="E441" s="12">
        <f>CHOOSE( CONTROL!$C$29, 10.7138, 10.7091) * CHOOSE( CONTROL!$C$12, $D$11, 100%, $F$11)</f>
        <v>8.6138952000000018</v>
      </c>
      <c r="F441" s="4">
        <f>CHOOSE( CONTROL!$C$29, 11.6939, 11.6892) * CHOOSE(CONTROL!$C$12, $D$11, 100%, $F$11)</f>
        <v>9.4018955999999996</v>
      </c>
      <c r="G441" s="8">
        <f>CHOOSE( CONTROL!$C$29, 10.4246, 10.42) * CHOOSE( CONTROL!$C$12, $D$11, 100%, $F$11)</f>
        <v>8.3813784000000009</v>
      </c>
      <c r="H441" s="4">
        <f>CHOOSE( CONTROL!$C$29, 11.3226, 11.318) * CHOOSE(CONTROL!$C$12, $D$11, 100%, $F$11)</f>
        <v>9.1033703999999993</v>
      </c>
      <c r="I441" s="8">
        <f>CHOOSE( CONTROL!$C$29, 10.298, 10.2935) * CHOOSE(CONTROL!$C$12, $D$11, 100%, $F$11)</f>
        <v>8.279592000000001</v>
      </c>
      <c r="J441" s="4">
        <f>CHOOSE( CONTROL!$C$29, 10.2662, 10.2617) * CHOOSE(CONTROL!$C$12, $D$11, 100%, $F$11)</f>
        <v>8.2540247999999998</v>
      </c>
      <c r="K441" s="4"/>
      <c r="L441" s="9">
        <v>29.520499999999998</v>
      </c>
      <c r="M441" s="9">
        <v>12.063700000000001</v>
      </c>
      <c r="N441" s="9">
        <v>4.9444999999999997</v>
      </c>
      <c r="O441" s="9">
        <v>0.37459999999999999</v>
      </c>
      <c r="P441" s="9">
        <v>1.2192000000000001</v>
      </c>
      <c r="Q441" s="9">
        <v>20.007999999999999</v>
      </c>
      <c r="R441" s="9"/>
      <c r="S441" s="11"/>
    </row>
    <row r="442" spans="1:19" ht="15.75">
      <c r="A442" s="13">
        <v>55334</v>
      </c>
      <c r="B442" s="8">
        <f>CHOOSE( CONTROL!$C$29, 10.5468, 10.5421) * CHOOSE(CONTROL!$C$12, $D$11, 100%, $F$11)</f>
        <v>8.4796271999999995</v>
      </c>
      <c r="C442" s="8">
        <f>CHOOSE( CONTROL!$C$29, 10.5572, 10.5525) * CHOOSE(CONTROL!$C$12, $D$11, 100%, $F$11)</f>
        <v>8.4879888000000001</v>
      </c>
      <c r="D442" s="8">
        <f>CHOOSE( CONTROL!$C$29, 10.5296, 10.5249) * CHOOSE( CONTROL!$C$12, $D$11, 100%, $F$11)</f>
        <v>8.4657984000000006</v>
      </c>
      <c r="E442" s="12">
        <f>CHOOSE( CONTROL!$C$29, 10.538, 10.5333) * CHOOSE( CONTROL!$C$12, $D$11, 100%, $F$11)</f>
        <v>8.4725520000000003</v>
      </c>
      <c r="F442" s="4">
        <f>CHOOSE( CONTROL!$C$29, 11.5113, 11.5066) * CHOOSE(CONTROL!$C$12, $D$11, 100%, $F$11)</f>
        <v>9.2550852000000017</v>
      </c>
      <c r="G442" s="8">
        <f>CHOOSE( CONTROL!$C$29, 10.2555, 10.2509) * CHOOSE( CONTROL!$C$12, $D$11, 100%, $F$11)</f>
        <v>8.2454219999999996</v>
      </c>
      <c r="H442" s="4">
        <f>CHOOSE( CONTROL!$C$29, 11.1446, 11.14) * CHOOSE(CONTROL!$C$12, $D$11, 100%, $F$11)</f>
        <v>8.9602584000000007</v>
      </c>
      <c r="I442" s="8">
        <f>CHOOSE( CONTROL!$C$29, 10.1351, 10.1306) * CHOOSE(CONTROL!$C$12, $D$11, 100%, $F$11)</f>
        <v>8.1486204000000004</v>
      </c>
      <c r="J442" s="4">
        <f>CHOOSE( CONTROL!$C$29, 10.1012, 10.0967) * CHOOSE(CONTROL!$C$12, $D$11, 100%, $F$11)</f>
        <v>8.1213648000000003</v>
      </c>
      <c r="K442" s="4"/>
      <c r="L442" s="9">
        <v>28.568200000000001</v>
      </c>
      <c r="M442" s="9">
        <v>11.6745</v>
      </c>
      <c r="N442" s="9">
        <v>4.7850000000000001</v>
      </c>
      <c r="O442" s="9">
        <v>0.36249999999999999</v>
      </c>
      <c r="P442" s="9">
        <v>1.1798</v>
      </c>
      <c r="Q442" s="9">
        <v>19.3626</v>
      </c>
      <c r="R442" s="9"/>
      <c r="S442" s="11"/>
    </row>
    <row r="443" spans="1:19" ht="15.75">
      <c r="A443" s="13">
        <v>55365</v>
      </c>
      <c r="B443" s="8">
        <f>CHOOSE( CONTROL!$C$29, 11.0002, 10.9955) * CHOOSE(CONTROL!$C$12, $D$11, 100%, $F$11)</f>
        <v>8.8441608000000009</v>
      </c>
      <c r="C443" s="8">
        <f>CHOOSE( CONTROL!$C$29, 11.0106, 11.0059) * CHOOSE(CONTROL!$C$12, $D$11, 100%, $F$11)</f>
        <v>8.8525223999999998</v>
      </c>
      <c r="D443" s="8">
        <f>CHOOSE( CONTROL!$C$29, 11.0022, 10.9975) * CHOOSE( CONTROL!$C$12, $D$11, 100%, $F$11)</f>
        <v>8.8457688000000001</v>
      </c>
      <c r="E443" s="12">
        <f>CHOOSE( CONTROL!$C$29, 11.0037, 10.999) * CHOOSE( CONTROL!$C$12, $D$11, 100%, $F$11)</f>
        <v>8.8469747999999999</v>
      </c>
      <c r="F443" s="4">
        <f>CHOOSE( CONTROL!$C$29, 11.9918, 11.9871) * CHOOSE(CONTROL!$C$12, $D$11, 100%, $F$11)</f>
        <v>9.6414071999999997</v>
      </c>
      <c r="G443" s="8">
        <f>CHOOSE( CONTROL!$C$29, 10.7102, 10.7056) * CHOOSE( CONTROL!$C$12, $D$11, 100%, $F$11)</f>
        <v>8.6110008000000011</v>
      </c>
      <c r="H443" s="4">
        <f>CHOOSE( CONTROL!$C$29, 11.613, 11.6084) * CHOOSE(CONTROL!$C$12, $D$11, 100%, $F$11)</f>
        <v>9.3368520000000004</v>
      </c>
      <c r="I443" s="8">
        <f>CHOOSE( CONTROL!$C$29, 10.5925, 10.588) * CHOOSE(CONTROL!$C$12, $D$11, 100%, $F$11)</f>
        <v>8.5163700000000002</v>
      </c>
      <c r="J443" s="4">
        <f>CHOOSE( CONTROL!$C$29, 10.5356, 10.5311) * CHOOSE(CONTROL!$C$12, $D$11, 100%, $F$11)</f>
        <v>8.4706224000000017</v>
      </c>
      <c r="K443" s="4"/>
      <c r="L443" s="9">
        <v>29.520499999999998</v>
      </c>
      <c r="M443" s="9">
        <v>12.063700000000001</v>
      </c>
      <c r="N443" s="9">
        <v>4.9444999999999997</v>
      </c>
      <c r="O443" s="9">
        <v>0.37459999999999999</v>
      </c>
      <c r="P443" s="9">
        <v>1.2192000000000001</v>
      </c>
      <c r="Q443" s="9">
        <v>20.007999999999999</v>
      </c>
      <c r="R443" s="9"/>
      <c r="S443" s="11"/>
    </row>
    <row r="444" spans="1:19" ht="15.75">
      <c r="A444" s="13">
        <v>55396</v>
      </c>
      <c r="B444" s="8">
        <f>CHOOSE( CONTROL!$C$29, 10.1518, 10.1471) * CHOOSE(CONTROL!$C$12, $D$11, 100%, $F$11)</f>
        <v>8.1620471999999999</v>
      </c>
      <c r="C444" s="8">
        <f>CHOOSE( CONTROL!$C$29, 10.1623, 10.1575) * CHOOSE(CONTROL!$C$12, $D$11, 100%, $F$11)</f>
        <v>8.1704892000000005</v>
      </c>
      <c r="D444" s="8">
        <f>CHOOSE( CONTROL!$C$29, 10.1571, 10.1524) * CHOOSE( CONTROL!$C$12, $D$11, 100%, $F$11)</f>
        <v>8.1663084000000001</v>
      </c>
      <c r="E444" s="12">
        <f>CHOOSE( CONTROL!$C$29, 10.1574, 10.1527) * CHOOSE( CONTROL!$C$12, $D$11, 100%, $F$11)</f>
        <v>8.1665496000000015</v>
      </c>
      <c r="F444" s="4">
        <f>CHOOSE( CONTROL!$C$29, 11.1486, 11.1439) * CHOOSE(CONTROL!$C$12, $D$11, 100%, $F$11)</f>
        <v>8.9634744000000008</v>
      </c>
      <c r="G444" s="8">
        <f>CHOOSE( CONTROL!$C$29, 9.8853, 9.8807) * CHOOSE( CONTROL!$C$12, $D$11, 100%, $F$11)</f>
        <v>7.9477812000000014</v>
      </c>
      <c r="H444" s="4">
        <f>CHOOSE( CONTROL!$C$29, 10.7911, 10.7865) * CHOOSE(CONTROL!$C$12, $D$11, 100%, $F$11)</f>
        <v>8.6760444000000003</v>
      </c>
      <c r="I444" s="8">
        <f>CHOOSE( CONTROL!$C$29, 9.7838, 9.7793) * CHOOSE(CONTROL!$C$12, $D$11, 100%, $F$11)</f>
        <v>7.8661751999999998</v>
      </c>
      <c r="J444" s="4">
        <f>CHOOSE( CONTROL!$C$29, 9.7227, 9.7182) * CHOOSE(CONTROL!$C$12, $D$11, 100%, $F$11)</f>
        <v>7.8170508000000005</v>
      </c>
      <c r="K444" s="4"/>
      <c r="L444" s="9">
        <v>29.520499999999998</v>
      </c>
      <c r="M444" s="9">
        <v>12.063700000000001</v>
      </c>
      <c r="N444" s="9">
        <v>4.9444999999999997</v>
      </c>
      <c r="O444" s="9">
        <v>0.37459999999999999</v>
      </c>
      <c r="P444" s="9">
        <v>1.2192000000000001</v>
      </c>
      <c r="Q444" s="9">
        <v>20.007999999999999</v>
      </c>
      <c r="R444" s="9"/>
      <c r="S444" s="11"/>
    </row>
    <row r="445" spans="1:19" ht="15.75">
      <c r="A445" s="13">
        <v>55426</v>
      </c>
      <c r="B445" s="8">
        <f>CHOOSE( CONTROL!$C$29, 9.9394, 9.9347) * CHOOSE(CONTROL!$C$12, $D$11, 100%, $F$11)</f>
        <v>7.9912776000000001</v>
      </c>
      <c r="C445" s="8">
        <f>CHOOSE( CONTROL!$C$29, 9.9498, 9.9451) * CHOOSE(CONTROL!$C$12, $D$11, 100%, $F$11)</f>
        <v>7.9996391999999998</v>
      </c>
      <c r="D445" s="8">
        <f>CHOOSE( CONTROL!$C$29, 9.9405, 9.9358) * CHOOSE( CONTROL!$C$12, $D$11, 100%, $F$11)</f>
        <v>7.9921620000000004</v>
      </c>
      <c r="E445" s="12">
        <f>CHOOSE( CONTROL!$C$29, 9.9423, 9.9376) * CHOOSE( CONTROL!$C$12, $D$11, 100%, $F$11)</f>
        <v>7.9936091999999999</v>
      </c>
      <c r="F445" s="4">
        <f>CHOOSE( CONTROL!$C$29, 10.9284, 10.9237) * CHOOSE(CONTROL!$C$12, $D$11, 100%, $F$11)</f>
        <v>8.7864336000000005</v>
      </c>
      <c r="G445" s="8">
        <f>CHOOSE( CONTROL!$C$29, 9.6769, 9.6723) * CHOOSE( CONTROL!$C$12, $D$11, 100%, $F$11)</f>
        <v>7.7802275999999999</v>
      </c>
      <c r="H445" s="4">
        <f>CHOOSE( CONTROL!$C$29, 10.5764, 10.5718) * CHOOSE(CONTROL!$C$12, $D$11, 100%, $F$11)</f>
        <v>8.5034255999999999</v>
      </c>
      <c r="I445" s="8">
        <f>CHOOSE( CONTROL!$C$29, 9.5814, 9.5769) * CHOOSE(CONTROL!$C$12, $D$11, 100%, $F$11)</f>
        <v>7.7034456000000011</v>
      </c>
      <c r="J445" s="4">
        <f>CHOOSE( CONTROL!$C$29, 9.5191, 9.5146) * CHOOSE(CONTROL!$C$12, $D$11, 100%, $F$11)</f>
        <v>7.6533564000000007</v>
      </c>
      <c r="K445" s="4"/>
      <c r="L445" s="9">
        <v>28.568200000000001</v>
      </c>
      <c r="M445" s="9">
        <v>11.6745</v>
      </c>
      <c r="N445" s="9">
        <v>4.7850000000000001</v>
      </c>
      <c r="O445" s="9">
        <v>0.36249999999999999</v>
      </c>
      <c r="P445" s="9">
        <v>1.1798</v>
      </c>
      <c r="Q445" s="9">
        <v>19.3626</v>
      </c>
      <c r="R445" s="9"/>
      <c r="S445" s="11"/>
    </row>
    <row r="446" spans="1:19" ht="15.75">
      <c r="A446" s="13">
        <v>55457</v>
      </c>
      <c r="B446" s="8">
        <f>10.3758 * CHOOSE(CONTROL!$C$12, $D$11, 100%, $F$11)</f>
        <v>8.3421432000000006</v>
      </c>
      <c r="C446" s="8">
        <f>10.3862 * CHOOSE(CONTROL!$C$12, $D$11, 100%, $F$11)</f>
        <v>8.3505048000000013</v>
      </c>
      <c r="D446" s="8">
        <f>10.3778 * CHOOSE( CONTROL!$C$12, $D$11, 100%, $F$11)</f>
        <v>8.3437512000000016</v>
      </c>
      <c r="E446" s="12">
        <f>10.3795 * CHOOSE( CONTROL!$C$12, $D$11, 100%, $F$11)</f>
        <v>8.3451180000000011</v>
      </c>
      <c r="F446" s="4">
        <f>11.3648 * CHOOSE(CONTROL!$C$12, $D$11, 100%, $F$11)</f>
        <v>9.1372992000000011</v>
      </c>
      <c r="G446" s="8">
        <f>10.1019 * CHOOSE( CONTROL!$C$12, $D$11, 100%, $F$11)</f>
        <v>8.1219276000000011</v>
      </c>
      <c r="H446" s="4">
        <f>11.0018 * CHOOSE(CONTROL!$C$12, $D$11, 100%, $F$11)</f>
        <v>8.8454472000000006</v>
      </c>
      <c r="I446" s="8">
        <f>10.0019 * CHOOSE(CONTROL!$C$12, $D$11, 100%, $F$11)</f>
        <v>8.0415276000000002</v>
      </c>
      <c r="J446" s="4">
        <f>9.9373 * CHOOSE(CONTROL!$C$12, $D$11, 100%, $F$11)</f>
        <v>7.9895892000000011</v>
      </c>
      <c r="K446" s="4"/>
      <c r="L446" s="9">
        <v>28.921800000000001</v>
      </c>
      <c r="M446" s="9">
        <v>12.063700000000001</v>
      </c>
      <c r="N446" s="9">
        <v>4.9444999999999997</v>
      </c>
      <c r="O446" s="9">
        <v>0.37459999999999999</v>
      </c>
      <c r="P446" s="9">
        <v>1.2192000000000001</v>
      </c>
      <c r="Q446" s="9">
        <v>20.007999999999999</v>
      </c>
      <c r="R446" s="9"/>
      <c r="S446" s="11"/>
    </row>
    <row r="447" spans="1:19" ht="15.75">
      <c r="A447" s="13">
        <v>55487</v>
      </c>
      <c r="B447" s="8">
        <f>11.19 * CHOOSE(CONTROL!$C$12, $D$11, 100%, $F$11)</f>
        <v>8.9967600000000001</v>
      </c>
      <c r="C447" s="8">
        <f>11.2004 * CHOOSE(CONTROL!$C$12, $D$11, 100%, $F$11)</f>
        <v>9.0051216000000007</v>
      </c>
      <c r="D447" s="8">
        <f>11.1807 * CHOOSE( CONTROL!$C$12, $D$11, 100%, $F$11)</f>
        <v>8.9892827999999998</v>
      </c>
      <c r="E447" s="12">
        <f>11.1868 * CHOOSE( CONTROL!$C$12, $D$11, 100%, $F$11)</f>
        <v>8.9941872000000007</v>
      </c>
      <c r="F447" s="4">
        <f>12.1816 * CHOOSE(CONTROL!$C$12, $D$11, 100%, $F$11)</f>
        <v>9.7940064000000007</v>
      </c>
      <c r="G447" s="8">
        <f>10.9146 * CHOOSE( CONTROL!$C$12, $D$11, 100%, $F$11)</f>
        <v>8.7753384000000008</v>
      </c>
      <c r="H447" s="4">
        <f>11.798 * CHOOSE(CONTROL!$C$12, $D$11, 100%, $F$11)</f>
        <v>9.4855920000000005</v>
      </c>
      <c r="I447" s="8">
        <f>10.8126 * CHOOSE(CONTROL!$C$12, $D$11, 100%, $F$11)</f>
        <v>8.6933304000000007</v>
      </c>
      <c r="J447" s="4">
        <f>10.7175 * CHOOSE(CONTROL!$C$12, $D$11, 100%, $F$11)</f>
        <v>8.6168700000000005</v>
      </c>
      <c r="K447" s="4"/>
      <c r="L447" s="9">
        <v>26.515499999999999</v>
      </c>
      <c r="M447" s="9">
        <v>11.6745</v>
      </c>
      <c r="N447" s="9">
        <v>4.7850000000000001</v>
      </c>
      <c r="O447" s="9">
        <v>0.36249999999999999</v>
      </c>
      <c r="P447" s="9">
        <v>1.2522</v>
      </c>
      <c r="Q447" s="9">
        <v>19.3626</v>
      </c>
      <c r="R447" s="9"/>
      <c r="S447" s="11"/>
    </row>
    <row r="448" spans="1:19" ht="15.75">
      <c r="A448" s="13">
        <v>55518</v>
      </c>
      <c r="B448" s="8">
        <f>11.1696 * CHOOSE(CONTROL!$C$12, $D$11, 100%, $F$11)</f>
        <v>8.9803584000000019</v>
      </c>
      <c r="C448" s="8">
        <f>11.1801 * CHOOSE(CONTROL!$C$12, $D$11, 100%, $F$11)</f>
        <v>8.9888004000000006</v>
      </c>
      <c r="D448" s="8">
        <f>11.1622 * CHOOSE( CONTROL!$C$12, $D$11, 100%, $F$11)</f>
        <v>8.9744088000000009</v>
      </c>
      <c r="E448" s="12">
        <f>11.1676 * CHOOSE( CONTROL!$C$12, $D$11, 100%, $F$11)</f>
        <v>8.9787504000000009</v>
      </c>
      <c r="F448" s="4">
        <f>12.1612 * CHOOSE(CONTROL!$C$12, $D$11, 100%, $F$11)</f>
        <v>9.7776048000000007</v>
      </c>
      <c r="G448" s="8">
        <f>10.8963 * CHOOSE( CONTROL!$C$12, $D$11, 100%, $F$11)</f>
        <v>8.7606251999999998</v>
      </c>
      <c r="H448" s="4">
        <f>11.7782 * CHOOSE(CONTROL!$C$12, $D$11, 100%, $F$11)</f>
        <v>9.4696728000000014</v>
      </c>
      <c r="I448" s="8">
        <f>10.8 * CHOOSE(CONTROL!$C$12, $D$11, 100%, $F$11)</f>
        <v>8.6832000000000011</v>
      </c>
      <c r="J448" s="4">
        <f>10.698 * CHOOSE(CONTROL!$C$12, $D$11, 100%, $F$11)</f>
        <v>8.6011920000000011</v>
      </c>
      <c r="K448" s="4"/>
      <c r="L448" s="9">
        <v>27.3993</v>
      </c>
      <c r="M448" s="9">
        <v>12.063700000000001</v>
      </c>
      <c r="N448" s="9">
        <v>4.9444999999999997</v>
      </c>
      <c r="O448" s="9">
        <v>0.37459999999999999</v>
      </c>
      <c r="P448" s="9">
        <v>1.2939000000000001</v>
      </c>
      <c r="Q448" s="9">
        <v>20.007999999999999</v>
      </c>
      <c r="R448" s="9"/>
      <c r="S448" s="11"/>
    </row>
    <row r="449" spans="1:19" ht="15.75">
      <c r="A449" s="13">
        <v>55549</v>
      </c>
      <c r="B449" s="8">
        <f>11.5963 * CHOOSE(CONTROL!$C$12, $D$11, 100%, $F$11)</f>
        <v>9.3234252000000009</v>
      </c>
      <c r="C449" s="8">
        <f>11.6068 * CHOOSE(CONTROL!$C$12, $D$11, 100%, $F$11)</f>
        <v>9.3318671999999996</v>
      </c>
      <c r="D449" s="8">
        <f>11.6044 * CHOOSE( CONTROL!$C$12, $D$11, 100%, $F$11)</f>
        <v>9.3299376000000009</v>
      </c>
      <c r="E449" s="12">
        <f>11.6042 * CHOOSE( CONTROL!$C$12, $D$11, 100%, $F$11)</f>
        <v>9.3297768000000012</v>
      </c>
      <c r="F449" s="4">
        <f>12.6193 * CHOOSE(CONTROL!$C$12, $D$11, 100%, $F$11)</f>
        <v>10.145917200000001</v>
      </c>
      <c r="G449" s="8">
        <f>11.3313 * CHOOSE( CONTROL!$C$12, $D$11, 100%, $F$11)</f>
        <v>9.1103652000000004</v>
      </c>
      <c r="H449" s="4">
        <f>12.2246 * CHOOSE(CONTROL!$C$12, $D$11, 100%, $F$11)</f>
        <v>9.8285784000000014</v>
      </c>
      <c r="I449" s="8">
        <f>11.221 * CHOOSE(CONTROL!$C$12, $D$11, 100%, $F$11)</f>
        <v>9.0216840000000005</v>
      </c>
      <c r="J449" s="4">
        <f>11.1069 * CHOOSE(CONTROL!$C$12, $D$11, 100%, $F$11)</f>
        <v>8.9299476000000002</v>
      </c>
      <c r="K449" s="4"/>
      <c r="L449" s="9">
        <v>27.3993</v>
      </c>
      <c r="M449" s="9">
        <v>12.063700000000001</v>
      </c>
      <c r="N449" s="9">
        <v>4.9444999999999997</v>
      </c>
      <c r="O449" s="9">
        <v>0.37459999999999999</v>
      </c>
      <c r="P449" s="9">
        <v>1.2939000000000001</v>
      </c>
      <c r="Q449" s="9">
        <v>19.942900000000002</v>
      </c>
      <c r="R449" s="9"/>
      <c r="S449" s="11"/>
    </row>
    <row r="450" spans="1:19" ht="15.75">
      <c r="A450" s="13">
        <v>55577</v>
      </c>
      <c r="B450" s="8">
        <f>10.847 * CHOOSE(CONTROL!$C$12, $D$11, 100%, $F$11)</f>
        <v>8.7209880000000002</v>
      </c>
      <c r="C450" s="8">
        <f>10.8574 * CHOOSE(CONTROL!$C$12, $D$11, 100%, $F$11)</f>
        <v>8.7293496000000008</v>
      </c>
      <c r="D450" s="8">
        <f>10.8574 * CHOOSE( CONTROL!$C$12, $D$11, 100%, $F$11)</f>
        <v>8.7293496000000008</v>
      </c>
      <c r="E450" s="12">
        <f>10.8563 * CHOOSE( CONTROL!$C$12, $D$11, 100%, $F$11)</f>
        <v>8.7284652000000005</v>
      </c>
      <c r="F450" s="4">
        <f>11.8621 * CHOOSE(CONTROL!$C$12, $D$11, 100%, $F$11)</f>
        <v>9.5371284000000003</v>
      </c>
      <c r="G450" s="8">
        <f>10.6007 * CHOOSE( CONTROL!$C$12, $D$11, 100%, $F$11)</f>
        <v>8.5229628000000002</v>
      </c>
      <c r="H450" s="4">
        <f>11.4866 * CHOOSE(CONTROL!$C$12, $D$11, 100%, $F$11)</f>
        <v>9.2352264000000002</v>
      </c>
      <c r="I450" s="8">
        <f>10.4917 * CHOOSE(CONTROL!$C$12, $D$11, 100%, $F$11)</f>
        <v>8.4353268000000003</v>
      </c>
      <c r="J450" s="4">
        <f>10.3888 * CHOOSE(CONTROL!$C$12, $D$11, 100%, $F$11)</f>
        <v>8.3525951999999997</v>
      </c>
      <c r="K450" s="4"/>
      <c r="L450" s="9">
        <v>25.631599999999999</v>
      </c>
      <c r="M450" s="9">
        <v>11.285299999999999</v>
      </c>
      <c r="N450" s="9">
        <v>4.6254999999999997</v>
      </c>
      <c r="O450" s="9">
        <v>0.35039999999999999</v>
      </c>
      <c r="P450" s="9">
        <v>1.2104999999999999</v>
      </c>
      <c r="Q450" s="9">
        <v>18.656300000000002</v>
      </c>
      <c r="R450" s="9"/>
      <c r="S450" s="11"/>
    </row>
    <row r="451" spans="1:19" ht="15.75">
      <c r="A451" s="13">
        <v>55609</v>
      </c>
      <c r="B451" s="8">
        <f>10.6162 * CHOOSE(CONTROL!$C$12, $D$11, 100%, $F$11)</f>
        <v>8.5354247999999995</v>
      </c>
      <c r="C451" s="8">
        <f>10.6266 * CHOOSE(CONTROL!$C$12, $D$11, 100%, $F$11)</f>
        <v>8.5437864000000001</v>
      </c>
      <c r="D451" s="8">
        <f>10.6065 * CHOOSE( CONTROL!$C$12, $D$11, 100%, $F$11)</f>
        <v>8.5276260000000015</v>
      </c>
      <c r="E451" s="12">
        <f>10.6127 * CHOOSE( CONTROL!$C$12, $D$11, 100%, $F$11)</f>
        <v>8.5326108000000005</v>
      </c>
      <c r="F451" s="4">
        <f>11.6151 * CHOOSE(CONTROL!$C$12, $D$11, 100%, $F$11)</f>
        <v>9.3385404000000012</v>
      </c>
      <c r="G451" s="8">
        <f>10.3552 * CHOOSE( CONTROL!$C$12, $D$11, 100%, $F$11)</f>
        <v>8.3255808000000009</v>
      </c>
      <c r="H451" s="4">
        <f>11.2458 * CHOOSE(CONTROL!$C$12, $D$11, 100%, $F$11)</f>
        <v>9.0416232000000001</v>
      </c>
      <c r="I451" s="8">
        <f>10.2309 * CHOOSE(CONTROL!$C$12, $D$11, 100%, $F$11)</f>
        <v>8.2256435999999997</v>
      </c>
      <c r="J451" s="4">
        <f>10.1677 * CHOOSE(CONTROL!$C$12, $D$11, 100%, $F$11)</f>
        <v>8.1748308000000005</v>
      </c>
      <c r="K451" s="4"/>
      <c r="L451" s="9">
        <v>27.3993</v>
      </c>
      <c r="M451" s="9">
        <v>12.063700000000001</v>
      </c>
      <c r="N451" s="9">
        <v>4.9444999999999997</v>
      </c>
      <c r="O451" s="9">
        <v>0.37459999999999999</v>
      </c>
      <c r="P451" s="9">
        <v>1.2939000000000001</v>
      </c>
      <c r="Q451" s="9">
        <v>19.942900000000002</v>
      </c>
      <c r="R451" s="9"/>
      <c r="S451" s="11"/>
    </row>
    <row r="452" spans="1:19" ht="15.75">
      <c r="A452" s="13">
        <v>55639</v>
      </c>
      <c r="B452" s="8">
        <f>10.7775 * CHOOSE(CONTROL!$C$12, $D$11, 100%, $F$11)</f>
        <v>8.6651100000000003</v>
      </c>
      <c r="C452" s="8">
        <f>10.7879 * CHOOSE(CONTROL!$C$12, $D$11, 100%, $F$11)</f>
        <v>8.6734716000000009</v>
      </c>
      <c r="D452" s="8">
        <f>10.7911 * CHOOSE( CONTROL!$C$12, $D$11, 100%, $F$11)</f>
        <v>8.6760444000000003</v>
      </c>
      <c r="E452" s="12">
        <f>10.7889 * CHOOSE( CONTROL!$C$12, $D$11, 100%, $F$11)</f>
        <v>8.6742755999999996</v>
      </c>
      <c r="F452" s="4">
        <f>11.7847 * CHOOSE(CONTROL!$C$12, $D$11, 100%, $F$11)</f>
        <v>9.4748988000000018</v>
      </c>
      <c r="G452" s="8">
        <f>10.5003 * CHOOSE( CONTROL!$C$12, $D$11, 100%, $F$11)</f>
        <v>8.4422411999999998</v>
      </c>
      <c r="H452" s="4">
        <f>11.4112 * CHOOSE(CONTROL!$C$12, $D$11, 100%, $F$11)</f>
        <v>9.1746047999999991</v>
      </c>
      <c r="I452" s="8">
        <f>10.3756 * CHOOSE(CONTROL!$C$12, $D$11, 100%, $F$11)</f>
        <v>8.3419824000000009</v>
      </c>
      <c r="J452" s="4">
        <f>10.3222 * CHOOSE(CONTROL!$C$12, $D$11, 100%, $F$11)</f>
        <v>8.2990488000000013</v>
      </c>
      <c r="K452" s="4"/>
      <c r="L452" s="9">
        <v>27.988800000000001</v>
      </c>
      <c r="M452" s="9">
        <v>11.6745</v>
      </c>
      <c r="N452" s="9">
        <v>4.7850000000000001</v>
      </c>
      <c r="O452" s="9">
        <v>0.36249999999999999</v>
      </c>
      <c r="P452" s="9">
        <v>1.1798</v>
      </c>
      <c r="Q452" s="9">
        <v>19.299600000000002</v>
      </c>
      <c r="R452" s="9"/>
      <c r="S452" s="11"/>
    </row>
    <row r="453" spans="1:19" ht="15.75">
      <c r="A453" s="13">
        <v>55670</v>
      </c>
      <c r="B453" s="8">
        <f>CHOOSE( CONTROL!$C$29, 11.0692, 11.0645) * CHOOSE(CONTROL!$C$12, $D$11, 100%, $F$11)</f>
        <v>8.8996368000000015</v>
      </c>
      <c r="C453" s="8">
        <f>CHOOSE( CONTROL!$C$29, 11.0796, 11.0749) * CHOOSE(CONTROL!$C$12, $D$11, 100%, $F$11)</f>
        <v>8.9079984000000003</v>
      </c>
      <c r="D453" s="8">
        <f>CHOOSE( CONTROL!$C$29, 11.0576, 11.0529) * CHOOSE( CONTROL!$C$12, $D$11, 100%, $F$11)</f>
        <v>8.8903104000000006</v>
      </c>
      <c r="E453" s="12">
        <f>CHOOSE( CONTROL!$C$29, 11.064, 11.0593) * CHOOSE( CONTROL!$C$12, $D$11, 100%, $F$11)</f>
        <v>8.8954560000000011</v>
      </c>
      <c r="F453" s="4">
        <f>CHOOSE( CONTROL!$C$29, 12.0441, 12.0394) * CHOOSE(CONTROL!$C$12, $D$11, 100%, $F$11)</f>
        <v>9.6834564000000007</v>
      </c>
      <c r="G453" s="8">
        <f>CHOOSE( CONTROL!$C$29, 10.766, 10.7614) * CHOOSE( CONTROL!$C$12, $D$11, 100%, $F$11)</f>
        <v>8.6558640000000011</v>
      </c>
      <c r="H453" s="4">
        <f>CHOOSE( CONTROL!$C$29, 11.664, 11.6594) * CHOOSE(CONTROL!$C$12, $D$11, 100%, $F$11)</f>
        <v>9.3778559999999995</v>
      </c>
      <c r="I453" s="8">
        <f>CHOOSE( CONTROL!$C$29, 10.6338, 10.6292) * CHOOSE(CONTROL!$C$12, $D$11, 100%, $F$11)</f>
        <v>8.5495752000000014</v>
      </c>
      <c r="J453" s="4">
        <f>CHOOSE( CONTROL!$C$29, 10.6018, 10.5972) * CHOOSE(CONTROL!$C$12, $D$11, 100%, $F$11)</f>
        <v>8.5238472000000005</v>
      </c>
      <c r="K453" s="4"/>
      <c r="L453" s="9">
        <v>29.520499999999998</v>
      </c>
      <c r="M453" s="9">
        <v>12.063700000000001</v>
      </c>
      <c r="N453" s="9">
        <v>4.9444999999999997</v>
      </c>
      <c r="O453" s="9">
        <v>0.37459999999999999</v>
      </c>
      <c r="P453" s="9">
        <v>1.2192000000000001</v>
      </c>
      <c r="Q453" s="9">
        <v>19.942900000000002</v>
      </c>
      <c r="R453" s="9"/>
      <c r="S453" s="11"/>
    </row>
    <row r="454" spans="1:19" ht="15.75">
      <c r="A454" s="13">
        <v>55700</v>
      </c>
      <c r="B454" s="8">
        <f>CHOOSE( CONTROL!$C$29, 10.8914, 10.8867) * CHOOSE(CONTROL!$C$12, $D$11, 100%, $F$11)</f>
        <v>8.7566856000000008</v>
      </c>
      <c r="C454" s="8">
        <f>CHOOSE( CONTROL!$C$29, 10.9018, 10.8971) * CHOOSE(CONTROL!$C$12, $D$11, 100%, $F$11)</f>
        <v>8.7650471999999997</v>
      </c>
      <c r="D454" s="8">
        <f>CHOOSE( CONTROL!$C$29, 10.8742, 10.8695) * CHOOSE( CONTROL!$C$12, $D$11, 100%, $F$11)</f>
        <v>8.7428568000000002</v>
      </c>
      <c r="E454" s="12">
        <f>CHOOSE( CONTROL!$C$29, 10.8826, 10.8779) * CHOOSE( CONTROL!$C$12, $D$11, 100%, $F$11)</f>
        <v>8.7496103999999999</v>
      </c>
      <c r="F454" s="4">
        <f>CHOOSE( CONTROL!$C$29, 11.8559, 11.8512) * CHOOSE(CONTROL!$C$12, $D$11, 100%, $F$11)</f>
        <v>9.5321436000000013</v>
      </c>
      <c r="G454" s="8">
        <f>CHOOSE( CONTROL!$C$29, 10.5914, 10.5868) * CHOOSE( CONTROL!$C$12, $D$11, 100%, $F$11)</f>
        <v>8.5154855999999999</v>
      </c>
      <c r="H454" s="4">
        <f>CHOOSE( CONTROL!$C$29, 11.4805, 11.4759) * CHOOSE(CONTROL!$C$12, $D$11, 100%, $F$11)</f>
        <v>9.2303219999999992</v>
      </c>
      <c r="I454" s="8">
        <f>CHOOSE( CONTROL!$C$29, 10.4655, 10.4609) * CHOOSE(CONTROL!$C$12, $D$11, 100%, $F$11)</f>
        <v>8.4142620000000008</v>
      </c>
      <c r="J454" s="4">
        <f>CHOOSE( CONTROL!$C$29, 10.4314, 10.4269) * CHOOSE(CONTROL!$C$12, $D$11, 100%, $F$11)</f>
        <v>8.3868456000000009</v>
      </c>
      <c r="K454" s="4"/>
      <c r="L454" s="9">
        <v>28.568200000000001</v>
      </c>
      <c r="M454" s="9">
        <v>11.6745</v>
      </c>
      <c r="N454" s="9">
        <v>4.7850000000000001</v>
      </c>
      <c r="O454" s="9">
        <v>0.36249999999999999</v>
      </c>
      <c r="P454" s="9">
        <v>1.1798</v>
      </c>
      <c r="Q454" s="9">
        <v>19.299600000000002</v>
      </c>
      <c r="R454" s="9"/>
      <c r="S454" s="11"/>
    </row>
    <row r="455" spans="1:19" ht="15.75">
      <c r="A455" s="13">
        <v>55731</v>
      </c>
      <c r="B455" s="8">
        <f>CHOOSE( CONTROL!$C$29, 11.3596, 11.3549) * CHOOSE(CONTROL!$C$12, $D$11, 100%, $F$11)</f>
        <v>9.1331184000000007</v>
      </c>
      <c r="C455" s="8">
        <f>CHOOSE( CONTROL!$C$29, 11.3701, 11.3654) * CHOOSE(CONTROL!$C$12, $D$11, 100%, $F$11)</f>
        <v>9.1415604000000013</v>
      </c>
      <c r="D455" s="8">
        <f>CHOOSE( CONTROL!$C$29, 11.3616, 11.3569) * CHOOSE( CONTROL!$C$12, $D$11, 100%, $F$11)</f>
        <v>9.1347263999999999</v>
      </c>
      <c r="E455" s="12">
        <f>CHOOSE( CONTROL!$C$29, 11.3631, 11.3584) * CHOOSE( CONTROL!$C$12, $D$11, 100%, $F$11)</f>
        <v>9.1359323999999997</v>
      </c>
      <c r="F455" s="4">
        <f>CHOOSE( CONTROL!$C$29, 12.3512, 12.3465) * CHOOSE(CONTROL!$C$12, $D$11, 100%, $F$11)</f>
        <v>9.9303648000000013</v>
      </c>
      <c r="G455" s="8">
        <f>CHOOSE( CONTROL!$C$29, 11.0605, 11.056) * CHOOSE( CONTROL!$C$12, $D$11, 100%, $F$11)</f>
        <v>8.8926420000000004</v>
      </c>
      <c r="H455" s="4">
        <f>CHOOSE( CONTROL!$C$29, 11.9634, 11.9588) * CHOOSE(CONTROL!$C$12, $D$11, 100%, $F$11)</f>
        <v>9.6185736000000013</v>
      </c>
      <c r="I455" s="8">
        <f>CHOOSE( CONTROL!$C$29, 10.9371, 10.9326) * CHOOSE(CONTROL!$C$12, $D$11, 100%, $F$11)</f>
        <v>8.7934283999999998</v>
      </c>
      <c r="J455" s="4">
        <f>CHOOSE( CONTROL!$C$29, 10.88, 10.8755) * CHOOSE(CONTROL!$C$12, $D$11, 100%, $F$11)</f>
        <v>8.7475200000000015</v>
      </c>
      <c r="K455" s="4"/>
      <c r="L455" s="9">
        <v>29.520499999999998</v>
      </c>
      <c r="M455" s="9">
        <v>12.063700000000001</v>
      </c>
      <c r="N455" s="9">
        <v>4.9444999999999997</v>
      </c>
      <c r="O455" s="9">
        <v>0.37459999999999999</v>
      </c>
      <c r="P455" s="9">
        <v>1.2192000000000001</v>
      </c>
      <c r="Q455" s="9">
        <v>19.942900000000002</v>
      </c>
      <c r="R455" s="9"/>
      <c r="S455" s="11"/>
    </row>
    <row r="456" spans="1:19" ht="15.75">
      <c r="A456" s="13">
        <v>55762</v>
      </c>
      <c r="B456" s="8">
        <f>CHOOSE( CONTROL!$C$29, 10.4835, 10.4788) * CHOOSE(CONTROL!$C$12, $D$11, 100%, $F$11)</f>
        <v>8.4287340000000004</v>
      </c>
      <c r="C456" s="8">
        <f>CHOOSE( CONTROL!$C$29, 10.4939, 10.4892) * CHOOSE(CONTROL!$C$12, $D$11, 100%, $F$11)</f>
        <v>8.437095600000001</v>
      </c>
      <c r="D456" s="8">
        <f>CHOOSE( CONTROL!$C$29, 10.4888, 10.4841) * CHOOSE( CONTROL!$C$12, $D$11, 100%, $F$11)</f>
        <v>8.4329952000000006</v>
      </c>
      <c r="E456" s="12">
        <f>CHOOSE( CONTROL!$C$29, 10.4891, 10.4844) * CHOOSE( CONTROL!$C$12, $D$11, 100%, $F$11)</f>
        <v>8.4332364000000002</v>
      </c>
      <c r="F456" s="4">
        <f>CHOOSE( CONTROL!$C$29, 11.4803, 11.4756) * CHOOSE(CONTROL!$C$12, $D$11, 100%, $F$11)</f>
        <v>9.2301611999999995</v>
      </c>
      <c r="G456" s="8">
        <f>CHOOSE( CONTROL!$C$29, 10.2086, 10.204) * CHOOSE( CONTROL!$C$12, $D$11, 100%, $F$11)</f>
        <v>8.2077144000000004</v>
      </c>
      <c r="H456" s="4">
        <f>CHOOSE( CONTROL!$C$29, 11.1144, 11.1099) * CHOOSE(CONTROL!$C$12, $D$11, 100%, $F$11)</f>
        <v>8.9359776000000011</v>
      </c>
      <c r="I456" s="8">
        <f>CHOOSE( CONTROL!$C$29, 10.1018, 10.0973) * CHOOSE(CONTROL!$C$12, $D$11, 100%, $F$11)</f>
        <v>8.1218472000000013</v>
      </c>
      <c r="J456" s="4">
        <f>CHOOSE( CONTROL!$C$29, 10.0405, 10.036) * CHOOSE(CONTROL!$C$12, $D$11, 100%, $F$11)</f>
        <v>8.0725619999999996</v>
      </c>
      <c r="K456" s="4"/>
      <c r="L456" s="9">
        <v>29.520499999999998</v>
      </c>
      <c r="M456" s="9">
        <v>12.063700000000001</v>
      </c>
      <c r="N456" s="9">
        <v>4.9444999999999997</v>
      </c>
      <c r="O456" s="9">
        <v>0.37459999999999999</v>
      </c>
      <c r="P456" s="9">
        <v>1.2192000000000001</v>
      </c>
      <c r="Q456" s="9">
        <v>19.942900000000002</v>
      </c>
      <c r="R456" s="9"/>
      <c r="S456" s="11"/>
    </row>
    <row r="457" spans="1:19" ht="15.75">
      <c r="A457" s="13">
        <v>55792</v>
      </c>
      <c r="B457" s="8">
        <f>CHOOSE( CONTROL!$C$29, 10.2641, 10.2594) * CHOOSE(CONTROL!$C$12, $D$11, 100%, $F$11)</f>
        <v>8.252336399999999</v>
      </c>
      <c r="C457" s="8">
        <f>CHOOSE( CONTROL!$C$29, 10.2745, 10.2698) * CHOOSE(CONTROL!$C$12, $D$11, 100%, $F$11)</f>
        <v>8.2606979999999997</v>
      </c>
      <c r="D457" s="8">
        <f>CHOOSE( CONTROL!$C$29, 10.2652, 10.2605) * CHOOSE( CONTROL!$C$12, $D$11, 100%, $F$11)</f>
        <v>8.2532208000000011</v>
      </c>
      <c r="E457" s="12">
        <f>CHOOSE( CONTROL!$C$29, 10.267, 10.2623) * CHOOSE( CONTROL!$C$12, $D$11, 100%, $F$11)</f>
        <v>8.2546680000000006</v>
      </c>
      <c r="F457" s="4">
        <f>CHOOSE( CONTROL!$C$29, 11.2531, 11.2484) * CHOOSE(CONTROL!$C$12, $D$11, 100%, $F$11)</f>
        <v>9.0474924000000012</v>
      </c>
      <c r="G457" s="8">
        <f>CHOOSE( CONTROL!$C$29, 9.9935, 9.9889) * CHOOSE( CONTROL!$C$12, $D$11, 100%, $F$11)</f>
        <v>8.0347740000000005</v>
      </c>
      <c r="H457" s="4">
        <f>CHOOSE( CONTROL!$C$29, 10.893, 10.8884) * CHOOSE(CONTROL!$C$12, $D$11, 100%, $F$11)</f>
        <v>8.7579720000000005</v>
      </c>
      <c r="I457" s="8">
        <f>CHOOSE( CONTROL!$C$29, 9.8928, 9.8883) * CHOOSE(CONTROL!$C$12, $D$11, 100%, $F$11)</f>
        <v>7.9538111999999996</v>
      </c>
      <c r="J457" s="4">
        <f>CHOOSE( CONTROL!$C$29, 9.8303, 9.8258) * CHOOSE(CONTROL!$C$12, $D$11, 100%, $F$11)</f>
        <v>7.9035612000000004</v>
      </c>
      <c r="K457" s="4"/>
      <c r="L457" s="9">
        <v>28.568200000000001</v>
      </c>
      <c r="M457" s="9">
        <v>11.6745</v>
      </c>
      <c r="N457" s="9">
        <v>4.7850000000000001</v>
      </c>
      <c r="O457" s="9">
        <v>0.36249999999999999</v>
      </c>
      <c r="P457" s="9">
        <v>1.1798</v>
      </c>
      <c r="Q457" s="9">
        <v>19.299600000000002</v>
      </c>
      <c r="R457" s="9"/>
      <c r="S457" s="11"/>
    </row>
    <row r="458" spans="1:19" ht="15.75">
      <c r="A458" s="13">
        <v>55823</v>
      </c>
      <c r="B458" s="8">
        <f>10.7149 * CHOOSE(CONTROL!$C$12, $D$11, 100%, $F$11)</f>
        <v>8.6147796000000003</v>
      </c>
      <c r="C458" s="8">
        <f>10.7254 * CHOOSE(CONTROL!$C$12, $D$11, 100%, $F$11)</f>
        <v>8.6232216000000008</v>
      </c>
      <c r="D458" s="8">
        <f>10.7169 * CHOOSE( CONTROL!$C$12, $D$11, 100%, $F$11)</f>
        <v>8.6163876000000013</v>
      </c>
      <c r="E458" s="12">
        <f>10.7186 * CHOOSE( CONTROL!$C$12, $D$11, 100%, $F$11)</f>
        <v>8.6177544000000008</v>
      </c>
      <c r="F458" s="4">
        <f>11.7039 * CHOOSE(CONTROL!$C$12, $D$11, 100%, $F$11)</f>
        <v>9.4099356000000007</v>
      </c>
      <c r="G458" s="8">
        <f>10.4325 * CHOOSE( CONTROL!$C$12, $D$11, 100%, $F$11)</f>
        <v>8.3877299999999995</v>
      </c>
      <c r="H458" s="4">
        <f>11.3324 * CHOOSE(CONTROL!$C$12, $D$11, 100%, $F$11)</f>
        <v>9.1112496000000007</v>
      </c>
      <c r="I458" s="8">
        <f>10.327 * CHOOSE(CONTROL!$C$12, $D$11, 100%, $F$11)</f>
        <v>8.3029080000000004</v>
      </c>
      <c r="J458" s="4">
        <f>10.2623 * CHOOSE(CONTROL!$C$12, $D$11, 100%, $F$11)</f>
        <v>8.2508891999999996</v>
      </c>
      <c r="K458" s="4"/>
      <c r="L458" s="9">
        <v>28.921800000000001</v>
      </c>
      <c r="M458" s="9">
        <v>12.063700000000001</v>
      </c>
      <c r="N458" s="9">
        <v>4.9444999999999997</v>
      </c>
      <c r="O458" s="9">
        <v>0.37459999999999999</v>
      </c>
      <c r="P458" s="9">
        <v>1.2192000000000001</v>
      </c>
      <c r="Q458" s="9">
        <v>19.942900000000002</v>
      </c>
      <c r="R458" s="9"/>
      <c r="S458" s="11"/>
    </row>
    <row r="459" spans="1:19" ht="15.75">
      <c r="A459" s="13">
        <v>55853</v>
      </c>
      <c r="B459" s="8">
        <f>11.5558 * CHOOSE(CONTROL!$C$12, $D$11, 100%, $F$11)</f>
        <v>9.2908632000000004</v>
      </c>
      <c r="C459" s="8">
        <f>11.5662 * CHOOSE(CONTROL!$C$12, $D$11, 100%, $F$11)</f>
        <v>9.2992248000000011</v>
      </c>
      <c r="D459" s="8">
        <f>11.5465 * CHOOSE( CONTROL!$C$12, $D$11, 100%, $F$11)</f>
        <v>9.2833860000000001</v>
      </c>
      <c r="E459" s="12">
        <f>11.5526 * CHOOSE( CONTROL!$C$12, $D$11, 100%, $F$11)</f>
        <v>9.2882904000000011</v>
      </c>
      <c r="F459" s="4">
        <f>12.5474 * CHOOSE(CONTROL!$C$12, $D$11, 100%, $F$11)</f>
        <v>10.088109600000001</v>
      </c>
      <c r="G459" s="8">
        <f>11.2712 * CHOOSE( CONTROL!$C$12, $D$11, 100%, $F$11)</f>
        <v>9.0620448000000007</v>
      </c>
      <c r="H459" s="4">
        <f>12.1546 * CHOOSE(CONTROL!$C$12, $D$11, 100%, $F$11)</f>
        <v>9.7722984000000004</v>
      </c>
      <c r="I459" s="8">
        <f>11.1633 * CHOOSE(CONTROL!$C$12, $D$11, 100%, $F$11)</f>
        <v>8.9752931999999994</v>
      </c>
      <c r="J459" s="4">
        <f>11.068 * CHOOSE(CONTROL!$C$12, $D$11, 100%, $F$11)</f>
        <v>8.8986719999999995</v>
      </c>
      <c r="K459" s="4"/>
      <c r="L459" s="9">
        <v>26.515499999999999</v>
      </c>
      <c r="M459" s="9">
        <v>11.6745</v>
      </c>
      <c r="N459" s="9">
        <v>4.7850000000000001</v>
      </c>
      <c r="O459" s="9">
        <v>0.36249999999999999</v>
      </c>
      <c r="P459" s="9">
        <v>1.2522</v>
      </c>
      <c r="Q459" s="9">
        <v>19.299600000000002</v>
      </c>
      <c r="R459" s="9"/>
      <c r="S459" s="11"/>
    </row>
    <row r="460" spans="1:19" ht="15.75">
      <c r="A460" s="13">
        <v>55884</v>
      </c>
      <c r="B460" s="8">
        <f>11.5348 * CHOOSE(CONTROL!$C$12, $D$11, 100%, $F$11)</f>
        <v>9.2739792000000012</v>
      </c>
      <c r="C460" s="8">
        <f>11.5452 * CHOOSE(CONTROL!$C$12, $D$11, 100%, $F$11)</f>
        <v>9.2823408000000001</v>
      </c>
      <c r="D460" s="8">
        <f>11.5274 * CHOOSE( CONTROL!$C$12, $D$11, 100%, $F$11)</f>
        <v>9.2680296000000002</v>
      </c>
      <c r="E460" s="12">
        <f>11.5328 * CHOOSE( CONTROL!$C$12, $D$11, 100%, $F$11)</f>
        <v>9.2723712000000003</v>
      </c>
      <c r="F460" s="4">
        <f>12.5264 * CHOOSE(CONTROL!$C$12, $D$11, 100%, $F$11)</f>
        <v>10.071225600000002</v>
      </c>
      <c r="G460" s="8">
        <f>11.2522 * CHOOSE( CONTROL!$C$12, $D$11, 100%, $F$11)</f>
        <v>9.0467688000000006</v>
      </c>
      <c r="H460" s="4">
        <f>12.1341 * CHOOSE(CONTROL!$C$12, $D$11, 100%, $F$11)</f>
        <v>9.7558164000000005</v>
      </c>
      <c r="I460" s="8">
        <f>11.15 * CHOOSE(CONTROL!$C$12, $D$11, 100%, $F$11)</f>
        <v>8.9646000000000008</v>
      </c>
      <c r="J460" s="4">
        <f>11.0479 * CHOOSE(CONTROL!$C$12, $D$11, 100%, $F$11)</f>
        <v>8.8825116000000008</v>
      </c>
      <c r="K460" s="4"/>
      <c r="L460" s="9">
        <v>27.3993</v>
      </c>
      <c r="M460" s="9">
        <v>12.063700000000001</v>
      </c>
      <c r="N460" s="9">
        <v>4.9444999999999997</v>
      </c>
      <c r="O460" s="9">
        <v>0.37459999999999999</v>
      </c>
      <c r="P460" s="9">
        <v>1.2939000000000001</v>
      </c>
      <c r="Q460" s="9">
        <v>19.942900000000002</v>
      </c>
      <c r="R460" s="9"/>
      <c r="S460" s="11"/>
    </row>
    <row r="461" spans="1:19" ht="15.75">
      <c r="A461" s="13">
        <v>55915</v>
      </c>
      <c r="B461" s="8">
        <f>11.9754 * CHOOSE(CONTROL!$C$12, $D$11, 100%, $F$11)</f>
        <v>9.6282216000000016</v>
      </c>
      <c r="C461" s="8">
        <f>11.9859 * CHOOSE(CONTROL!$C$12, $D$11, 100%, $F$11)</f>
        <v>9.6366636000000021</v>
      </c>
      <c r="D461" s="8">
        <f>11.9835 * CHOOSE( CONTROL!$C$12, $D$11, 100%, $F$11)</f>
        <v>9.6347339999999999</v>
      </c>
      <c r="E461" s="12">
        <f>11.9833 * CHOOSE( CONTROL!$C$12, $D$11, 100%, $F$11)</f>
        <v>9.6345732000000002</v>
      </c>
      <c r="F461" s="4">
        <f>12.9983 * CHOOSE(CONTROL!$C$12, $D$11, 100%, $F$11)</f>
        <v>10.4506332</v>
      </c>
      <c r="G461" s="8">
        <f>11.7008 * CHOOSE( CONTROL!$C$12, $D$11, 100%, $F$11)</f>
        <v>9.4074431999999995</v>
      </c>
      <c r="H461" s="4">
        <f>12.5942 * CHOOSE(CONTROL!$C$12, $D$11, 100%, $F$11)</f>
        <v>10.1257368</v>
      </c>
      <c r="I461" s="8">
        <f>11.5844 * CHOOSE(CONTROL!$C$12, $D$11, 100%, $F$11)</f>
        <v>9.3138576000000004</v>
      </c>
      <c r="J461" s="4">
        <f>11.4701 * CHOOSE(CONTROL!$C$12, $D$11, 100%, $F$11)</f>
        <v>9.2219604000000004</v>
      </c>
      <c r="K461" s="4"/>
      <c r="L461" s="9">
        <v>27.3993</v>
      </c>
      <c r="M461" s="9">
        <v>12.063700000000001</v>
      </c>
      <c r="N461" s="9">
        <v>4.9444999999999997</v>
      </c>
      <c r="O461" s="9">
        <v>0.37459999999999999</v>
      </c>
      <c r="P461" s="9">
        <v>1.2939000000000001</v>
      </c>
      <c r="Q461" s="9">
        <v>19.877800000000001</v>
      </c>
      <c r="R461" s="9"/>
      <c r="S461" s="11"/>
    </row>
    <row r="462" spans="1:19" ht="15.75">
      <c r="A462" s="13">
        <v>55943</v>
      </c>
      <c r="B462" s="8">
        <f>11.2016 * CHOOSE(CONTROL!$C$12, $D$11, 100%, $F$11)</f>
        <v>9.0060863999999992</v>
      </c>
      <c r="C462" s="8">
        <f>11.212 * CHOOSE(CONTROL!$C$12, $D$11, 100%, $F$11)</f>
        <v>9.0144479999999998</v>
      </c>
      <c r="D462" s="8">
        <f>11.212 * CHOOSE( CONTROL!$C$12, $D$11, 100%, $F$11)</f>
        <v>9.0144479999999998</v>
      </c>
      <c r="E462" s="12">
        <f>11.2109 * CHOOSE( CONTROL!$C$12, $D$11, 100%, $F$11)</f>
        <v>9.0135636000000012</v>
      </c>
      <c r="F462" s="4">
        <f>12.2166 * CHOOSE(CONTROL!$C$12, $D$11, 100%, $F$11)</f>
        <v>9.8221464000000012</v>
      </c>
      <c r="G462" s="8">
        <f>10.9463 * CHOOSE( CONTROL!$C$12, $D$11, 100%, $F$11)</f>
        <v>8.800825200000002</v>
      </c>
      <c r="H462" s="4">
        <f>11.8322 * CHOOSE(CONTROL!$C$12, $D$11, 100%, $F$11)</f>
        <v>9.5130888000000002</v>
      </c>
      <c r="I462" s="8">
        <f>10.8316 * CHOOSE(CONTROL!$C$12, $D$11, 100%, $F$11)</f>
        <v>8.7086064000000007</v>
      </c>
      <c r="J462" s="4">
        <f>10.7286 * CHOOSE(CONTROL!$C$12, $D$11, 100%, $F$11)</f>
        <v>8.6257944000000002</v>
      </c>
      <c r="K462" s="4"/>
      <c r="L462" s="9">
        <v>24.747800000000002</v>
      </c>
      <c r="M462" s="9">
        <v>10.8962</v>
      </c>
      <c r="N462" s="9">
        <v>4.4660000000000002</v>
      </c>
      <c r="O462" s="9">
        <v>0.33829999999999999</v>
      </c>
      <c r="P462" s="9">
        <v>1.1687000000000001</v>
      </c>
      <c r="Q462" s="9">
        <v>17.9542</v>
      </c>
      <c r="R462" s="9"/>
      <c r="S462" s="11"/>
    </row>
    <row r="463" spans="1:19" ht="15.75">
      <c r="A463" s="13">
        <v>55974</v>
      </c>
      <c r="B463" s="8">
        <f>10.9632 * CHOOSE(CONTROL!$C$12, $D$11, 100%, $F$11)</f>
        <v>8.8144128000000013</v>
      </c>
      <c r="C463" s="8">
        <f>10.9736 * CHOOSE(CONTROL!$C$12, $D$11, 100%, $F$11)</f>
        <v>8.8227744000000001</v>
      </c>
      <c r="D463" s="8">
        <f>10.9535 * CHOOSE( CONTROL!$C$12, $D$11, 100%, $F$11)</f>
        <v>8.8066139999999997</v>
      </c>
      <c r="E463" s="12">
        <f>10.9597 * CHOOSE( CONTROL!$C$12, $D$11, 100%, $F$11)</f>
        <v>8.8115988000000005</v>
      </c>
      <c r="F463" s="4">
        <f>11.9621 * CHOOSE(CONTROL!$C$12, $D$11, 100%, $F$11)</f>
        <v>9.6175283999999994</v>
      </c>
      <c r="G463" s="8">
        <f>10.6935 * CHOOSE( CONTROL!$C$12, $D$11, 100%, $F$11)</f>
        <v>8.5975739999999998</v>
      </c>
      <c r="H463" s="4">
        <f>11.5841 * CHOOSE(CONTROL!$C$12, $D$11, 100%, $F$11)</f>
        <v>9.3136164000000008</v>
      </c>
      <c r="I463" s="8">
        <f>10.5636 * CHOOSE(CONTROL!$C$12, $D$11, 100%, $F$11)</f>
        <v>8.4931344000000006</v>
      </c>
      <c r="J463" s="4">
        <f>10.5002 * CHOOSE(CONTROL!$C$12, $D$11, 100%, $F$11)</f>
        <v>8.4421607999999999</v>
      </c>
      <c r="K463" s="4"/>
      <c r="L463" s="9">
        <v>27.3993</v>
      </c>
      <c r="M463" s="9">
        <v>12.063700000000001</v>
      </c>
      <c r="N463" s="9">
        <v>4.9444999999999997</v>
      </c>
      <c r="O463" s="9">
        <v>0.37459999999999999</v>
      </c>
      <c r="P463" s="9">
        <v>1.2939000000000001</v>
      </c>
      <c r="Q463" s="9">
        <v>19.877800000000001</v>
      </c>
      <c r="R463" s="9"/>
      <c r="S463" s="11"/>
    </row>
    <row r="464" spans="1:19" ht="15.75">
      <c r="A464" s="13">
        <v>56004</v>
      </c>
      <c r="B464" s="8">
        <f>11.1298 * CHOOSE(CONTROL!$C$12, $D$11, 100%, $F$11)</f>
        <v>8.9483592000000005</v>
      </c>
      <c r="C464" s="8">
        <f>11.1402 * CHOOSE(CONTROL!$C$12, $D$11, 100%, $F$11)</f>
        <v>8.9567208000000011</v>
      </c>
      <c r="D464" s="8">
        <f>11.1434 * CHOOSE( CONTROL!$C$12, $D$11, 100%, $F$11)</f>
        <v>8.9592936000000005</v>
      </c>
      <c r="E464" s="12">
        <f>11.1412 * CHOOSE( CONTROL!$C$12, $D$11, 100%, $F$11)</f>
        <v>8.9575247999999998</v>
      </c>
      <c r="F464" s="4">
        <f>12.137 * CHOOSE(CONTROL!$C$12, $D$11, 100%, $F$11)</f>
        <v>9.7581480000000003</v>
      </c>
      <c r="G464" s="8">
        <f>10.8437 * CHOOSE( CONTROL!$C$12, $D$11, 100%, $F$11)</f>
        <v>8.7183348000000009</v>
      </c>
      <c r="H464" s="4">
        <f>11.7546 * CHOOSE(CONTROL!$C$12, $D$11, 100%, $F$11)</f>
        <v>9.4506984000000003</v>
      </c>
      <c r="I464" s="8">
        <f>10.7133 * CHOOSE(CONTROL!$C$12, $D$11, 100%, $F$11)</f>
        <v>8.6134932000000006</v>
      </c>
      <c r="J464" s="4">
        <f>10.6598 * CHOOSE(CONTROL!$C$12, $D$11, 100%, $F$11)</f>
        <v>8.5704792000000012</v>
      </c>
      <c r="K464" s="4"/>
      <c r="L464" s="9">
        <v>27.988800000000001</v>
      </c>
      <c r="M464" s="9">
        <v>11.6745</v>
      </c>
      <c r="N464" s="9">
        <v>4.7850000000000001</v>
      </c>
      <c r="O464" s="9">
        <v>0.36249999999999999</v>
      </c>
      <c r="P464" s="9">
        <v>1.1798</v>
      </c>
      <c r="Q464" s="9">
        <v>19.236599999999999</v>
      </c>
      <c r="R464" s="9"/>
      <c r="S464" s="11"/>
    </row>
    <row r="465" spans="1:19" ht="15.75">
      <c r="A465" s="13">
        <v>56035</v>
      </c>
      <c r="B465" s="8">
        <f>CHOOSE( CONTROL!$C$29, 11.4309, 11.4262) * CHOOSE(CONTROL!$C$12, $D$11, 100%, $F$11)</f>
        <v>9.1904436</v>
      </c>
      <c r="C465" s="8">
        <f>CHOOSE( CONTROL!$C$29, 11.4413, 11.4366) * CHOOSE(CONTROL!$C$12, $D$11, 100%, $F$11)</f>
        <v>9.1988052000000007</v>
      </c>
      <c r="D465" s="8">
        <f>CHOOSE( CONTROL!$C$29, 11.4193, 11.4146) * CHOOSE( CONTROL!$C$12, $D$11, 100%, $F$11)</f>
        <v>9.181117200000001</v>
      </c>
      <c r="E465" s="12">
        <f>CHOOSE( CONTROL!$C$29, 11.4257, 11.421) * CHOOSE( CONTROL!$C$12, $D$11, 100%, $F$11)</f>
        <v>9.1862628000000015</v>
      </c>
      <c r="F465" s="4">
        <f>CHOOSE( CONTROL!$C$29, 12.4058, 12.4011) * CHOOSE(CONTROL!$C$12, $D$11, 100%, $F$11)</f>
        <v>9.9742631999999993</v>
      </c>
      <c r="G465" s="8">
        <f>CHOOSE( CONTROL!$C$29, 11.1186, 11.114) * CHOOSE( CONTROL!$C$12, $D$11, 100%, $F$11)</f>
        <v>8.9393544000000009</v>
      </c>
      <c r="H465" s="4">
        <f>CHOOSE( CONTROL!$C$29, 12.0166, 12.012) * CHOOSE(CONTROL!$C$12, $D$11, 100%, $F$11)</f>
        <v>9.6613464000000011</v>
      </c>
      <c r="I465" s="8">
        <f>CHOOSE( CONTROL!$C$29, 10.9805, 10.976) * CHOOSE(CONTROL!$C$12, $D$11, 100%, $F$11)</f>
        <v>8.828322</v>
      </c>
      <c r="J465" s="4">
        <f>CHOOSE( CONTROL!$C$29, 10.9483, 10.9438) * CHOOSE(CONTROL!$C$12, $D$11, 100%, $F$11)</f>
        <v>8.8024331999999994</v>
      </c>
      <c r="K465" s="4"/>
      <c r="L465" s="9">
        <v>29.520499999999998</v>
      </c>
      <c r="M465" s="9">
        <v>12.063700000000001</v>
      </c>
      <c r="N465" s="9">
        <v>4.9444999999999997</v>
      </c>
      <c r="O465" s="9">
        <v>0.37459999999999999</v>
      </c>
      <c r="P465" s="9">
        <v>1.2192000000000001</v>
      </c>
      <c r="Q465" s="9">
        <v>19.877800000000001</v>
      </c>
      <c r="R465" s="9"/>
      <c r="S465" s="11"/>
    </row>
    <row r="466" spans="1:19" ht="15.75">
      <c r="A466" s="13">
        <v>56065</v>
      </c>
      <c r="B466" s="8">
        <f>CHOOSE( CONTROL!$C$29, 11.2473, 11.2426) * CHOOSE(CONTROL!$C$12, $D$11, 100%, $F$11)</f>
        <v>9.0428291999999999</v>
      </c>
      <c r="C466" s="8">
        <f>CHOOSE( CONTROL!$C$29, 11.2577, 11.253) * CHOOSE(CONTROL!$C$12, $D$11, 100%, $F$11)</f>
        <v>9.0511908000000005</v>
      </c>
      <c r="D466" s="8">
        <f>CHOOSE( CONTROL!$C$29, 11.2301, 11.2254) * CHOOSE( CONTROL!$C$12, $D$11, 100%, $F$11)</f>
        <v>9.029000400000001</v>
      </c>
      <c r="E466" s="12">
        <f>CHOOSE( CONTROL!$C$29, 11.2385, 11.2338) * CHOOSE( CONTROL!$C$12, $D$11, 100%, $F$11)</f>
        <v>9.0357540000000007</v>
      </c>
      <c r="F466" s="4">
        <f>CHOOSE( CONTROL!$C$29, 12.2117, 12.207) * CHOOSE(CONTROL!$C$12, $D$11, 100%, $F$11)</f>
        <v>9.8182068000000005</v>
      </c>
      <c r="G466" s="8">
        <f>CHOOSE( CONTROL!$C$29, 10.9383, 10.9337) * CHOOSE( CONTROL!$C$12, $D$11, 100%, $F$11)</f>
        <v>8.7943932</v>
      </c>
      <c r="H466" s="4">
        <f>CHOOSE( CONTROL!$C$29, 11.8274, 11.8228) * CHOOSE(CONTROL!$C$12, $D$11, 100%, $F$11)</f>
        <v>9.5092296000000012</v>
      </c>
      <c r="I466" s="8">
        <f>CHOOSE( CONTROL!$C$29, 10.8066, 10.8021) * CHOOSE(CONTROL!$C$12, $D$11, 100%, $F$11)</f>
        <v>8.6885063999999996</v>
      </c>
      <c r="J466" s="4">
        <f>CHOOSE( CONTROL!$C$29, 10.7724, 10.7679) * CHOOSE(CONTROL!$C$12, $D$11, 100%, $F$11)</f>
        <v>8.6610095999999999</v>
      </c>
      <c r="K466" s="4"/>
      <c r="L466" s="9">
        <v>28.568200000000001</v>
      </c>
      <c r="M466" s="9">
        <v>11.6745</v>
      </c>
      <c r="N466" s="9">
        <v>4.7850000000000001</v>
      </c>
      <c r="O466" s="9">
        <v>0.36249999999999999</v>
      </c>
      <c r="P466" s="9">
        <v>1.1798</v>
      </c>
      <c r="Q466" s="9">
        <v>19.236599999999999</v>
      </c>
      <c r="R466" s="9"/>
      <c r="S466" s="11"/>
    </row>
    <row r="467" spans="1:19" ht="15.75">
      <c r="A467" s="13">
        <v>56096</v>
      </c>
      <c r="B467" s="8">
        <f>CHOOSE( CONTROL!$C$29, 11.7308, 11.7261) * CHOOSE(CONTROL!$C$12, $D$11, 100%, $F$11)</f>
        <v>9.4315632000000011</v>
      </c>
      <c r="C467" s="8">
        <f>CHOOSE( CONTROL!$C$29, 11.7413, 11.7366) * CHOOSE(CONTROL!$C$12, $D$11, 100%, $F$11)</f>
        <v>9.4400052000000017</v>
      </c>
      <c r="D467" s="8">
        <f>CHOOSE( CONTROL!$C$29, 11.7328, 11.7281) * CHOOSE( CONTROL!$C$12, $D$11, 100%, $F$11)</f>
        <v>9.4331712000000003</v>
      </c>
      <c r="E467" s="12">
        <f>CHOOSE( CONTROL!$C$29, 11.7343, 11.7296) * CHOOSE( CONTROL!$C$12, $D$11, 100%, $F$11)</f>
        <v>9.4343772000000001</v>
      </c>
      <c r="F467" s="4">
        <f>CHOOSE( CONTROL!$C$29, 12.7224, 12.7177) * CHOOSE(CONTROL!$C$12, $D$11, 100%, $F$11)</f>
        <v>10.228809600000002</v>
      </c>
      <c r="G467" s="8">
        <f>CHOOSE( CONTROL!$C$29, 11.4224, 11.4178) * CHOOSE( CONTROL!$C$12, $D$11, 100%, $F$11)</f>
        <v>9.1836096000000005</v>
      </c>
      <c r="H467" s="4">
        <f>CHOOSE( CONTROL!$C$29, 12.3252, 12.3206) * CHOOSE(CONTROL!$C$12, $D$11, 100%, $F$11)</f>
        <v>9.9094608000000015</v>
      </c>
      <c r="I467" s="8">
        <f>CHOOSE( CONTROL!$C$29, 11.2929, 11.2884) * CHOOSE(CONTROL!$C$12, $D$11, 100%, $F$11)</f>
        <v>9.0794916000000008</v>
      </c>
      <c r="J467" s="4">
        <f>CHOOSE( CONTROL!$C$29, 11.2357, 11.2312) * CHOOSE(CONTROL!$C$12, $D$11, 100%, $F$11)</f>
        <v>9.0335028000000008</v>
      </c>
      <c r="K467" s="4"/>
      <c r="L467" s="9">
        <v>29.520499999999998</v>
      </c>
      <c r="M467" s="9">
        <v>12.063700000000001</v>
      </c>
      <c r="N467" s="9">
        <v>4.9444999999999997</v>
      </c>
      <c r="O467" s="9">
        <v>0.37459999999999999</v>
      </c>
      <c r="P467" s="9">
        <v>1.2192000000000001</v>
      </c>
      <c r="Q467" s="9">
        <v>19.877800000000001</v>
      </c>
      <c r="R467" s="9"/>
      <c r="S467" s="11"/>
    </row>
    <row r="468" spans="1:19" ht="15.75">
      <c r="A468" s="13">
        <v>56127</v>
      </c>
      <c r="B468" s="8">
        <f>CHOOSE( CONTROL!$C$29, 10.826, 10.8213) * CHOOSE(CONTROL!$C$12, $D$11, 100%, $F$11)</f>
        <v>8.704104000000001</v>
      </c>
      <c r="C468" s="8">
        <f>CHOOSE( CONTROL!$C$29, 10.8365, 10.8318) * CHOOSE(CONTROL!$C$12, $D$11, 100%, $F$11)</f>
        <v>8.7125459999999997</v>
      </c>
      <c r="D468" s="8">
        <f>CHOOSE( CONTROL!$C$29, 10.8314, 10.8266) * CHOOSE( CONTROL!$C$12, $D$11, 100%, $F$11)</f>
        <v>8.708445600000001</v>
      </c>
      <c r="E468" s="12">
        <f>CHOOSE( CONTROL!$C$29, 10.8316, 10.8269) * CHOOSE( CONTROL!$C$12, $D$11, 100%, $F$11)</f>
        <v>8.7086064000000007</v>
      </c>
      <c r="F468" s="4">
        <f>CHOOSE( CONTROL!$C$29, 11.8229, 11.8182) * CHOOSE(CONTROL!$C$12, $D$11, 100%, $F$11)</f>
        <v>9.5056116000000017</v>
      </c>
      <c r="G468" s="8">
        <f>CHOOSE( CONTROL!$C$29, 10.5425, 10.5379) * CHOOSE( CONTROL!$C$12, $D$11, 100%, $F$11)</f>
        <v>8.4761700000000015</v>
      </c>
      <c r="H468" s="4">
        <f>CHOOSE( CONTROL!$C$29, 11.4483, 11.4437) * CHOOSE(CONTROL!$C$12, $D$11, 100%, $F$11)</f>
        <v>9.2044332000000004</v>
      </c>
      <c r="I468" s="8">
        <f>CHOOSE( CONTROL!$C$29, 10.4302, 10.4256) * CHOOSE(CONTROL!$C$12, $D$11, 100%, $F$11)</f>
        <v>8.3858808000000007</v>
      </c>
      <c r="J468" s="4">
        <f>CHOOSE( CONTROL!$C$29, 10.3688, 10.3642) * CHOOSE(CONTROL!$C$12, $D$11, 100%, $F$11)</f>
        <v>8.3365152000000009</v>
      </c>
      <c r="K468" s="4"/>
      <c r="L468" s="9">
        <v>29.520499999999998</v>
      </c>
      <c r="M468" s="9">
        <v>12.063700000000001</v>
      </c>
      <c r="N468" s="9">
        <v>4.9444999999999997</v>
      </c>
      <c r="O468" s="9">
        <v>0.37459999999999999</v>
      </c>
      <c r="P468" s="9">
        <v>1.2192000000000001</v>
      </c>
      <c r="Q468" s="9">
        <v>19.877800000000001</v>
      </c>
      <c r="R468" s="9"/>
      <c r="S468" s="11"/>
    </row>
    <row r="469" spans="1:19" ht="15.75">
      <c r="A469" s="13">
        <v>56157</v>
      </c>
      <c r="B469" s="8">
        <f>CHOOSE( CONTROL!$C$29, 10.5995, 10.5948) * CHOOSE(CONTROL!$C$12, $D$11, 100%, $F$11)</f>
        <v>8.5219980000000017</v>
      </c>
      <c r="C469" s="8">
        <f>CHOOSE( CONTROL!$C$29, 10.6099, 10.6052) * CHOOSE(CONTROL!$C$12, $D$11, 100%, $F$11)</f>
        <v>8.5303596000000006</v>
      </c>
      <c r="D469" s="8">
        <f>CHOOSE( CONTROL!$C$29, 10.6006, 10.5959) * CHOOSE( CONTROL!$C$12, $D$11, 100%, $F$11)</f>
        <v>8.5228824000000003</v>
      </c>
      <c r="E469" s="12">
        <f>CHOOSE( CONTROL!$C$29, 10.6024, 10.5977) * CHOOSE( CONTROL!$C$12, $D$11, 100%, $F$11)</f>
        <v>8.5243295999999997</v>
      </c>
      <c r="F469" s="4">
        <f>CHOOSE( CONTROL!$C$29, 11.5885, 11.5838) * CHOOSE(CONTROL!$C$12, $D$11, 100%, $F$11)</f>
        <v>9.3171540000000004</v>
      </c>
      <c r="G469" s="8">
        <f>CHOOSE( CONTROL!$C$29, 10.3204, 10.3158) * CHOOSE( CONTROL!$C$12, $D$11, 100%, $F$11)</f>
        <v>8.2976016000000001</v>
      </c>
      <c r="H469" s="4">
        <f>CHOOSE( CONTROL!$C$29, 11.2199, 11.2153) * CHOOSE(CONTROL!$C$12, $D$11, 100%, $F$11)</f>
        <v>9.0207996000000019</v>
      </c>
      <c r="I469" s="8">
        <f>CHOOSE( CONTROL!$C$29, 10.2143, 10.2098) * CHOOSE(CONTROL!$C$12, $D$11, 100%, $F$11)</f>
        <v>8.2122972000000001</v>
      </c>
      <c r="J469" s="4">
        <f>CHOOSE( CONTROL!$C$29, 10.1517, 10.1471) * CHOOSE(CONTROL!$C$12, $D$11, 100%, $F$11)</f>
        <v>8.1619668000000001</v>
      </c>
      <c r="K469" s="4"/>
      <c r="L469" s="9">
        <v>28.568200000000001</v>
      </c>
      <c r="M469" s="9">
        <v>11.6745</v>
      </c>
      <c r="N469" s="9">
        <v>4.7850000000000001</v>
      </c>
      <c r="O469" s="9">
        <v>0.36249999999999999</v>
      </c>
      <c r="P469" s="9">
        <v>1.1798</v>
      </c>
      <c r="Q469" s="9">
        <v>19.236599999999999</v>
      </c>
      <c r="R469" s="9"/>
      <c r="S469" s="11"/>
    </row>
    <row r="470" spans="1:19" ht="15.75">
      <c r="A470" s="13">
        <v>56188</v>
      </c>
      <c r="B470" s="8">
        <f>11.0652 * CHOOSE(CONTROL!$C$12, $D$11, 100%, $F$11)</f>
        <v>8.8964208000000013</v>
      </c>
      <c r="C470" s="8">
        <f>11.0756 * CHOOSE(CONTROL!$C$12, $D$11, 100%, $F$11)</f>
        <v>8.9047824000000002</v>
      </c>
      <c r="D470" s="8">
        <f>11.0672 * CHOOSE( CONTROL!$C$12, $D$11, 100%, $F$11)</f>
        <v>8.8980288000000005</v>
      </c>
      <c r="E470" s="12">
        <f>11.0689 * CHOOSE( CONTROL!$C$12, $D$11, 100%, $F$11)</f>
        <v>8.8993956000000001</v>
      </c>
      <c r="F470" s="4">
        <f>12.0542 * CHOOSE(CONTROL!$C$12, $D$11, 100%, $F$11)</f>
        <v>9.6915768</v>
      </c>
      <c r="G470" s="8">
        <f>10.774 * CHOOSE( CONTROL!$C$12, $D$11, 100%, $F$11)</f>
        <v>8.6622959999999996</v>
      </c>
      <c r="H470" s="4">
        <f>11.6738 * CHOOSE(CONTROL!$C$12, $D$11, 100%, $F$11)</f>
        <v>9.3857352000000009</v>
      </c>
      <c r="I470" s="8">
        <f>10.6628 * CHOOSE(CONTROL!$C$12, $D$11, 100%, $F$11)</f>
        <v>8.5728912000000008</v>
      </c>
      <c r="J470" s="4">
        <f>10.5979 * CHOOSE(CONTROL!$C$12, $D$11, 100%, $F$11)</f>
        <v>8.5207116000000003</v>
      </c>
      <c r="K470" s="4"/>
      <c r="L470" s="9">
        <v>28.921800000000001</v>
      </c>
      <c r="M470" s="9">
        <v>12.063700000000001</v>
      </c>
      <c r="N470" s="9">
        <v>4.9444999999999997</v>
      </c>
      <c r="O470" s="9">
        <v>0.37459999999999999</v>
      </c>
      <c r="P470" s="9">
        <v>1.2192000000000001</v>
      </c>
      <c r="Q470" s="9">
        <v>19.877800000000001</v>
      </c>
      <c r="R470" s="9"/>
      <c r="S470" s="11"/>
    </row>
    <row r="471" spans="1:19" ht="15.75">
      <c r="A471" s="13">
        <v>56218</v>
      </c>
      <c r="B471" s="8">
        <f>11.9335 * CHOOSE(CONTROL!$C$12, $D$11, 100%, $F$11)</f>
        <v>9.5945340000000012</v>
      </c>
      <c r="C471" s="8">
        <f>11.944 * CHOOSE(CONTROL!$C$12, $D$11, 100%, $F$11)</f>
        <v>9.6029760000000017</v>
      </c>
      <c r="D471" s="8">
        <f>11.9242 * CHOOSE( CONTROL!$C$12, $D$11, 100%, $F$11)</f>
        <v>9.5870568000000009</v>
      </c>
      <c r="E471" s="12">
        <f>11.9303 * CHOOSE( CONTROL!$C$12, $D$11, 100%, $F$11)</f>
        <v>9.5919612000000019</v>
      </c>
      <c r="F471" s="4">
        <f>12.9251 * CHOOSE(CONTROL!$C$12, $D$11, 100%, $F$11)</f>
        <v>10.391780400000002</v>
      </c>
      <c r="G471" s="8">
        <f>11.6394 * CHOOSE( CONTROL!$C$12, $D$11, 100%, $F$11)</f>
        <v>9.3580776000000014</v>
      </c>
      <c r="H471" s="4">
        <f>12.5228 * CHOOSE(CONTROL!$C$12, $D$11, 100%, $F$11)</f>
        <v>10.068331200000001</v>
      </c>
      <c r="I471" s="8">
        <f>11.5255 * CHOOSE(CONTROL!$C$12, $D$11, 100%, $F$11)</f>
        <v>9.2665019999999991</v>
      </c>
      <c r="J471" s="4">
        <f>11.43 * CHOOSE(CONTROL!$C$12, $D$11, 100%, $F$11)</f>
        <v>9.1897199999999994</v>
      </c>
      <c r="K471" s="4"/>
      <c r="L471" s="9">
        <v>26.515499999999999</v>
      </c>
      <c r="M471" s="9">
        <v>11.6745</v>
      </c>
      <c r="N471" s="9">
        <v>4.7850000000000001</v>
      </c>
      <c r="O471" s="9">
        <v>0.36249999999999999</v>
      </c>
      <c r="P471" s="9">
        <v>1.2522</v>
      </c>
      <c r="Q471" s="9">
        <v>19.236599999999999</v>
      </c>
      <c r="R471" s="9"/>
      <c r="S471" s="11"/>
    </row>
    <row r="472" spans="1:19" ht="15.75">
      <c r="A472" s="13">
        <v>56249</v>
      </c>
      <c r="B472" s="8">
        <f>11.9118 * CHOOSE(CONTROL!$C$12, $D$11, 100%, $F$11)</f>
        <v>9.5770871999999994</v>
      </c>
      <c r="C472" s="8">
        <f>11.9223 * CHOOSE(CONTROL!$C$12, $D$11, 100%, $F$11)</f>
        <v>9.5855291999999999</v>
      </c>
      <c r="D472" s="8">
        <f>11.9044 * CHOOSE( CONTROL!$C$12, $D$11, 100%, $F$11)</f>
        <v>9.5711376000000019</v>
      </c>
      <c r="E472" s="12">
        <f>11.9098 * CHOOSE( CONTROL!$C$12, $D$11, 100%, $F$11)</f>
        <v>9.5754792000000002</v>
      </c>
      <c r="F472" s="4">
        <f>12.9034 * CHOOSE(CONTROL!$C$12, $D$11, 100%, $F$11)</f>
        <v>10.3743336</v>
      </c>
      <c r="G472" s="8">
        <f>11.6197 * CHOOSE( CONTROL!$C$12, $D$11, 100%, $F$11)</f>
        <v>9.3422388000000005</v>
      </c>
      <c r="H472" s="4">
        <f>12.5017 * CHOOSE(CONTROL!$C$12, $D$11, 100%, $F$11)</f>
        <v>10.0513668</v>
      </c>
      <c r="I472" s="8">
        <f>11.5115 * CHOOSE(CONTROL!$C$12, $D$11, 100%, $F$11)</f>
        <v>9.2552459999999996</v>
      </c>
      <c r="J472" s="4">
        <f>11.4092 * CHOOSE(CONTROL!$C$12, $D$11, 100%, $F$11)</f>
        <v>9.1729968</v>
      </c>
      <c r="K472" s="4"/>
      <c r="L472" s="9">
        <v>27.3993</v>
      </c>
      <c r="M472" s="9">
        <v>12.063700000000001</v>
      </c>
      <c r="N472" s="9">
        <v>4.9444999999999997</v>
      </c>
      <c r="O472" s="9">
        <v>0.37459999999999999</v>
      </c>
      <c r="P472" s="9">
        <v>1.2939000000000001</v>
      </c>
      <c r="Q472" s="9">
        <v>19.877800000000001</v>
      </c>
      <c r="R472" s="9"/>
      <c r="S472" s="11"/>
    </row>
    <row r="473" spans="1:19" ht="15.75">
      <c r="A473" s="13">
        <v>56280</v>
      </c>
      <c r="B473" s="8">
        <f>12.3669 * CHOOSE(CONTROL!$C$12, $D$11, 100%, $F$11)</f>
        <v>9.9429876000000004</v>
      </c>
      <c r="C473" s="8">
        <f>12.3773 * CHOOSE(CONTROL!$C$12, $D$11, 100%, $F$11)</f>
        <v>9.951349200000001</v>
      </c>
      <c r="D473" s="8">
        <f>12.375 * CHOOSE( CONTROL!$C$12, $D$11, 100%, $F$11)</f>
        <v>9.9495000000000005</v>
      </c>
      <c r="E473" s="12">
        <f>12.3747 * CHOOSE( CONTROL!$C$12, $D$11, 100%, $F$11)</f>
        <v>9.9492588000000008</v>
      </c>
      <c r="F473" s="4">
        <f>13.3898 * CHOOSE(CONTROL!$C$12, $D$11, 100%, $F$11)</f>
        <v>10.765399199999999</v>
      </c>
      <c r="G473" s="8">
        <f>12.0824 * CHOOSE( CONTROL!$C$12, $D$11, 100%, $F$11)</f>
        <v>9.7142496000000005</v>
      </c>
      <c r="H473" s="4">
        <f>12.9758 * CHOOSE(CONTROL!$C$12, $D$11, 100%, $F$11)</f>
        <v>10.4325432</v>
      </c>
      <c r="I473" s="8">
        <f>11.9597 * CHOOSE(CONTROL!$C$12, $D$11, 100%, $F$11)</f>
        <v>9.6155988000000008</v>
      </c>
      <c r="J473" s="4">
        <f>11.8452 * CHOOSE(CONTROL!$C$12, $D$11, 100%, $F$11)</f>
        <v>9.523540800000001</v>
      </c>
      <c r="K473" s="4"/>
      <c r="L473" s="9">
        <v>27.3993</v>
      </c>
      <c r="M473" s="9">
        <v>12.063700000000001</v>
      </c>
      <c r="N473" s="9">
        <v>4.9444999999999997</v>
      </c>
      <c r="O473" s="9">
        <v>0.37459999999999999</v>
      </c>
      <c r="P473" s="9">
        <v>1.2939000000000001</v>
      </c>
      <c r="Q473" s="9">
        <v>19.814599999999999</v>
      </c>
      <c r="R473" s="9"/>
      <c r="S473" s="11"/>
    </row>
    <row r="474" spans="1:19" ht="15.75">
      <c r="A474" s="13">
        <v>56308</v>
      </c>
      <c r="B474" s="8">
        <f>11.5677 * CHOOSE(CONTROL!$C$12, $D$11, 100%, $F$11)</f>
        <v>9.3004308000000009</v>
      </c>
      <c r="C474" s="8">
        <f>11.5782 * CHOOSE(CONTROL!$C$12, $D$11, 100%, $F$11)</f>
        <v>9.3088728000000014</v>
      </c>
      <c r="D474" s="8">
        <f>11.5781 * CHOOSE( CONTROL!$C$12, $D$11, 100%, $F$11)</f>
        <v>9.3087923999999997</v>
      </c>
      <c r="E474" s="12">
        <f>11.577 * CHOOSE( CONTROL!$C$12, $D$11, 100%, $F$11)</f>
        <v>9.3079080000000012</v>
      </c>
      <c r="F474" s="4">
        <f>12.5828 * CHOOSE(CONTROL!$C$12, $D$11, 100%, $F$11)</f>
        <v>10.116571200000001</v>
      </c>
      <c r="G474" s="8">
        <f>11.3032 * CHOOSE( CONTROL!$C$12, $D$11, 100%, $F$11)</f>
        <v>9.0877728000000015</v>
      </c>
      <c r="H474" s="4">
        <f>12.1891 * CHOOSE(CONTROL!$C$12, $D$11, 100%, $F$11)</f>
        <v>9.8000363999999998</v>
      </c>
      <c r="I474" s="8">
        <f>11.1826 * CHOOSE(CONTROL!$C$12, $D$11, 100%, $F$11)</f>
        <v>8.9908104000000009</v>
      </c>
      <c r="J474" s="4">
        <f>11.0794 * CHOOSE(CONTROL!$C$12, $D$11, 100%, $F$11)</f>
        <v>8.9078376000000006</v>
      </c>
      <c r="K474" s="4"/>
      <c r="L474" s="9">
        <v>24.747800000000002</v>
      </c>
      <c r="M474" s="9">
        <v>10.8962</v>
      </c>
      <c r="N474" s="9">
        <v>4.4660000000000002</v>
      </c>
      <c r="O474" s="9">
        <v>0.33829999999999999</v>
      </c>
      <c r="P474" s="9">
        <v>1.1687000000000001</v>
      </c>
      <c r="Q474" s="9">
        <v>17.896999999999998</v>
      </c>
      <c r="R474" s="9"/>
      <c r="S474" s="11"/>
    </row>
    <row r="475" spans="1:19" ht="15.75">
      <c r="A475" s="13">
        <v>56339</v>
      </c>
      <c r="B475" s="8">
        <f>11.3216 * CHOOSE(CONTROL!$C$12, $D$11, 100%, $F$11)</f>
        <v>9.1025664000000006</v>
      </c>
      <c r="C475" s="8">
        <f>11.332 * CHOOSE(CONTROL!$C$12, $D$11, 100%, $F$11)</f>
        <v>9.1109280000000012</v>
      </c>
      <c r="D475" s="8">
        <f>11.3119 * CHOOSE( CONTROL!$C$12, $D$11, 100%, $F$11)</f>
        <v>9.0947676000000008</v>
      </c>
      <c r="E475" s="12">
        <f>11.3181 * CHOOSE( CONTROL!$C$12, $D$11, 100%, $F$11)</f>
        <v>9.0997523999999999</v>
      </c>
      <c r="F475" s="4">
        <f>12.3205 * CHOOSE(CONTROL!$C$12, $D$11, 100%, $F$11)</f>
        <v>9.9056820000000005</v>
      </c>
      <c r="G475" s="8">
        <f>11.0428 * CHOOSE( CONTROL!$C$12, $D$11, 100%, $F$11)</f>
        <v>8.8784112000000004</v>
      </c>
      <c r="H475" s="4">
        <f>11.9334 * CHOOSE(CONTROL!$C$12, $D$11, 100%, $F$11)</f>
        <v>9.5944536000000014</v>
      </c>
      <c r="I475" s="8">
        <f>10.9072 * CHOOSE(CONTROL!$C$12, $D$11, 100%, $F$11)</f>
        <v>8.7693887999999998</v>
      </c>
      <c r="J475" s="4">
        <f>10.8436 * CHOOSE(CONTROL!$C$12, $D$11, 100%, $F$11)</f>
        <v>8.7182544000000011</v>
      </c>
      <c r="K475" s="4"/>
      <c r="L475" s="9">
        <v>27.3993</v>
      </c>
      <c r="M475" s="9">
        <v>12.063700000000001</v>
      </c>
      <c r="N475" s="9">
        <v>4.9444999999999997</v>
      </c>
      <c r="O475" s="9">
        <v>0.37459999999999999</v>
      </c>
      <c r="P475" s="9">
        <v>1.2939000000000001</v>
      </c>
      <c r="Q475" s="9">
        <v>19.814599999999999</v>
      </c>
      <c r="R475" s="9"/>
      <c r="S475" s="11"/>
    </row>
    <row r="476" spans="1:19" ht="15.75">
      <c r="A476" s="13">
        <v>56369</v>
      </c>
      <c r="B476" s="8">
        <f>11.4936 * CHOOSE(CONTROL!$C$12, $D$11, 100%, $F$11)</f>
        <v>9.2408544000000017</v>
      </c>
      <c r="C476" s="8">
        <f>11.504 * CHOOSE(CONTROL!$C$12, $D$11, 100%, $F$11)</f>
        <v>9.2492160000000005</v>
      </c>
      <c r="D476" s="8">
        <f>11.5072 * CHOOSE( CONTROL!$C$12, $D$11, 100%, $F$11)</f>
        <v>9.2517887999999999</v>
      </c>
      <c r="E476" s="12">
        <f>11.505 * CHOOSE( CONTROL!$C$12, $D$11, 100%, $F$11)</f>
        <v>9.250020000000001</v>
      </c>
      <c r="F476" s="4">
        <f>12.5008 * CHOOSE(CONTROL!$C$12, $D$11, 100%, $F$11)</f>
        <v>10.0506432</v>
      </c>
      <c r="G476" s="8">
        <f>11.1983 * CHOOSE( CONTROL!$C$12, $D$11, 100%, $F$11)</f>
        <v>9.0034331999999999</v>
      </c>
      <c r="H476" s="4">
        <f>12.1092 * CHOOSE(CONTROL!$C$12, $D$11, 100%, $F$11)</f>
        <v>9.735796800000001</v>
      </c>
      <c r="I476" s="8">
        <f>11.0621 * CHOOSE(CONTROL!$C$12, $D$11, 100%, $F$11)</f>
        <v>8.8939284000000001</v>
      </c>
      <c r="J476" s="4">
        <f>11.0084 * CHOOSE(CONTROL!$C$12, $D$11, 100%, $F$11)</f>
        <v>8.8507536000000009</v>
      </c>
      <c r="K476" s="4"/>
      <c r="L476" s="9">
        <v>27.988800000000001</v>
      </c>
      <c r="M476" s="9">
        <v>11.6745</v>
      </c>
      <c r="N476" s="9">
        <v>4.7850000000000001</v>
      </c>
      <c r="O476" s="9">
        <v>0.36249999999999999</v>
      </c>
      <c r="P476" s="9">
        <v>1.1798</v>
      </c>
      <c r="Q476" s="9">
        <v>19.1754</v>
      </c>
      <c r="R476" s="9"/>
      <c r="S476" s="11"/>
    </row>
    <row r="477" spans="1:19" ht="15.75">
      <c r="A477" s="13">
        <v>56400</v>
      </c>
      <c r="B477" s="8">
        <f>CHOOSE( CONTROL!$C$29, 11.8044, 11.7997) * CHOOSE(CONTROL!$C$12, $D$11, 100%, $F$11)</f>
        <v>9.4907375999999992</v>
      </c>
      <c r="C477" s="8">
        <f>CHOOSE( CONTROL!$C$29, 11.8148, 11.8101) * CHOOSE(CONTROL!$C$12, $D$11, 100%, $F$11)</f>
        <v>9.4990991999999999</v>
      </c>
      <c r="D477" s="8">
        <f>CHOOSE( CONTROL!$C$29, 11.7928, 11.7881) * CHOOSE( CONTROL!$C$12, $D$11, 100%, $F$11)</f>
        <v>9.4814112000000002</v>
      </c>
      <c r="E477" s="12">
        <f>CHOOSE( CONTROL!$C$29, 11.7992, 11.7945) * CHOOSE( CONTROL!$C$12, $D$11, 100%, $F$11)</f>
        <v>9.4865568000000007</v>
      </c>
      <c r="F477" s="4">
        <f>CHOOSE( CONTROL!$C$29, 12.7793, 12.7746) * CHOOSE(CONTROL!$C$12, $D$11, 100%, $F$11)</f>
        <v>10.2745572</v>
      </c>
      <c r="G477" s="8">
        <f>CHOOSE( CONTROL!$C$29, 11.4827, 11.4781) * CHOOSE( CONTROL!$C$12, $D$11, 100%, $F$11)</f>
        <v>9.2320907999999999</v>
      </c>
      <c r="H477" s="4">
        <f>CHOOSE( CONTROL!$C$29, 12.3807, 12.3761) * CHOOSE(CONTROL!$C$12, $D$11, 100%, $F$11)</f>
        <v>9.9540828000000001</v>
      </c>
      <c r="I477" s="8">
        <f>CHOOSE( CONTROL!$C$29, 11.3386, 11.3341) * CHOOSE(CONTROL!$C$12, $D$11, 100%, $F$11)</f>
        <v>9.1162343999999997</v>
      </c>
      <c r="J477" s="4">
        <f>CHOOSE( CONTROL!$C$29, 11.3062, 11.3017) * CHOOSE(CONTROL!$C$12, $D$11, 100%, $F$11)</f>
        <v>9.0901848000000012</v>
      </c>
      <c r="K477" s="4"/>
      <c r="L477" s="9">
        <v>29.520499999999998</v>
      </c>
      <c r="M477" s="9">
        <v>12.063700000000001</v>
      </c>
      <c r="N477" s="9">
        <v>4.9444999999999997</v>
      </c>
      <c r="O477" s="9">
        <v>0.37459999999999999</v>
      </c>
      <c r="P477" s="9">
        <v>1.2192000000000001</v>
      </c>
      <c r="Q477" s="9">
        <v>19.814599999999999</v>
      </c>
      <c r="R477" s="9"/>
      <c r="S477" s="11"/>
    </row>
    <row r="478" spans="1:19" ht="15.75">
      <c r="A478" s="13">
        <v>56430</v>
      </c>
      <c r="B478" s="8">
        <f>CHOOSE( CONTROL!$C$29, 11.6148, 11.6101) * CHOOSE(CONTROL!$C$12, $D$11, 100%, $F$11)</f>
        <v>9.3382992000000016</v>
      </c>
      <c r="C478" s="8">
        <f>CHOOSE( CONTROL!$C$29, 11.6252, 11.6205) * CHOOSE(CONTROL!$C$12, $D$11, 100%, $F$11)</f>
        <v>9.3466608000000004</v>
      </c>
      <c r="D478" s="8">
        <f>CHOOSE( CONTROL!$C$29, 11.5976, 11.5929) * CHOOSE( CONTROL!$C$12, $D$11, 100%, $F$11)</f>
        <v>9.3244704000000009</v>
      </c>
      <c r="E478" s="12">
        <f>CHOOSE( CONTROL!$C$29, 11.606, 11.6013) * CHOOSE( CONTROL!$C$12, $D$11, 100%, $F$11)</f>
        <v>9.3312240000000006</v>
      </c>
      <c r="F478" s="4">
        <f>CHOOSE( CONTROL!$C$29, 12.5792, 12.5745) * CHOOSE(CONTROL!$C$12, $D$11, 100%, $F$11)</f>
        <v>10.1136768</v>
      </c>
      <c r="G478" s="8">
        <f>CHOOSE( CONTROL!$C$29, 11.2965, 11.292) * CHOOSE( CONTROL!$C$12, $D$11, 100%, $F$11)</f>
        <v>9.0823860000000014</v>
      </c>
      <c r="H478" s="4">
        <f>CHOOSE( CONTROL!$C$29, 12.1856, 12.1811) * CHOOSE(CONTROL!$C$12, $D$11, 100%, $F$11)</f>
        <v>9.7972224000000008</v>
      </c>
      <c r="I478" s="8">
        <f>CHOOSE( CONTROL!$C$29, 11.159, 11.1544) * CHOOSE(CONTROL!$C$12, $D$11, 100%, $F$11)</f>
        <v>8.9718360000000015</v>
      </c>
      <c r="J478" s="4">
        <f>CHOOSE( CONTROL!$C$29, 11.1245, 11.12) * CHOOSE(CONTROL!$C$12, $D$11, 100%, $F$11)</f>
        <v>8.9440980000000003</v>
      </c>
      <c r="K478" s="4"/>
      <c r="L478" s="9">
        <v>28.568200000000001</v>
      </c>
      <c r="M478" s="9">
        <v>11.6745</v>
      </c>
      <c r="N478" s="9">
        <v>4.7850000000000001</v>
      </c>
      <c r="O478" s="9">
        <v>0.36249999999999999</v>
      </c>
      <c r="P478" s="9">
        <v>1.1798</v>
      </c>
      <c r="Q478" s="9">
        <v>19.1754</v>
      </c>
      <c r="R478" s="9"/>
      <c r="S478" s="11"/>
    </row>
    <row r="479" spans="1:19" ht="15.75">
      <c r="A479" s="13">
        <v>56461</v>
      </c>
      <c r="B479" s="8">
        <f>CHOOSE( CONTROL!$C$29, 12.1141, 12.1094) * CHOOSE(CONTROL!$C$12, $D$11, 100%, $F$11)</f>
        <v>9.7397364000000017</v>
      </c>
      <c r="C479" s="8">
        <f>CHOOSE( CONTROL!$C$29, 12.1246, 12.1199) * CHOOSE(CONTROL!$C$12, $D$11, 100%, $F$11)</f>
        <v>9.7481784000000005</v>
      </c>
      <c r="D479" s="8">
        <f>CHOOSE( CONTROL!$C$29, 12.1161, 12.1114) * CHOOSE( CONTROL!$C$12, $D$11, 100%, $F$11)</f>
        <v>9.7413444000000009</v>
      </c>
      <c r="E479" s="12">
        <f>CHOOSE( CONTROL!$C$29, 12.1176, 12.1129) * CHOOSE( CONTROL!$C$12, $D$11, 100%, $F$11)</f>
        <v>9.7425504000000007</v>
      </c>
      <c r="F479" s="4">
        <f>CHOOSE( CONTROL!$C$29, 13.1057, 13.101) * CHOOSE(CONTROL!$C$12, $D$11, 100%, $F$11)</f>
        <v>10.536982800000001</v>
      </c>
      <c r="G479" s="8">
        <f>CHOOSE( CONTROL!$C$29, 11.796, 11.7914) * CHOOSE( CONTROL!$C$12, $D$11, 100%, $F$11)</f>
        <v>9.4839839999999995</v>
      </c>
      <c r="H479" s="4">
        <f>CHOOSE( CONTROL!$C$29, 12.6989, 12.6943) * CHOOSE(CONTROL!$C$12, $D$11, 100%, $F$11)</f>
        <v>10.2099156</v>
      </c>
      <c r="I479" s="8">
        <f>CHOOSE( CONTROL!$C$29, 11.6604, 11.6559) * CHOOSE(CONTROL!$C$12, $D$11, 100%, $F$11)</f>
        <v>9.3749616000000007</v>
      </c>
      <c r="J479" s="4">
        <f>CHOOSE( CONTROL!$C$29, 11.603, 11.5985) * CHOOSE(CONTROL!$C$12, $D$11, 100%, $F$11)</f>
        <v>9.328812000000001</v>
      </c>
      <c r="K479" s="4"/>
      <c r="L479" s="9">
        <v>29.520499999999998</v>
      </c>
      <c r="M479" s="9">
        <v>12.063700000000001</v>
      </c>
      <c r="N479" s="9">
        <v>4.9444999999999997</v>
      </c>
      <c r="O479" s="9">
        <v>0.37459999999999999</v>
      </c>
      <c r="P479" s="9">
        <v>1.2192000000000001</v>
      </c>
      <c r="Q479" s="9">
        <v>19.814599999999999</v>
      </c>
      <c r="R479" s="9"/>
      <c r="S479" s="11"/>
    </row>
    <row r="480" spans="1:19" ht="15.75">
      <c r="A480" s="13">
        <v>56492</v>
      </c>
      <c r="B480" s="8">
        <f>CHOOSE( CONTROL!$C$29, 11.1798, 11.1751) * CHOOSE(CONTROL!$C$12, $D$11, 100%, $F$11)</f>
        <v>8.988559200000001</v>
      </c>
      <c r="C480" s="8">
        <f>CHOOSE( CONTROL!$C$29, 11.1902, 11.1855) * CHOOSE(CONTROL!$C$12, $D$11, 100%, $F$11)</f>
        <v>8.9969208000000016</v>
      </c>
      <c r="D480" s="8">
        <f>CHOOSE( CONTROL!$C$29, 11.1851, 11.1804) * CHOOSE( CONTROL!$C$12, $D$11, 100%, $F$11)</f>
        <v>8.9928204000000012</v>
      </c>
      <c r="E480" s="12">
        <f>CHOOSE( CONTROL!$C$29, 11.1854, 11.1807) * CHOOSE( CONTROL!$C$12, $D$11, 100%, $F$11)</f>
        <v>8.9930616000000008</v>
      </c>
      <c r="F480" s="4">
        <f>CHOOSE( CONTROL!$C$29, 12.1766, 12.1719) * CHOOSE(CONTROL!$C$12, $D$11, 100%, $F$11)</f>
        <v>9.7899864000000019</v>
      </c>
      <c r="G480" s="8">
        <f>CHOOSE( CONTROL!$C$29, 10.8873, 10.8827) * CHOOSE( CONTROL!$C$12, $D$11, 100%, $F$11)</f>
        <v>8.7533892000000009</v>
      </c>
      <c r="H480" s="4">
        <f>CHOOSE( CONTROL!$C$29, 11.7931, 11.7886) * CHOOSE(CONTROL!$C$12, $D$11, 100%, $F$11)</f>
        <v>9.4816524000000015</v>
      </c>
      <c r="I480" s="8">
        <f>CHOOSE( CONTROL!$C$29, 10.7693, 10.7648) * CHOOSE(CONTROL!$C$12, $D$11, 100%, $F$11)</f>
        <v>8.6585172000000004</v>
      </c>
      <c r="J480" s="4">
        <f>CHOOSE( CONTROL!$C$29, 10.7077, 10.7032) * CHOOSE(CONTROL!$C$12, $D$11, 100%, $F$11)</f>
        <v>8.6089908000000008</v>
      </c>
      <c r="K480" s="4"/>
      <c r="L480" s="9">
        <v>29.520499999999998</v>
      </c>
      <c r="M480" s="9">
        <v>12.063700000000001</v>
      </c>
      <c r="N480" s="9">
        <v>4.9444999999999997</v>
      </c>
      <c r="O480" s="9">
        <v>0.37459999999999999</v>
      </c>
      <c r="P480" s="9">
        <v>1.2192000000000001</v>
      </c>
      <c r="Q480" s="9">
        <v>19.814599999999999</v>
      </c>
      <c r="R480" s="9"/>
      <c r="S480" s="11"/>
    </row>
    <row r="481" spans="1:19" ht="15.75">
      <c r="A481" s="13">
        <v>56522</v>
      </c>
      <c r="B481" s="8">
        <f>CHOOSE( CONTROL!$C$29, 10.9458, 10.9411) * CHOOSE(CONTROL!$C$12, $D$11, 100%, $F$11)</f>
        <v>8.8004232000000009</v>
      </c>
      <c r="C481" s="8">
        <f>CHOOSE( CONTROL!$C$29, 10.9562, 10.9515) * CHOOSE(CONTROL!$C$12, $D$11, 100%, $F$11)</f>
        <v>8.8087848000000015</v>
      </c>
      <c r="D481" s="8">
        <f>CHOOSE( CONTROL!$C$29, 10.9469, 10.9422) * CHOOSE( CONTROL!$C$12, $D$11, 100%, $F$11)</f>
        <v>8.8013075999999995</v>
      </c>
      <c r="E481" s="12">
        <f>CHOOSE( CONTROL!$C$29, 10.9487, 10.944) * CHOOSE( CONTROL!$C$12, $D$11, 100%, $F$11)</f>
        <v>8.8027548000000007</v>
      </c>
      <c r="F481" s="4">
        <f>CHOOSE( CONTROL!$C$29, 11.9348, 11.9301) * CHOOSE(CONTROL!$C$12, $D$11, 100%, $F$11)</f>
        <v>9.5955791999999995</v>
      </c>
      <c r="G481" s="8">
        <f>CHOOSE( CONTROL!$C$29, 10.658, 10.6534) * CHOOSE( CONTROL!$C$12, $D$11, 100%, $F$11)</f>
        <v>8.569032</v>
      </c>
      <c r="H481" s="4">
        <f>CHOOSE( CONTROL!$C$29, 11.5574, 11.5529) * CHOOSE(CONTROL!$C$12, $D$11, 100%, $F$11)</f>
        <v>9.2921496000000001</v>
      </c>
      <c r="I481" s="8">
        <f>CHOOSE( CONTROL!$C$29, 10.5463, 10.5418) * CHOOSE(CONTROL!$C$12, $D$11, 100%, $F$11)</f>
        <v>8.4792252000000001</v>
      </c>
      <c r="J481" s="4">
        <f>CHOOSE( CONTROL!$C$29, 10.4835, 10.479) * CHOOSE(CONTROL!$C$12, $D$11, 100%, $F$11)</f>
        <v>8.4287340000000004</v>
      </c>
      <c r="K481" s="4"/>
      <c r="L481" s="9">
        <v>28.568200000000001</v>
      </c>
      <c r="M481" s="9">
        <v>11.6745</v>
      </c>
      <c r="N481" s="9">
        <v>4.7850000000000001</v>
      </c>
      <c r="O481" s="9">
        <v>0.36249999999999999</v>
      </c>
      <c r="P481" s="9">
        <v>1.1798</v>
      </c>
      <c r="Q481" s="9">
        <v>19.1754</v>
      </c>
      <c r="R481" s="9"/>
      <c r="S481" s="11"/>
    </row>
    <row r="482" spans="1:19" ht="15.75">
      <c r="A482" s="13">
        <v>56553</v>
      </c>
      <c r="B482" s="8">
        <f>11.4269 * CHOOSE(CONTROL!$C$12, $D$11, 100%, $F$11)</f>
        <v>9.1872275999999999</v>
      </c>
      <c r="C482" s="8">
        <f>11.4373 * CHOOSE(CONTROL!$C$12, $D$11, 100%, $F$11)</f>
        <v>9.1955892000000006</v>
      </c>
      <c r="D482" s="8">
        <f>11.4289 * CHOOSE( CONTROL!$C$12, $D$11, 100%, $F$11)</f>
        <v>9.1888356000000009</v>
      </c>
      <c r="E482" s="12">
        <f>11.4306 * CHOOSE( CONTROL!$C$12, $D$11, 100%, $F$11)</f>
        <v>9.1902024000000004</v>
      </c>
      <c r="F482" s="4">
        <f>12.4159 * CHOOSE(CONTROL!$C$12, $D$11, 100%, $F$11)</f>
        <v>9.9823836000000004</v>
      </c>
      <c r="G482" s="8">
        <f>11.1266 * CHOOSE( CONTROL!$C$12, $D$11, 100%, $F$11)</f>
        <v>8.9457864000000011</v>
      </c>
      <c r="H482" s="4">
        <f>12.0264 * CHOOSE(CONTROL!$C$12, $D$11, 100%, $F$11)</f>
        <v>9.6692256000000008</v>
      </c>
      <c r="I482" s="8">
        <f>11.0096 * CHOOSE(CONTROL!$C$12, $D$11, 100%, $F$11)</f>
        <v>8.8517184000000011</v>
      </c>
      <c r="J482" s="4">
        <f>10.9445 * CHOOSE(CONTROL!$C$12, $D$11, 100%, $F$11)</f>
        <v>8.7993780000000008</v>
      </c>
      <c r="K482" s="4"/>
      <c r="L482" s="9">
        <v>28.921800000000001</v>
      </c>
      <c r="M482" s="9">
        <v>12.063700000000001</v>
      </c>
      <c r="N482" s="9">
        <v>4.9444999999999997</v>
      </c>
      <c r="O482" s="9">
        <v>0.37459999999999999</v>
      </c>
      <c r="P482" s="9">
        <v>1.2192000000000001</v>
      </c>
      <c r="Q482" s="9">
        <v>19.814599999999999</v>
      </c>
      <c r="R482" s="9"/>
      <c r="S482" s="11"/>
    </row>
    <row r="483" spans="1:19" ht="15.75">
      <c r="A483" s="13">
        <v>56583</v>
      </c>
      <c r="B483" s="8">
        <f>12.3236 * CHOOSE(CONTROL!$C$12, $D$11, 100%, $F$11)</f>
        <v>9.9081744000000018</v>
      </c>
      <c r="C483" s="8">
        <f>12.3341 * CHOOSE(CONTROL!$C$12, $D$11, 100%, $F$11)</f>
        <v>9.9166164000000006</v>
      </c>
      <c r="D483" s="8">
        <f>12.3143 * CHOOSE( CONTROL!$C$12, $D$11, 100%, $F$11)</f>
        <v>9.9006971999999998</v>
      </c>
      <c r="E483" s="12">
        <f>12.3204 * CHOOSE( CONTROL!$C$12, $D$11, 100%, $F$11)</f>
        <v>9.9056016000000007</v>
      </c>
      <c r="F483" s="4">
        <f>13.3152 * CHOOSE(CONTROL!$C$12, $D$11, 100%, $F$11)</f>
        <v>10.705420800000001</v>
      </c>
      <c r="G483" s="8">
        <f>12.0197 * CHOOSE( CONTROL!$C$12, $D$11, 100%, $F$11)</f>
        <v>9.6638388000000006</v>
      </c>
      <c r="H483" s="4">
        <f>12.9031 * CHOOSE(CONTROL!$C$12, $D$11, 100%, $F$11)</f>
        <v>10.3740924</v>
      </c>
      <c r="I483" s="8">
        <f>11.8994 * CHOOSE(CONTROL!$C$12, $D$11, 100%, $F$11)</f>
        <v>9.5671176000000013</v>
      </c>
      <c r="J483" s="4">
        <f>11.8038 * CHOOSE(CONTROL!$C$12, $D$11, 100%, $F$11)</f>
        <v>9.4902552000000018</v>
      </c>
      <c r="K483" s="4"/>
      <c r="L483" s="9">
        <v>26.515499999999999</v>
      </c>
      <c r="M483" s="9">
        <v>11.6745</v>
      </c>
      <c r="N483" s="9">
        <v>4.7850000000000001</v>
      </c>
      <c r="O483" s="9">
        <v>0.36249999999999999</v>
      </c>
      <c r="P483" s="9">
        <v>1.2522</v>
      </c>
      <c r="Q483" s="9">
        <v>19.1754</v>
      </c>
      <c r="R483" s="9"/>
      <c r="S483" s="11"/>
    </row>
    <row r="484" spans="1:19" ht="15.75">
      <c r="A484" s="13">
        <v>56614</v>
      </c>
      <c r="B484" s="8">
        <f>12.3012 * CHOOSE(CONTROL!$C$12, $D$11, 100%, $F$11)</f>
        <v>9.8901648000000009</v>
      </c>
      <c r="C484" s="8">
        <f>12.3117 * CHOOSE(CONTROL!$C$12, $D$11, 100%, $F$11)</f>
        <v>9.8986068000000014</v>
      </c>
      <c r="D484" s="8">
        <f>12.2938 * CHOOSE( CONTROL!$C$12, $D$11, 100%, $F$11)</f>
        <v>9.8842151999999999</v>
      </c>
      <c r="E484" s="12">
        <f>12.2992 * CHOOSE( CONTROL!$C$12, $D$11, 100%, $F$11)</f>
        <v>9.8885568000000017</v>
      </c>
      <c r="F484" s="4">
        <f>13.2928 * CHOOSE(CONTROL!$C$12, $D$11, 100%, $F$11)</f>
        <v>10.6874112</v>
      </c>
      <c r="G484" s="8">
        <f>11.9993 * CHOOSE( CONTROL!$C$12, $D$11, 100%, $F$11)</f>
        <v>9.6474372000000006</v>
      </c>
      <c r="H484" s="4">
        <f>12.8812 * CHOOSE(CONTROL!$C$12, $D$11, 100%, $F$11)</f>
        <v>10.3564848</v>
      </c>
      <c r="I484" s="8">
        <f>11.8848 * CHOOSE(CONTROL!$C$12, $D$11, 100%, $F$11)</f>
        <v>9.5553792000000008</v>
      </c>
      <c r="J484" s="4">
        <f>11.7823 * CHOOSE(CONTROL!$C$12, $D$11, 100%, $F$11)</f>
        <v>9.4729691999999996</v>
      </c>
      <c r="K484" s="4"/>
      <c r="L484" s="9">
        <v>27.3993</v>
      </c>
      <c r="M484" s="9">
        <v>12.063700000000001</v>
      </c>
      <c r="N484" s="9">
        <v>4.9444999999999997</v>
      </c>
      <c r="O484" s="9">
        <v>0.37459999999999999</v>
      </c>
      <c r="P484" s="9">
        <v>1.2939000000000001</v>
      </c>
      <c r="Q484" s="9">
        <v>19.814599999999999</v>
      </c>
      <c r="R484" s="9"/>
      <c r="S484" s="11"/>
    </row>
    <row r="485" spans="1:19" ht="15.75">
      <c r="A485" s="13">
        <v>56645</v>
      </c>
      <c r="B485" s="8">
        <f>12.7712 * CHOOSE(CONTROL!$C$12, $D$11, 100%, $F$11)</f>
        <v>10.2680448</v>
      </c>
      <c r="C485" s="8">
        <f>12.7816 * CHOOSE(CONTROL!$C$12, $D$11, 100%, $F$11)</f>
        <v>10.276406400000001</v>
      </c>
      <c r="D485" s="8">
        <f>12.7793 * CHOOSE( CONTROL!$C$12, $D$11, 100%, $F$11)</f>
        <v>10.2745572</v>
      </c>
      <c r="E485" s="12">
        <f>12.779 * CHOOSE( CONTROL!$C$12, $D$11, 100%, $F$11)</f>
        <v>10.274316000000001</v>
      </c>
      <c r="F485" s="4">
        <f>13.7941 * CHOOSE(CONTROL!$C$12, $D$11, 100%, $F$11)</f>
        <v>11.090456400000001</v>
      </c>
      <c r="G485" s="8">
        <f>12.4765 * CHOOSE( CONTROL!$C$12, $D$11, 100%, $F$11)</f>
        <v>10.031106000000001</v>
      </c>
      <c r="H485" s="4">
        <f>13.3698 * CHOOSE(CONTROL!$C$12, $D$11, 100%, $F$11)</f>
        <v>10.7493192</v>
      </c>
      <c r="I485" s="8">
        <f>12.3473 * CHOOSE(CONTROL!$C$12, $D$11, 100%, $F$11)</f>
        <v>9.9272292000000011</v>
      </c>
      <c r="J485" s="4">
        <f>12.2326 * CHOOSE(CONTROL!$C$12, $D$11, 100%, $F$11)</f>
        <v>9.8350103999999998</v>
      </c>
      <c r="K485" s="4"/>
      <c r="L485" s="9">
        <v>27.3993</v>
      </c>
      <c r="M485" s="9">
        <v>12.063700000000001</v>
      </c>
      <c r="N485" s="9">
        <v>4.9444999999999997</v>
      </c>
      <c r="O485" s="9">
        <v>0.37459999999999999</v>
      </c>
      <c r="P485" s="9">
        <v>1.2939000000000001</v>
      </c>
      <c r="Q485" s="9">
        <v>19.751300000000001</v>
      </c>
      <c r="R485" s="9"/>
      <c r="S485" s="11"/>
    </row>
    <row r="486" spans="1:19" ht="15.75">
      <c r="A486" s="13">
        <v>56673</v>
      </c>
      <c r="B486" s="8">
        <f>11.9459 * CHOOSE(CONTROL!$C$12, $D$11, 100%, $F$11)</f>
        <v>9.604503600000001</v>
      </c>
      <c r="C486" s="8">
        <f>11.9563 * CHOOSE(CONTROL!$C$12, $D$11, 100%, $F$11)</f>
        <v>9.6128652000000017</v>
      </c>
      <c r="D486" s="8">
        <f>11.9563 * CHOOSE( CONTROL!$C$12, $D$11, 100%, $F$11)</f>
        <v>9.6128652000000017</v>
      </c>
      <c r="E486" s="12">
        <f>11.9552 * CHOOSE( CONTROL!$C$12, $D$11, 100%, $F$11)</f>
        <v>9.6119807999999995</v>
      </c>
      <c r="F486" s="4">
        <f>12.961 * CHOOSE(CONTROL!$C$12, $D$11, 100%, $F$11)</f>
        <v>10.420644000000001</v>
      </c>
      <c r="G486" s="8">
        <f>11.6718 * CHOOSE( CONTROL!$C$12, $D$11, 100%, $F$11)</f>
        <v>9.3841272</v>
      </c>
      <c r="H486" s="4">
        <f>12.5577 * CHOOSE(CONTROL!$C$12, $D$11, 100%, $F$11)</f>
        <v>10.096390800000002</v>
      </c>
      <c r="I486" s="8">
        <f>11.5452 * CHOOSE(CONTROL!$C$12, $D$11, 100%, $F$11)</f>
        <v>9.2823408000000001</v>
      </c>
      <c r="J486" s="4">
        <f>11.4418 * CHOOSE(CONTROL!$C$12, $D$11, 100%, $F$11)</f>
        <v>9.1992072000000018</v>
      </c>
      <c r="K486" s="4"/>
      <c r="L486" s="9">
        <v>24.747800000000002</v>
      </c>
      <c r="M486" s="9">
        <v>10.8962</v>
      </c>
      <c r="N486" s="9">
        <v>4.4660000000000002</v>
      </c>
      <c r="O486" s="9">
        <v>0.33829999999999999</v>
      </c>
      <c r="P486" s="9">
        <v>1.1687000000000001</v>
      </c>
      <c r="Q486" s="9">
        <v>17.8399</v>
      </c>
      <c r="R486" s="9"/>
      <c r="S486" s="11"/>
    </row>
    <row r="487" spans="1:19" ht="15.75">
      <c r="A487" s="13">
        <v>56704</v>
      </c>
      <c r="B487" s="8">
        <f>11.6917 * CHOOSE(CONTROL!$C$12, $D$11, 100%, $F$11)</f>
        <v>9.4001268000000007</v>
      </c>
      <c r="C487" s="8">
        <f>11.7021 * CHOOSE(CONTROL!$C$12, $D$11, 100%, $F$11)</f>
        <v>9.4084883999999995</v>
      </c>
      <c r="D487" s="8">
        <f>11.682 * CHOOSE( CONTROL!$C$12, $D$11, 100%, $F$11)</f>
        <v>9.3923280000000009</v>
      </c>
      <c r="E487" s="12">
        <f>11.6882 * CHOOSE( CONTROL!$C$12, $D$11, 100%, $F$11)</f>
        <v>9.3973127999999999</v>
      </c>
      <c r="F487" s="4">
        <f>12.6906 * CHOOSE(CONTROL!$C$12, $D$11, 100%, $F$11)</f>
        <v>10.203242400000001</v>
      </c>
      <c r="G487" s="8">
        <f>11.4036 * CHOOSE( CONTROL!$C$12, $D$11, 100%, $F$11)</f>
        <v>9.1684944000000019</v>
      </c>
      <c r="H487" s="4">
        <f>12.2942 * CHOOSE(CONTROL!$C$12, $D$11, 100%, $F$11)</f>
        <v>9.8845368000000011</v>
      </c>
      <c r="I487" s="8">
        <f>11.262 * CHOOSE(CONTROL!$C$12, $D$11, 100%, $F$11)</f>
        <v>9.0546480000000003</v>
      </c>
      <c r="J487" s="4">
        <f>11.1982 * CHOOSE(CONTROL!$C$12, $D$11, 100%, $F$11)</f>
        <v>9.0033528</v>
      </c>
      <c r="K487" s="4"/>
      <c r="L487" s="9">
        <v>27.3993</v>
      </c>
      <c r="M487" s="9">
        <v>12.063700000000001</v>
      </c>
      <c r="N487" s="9">
        <v>4.9444999999999997</v>
      </c>
      <c r="O487" s="9">
        <v>0.37459999999999999</v>
      </c>
      <c r="P487" s="9">
        <v>1.2939000000000001</v>
      </c>
      <c r="Q487" s="9">
        <v>19.751300000000001</v>
      </c>
      <c r="R487" s="9"/>
      <c r="S487" s="11"/>
    </row>
    <row r="488" spans="1:19" ht="15.75">
      <c r="A488" s="13">
        <v>56734</v>
      </c>
      <c r="B488" s="8">
        <f>11.8693 * CHOOSE(CONTROL!$C$12, $D$11, 100%, $F$11)</f>
        <v>9.5429172000000015</v>
      </c>
      <c r="C488" s="8">
        <f>11.8797 * CHOOSE(CONTROL!$C$12, $D$11, 100%, $F$11)</f>
        <v>9.5512788000000004</v>
      </c>
      <c r="D488" s="8">
        <f>11.8829 * CHOOSE( CONTROL!$C$12, $D$11, 100%, $F$11)</f>
        <v>9.5538515999999998</v>
      </c>
      <c r="E488" s="12">
        <f>11.8807 * CHOOSE( CONTROL!$C$12, $D$11, 100%, $F$11)</f>
        <v>9.5520827999999991</v>
      </c>
      <c r="F488" s="4">
        <f>12.8766 * CHOOSE(CONTROL!$C$12, $D$11, 100%, $F$11)</f>
        <v>10.352786400000001</v>
      </c>
      <c r="G488" s="8">
        <f>11.5646 * CHOOSE( CONTROL!$C$12, $D$11, 100%, $F$11)</f>
        <v>9.2979384000000014</v>
      </c>
      <c r="H488" s="4">
        <f>12.4755 * CHOOSE(CONTROL!$C$12, $D$11, 100%, $F$11)</f>
        <v>10.030302000000001</v>
      </c>
      <c r="I488" s="8">
        <f>11.4223 * CHOOSE(CONTROL!$C$12, $D$11, 100%, $F$11)</f>
        <v>9.1835292000000006</v>
      </c>
      <c r="J488" s="4">
        <f>11.3684 * CHOOSE(CONTROL!$C$12, $D$11, 100%, $F$11)</f>
        <v>9.1401935999999999</v>
      </c>
      <c r="K488" s="4"/>
      <c r="L488" s="9">
        <v>27.988800000000001</v>
      </c>
      <c r="M488" s="9">
        <v>11.6745</v>
      </c>
      <c r="N488" s="9">
        <v>4.7850000000000001</v>
      </c>
      <c r="O488" s="9">
        <v>0.36249999999999999</v>
      </c>
      <c r="P488" s="9">
        <v>1.1798</v>
      </c>
      <c r="Q488" s="9">
        <v>19.1142</v>
      </c>
      <c r="R488" s="9"/>
      <c r="S488" s="11"/>
    </row>
    <row r="489" spans="1:19" ht="15.75">
      <c r="A489" s="13">
        <v>56765</v>
      </c>
      <c r="B489" s="8">
        <f>CHOOSE( CONTROL!$C$29, 12.1901, 12.1854) * CHOOSE(CONTROL!$C$12, $D$11, 100%, $F$11)</f>
        <v>9.8008404000000002</v>
      </c>
      <c r="C489" s="8">
        <f>CHOOSE( CONTROL!$C$29, 12.2006, 12.1959) * CHOOSE(CONTROL!$C$12, $D$11, 100%, $F$11)</f>
        <v>9.8092824000000007</v>
      </c>
      <c r="D489" s="8">
        <f>CHOOSE( CONTROL!$C$29, 12.1785, 12.1738) * CHOOSE( CONTROL!$C$12, $D$11, 100%, $F$11)</f>
        <v>9.7915140000000012</v>
      </c>
      <c r="E489" s="12">
        <f>CHOOSE( CONTROL!$C$29, 12.1849, 12.1802) * CHOOSE( CONTROL!$C$12, $D$11, 100%, $F$11)</f>
        <v>9.7966596000000017</v>
      </c>
      <c r="F489" s="4">
        <f>CHOOSE( CONTROL!$C$29, 13.165, 13.1603) * CHOOSE(CONTROL!$C$12, $D$11, 100%, $F$11)</f>
        <v>10.58466</v>
      </c>
      <c r="G489" s="8">
        <f>CHOOSE( CONTROL!$C$29, 11.8587, 11.8541) * CHOOSE( CONTROL!$C$12, $D$11, 100%, $F$11)</f>
        <v>9.5343948000000012</v>
      </c>
      <c r="H489" s="4">
        <f>CHOOSE( CONTROL!$C$29, 12.7567, 12.7521) * CHOOSE(CONTROL!$C$12, $D$11, 100%, $F$11)</f>
        <v>10.256386800000001</v>
      </c>
      <c r="I489" s="8">
        <f>CHOOSE( CONTROL!$C$29, 11.7084, 11.7039) * CHOOSE(CONTROL!$C$12, $D$11, 100%, $F$11)</f>
        <v>9.4135536000000002</v>
      </c>
      <c r="J489" s="4">
        <f>CHOOSE( CONTROL!$C$29, 11.6758, 11.6713) * CHOOSE(CONTROL!$C$12, $D$11, 100%, $F$11)</f>
        <v>9.3873432000000019</v>
      </c>
      <c r="K489" s="4"/>
      <c r="L489" s="9">
        <v>29.520499999999998</v>
      </c>
      <c r="M489" s="9">
        <v>12.063700000000001</v>
      </c>
      <c r="N489" s="9">
        <v>4.9444999999999997</v>
      </c>
      <c r="O489" s="9">
        <v>0.37459999999999999</v>
      </c>
      <c r="P489" s="9">
        <v>1.2192000000000001</v>
      </c>
      <c r="Q489" s="9">
        <v>19.751300000000001</v>
      </c>
      <c r="R489" s="9"/>
      <c r="S489" s="11"/>
    </row>
    <row r="490" spans="1:19" ht="15.75">
      <c r="A490" s="13">
        <v>56795</v>
      </c>
      <c r="B490" s="8">
        <f>CHOOSE( CONTROL!$C$29, 11.9943, 11.9896) * CHOOSE(CONTROL!$C$12, $D$11, 100%, $F$11)</f>
        <v>9.6434172000000018</v>
      </c>
      <c r="C490" s="8">
        <f>CHOOSE( CONTROL!$C$29, 12.0047, 12) * CHOOSE(CONTROL!$C$12, $D$11, 100%, $F$11)</f>
        <v>9.6517788000000007</v>
      </c>
      <c r="D490" s="8">
        <f>CHOOSE( CONTROL!$C$29, 11.9771, 11.9724) * CHOOSE( CONTROL!$C$12, $D$11, 100%, $F$11)</f>
        <v>9.6295884000000012</v>
      </c>
      <c r="E490" s="12">
        <f>CHOOSE( CONTROL!$C$29, 11.9855, 11.9808) * CHOOSE( CONTROL!$C$12, $D$11, 100%, $F$11)</f>
        <v>9.6363420000000009</v>
      </c>
      <c r="F490" s="4">
        <f>CHOOSE( CONTROL!$C$29, 12.9588, 12.9541) * CHOOSE(CONTROL!$C$12, $D$11, 100%, $F$11)</f>
        <v>10.4188752</v>
      </c>
      <c r="G490" s="8">
        <f>CHOOSE( CONTROL!$C$29, 11.6665, 11.6619) * CHOOSE( CONTROL!$C$12, $D$11, 100%, $F$11)</f>
        <v>9.3798659999999998</v>
      </c>
      <c r="H490" s="4">
        <f>CHOOSE( CONTROL!$C$29, 12.5556, 12.551) * CHOOSE(CONTROL!$C$12, $D$11, 100%, $F$11)</f>
        <v>10.094702400000001</v>
      </c>
      <c r="I490" s="8">
        <f>CHOOSE( CONTROL!$C$29, 11.5228, 11.5183) * CHOOSE(CONTROL!$C$12, $D$11, 100%, $F$11)</f>
        <v>9.2643312000000009</v>
      </c>
      <c r="J490" s="4">
        <f>CHOOSE( CONTROL!$C$29, 11.4882, 11.4837) * CHOOSE(CONTROL!$C$12, $D$11, 100%, $F$11)</f>
        <v>9.2365128000000016</v>
      </c>
      <c r="K490" s="4"/>
      <c r="L490" s="9">
        <v>28.568200000000001</v>
      </c>
      <c r="M490" s="9">
        <v>11.6745</v>
      </c>
      <c r="N490" s="9">
        <v>4.7850000000000001</v>
      </c>
      <c r="O490" s="9">
        <v>0.36249999999999999</v>
      </c>
      <c r="P490" s="9">
        <v>1.1798</v>
      </c>
      <c r="Q490" s="9">
        <v>19.1142</v>
      </c>
      <c r="R490" s="9"/>
      <c r="S490" s="11"/>
    </row>
    <row r="491" spans="1:19" ht="15.75">
      <c r="A491" s="13">
        <v>56826</v>
      </c>
      <c r="B491" s="8">
        <f>CHOOSE( CONTROL!$C$29, 12.51, 12.5053) * CHOOSE(CONTROL!$C$12, $D$11, 100%, $F$11)</f>
        <v>10.05804</v>
      </c>
      <c r="C491" s="8">
        <f>CHOOSE( CONTROL!$C$29, 12.5204, 12.5157) * CHOOSE(CONTROL!$C$12, $D$11, 100%, $F$11)</f>
        <v>10.066401600000001</v>
      </c>
      <c r="D491" s="8">
        <f>CHOOSE( CONTROL!$C$29, 12.512, 12.5073) * CHOOSE( CONTROL!$C$12, $D$11, 100%, $F$11)</f>
        <v>10.059648000000001</v>
      </c>
      <c r="E491" s="12">
        <f>CHOOSE( CONTROL!$C$29, 12.5135, 12.5088) * CHOOSE( CONTROL!$C$12, $D$11, 100%, $F$11)</f>
        <v>10.060854000000001</v>
      </c>
      <c r="F491" s="4">
        <f>CHOOSE( CONTROL!$C$29, 13.5016, 13.4969) * CHOOSE(CONTROL!$C$12, $D$11, 100%, $F$11)</f>
        <v>10.855286400000001</v>
      </c>
      <c r="G491" s="8">
        <f>CHOOSE( CONTROL!$C$29, 12.1819, 12.1773) * CHOOSE( CONTROL!$C$12, $D$11, 100%, $F$11)</f>
        <v>9.7942476000000003</v>
      </c>
      <c r="H491" s="4">
        <f>CHOOSE( CONTROL!$C$29, 13.0847, 13.0802) * CHOOSE(CONTROL!$C$12, $D$11, 100%, $F$11)</f>
        <v>10.520098800000001</v>
      </c>
      <c r="I491" s="8">
        <f>CHOOSE( CONTROL!$C$29, 12.0399, 12.0354) * CHOOSE(CONTROL!$C$12, $D$11, 100%, $F$11)</f>
        <v>9.6800796000000009</v>
      </c>
      <c r="J491" s="4">
        <f>CHOOSE( CONTROL!$C$29, 11.9823, 11.9778) * CHOOSE(CONTROL!$C$12, $D$11, 100%, $F$11)</f>
        <v>9.6337692000000015</v>
      </c>
      <c r="K491" s="4"/>
      <c r="L491" s="9">
        <v>29.520499999999998</v>
      </c>
      <c r="M491" s="9">
        <v>12.063700000000001</v>
      </c>
      <c r="N491" s="9">
        <v>4.9444999999999997</v>
      </c>
      <c r="O491" s="9">
        <v>0.37459999999999999</v>
      </c>
      <c r="P491" s="9">
        <v>1.2192000000000001</v>
      </c>
      <c r="Q491" s="9">
        <v>19.751300000000001</v>
      </c>
      <c r="R491" s="9"/>
      <c r="S491" s="11"/>
    </row>
    <row r="492" spans="1:19" ht="15.75">
      <c r="A492" s="13">
        <v>56857</v>
      </c>
      <c r="B492" s="8">
        <f>CHOOSE( CONTROL!$C$29, 11.5451, 11.5404) * CHOOSE(CONTROL!$C$12, $D$11, 100%, $F$11)</f>
        <v>9.2822604000000002</v>
      </c>
      <c r="C492" s="8">
        <f>CHOOSE( CONTROL!$C$29, 11.5555, 11.5508) * CHOOSE(CONTROL!$C$12, $D$11, 100%, $F$11)</f>
        <v>9.2906220000000008</v>
      </c>
      <c r="D492" s="8">
        <f>CHOOSE( CONTROL!$C$29, 11.5504, 11.5457) * CHOOSE( CONTROL!$C$12, $D$11, 100%, $F$11)</f>
        <v>9.2865216000000004</v>
      </c>
      <c r="E492" s="12">
        <f>CHOOSE( CONTROL!$C$29, 11.5507, 11.546) * CHOOSE( CONTROL!$C$12, $D$11, 100%, $F$11)</f>
        <v>9.2867628000000018</v>
      </c>
      <c r="F492" s="4">
        <f>CHOOSE( CONTROL!$C$29, 12.5419, 12.5372) * CHOOSE(CONTROL!$C$12, $D$11, 100%, $F$11)</f>
        <v>10.083687600000001</v>
      </c>
      <c r="G492" s="8">
        <f>CHOOSE( CONTROL!$C$29, 11.2434, 11.2388) * CHOOSE( CONTROL!$C$12, $D$11, 100%, $F$11)</f>
        <v>9.0396935999999997</v>
      </c>
      <c r="H492" s="4">
        <f>CHOOSE( CONTROL!$C$29, 12.1492, 12.1446) * CHOOSE(CONTROL!$C$12, $D$11, 100%, $F$11)</f>
        <v>9.7679568000000003</v>
      </c>
      <c r="I492" s="8">
        <f>CHOOSE( CONTROL!$C$29, 11.1195, 11.115) * CHOOSE(CONTROL!$C$12, $D$11, 100%, $F$11)</f>
        <v>8.9400780000000015</v>
      </c>
      <c r="J492" s="4">
        <f>CHOOSE( CONTROL!$C$29, 11.0577, 11.0532) * CHOOSE(CONTROL!$C$12, $D$11, 100%, $F$11)</f>
        <v>8.8903908000000005</v>
      </c>
      <c r="K492" s="4"/>
      <c r="L492" s="9">
        <v>29.520499999999998</v>
      </c>
      <c r="M492" s="9">
        <v>12.063700000000001</v>
      </c>
      <c r="N492" s="9">
        <v>4.9444999999999997</v>
      </c>
      <c r="O492" s="9">
        <v>0.37459999999999999</v>
      </c>
      <c r="P492" s="9">
        <v>1.2192000000000001</v>
      </c>
      <c r="Q492" s="9">
        <v>19.751300000000001</v>
      </c>
      <c r="R492" s="9"/>
      <c r="S492" s="11"/>
    </row>
    <row r="493" spans="1:19" ht="15.75">
      <c r="A493" s="13">
        <v>56887</v>
      </c>
      <c r="B493" s="8">
        <f>CHOOSE( CONTROL!$C$29, 11.3034, 11.2987) * CHOOSE(CONTROL!$C$12, $D$11, 100%, $F$11)</f>
        <v>9.0879336000000013</v>
      </c>
      <c r="C493" s="8">
        <f>CHOOSE( CONTROL!$C$29, 11.3139, 11.3092) * CHOOSE(CONTROL!$C$12, $D$11, 100%, $F$11)</f>
        <v>9.0963756</v>
      </c>
      <c r="D493" s="8">
        <f>CHOOSE( CONTROL!$C$29, 11.3046, 11.2999) * CHOOSE( CONTROL!$C$12, $D$11, 100%, $F$11)</f>
        <v>9.0888984000000015</v>
      </c>
      <c r="E493" s="12">
        <f>CHOOSE( CONTROL!$C$29, 11.3064, 11.3017) * CHOOSE( CONTROL!$C$12, $D$11, 100%, $F$11)</f>
        <v>9.0903456000000009</v>
      </c>
      <c r="F493" s="4">
        <f>CHOOSE( CONTROL!$C$29, 12.2924, 12.2877) * CHOOSE(CONTROL!$C$12, $D$11, 100%, $F$11)</f>
        <v>9.8830896000000017</v>
      </c>
      <c r="G493" s="8">
        <f>CHOOSE( CONTROL!$C$29, 11.0066, 11.002) * CHOOSE( CONTROL!$C$12, $D$11, 100%, $F$11)</f>
        <v>8.8493064000000015</v>
      </c>
      <c r="H493" s="4">
        <f>CHOOSE( CONTROL!$C$29, 11.9061, 11.9015) * CHOOSE(CONTROL!$C$12, $D$11, 100%, $F$11)</f>
        <v>9.5725044000000015</v>
      </c>
      <c r="I493" s="8">
        <f>CHOOSE( CONTROL!$C$29, 10.8892, 10.8846) * CHOOSE(CONTROL!$C$12, $D$11, 100%, $F$11)</f>
        <v>8.7549168000000002</v>
      </c>
      <c r="J493" s="4">
        <f>CHOOSE( CONTROL!$C$29, 10.8262, 10.8217) * CHOOSE(CONTROL!$C$12, $D$11, 100%, $F$11)</f>
        <v>8.7042648000000007</v>
      </c>
      <c r="K493" s="4"/>
      <c r="L493" s="9">
        <v>28.568200000000001</v>
      </c>
      <c r="M493" s="9">
        <v>11.6745</v>
      </c>
      <c r="N493" s="9">
        <v>4.7850000000000001</v>
      </c>
      <c r="O493" s="9">
        <v>0.36249999999999999</v>
      </c>
      <c r="P493" s="9">
        <v>1.1798</v>
      </c>
      <c r="Q493" s="9">
        <v>19.1142</v>
      </c>
      <c r="R493" s="9"/>
      <c r="S493" s="11"/>
    </row>
    <row r="494" spans="1:19" ht="15.75">
      <c r="A494" s="13">
        <v>56918</v>
      </c>
      <c r="B494" s="8">
        <f>11.8004 * CHOOSE(CONTROL!$C$12, $D$11, 100%, $F$11)</f>
        <v>9.4875216000000009</v>
      </c>
      <c r="C494" s="8">
        <f>11.8109 * CHOOSE(CONTROL!$C$12, $D$11, 100%, $F$11)</f>
        <v>9.4959636000000014</v>
      </c>
      <c r="D494" s="8">
        <f>11.8024 * CHOOSE( CONTROL!$C$12, $D$11, 100%, $F$11)</f>
        <v>9.4891296000000001</v>
      </c>
      <c r="E494" s="12">
        <f>11.8041 * CHOOSE( CONTROL!$C$12, $D$11, 100%, $F$11)</f>
        <v>9.4904964000000014</v>
      </c>
      <c r="F494" s="4">
        <f>12.7894 * CHOOSE(CONTROL!$C$12, $D$11, 100%, $F$11)</f>
        <v>10.282677600000001</v>
      </c>
      <c r="G494" s="8">
        <f>11.4907 * CHOOSE( CONTROL!$C$12, $D$11, 100%, $F$11)</f>
        <v>9.2385228000000001</v>
      </c>
      <c r="H494" s="4">
        <f>12.3905 * CHOOSE(CONTROL!$C$12, $D$11, 100%, $F$11)</f>
        <v>9.9619619999999998</v>
      </c>
      <c r="I494" s="8">
        <f>11.3677 * CHOOSE(CONTROL!$C$12, $D$11, 100%, $F$11)</f>
        <v>9.1396307999999991</v>
      </c>
      <c r="J494" s="4">
        <f>11.3024 * CHOOSE(CONTROL!$C$12, $D$11, 100%, $F$11)</f>
        <v>9.0871296000000008</v>
      </c>
      <c r="K494" s="4"/>
      <c r="L494" s="9">
        <v>28.921800000000001</v>
      </c>
      <c r="M494" s="9">
        <v>12.063700000000001</v>
      </c>
      <c r="N494" s="9">
        <v>4.9444999999999997</v>
      </c>
      <c r="O494" s="9">
        <v>0.37459999999999999</v>
      </c>
      <c r="P494" s="9">
        <v>1.2192000000000001</v>
      </c>
      <c r="Q494" s="9">
        <v>19.751300000000001</v>
      </c>
      <c r="R494" s="9"/>
      <c r="S494" s="11"/>
    </row>
    <row r="495" spans="1:19" ht="15.75">
      <c r="A495" s="13">
        <v>56948</v>
      </c>
      <c r="B495" s="8">
        <f>12.7265 * CHOOSE(CONTROL!$C$12, $D$11, 100%, $F$11)</f>
        <v>10.232106</v>
      </c>
      <c r="C495" s="8">
        <f>12.7369 * CHOOSE(CONTROL!$C$12, $D$11, 100%, $F$11)</f>
        <v>10.240467600000001</v>
      </c>
      <c r="D495" s="8">
        <f>12.7172 * CHOOSE( CONTROL!$C$12, $D$11, 100%, $F$11)</f>
        <v>10.224628800000001</v>
      </c>
      <c r="E495" s="12">
        <f>12.7233 * CHOOSE( CONTROL!$C$12, $D$11, 100%, $F$11)</f>
        <v>10.229533200000001</v>
      </c>
      <c r="F495" s="4">
        <f>13.7181 * CHOOSE(CONTROL!$C$12, $D$11, 100%, $F$11)</f>
        <v>11.029352400000001</v>
      </c>
      <c r="G495" s="8">
        <f>12.4124 * CHOOSE( CONTROL!$C$12, $D$11, 100%, $F$11)</f>
        <v>9.9795696000000014</v>
      </c>
      <c r="H495" s="4">
        <f>13.2958 * CHOOSE(CONTROL!$C$12, $D$11, 100%, $F$11)</f>
        <v>10.689823200000001</v>
      </c>
      <c r="I495" s="8">
        <f>12.2857 * CHOOSE(CONTROL!$C$12, $D$11, 100%, $F$11)</f>
        <v>9.8777028000000016</v>
      </c>
      <c r="J495" s="4">
        <f>12.1898 * CHOOSE(CONTROL!$C$12, $D$11, 100%, $F$11)</f>
        <v>9.8005992000000006</v>
      </c>
      <c r="K495" s="4"/>
      <c r="L495" s="9">
        <v>26.515499999999999</v>
      </c>
      <c r="M495" s="9">
        <v>11.6745</v>
      </c>
      <c r="N495" s="9">
        <v>4.7850000000000001</v>
      </c>
      <c r="O495" s="9">
        <v>0.36249999999999999</v>
      </c>
      <c r="P495" s="9">
        <v>1.2522</v>
      </c>
      <c r="Q495" s="9">
        <v>19.1142</v>
      </c>
      <c r="R495" s="9"/>
      <c r="S495" s="11"/>
    </row>
    <row r="496" spans="1:19" ht="15.75">
      <c r="A496" s="13">
        <v>56979</v>
      </c>
      <c r="B496" s="8">
        <f>12.7034 * CHOOSE(CONTROL!$C$12, $D$11, 100%, $F$11)</f>
        <v>10.213533600000002</v>
      </c>
      <c r="C496" s="8">
        <f>12.7138 * CHOOSE(CONTROL!$C$12, $D$11, 100%, $F$11)</f>
        <v>10.221895200000001</v>
      </c>
      <c r="D496" s="8">
        <f>12.696 * CHOOSE( CONTROL!$C$12, $D$11, 100%, $F$11)</f>
        <v>10.207584000000001</v>
      </c>
      <c r="E496" s="12">
        <f>12.7014 * CHOOSE( CONTROL!$C$12, $D$11, 100%, $F$11)</f>
        <v>10.211925600000001</v>
      </c>
      <c r="F496" s="4">
        <f>13.695 * CHOOSE(CONTROL!$C$12, $D$11, 100%, $F$11)</f>
        <v>11.01078</v>
      </c>
      <c r="G496" s="8">
        <f>12.3913 * CHOOSE( CONTROL!$C$12, $D$11, 100%, $F$11)</f>
        <v>9.9626052000000005</v>
      </c>
      <c r="H496" s="4">
        <f>13.2732 * CHOOSE(CONTROL!$C$12, $D$11, 100%, $F$11)</f>
        <v>10.6716528</v>
      </c>
      <c r="I496" s="8">
        <f>12.2703 * CHOOSE(CONTROL!$C$12, $D$11, 100%, $F$11)</f>
        <v>9.8653212000000003</v>
      </c>
      <c r="J496" s="4">
        <f>12.1676 * CHOOSE(CONTROL!$C$12, $D$11, 100%, $F$11)</f>
        <v>9.7827504000000012</v>
      </c>
      <c r="K496" s="4"/>
      <c r="L496" s="9">
        <v>27.3993</v>
      </c>
      <c r="M496" s="9">
        <v>12.063700000000001</v>
      </c>
      <c r="N496" s="9">
        <v>4.9444999999999997</v>
      </c>
      <c r="O496" s="9">
        <v>0.37459999999999999</v>
      </c>
      <c r="P496" s="9">
        <v>1.2939000000000001</v>
      </c>
      <c r="Q496" s="9">
        <v>19.751300000000001</v>
      </c>
      <c r="R496" s="9"/>
      <c r="S496" s="11"/>
    </row>
    <row r="497" spans="1:19" ht="15.75">
      <c r="A497" s="13">
        <v>57010</v>
      </c>
      <c r="B497" s="8">
        <f>13.1887 * CHOOSE(CONTROL!$C$12, $D$11, 100%, $F$11)</f>
        <v>10.603714800000001</v>
      </c>
      <c r="C497" s="8">
        <f>13.1991 * CHOOSE(CONTROL!$C$12, $D$11, 100%, $F$11)</f>
        <v>10.612076400000001</v>
      </c>
      <c r="D497" s="8">
        <f>13.1968 * CHOOSE( CONTROL!$C$12, $D$11, 100%, $F$11)</f>
        <v>10.610227200000001</v>
      </c>
      <c r="E497" s="12">
        <f>13.1965 * CHOOSE( CONTROL!$C$12, $D$11, 100%, $F$11)</f>
        <v>10.609986000000001</v>
      </c>
      <c r="F497" s="4">
        <f>14.2116 * CHOOSE(CONTROL!$C$12, $D$11, 100%, $F$11)</f>
        <v>11.426126400000001</v>
      </c>
      <c r="G497" s="8">
        <f>12.8834 * CHOOSE( CONTROL!$C$12, $D$11, 100%, $F$11)</f>
        <v>10.358253600000001</v>
      </c>
      <c r="H497" s="4">
        <f>13.7768 * CHOOSE(CONTROL!$C$12, $D$11, 100%, $F$11)</f>
        <v>11.0765472</v>
      </c>
      <c r="I497" s="8">
        <f>12.7476 * CHOOSE(CONTROL!$C$12, $D$11, 100%, $F$11)</f>
        <v>10.249070400000001</v>
      </c>
      <c r="J497" s="4">
        <f>12.6326 * CHOOSE(CONTROL!$C$12, $D$11, 100%, $F$11)</f>
        <v>10.1566104</v>
      </c>
      <c r="K497" s="4"/>
      <c r="L497" s="9">
        <v>27.3993</v>
      </c>
      <c r="M497" s="9">
        <v>12.063700000000001</v>
      </c>
      <c r="N497" s="9">
        <v>4.9444999999999997</v>
      </c>
      <c r="O497" s="9">
        <v>0.37459999999999999</v>
      </c>
      <c r="P497" s="9">
        <v>1.2939000000000001</v>
      </c>
      <c r="Q497" s="9">
        <v>19.688099999999999</v>
      </c>
      <c r="R497" s="9"/>
      <c r="S497" s="11"/>
    </row>
    <row r="498" spans="1:19" ht="15.75">
      <c r="A498" s="13">
        <v>57038</v>
      </c>
      <c r="B498" s="8">
        <f>12.3364 * CHOOSE(CONTROL!$C$12, $D$11, 100%, $F$11)</f>
        <v>9.9184655999999993</v>
      </c>
      <c r="C498" s="8">
        <f>12.3468 * CHOOSE(CONTROL!$C$12, $D$11, 100%, $F$11)</f>
        <v>9.9268272</v>
      </c>
      <c r="D498" s="8">
        <f>12.3468 * CHOOSE( CONTROL!$C$12, $D$11, 100%, $F$11)</f>
        <v>9.9268272</v>
      </c>
      <c r="E498" s="12">
        <f>12.3457 * CHOOSE( CONTROL!$C$12, $D$11, 100%, $F$11)</f>
        <v>9.9259428000000014</v>
      </c>
      <c r="F498" s="4">
        <f>13.3515 * CHOOSE(CONTROL!$C$12, $D$11, 100%, $F$11)</f>
        <v>10.734606000000001</v>
      </c>
      <c r="G498" s="8">
        <f>12.0525 * CHOOSE( CONTROL!$C$12, $D$11, 100%, $F$11)</f>
        <v>9.6902100000000004</v>
      </c>
      <c r="H498" s="4">
        <f>12.9384 * CHOOSE(CONTROL!$C$12, $D$11, 100%, $F$11)</f>
        <v>10.4024736</v>
      </c>
      <c r="I498" s="8">
        <f>11.9195 * CHOOSE(CONTROL!$C$12, $D$11, 100%, $F$11)</f>
        <v>9.583278</v>
      </c>
      <c r="J498" s="4">
        <f>11.816 * CHOOSE(CONTROL!$C$12, $D$11, 100%, $F$11)</f>
        <v>9.5000640000000018</v>
      </c>
      <c r="K498" s="4"/>
      <c r="L498" s="9">
        <v>25.631599999999999</v>
      </c>
      <c r="M498" s="9">
        <v>11.285299999999999</v>
      </c>
      <c r="N498" s="9">
        <v>4.6254999999999997</v>
      </c>
      <c r="O498" s="9">
        <v>0.35039999999999999</v>
      </c>
      <c r="P498" s="9">
        <v>1.2104999999999999</v>
      </c>
      <c r="Q498" s="9">
        <v>18.417899999999999</v>
      </c>
      <c r="R498" s="9"/>
      <c r="S498" s="11"/>
    </row>
    <row r="499" spans="1:19" ht="15.75">
      <c r="A499" s="13">
        <v>57070</v>
      </c>
      <c r="B499" s="8">
        <f>12.0739 * CHOOSE(CONTROL!$C$12, $D$11, 100%, $F$11)</f>
        <v>9.7074156000000009</v>
      </c>
      <c r="C499" s="8">
        <f>12.0843 * CHOOSE(CONTROL!$C$12, $D$11, 100%, $F$11)</f>
        <v>9.7157772000000016</v>
      </c>
      <c r="D499" s="8">
        <f>12.0642 * CHOOSE( CONTROL!$C$12, $D$11, 100%, $F$11)</f>
        <v>9.6996167999999994</v>
      </c>
      <c r="E499" s="12">
        <f>12.0704 * CHOOSE( CONTROL!$C$12, $D$11, 100%, $F$11)</f>
        <v>9.7046016000000002</v>
      </c>
      <c r="F499" s="4">
        <f>13.0728 * CHOOSE(CONTROL!$C$12, $D$11, 100%, $F$11)</f>
        <v>10.510531200000001</v>
      </c>
      <c r="G499" s="8">
        <f>11.7761 * CHOOSE( CONTROL!$C$12, $D$11, 100%, $F$11)</f>
        <v>9.4679844000000006</v>
      </c>
      <c r="H499" s="4">
        <f>12.6667 * CHOOSE(CONTROL!$C$12, $D$11, 100%, $F$11)</f>
        <v>10.184026800000002</v>
      </c>
      <c r="I499" s="8">
        <f>11.6284 * CHOOSE(CONTROL!$C$12, $D$11, 100%, $F$11)</f>
        <v>9.3492335999999998</v>
      </c>
      <c r="J499" s="4">
        <f>11.5644 * CHOOSE(CONTROL!$C$12, $D$11, 100%, $F$11)</f>
        <v>9.2977775999999999</v>
      </c>
      <c r="K499" s="4"/>
      <c r="L499" s="9">
        <v>27.3993</v>
      </c>
      <c r="M499" s="9">
        <v>12.063700000000001</v>
      </c>
      <c r="N499" s="9">
        <v>4.9444999999999997</v>
      </c>
      <c r="O499" s="9">
        <v>0.37459999999999999</v>
      </c>
      <c r="P499" s="9">
        <v>1.2939000000000001</v>
      </c>
      <c r="Q499" s="9">
        <v>19.688099999999999</v>
      </c>
      <c r="R499" s="9"/>
      <c r="S499" s="11"/>
    </row>
    <row r="500" spans="1:19" ht="15.75">
      <c r="A500" s="13">
        <v>57100</v>
      </c>
      <c r="B500" s="8">
        <f>12.2573 * CHOOSE(CONTROL!$C$12, $D$11, 100%, $F$11)</f>
        <v>9.8548692000000013</v>
      </c>
      <c r="C500" s="8">
        <f>12.2677 * CHOOSE(CONTROL!$C$12, $D$11, 100%, $F$11)</f>
        <v>9.8632308000000002</v>
      </c>
      <c r="D500" s="8">
        <f>12.271 * CHOOSE( CONTROL!$C$12, $D$11, 100%, $F$11)</f>
        <v>9.8658840000000012</v>
      </c>
      <c r="E500" s="12">
        <f>12.2687 * CHOOSE( CONTROL!$C$12, $D$11, 100%, $F$11)</f>
        <v>9.8640348000000007</v>
      </c>
      <c r="F500" s="4">
        <f>13.2646 * CHOOSE(CONTROL!$C$12, $D$11, 100%, $F$11)</f>
        <v>10.664738400000001</v>
      </c>
      <c r="G500" s="8">
        <f>11.9428 * CHOOSE( CONTROL!$C$12, $D$11, 100%, $F$11)</f>
        <v>9.6020112000000015</v>
      </c>
      <c r="H500" s="4">
        <f>12.8537 * CHOOSE(CONTROL!$C$12, $D$11, 100%, $F$11)</f>
        <v>10.334374800000001</v>
      </c>
      <c r="I500" s="8">
        <f>11.7943 * CHOOSE(CONTROL!$C$12, $D$11, 100%, $F$11)</f>
        <v>9.4826172</v>
      </c>
      <c r="J500" s="4">
        <f>11.7402 * CHOOSE(CONTROL!$C$12, $D$11, 100%, $F$11)</f>
        <v>9.4391207999999995</v>
      </c>
      <c r="K500" s="4"/>
      <c r="L500" s="9">
        <v>27.988800000000001</v>
      </c>
      <c r="M500" s="9">
        <v>11.6745</v>
      </c>
      <c r="N500" s="9">
        <v>4.7850000000000001</v>
      </c>
      <c r="O500" s="9">
        <v>0.36249999999999999</v>
      </c>
      <c r="P500" s="9">
        <v>1.1798</v>
      </c>
      <c r="Q500" s="9">
        <v>19.053000000000001</v>
      </c>
      <c r="R500" s="9"/>
      <c r="S500" s="11"/>
    </row>
    <row r="501" spans="1:19" ht="15.75">
      <c r="A501" s="13">
        <v>57131</v>
      </c>
      <c r="B501" s="8">
        <f>CHOOSE( CONTROL!$C$29, 12.5885, 12.5838) * CHOOSE(CONTROL!$C$12, $D$11, 100%, $F$11)</f>
        <v>10.121154000000001</v>
      </c>
      <c r="C501" s="8">
        <f>CHOOSE( CONTROL!$C$29, 12.5989, 12.5942) * CHOOSE(CONTROL!$C$12, $D$11, 100%, $F$11)</f>
        <v>10.129515600000001</v>
      </c>
      <c r="D501" s="8">
        <f>CHOOSE( CONTROL!$C$29, 12.5769, 12.5722) * CHOOSE( CONTROL!$C$12, $D$11, 100%, $F$11)</f>
        <v>10.111827600000002</v>
      </c>
      <c r="E501" s="12">
        <f>CHOOSE( CONTROL!$C$29, 12.5833, 12.5786) * CHOOSE( CONTROL!$C$12, $D$11, 100%, $F$11)</f>
        <v>10.1169732</v>
      </c>
      <c r="F501" s="4">
        <f>CHOOSE( CONTROL!$C$29, 13.5634, 13.5587) * CHOOSE(CONTROL!$C$12, $D$11, 100%, $F$11)</f>
        <v>10.9049736</v>
      </c>
      <c r="G501" s="8">
        <f>CHOOSE( CONTROL!$C$29, 12.247, 12.2424) * CHOOSE( CONTROL!$C$12, $D$11, 100%, $F$11)</f>
        <v>9.8465880000000006</v>
      </c>
      <c r="H501" s="4">
        <f>CHOOSE( CONTROL!$C$29, 13.145, 13.1404) * CHOOSE(CONTROL!$C$12, $D$11, 100%, $F$11)</f>
        <v>10.568580000000001</v>
      </c>
      <c r="I501" s="8">
        <f>CHOOSE( CONTROL!$C$29, 12.0903, 12.0858) * CHOOSE(CONTROL!$C$12, $D$11, 100%, $F$11)</f>
        <v>9.7206011999999991</v>
      </c>
      <c r="J501" s="4">
        <f>CHOOSE( CONTROL!$C$29, 12.0575, 12.053) * CHOOSE(CONTROL!$C$12, $D$11, 100%, $F$11)</f>
        <v>9.6942299999999992</v>
      </c>
      <c r="K501" s="4"/>
      <c r="L501" s="9">
        <v>29.520499999999998</v>
      </c>
      <c r="M501" s="9">
        <v>12.063700000000001</v>
      </c>
      <c r="N501" s="9">
        <v>4.9444999999999997</v>
      </c>
      <c r="O501" s="9">
        <v>0.37459999999999999</v>
      </c>
      <c r="P501" s="9">
        <v>1.2192000000000001</v>
      </c>
      <c r="Q501" s="9">
        <v>19.688099999999999</v>
      </c>
      <c r="R501" s="9"/>
      <c r="S501" s="11"/>
    </row>
    <row r="502" spans="1:19" ht="15.75">
      <c r="A502" s="13">
        <v>57161</v>
      </c>
      <c r="B502" s="8">
        <f>CHOOSE( CONTROL!$C$29, 12.3863, 12.3815) * CHOOSE(CONTROL!$C$12, $D$11, 100%, $F$11)</f>
        <v>9.9585852000000017</v>
      </c>
      <c r="C502" s="8">
        <f>CHOOSE( CONTROL!$C$29, 12.3967, 12.392) * CHOOSE(CONTROL!$C$12, $D$11, 100%, $F$11)</f>
        <v>9.9669468000000006</v>
      </c>
      <c r="D502" s="8">
        <f>CHOOSE( CONTROL!$C$29, 12.369, 12.3643) * CHOOSE( CONTROL!$C$12, $D$11, 100%, $F$11)</f>
        <v>9.9446760000000012</v>
      </c>
      <c r="E502" s="12">
        <f>CHOOSE( CONTROL!$C$29, 12.3775, 12.3727) * CHOOSE( CONTROL!$C$12, $D$11, 100%, $F$11)</f>
        <v>9.9515100000000007</v>
      </c>
      <c r="F502" s="4">
        <f>CHOOSE( CONTROL!$C$29, 13.3507, 13.346) * CHOOSE(CONTROL!$C$12, $D$11, 100%, $F$11)</f>
        <v>10.7339628</v>
      </c>
      <c r="G502" s="8">
        <f>CHOOSE( CONTROL!$C$29, 12.0486, 12.044) * CHOOSE( CONTROL!$C$12, $D$11, 100%, $F$11)</f>
        <v>9.6870744000000002</v>
      </c>
      <c r="H502" s="4">
        <f>CHOOSE( CONTROL!$C$29, 12.9376, 12.9331) * CHOOSE(CONTROL!$C$12, $D$11, 100%, $F$11)</f>
        <v>10.4018304</v>
      </c>
      <c r="I502" s="8">
        <f>CHOOSE( CONTROL!$C$29, 11.8985, 11.894) * CHOOSE(CONTROL!$C$12, $D$11, 100%, $F$11)</f>
        <v>9.5663940000000007</v>
      </c>
      <c r="J502" s="4">
        <f>CHOOSE( CONTROL!$C$29, 11.8637, 11.8592) * CHOOSE(CONTROL!$C$12, $D$11, 100%, $F$11)</f>
        <v>9.5384148</v>
      </c>
      <c r="K502" s="4"/>
      <c r="L502" s="9">
        <v>28.568200000000001</v>
      </c>
      <c r="M502" s="9">
        <v>11.6745</v>
      </c>
      <c r="N502" s="9">
        <v>4.7850000000000001</v>
      </c>
      <c r="O502" s="9">
        <v>0.36249999999999999</v>
      </c>
      <c r="P502" s="9">
        <v>1.1798</v>
      </c>
      <c r="Q502" s="9">
        <v>19.053000000000001</v>
      </c>
      <c r="R502" s="9"/>
      <c r="S502" s="11"/>
    </row>
    <row r="503" spans="1:19" ht="15.75">
      <c r="A503" s="13">
        <v>57192</v>
      </c>
      <c r="B503" s="8">
        <f>CHOOSE( CONTROL!$C$29, 12.9188, 12.9141) * CHOOSE(CONTROL!$C$12, $D$11, 100%, $F$11)</f>
        <v>10.386715199999999</v>
      </c>
      <c r="C503" s="8">
        <f>CHOOSE( CONTROL!$C$29, 12.9293, 12.9246) * CHOOSE(CONTROL!$C$12, $D$11, 100%, $F$11)</f>
        <v>10.3951572</v>
      </c>
      <c r="D503" s="8">
        <f>CHOOSE( CONTROL!$C$29, 12.9208, 12.9161) * CHOOSE( CONTROL!$C$12, $D$11, 100%, $F$11)</f>
        <v>10.3883232</v>
      </c>
      <c r="E503" s="12">
        <f>CHOOSE( CONTROL!$C$29, 12.9223, 12.9176) * CHOOSE( CONTROL!$C$12, $D$11, 100%, $F$11)</f>
        <v>10.3895292</v>
      </c>
      <c r="F503" s="4">
        <f>CHOOSE( CONTROL!$C$29, 13.9104, 13.9057) * CHOOSE(CONTROL!$C$12, $D$11, 100%, $F$11)</f>
        <v>11.1839616</v>
      </c>
      <c r="G503" s="8">
        <f>CHOOSE( CONTROL!$C$29, 12.5804, 12.5758) * CHOOSE( CONTROL!$C$12, $D$11, 100%, $F$11)</f>
        <v>10.114641600000001</v>
      </c>
      <c r="H503" s="4">
        <f>CHOOSE( CONTROL!$C$29, 13.4832, 13.4786) * CHOOSE(CONTROL!$C$12, $D$11, 100%, $F$11)</f>
        <v>10.8404928</v>
      </c>
      <c r="I503" s="8">
        <f>CHOOSE( CONTROL!$C$29, 12.4318, 12.4273) * CHOOSE(CONTROL!$C$12, $D$11, 100%, $F$11)</f>
        <v>9.9951672000000009</v>
      </c>
      <c r="J503" s="4">
        <f>CHOOSE( CONTROL!$C$29, 12.3741, 12.3695) * CHOOSE(CONTROL!$C$12, $D$11, 100%, $F$11)</f>
        <v>9.9487764000000016</v>
      </c>
      <c r="K503" s="4"/>
      <c r="L503" s="9">
        <v>29.520499999999998</v>
      </c>
      <c r="M503" s="9">
        <v>12.063700000000001</v>
      </c>
      <c r="N503" s="9">
        <v>4.9444999999999997</v>
      </c>
      <c r="O503" s="9">
        <v>0.37459999999999999</v>
      </c>
      <c r="P503" s="9">
        <v>1.2192000000000001</v>
      </c>
      <c r="Q503" s="9">
        <v>19.688099999999999</v>
      </c>
      <c r="R503" s="9"/>
      <c r="S503" s="11"/>
    </row>
    <row r="504" spans="1:19" ht="15.75">
      <c r="A504" s="13">
        <v>57223</v>
      </c>
      <c r="B504" s="8">
        <f>CHOOSE( CONTROL!$C$29, 11.9223, 11.9176) * CHOOSE(CONTROL!$C$12, $D$11, 100%, $F$11)</f>
        <v>9.5855291999999999</v>
      </c>
      <c r="C504" s="8">
        <f>CHOOSE( CONTROL!$C$29, 11.9328, 11.9281) * CHOOSE(CONTROL!$C$12, $D$11, 100%, $F$11)</f>
        <v>9.5939712000000004</v>
      </c>
      <c r="D504" s="8">
        <f>CHOOSE( CONTROL!$C$29, 11.9276, 11.9229) * CHOOSE( CONTROL!$C$12, $D$11, 100%, $F$11)</f>
        <v>9.5897904</v>
      </c>
      <c r="E504" s="12">
        <f>CHOOSE( CONTROL!$C$29, 11.9279, 11.9232) * CHOOSE( CONTROL!$C$12, $D$11, 100%, $F$11)</f>
        <v>9.5900315999999997</v>
      </c>
      <c r="F504" s="4">
        <f>CHOOSE( CONTROL!$C$29, 12.9191, 12.9144) * CHOOSE(CONTROL!$C$12, $D$11, 100%, $F$11)</f>
        <v>10.386956400000001</v>
      </c>
      <c r="G504" s="8">
        <f>CHOOSE( CONTROL!$C$29, 11.6111, 11.6066) * CHOOSE( CONTROL!$C$12, $D$11, 100%, $F$11)</f>
        <v>9.3353244000000011</v>
      </c>
      <c r="H504" s="4">
        <f>CHOOSE( CONTROL!$C$29, 12.517, 12.5124) * CHOOSE(CONTROL!$C$12, $D$11, 100%, $F$11)</f>
        <v>10.063668</v>
      </c>
      <c r="I504" s="8">
        <f>CHOOSE( CONTROL!$C$29, 11.4811, 11.4766) * CHOOSE(CONTROL!$C$12, $D$11, 100%, $F$11)</f>
        <v>9.2308044000000002</v>
      </c>
      <c r="J504" s="4">
        <f>CHOOSE( CONTROL!$C$29, 11.4192, 11.4147) * CHOOSE(CONTROL!$C$12, $D$11, 100%, $F$11)</f>
        <v>9.1810368000000011</v>
      </c>
      <c r="K504" s="4"/>
      <c r="L504" s="9">
        <v>29.520499999999998</v>
      </c>
      <c r="M504" s="9">
        <v>12.063700000000001</v>
      </c>
      <c r="N504" s="9">
        <v>4.9444999999999997</v>
      </c>
      <c r="O504" s="9">
        <v>0.37459999999999999</v>
      </c>
      <c r="P504" s="9">
        <v>1.2192000000000001</v>
      </c>
      <c r="Q504" s="9">
        <v>19.688099999999999</v>
      </c>
      <c r="R504" s="9"/>
      <c r="S504" s="11"/>
    </row>
    <row r="505" spans="1:19" ht="15.75">
      <c r="A505" s="13">
        <v>57253</v>
      </c>
      <c r="B505" s="8">
        <f>CHOOSE( CONTROL!$C$29, 11.6728, 11.6681) * CHOOSE(CONTROL!$C$12, $D$11, 100%, $F$11)</f>
        <v>9.3849312000000005</v>
      </c>
      <c r="C505" s="8">
        <f>CHOOSE( CONTROL!$C$29, 11.6832, 11.6785) * CHOOSE(CONTROL!$C$12, $D$11, 100%, $F$11)</f>
        <v>9.3932927999999993</v>
      </c>
      <c r="D505" s="8">
        <f>CHOOSE( CONTROL!$C$29, 11.6739, 11.6692) * CHOOSE( CONTROL!$C$12, $D$11, 100%, $F$11)</f>
        <v>9.3858156000000008</v>
      </c>
      <c r="E505" s="12">
        <f>CHOOSE( CONTROL!$C$29, 11.6757, 11.671) * CHOOSE( CONTROL!$C$12, $D$11, 100%, $F$11)</f>
        <v>9.387262800000002</v>
      </c>
      <c r="F505" s="4">
        <f>CHOOSE( CONTROL!$C$29, 12.6618, 12.6571) * CHOOSE(CONTROL!$C$12, $D$11, 100%, $F$11)</f>
        <v>10.180087200000001</v>
      </c>
      <c r="G505" s="8">
        <f>CHOOSE( CONTROL!$C$29, 11.3666, 11.362) * CHOOSE( CONTROL!$C$12, $D$11, 100%, $F$11)</f>
        <v>9.1387464000000005</v>
      </c>
      <c r="H505" s="4">
        <f>CHOOSE( CONTROL!$C$29, 12.2661, 12.2615) * CHOOSE(CONTROL!$C$12, $D$11, 100%, $F$11)</f>
        <v>9.8619444000000005</v>
      </c>
      <c r="I505" s="8">
        <f>CHOOSE( CONTROL!$C$29, 11.2432, 11.2387) * CHOOSE(CONTROL!$C$12, $D$11, 100%, $F$11)</f>
        <v>9.0395327999999999</v>
      </c>
      <c r="J505" s="4">
        <f>CHOOSE( CONTROL!$C$29, 11.1801, 11.1756) * CHOOSE(CONTROL!$C$12, $D$11, 100%, $F$11)</f>
        <v>8.9888004000000006</v>
      </c>
      <c r="K505" s="4"/>
      <c r="L505" s="9">
        <v>28.568200000000001</v>
      </c>
      <c r="M505" s="9">
        <v>11.6745</v>
      </c>
      <c r="N505" s="9">
        <v>4.7850000000000001</v>
      </c>
      <c r="O505" s="9">
        <v>0.36249999999999999</v>
      </c>
      <c r="P505" s="9">
        <v>1.1798</v>
      </c>
      <c r="Q505" s="9">
        <v>19.053000000000001</v>
      </c>
      <c r="R505" s="9"/>
      <c r="S505" s="11"/>
    </row>
    <row r="506" spans="1:19" ht="15.75">
      <c r="A506" s="13">
        <v>57284</v>
      </c>
      <c r="B506" s="8">
        <f>12.1862 * CHOOSE(CONTROL!$C$12, $D$11, 100%, $F$11)</f>
        <v>9.7977048</v>
      </c>
      <c r="C506" s="8">
        <f>12.1966 * CHOOSE(CONTROL!$C$12, $D$11, 100%, $F$11)</f>
        <v>9.8060664000000006</v>
      </c>
      <c r="D506" s="8">
        <f>12.1882 * CHOOSE( CONTROL!$C$12, $D$11, 100%, $F$11)</f>
        <v>9.7993128000000009</v>
      </c>
      <c r="E506" s="12">
        <f>12.1899 * CHOOSE( CONTROL!$C$12, $D$11, 100%, $F$11)</f>
        <v>9.8006796000000005</v>
      </c>
      <c r="F506" s="4">
        <f>13.1752 * CHOOSE(CONTROL!$C$12, $D$11, 100%, $F$11)</f>
        <v>10.5928608</v>
      </c>
      <c r="G506" s="8">
        <f>11.8667 * CHOOSE( CONTROL!$C$12, $D$11, 100%, $F$11)</f>
        <v>9.5408267999999996</v>
      </c>
      <c r="H506" s="4">
        <f>12.7666 * CHOOSE(CONTROL!$C$12, $D$11, 100%, $F$11)</f>
        <v>10.264346400000001</v>
      </c>
      <c r="I506" s="8">
        <f>11.7375 * CHOOSE(CONTROL!$C$12, $D$11, 100%, $F$11)</f>
        <v>9.4369500000000013</v>
      </c>
      <c r="J506" s="4">
        <f>11.6721 * CHOOSE(CONTROL!$C$12, $D$11, 100%, $F$11)</f>
        <v>9.3843684000000014</v>
      </c>
      <c r="K506" s="4"/>
      <c r="L506" s="9">
        <v>28.921800000000001</v>
      </c>
      <c r="M506" s="9">
        <v>12.063700000000001</v>
      </c>
      <c r="N506" s="9">
        <v>4.9444999999999997</v>
      </c>
      <c r="O506" s="9">
        <v>0.37459999999999999</v>
      </c>
      <c r="P506" s="9">
        <v>1.2192000000000001</v>
      </c>
      <c r="Q506" s="9">
        <v>19.688099999999999</v>
      </c>
      <c r="R506" s="9"/>
      <c r="S506" s="11"/>
    </row>
    <row r="507" spans="1:19" ht="15.75">
      <c r="A507" s="13">
        <v>57314</v>
      </c>
      <c r="B507" s="8">
        <f>13.1425 * CHOOSE(CONTROL!$C$12, $D$11, 100%, $F$11)</f>
        <v>10.56657</v>
      </c>
      <c r="C507" s="8">
        <f>13.153 * CHOOSE(CONTROL!$C$12, $D$11, 100%, $F$11)</f>
        <v>10.575012000000001</v>
      </c>
      <c r="D507" s="8">
        <f>13.1332 * CHOOSE( CONTROL!$C$12, $D$11, 100%, $F$11)</f>
        <v>10.5590928</v>
      </c>
      <c r="E507" s="12">
        <f>13.1393 * CHOOSE( CONTROL!$C$12, $D$11, 100%, $F$11)</f>
        <v>10.563997200000001</v>
      </c>
      <c r="F507" s="4">
        <f>14.1341 * CHOOSE(CONTROL!$C$12, $D$11, 100%, $F$11)</f>
        <v>11.363816400000001</v>
      </c>
      <c r="G507" s="8">
        <f>12.8179 * CHOOSE( CONTROL!$C$12, $D$11, 100%, $F$11)</f>
        <v>10.3055916</v>
      </c>
      <c r="H507" s="4">
        <f>13.7013 * CHOOSE(CONTROL!$C$12, $D$11, 100%, $F$11)</f>
        <v>11.015845200000001</v>
      </c>
      <c r="I507" s="8">
        <f>12.6845 * CHOOSE(CONTROL!$C$12, $D$11, 100%, $F$11)</f>
        <v>10.198338</v>
      </c>
      <c r="J507" s="4">
        <f>12.5884 * CHOOSE(CONTROL!$C$12, $D$11, 100%, $F$11)</f>
        <v>10.121073600000001</v>
      </c>
      <c r="K507" s="4"/>
      <c r="L507" s="9">
        <v>26.515499999999999</v>
      </c>
      <c r="M507" s="9">
        <v>11.6745</v>
      </c>
      <c r="N507" s="9">
        <v>4.7850000000000001</v>
      </c>
      <c r="O507" s="9">
        <v>0.36249999999999999</v>
      </c>
      <c r="P507" s="9">
        <v>1.2522</v>
      </c>
      <c r="Q507" s="9">
        <v>19.053000000000001</v>
      </c>
      <c r="R507" s="9"/>
      <c r="S507" s="11"/>
    </row>
    <row r="508" spans="1:19" ht="15.75">
      <c r="A508" s="13">
        <v>57345</v>
      </c>
      <c r="B508" s="8">
        <f>13.1187 * CHOOSE(CONTROL!$C$12, $D$11, 100%, $F$11)</f>
        <v>10.547434800000001</v>
      </c>
      <c r="C508" s="8">
        <f>13.1291 * CHOOSE(CONTROL!$C$12, $D$11, 100%, $F$11)</f>
        <v>10.5557964</v>
      </c>
      <c r="D508" s="8">
        <f>13.1113 * CHOOSE( CONTROL!$C$12, $D$11, 100%, $F$11)</f>
        <v>10.5414852</v>
      </c>
      <c r="E508" s="12">
        <f>13.1167 * CHOOSE( CONTROL!$C$12, $D$11, 100%, $F$11)</f>
        <v>10.5458268</v>
      </c>
      <c r="F508" s="4">
        <f>14.1103 * CHOOSE(CONTROL!$C$12, $D$11, 100%, $F$11)</f>
        <v>11.344681200000002</v>
      </c>
      <c r="G508" s="8">
        <f>12.7961 * CHOOSE( CONTROL!$C$12, $D$11, 100%, $F$11)</f>
        <v>10.2880644</v>
      </c>
      <c r="H508" s="4">
        <f>13.678 * CHOOSE(CONTROL!$C$12, $D$11, 100%, $F$11)</f>
        <v>10.997112000000001</v>
      </c>
      <c r="I508" s="8">
        <f>12.6685 * CHOOSE(CONTROL!$C$12, $D$11, 100%, $F$11)</f>
        <v>10.185474000000001</v>
      </c>
      <c r="J508" s="4">
        <f>12.5655 * CHOOSE(CONTROL!$C$12, $D$11, 100%, $F$11)</f>
        <v>10.102662</v>
      </c>
      <c r="K508" s="4"/>
      <c r="L508" s="9">
        <v>27.3993</v>
      </c>
      <c r="M508" s="9">
        <v>12.063700000000001</v>
      </c>
      <c r="N508" s="9">
        <v>4.9444999999999997</v>
      </c>
      <c r="O508" s="9">
        <v>0.37459999999999999</v>
      </c>
      <c r="P508" s="9">
        <v>1.2939000000000001</v>
      </c>
      <c r="Q508" s="9">
        <v>19.688099999999999</v>
      </c>
      <c r="R508" s="9"/>
      <c r="S508" s="11"/>
    </row>
    <row r="509" spans="1:19" ht="15.75">
      <c r="A509" s="13">
        <v>57376</v>
      </c>
      <c r="B509" s="8">
        <f>13.6198 * CHOOSE(CONTROL!$C$12, $D$11, 100%, $F$11)</f>
        <v>10.950319200000001</v>
      </c>
      <c r="C509" s="8">
        <f>13.6303 * CHOOSE(CONTROL!$C$12, $D$11, 100%, $F$11)</f>
        <v>10.958761200000001</v>
      </c>
      <c r="D509" s="8">
        <f>13.6279 * CHOOSE( CONTROL!$C$12, $D$11, 100%, $F$11)</f>
        <v>10.956831600000001</v>
      </c>
      <c r="E509" s="12">
        <f>13.6277 * CHOOSE( CONTROL!$C$12, $D$11, 100%, $F$11)</f>
        <v>10.956670800000001</v>
      </c>
      <c r="F509" s="4">
        <f>14.6428 * CHOOSE(CONTROL!$C$12, $D$11, 100%, $F$11)</f>
        <v>11.7728112</v>
      </c>
      <c r="G509" s="8">
        <f>13.3037 * CHOOSE( CONTROL!$C$12, $D$11, 100%, $F$11)</f>
        <v>10.6961748</v>
      </c>
      <c r="H509" s="4">
        <f>14.1971 * CHOOSE(CONTROL!$C$12, $D$11, 100%, $F$11)</f>
        <v>11.414468400000001</v>
      </c>
      <c r="I509" s="8">
        <f>13.1609 * CHOOSE(CONTROL!$C$12, $D$11, 100%, $F$11)</f>
        <v>10.581363600000001</v>
      </c>
      <c r="J509" s="4">
        <f>13.0458 * CHOOSE(CONTROL!$C$12, $D$11, 100%, $F$11)</f>
        <v>10.488823200000001</v>
      </c>
      <c r="K509" s="4"/>
      <c r="L509" s="9">
        <v>27.3993</v>
      </c>
      <c r="M509" s="9">
        <v>12.063700000000001</v>
      </c>
      <c r="N509" s="9">
        <v>4.9444999999999997</v>
      </c>
      <c r="O509" s="9">
        <v>0.37459999999999999</v>
      </c>
      <c r="P509" s="9">
        <v>1.2939000000000001</v>
      </c>
      <c r="Q509" s="9">
        <v>19.688099999999999</v>
      </c>
      <c r="R509" s="9"/>
      <c r="S509" s="11"/>
    </row>
    <row r="510" spans="1:19" ht="15.75">
      <c r="A510" s="13">
        <v>57404</v>
      </c>
      <c r="B510" s="8">
        <f>12.7397 * CHOOSE(CONTROL!$C$12, $D$11, 100%, $F$11)</f>
        <v>10.2427188</v>
      </c>
      <c r="C510" s="8">
        <f>12.7501 * CHOOSE(CONTROL!$C$12, $D$11, 100%, $F$11)</f>
        <v>10.251080400000001</v>
      </c>
      <c r="D510" s="8">
        <f>12.7501 * CHOOSE( CONTROL!$C$12, $D$11, 100%, $F$11)</f>
        <v>10.251080400000001</v>
      </c>
      <c r="E510" s="12">
        <f>12.749 * CHOOSE( CONTROL!$C$12, $D$11, 100%, $F$11)</f>
        <v>10.250196000000001</v>
      </c>
      <c r="F510" s="4">
        <f>13.7548 * CHOOSE(CONTROL!$C$12, $D$11, 100%, $F$11)</f>
        <v>11.058859200000001</v>
      </c>
      <c r="G510" s="8">
        <f>12.4456 * CHOOSE( CONTROL!$C$12, $D$11, 100%, $F$11)</f>
        <v>10.006262400000001</v>
      </c>
      <c r="H510" s="4">
        <f>13.3315 * CHOOSE(CONTROL!$C$12, $D$11, 100%, $F$11)</f>
        <v>10.718526000000001</v>
      </c>
      <c r="I510" s="8">
        <f>12.3061 * CHOOSE(CONTROL!$C$12, $D$11, 100%, $F$11)</f>
        <v>9.8941044000000016</v>
      </c>
      <c r="J510" s="4">
        <f>12.2024 * CHOOSE(CONTROL!$C$12, $D$11, 100%, $F$11)</f>
        <v>9.8107296000000019</v>
      </c>
      <c r="K510" s="4"/>
      <c r="L510" s="9">
        <v>24.747800000000002</v>
      </c>
      <c r="M510" s="9">
        <v>10.8962</v>
      </c>
      <c r="N510" s="9">
        <v>4.4660000000000002</v>
      </c>
      <c r="O510" s="9">
        <v>0.33829999999999999</v>
      </c>
      <c r="P510" s="9">
        <v>1.1687000000000001</v>
      </c>
      <c r="Q510" s="9">
        <v>17.782800000000002</v>
      </c>
      <c r="R510" s="9"/>
      <c r="S510" s="11"/>
    </row>
    <row r="511" spans="1:19" ht="15.75">
      <c r="A511" s="13">
        <v>57435</v>
      </c>
      <c r="B511" s="8">
        <f>12.4686 * CHOOSE(CONTROL!$C$12, $D$11, 100%, $F$11)</f>
        <v>10.024754400000001</v>
      </c>
      <c r="C511" s="8">
        <f>12.479 * CHOOSE(CONTROL!$C$12, $D$11, 100%, $F$11)</f>
        <v>10.033116</v>
      </c>
      <c r="D511" s="8">
        <f>12.4589 * CHOOSE( CONTROL!$C$12, $D$11, 100%, $F$11)</f>
        <v>10.016955600000001</v>
      </c>
      <c r="E511" s="12">
        <f>12.4651 * CHOOSE( CONTROL!$C$12, $D$11, 100%, $F$11)</f>
        <v>10.0219404</v>
      </c>
      <c r="F511" s="4">
        <f>13.4675 * CHOOSE(CONTROL!$C$12, $D$11, 100%, $F$11)</f>
        <v>10.827870000000001</v>
      </c>
      <c r="G511" s="8">
        <f>12.1609 * CHOOSE( CONTROL!$C$12, $D$11, 100%, $F$11)</f>
        <v>9.777363600000001</v>
      </c>
      <c r="H511" s="4">
        <f>13.0515 * CHOOSE(CONTROL!$C$12, $D$11, 100%, $F$11)</f>
        <v>10.493406000000002</v>
      </c>
      <c r="I511" s="8">
        <f>12.0067 * CHOOSE(CONTROL!$C$12, $D$11, 100%, $F$11)</f>
        <v>9.6533868000000016</v>
      </c>
      <c r="J511" s="4">
        <f>11.9426 * CHOOSE(CONTROL!$C$12, $D$11, 100%, $F$11)</f>
        <v>9.6018504000000018</v>
      </c>
      <c r="K511" s="4"/>
      <c r="L511" s="9">
        <v>27.3993</v>
      </c>
      <c r="M511" s="9">
        <v>12.063700000000001</v>
      </c>
      <c r="N511" s="9">
        <v>4.9444999999999997</v>
      </c>
      <c r="O511" s="9">
        <v>0.37459999999999999</v>
      </c>
      <c r="P511" s="9">
        <v>1.2939000000000001</v>
      </c>
      <c r="Q511" s="9">
        <v>19.688099999999999</v>
      </c>
      <c r="R511" s="9"/>
      <c r="S511" s="11"/>
    </row>
    <row r="512" spans="1:19" ht="15.75">
      <c r="A512" s="13">
        <v>57465</v>
      </c>
      <c r="B512" s="8">
        <f>12.658 * CHOOSE(CONTROL!$C$12, $D$11, 100%, $F$11)</f>
        <v>10.177032000000001</v>
      </c>
      <c r="C512" s="8">
        <f>12.6684 * CHOOSE(CONTROL!$C$12, $D$11, 100%, $F$11)</f>
        <v>10.185393600000001</v>
      </c>
      <c r="D512" s="8">
        <f>12.6716 * CHOOSE( CONTROL!$C$12, $D$11, 100%, $F$11)</f>
        <v>10.187966400000001</v>
      </c>
      <c r="E512" s="12">
        <f>12.6694 * CHOOSE( CONTROL!$C$12, $D$11, 100%, $F$11)</f>
        <v>10.1861976</v>
      </c>
      <c r="F512" s="4">
        <f>13.6653 * CHOOSE(CONTROL!$C$12, $D$11, 100%, $F$11)</f>
        <v>10.9869012</v>
      </c>
      <c r="G512" s="8">
        <f>12.3334 * CHOOSE( CONTROL!$C$12, $D$11, 100%, $F$11)</f>
        <v>9.9160535999999997</v>
      </c>
      <c r="H512" s="4">
        <f>13.2443 * CHOOSE(CONTROL!$C$12, $D$11, 100%, $F$11)</f>
        <v>10.648417200000001</v>
      </c>
      <c r="I512" s="8">
        <f>12.1784 * CHOOSE(CONTROL!$C$12, $D$11, 100%, $F$11)</f>
        <v>9.7914336000000013</v>
      </c>
      <c r="J512" s="4">
        <f>12.1241 * CHOOSE(CONTROL!$C$12, $D$11, 100%, $F$11)</f>
        <v>9.7477764000000011</v>
      </c>
      <c r="K512" s="4"/>
      <c r="L512" s="9">
        <v>27.988800000000001</v>
      </c>
      <c r="M512" s="9">
        <v>11.6745</v>
      </c>
      <c r="N512" s="9">
        <v>4.7850000000000001</v>
      </c>
      <c r="O512" s="9">
        <v>0.36249999999999999</v>
      </c>
      <c r="P512" s="9">
        <v>1.1798</v>
      </c>
      <c r="Q512" s="9">
        <v>19.053000000000001</v>
      </c>
      <c r="R512" s="9"/>
      <c r="S512" s="11"/>
    </row>
    <row r="513" spans="1:19" ht="15.75">
      <c r="A513" s="13">
        <v>57496</v>
      </c>
      <c r="B513" s="8">
        <f>CHOOSE( CONTROL!$C$29, 12.9999, 12.9952) * CHOOSE(CONTROL!$C$12, $D$11, 100%, $F$11)</f>
        <v>10.4519196</v>
      </c>
      <c r="C513" s="8">
        <f>CHOOSE( CONTROL!$C$29, 13.0103, 13.0056) * CHOOSE(CONTROL!$C$12, $D$11, 100%, $F$11)</f>
        <v>10.460281200000001</v>
      </c>
      <c r="D513" s="8">
        <f>CHOOSE( CONTROL!$C$29, 12.9882, 12.9835) * CHOOSE( CONTROL!$C$12, $D$11, 100%, $F$11)</f>
        <v>10.442512800000001</v>
      </c>
      <c r="E513" s="12">
        <f>CHOOSE( CONTROL!$C$29, 12.9946, 12.9899) * CHOOSE( CONTROL!$C$12, $D$11, 100%, $F$11)</f>
        <v>10.4476584</v>
      </c>
      <c r="F513" s="4">
        <f>CHOOSE( CONTROL!$C$29, 13.9748, 13.9701) * CHOOSE(CONTROL!$C$12, $D$11, 100%, $F$11)</f>
        <v>11.235739200000001</v>
      </c>
      <c r="G513" s="8">
        <f>CHOOSE( CONTROL!$C$29, 12.6479, 12.6434) * CHOOSE( CONTROL!$C$12, $D$11, 100%, $F$11)</f>
        <v>10.168911600000001</v>
      </c>
      <c r="H513" s="4">
        <f>CHOOSE( CONTROL!$C$29, 13.546, 13.5414) * CHOOSE(CONTROL!$C$12, $D$11, 100%, $F$11)</f>
        <v>10.890984</v>
      </c>
      <c r="I513" s="8">
        <f>CHOOSE( CONTROL!$C$29, 12.4846, 12.4801) * CHOOSE(CONTROL!$C$12, $D$11, 100%, $F$11)</f>
        <v>10.037618400000001</v>
      </c>
      <c r="J513" s="4">
        <f>CHOOSE( CONTROL!$C$29, 12.4517, 12.4472) * CHOOSE(CONTROL!$C$12, $D$11, 100%, $F$11)</f>
        <v>10.011166800000002</v>
      </c>
      <c r="K513" s="4"/>
      <c r="L513" s="9">
        <v>29.520499999999998</v>
      </c>
      <c r="M513" s="9">
        <v>12.063700000000001</v>
      </c>
      <c r="N513" s="9">
        <v>4.9444999999999997</v>
      </c>
      <c r="O513" s="9">
        <v>0.37459999999999999</v>
      </c>
      <c r="P513" s="9">
        <v>1.2192000000000001</v>
      </c>
      <c r="Q513" s="9">
        <v>19.688099999999999</v>
      </c>
      <c r="R513" s="9"/>
      <c r="S513" s="11"/>
    </row>
    <row r="514" spans="1:19" ht="15.75">
      <c r="A514" s="13">
        <v>57526</v>
      </c>
      <c r="B514" s="8">
        <f>CHOOSE( CONTROL!$C$29, 12.791, 12.7863) * CHOOSE(CONTROL!$C$12, $D$11, 100%, $F$11)</f>
        <v>10.283964000000001</v>
      </c>
      <c r="C514" s="8">
        <f>CHOOSE( CONTROL!$C$29, 12.8014, 12.7967) * CHOOSE(CONTROL!$C$12, $D$11, 100%, $F$11)</f>
        <v>10.2923256</v>
      </c>
      <c r="D514" s="8">
        <f>CHOOSE( CONTROL!$C$29, 12.7738, 12.7691) * CHOOSE( CONTROL!$C$12, $D$11, 100%, $F$11)</f>
        <v>10.2701352</v>
      </c>
      <c r="E514" s="12">
        <f>CHOOSE( CONTROL!$C$29, 12.7822, 12.7775) * CHOOSE( CONTROL!$C$12, $D$11, 100%, $F$11)</f>
        <v>10.2768888</v>
      </c>
      <c r="F514" s="4">
        <f>CHOOSE( CONTROL!$C$29, 13.7555, 13.7508) * CHOOSE(CONTROL!$C$12, $D$11, 100%, $F$11)</f>
        <v>11.059422</v>
      </c>
      <c r="G514" s="8">
        <f>CHOOSE( CONTROL!$C$29, 12.4431, 12.4385) * CHOOSE( CONTROL!$C$12, $D$11, 100%, $F$11)</f>
        <v>10.0042524</v>
      </c>
      <c r="H514" s="4">
        <f>CHOOSE( CONTROL!$C$29, 13.3322, 13.3276) * CHOOSE(CONTROL!$C$12, $D$11, 100%, $F$11)</f>
        <v>10.719088800000002</v>
      </c>
      <c r="I514" s="8">
        <f>CHOOSE( CONTROL!$C$29, 12.2866, 12.2821) * CHOOSE(CONTROL!$C$12, $D$11, 100%, $F$11)</f>
        <v>9.8784264000000004</v>
      </c>
      <c r="J514" s="4">
        <f>CHOOSE( CONTROL!$C$29, 12.2516, 12.2471) * CHOOSE(CONTROL!$C$12, $D$11, 100%, $F$11)</f>
        <v>9.8502863999999999</v>
      </c>
      <c r="K514" s="4"/>
      <c r="L514" s="9">
        <v>28.568200000000001</v>
      </c>
      <c r="M514" s="9">
        <v>11.6745</v>
      </c>
      <c r="N514" s="9">
        <v>4.7850000000000001</v>
      </c>
      <c r="O514" s="9">
        <v>0.36249999999999999</v>
      </c>
      <c r="P514" s="9">
        <v>1.1798</v>
      </c>
      <c r="Q514" s="9">
        <v>19.053000000000001</v>
      </c>
      <c r="R514" s="9"/>
      <c r="S514" s="11"/>
    </row>
    <row r="515" spans="1:19" ht="15.75">
      <c r="A515" s="13">
        <v>57557</v>
      </c>
      <c r="B515" s="8">
        <f>CHOOSE( CONTROL!$C$29, 13.341, 13.3363) * CHOOSE(CONTROL!$C$12, $D$11, 100%, $F$11)</f>
        <v>10.726164000000001</v>
      </c>
      <c r="C515" s="8">
        <f>CHOOSE( CONTROL!$C$29, 13.3514, 13.3467) * CHOOSE(CONTROL!$C$12, $D$11, 100%, $F$11)</f>
        <v>10.734525600000001</v>
      </c>
      <c r="D515" s="8">
        <f>CHOOSE( CONTROL!$C$29, 13.343, 13.3383) * CHOOSE( CONTROL!$C$12, $D$11, 100%, $F$11)</f>
        <v>10.727772</v>
      </c>
      <c r="E515" s="12">
        <f>CHOOSE( CONTROL!$C$29, 13.3445, 13.3398) * CHOOSE( CONTROL!$C$12, $D$11, 100%, $F$11)</f>
        <v>10.728978000000001</v>
      </c>
      <c r="F515" s="4">
        <f>CHOOSE( CONTROL!$C$29, 14.3326, 14.3279) * CHOOSE(CONTROL!$C$12, $D$11, 100%, $F$11)</f>
        <v>11.523410399999999</v>
      </c>
      <c r="G515" s="8">
        <f>CHOOSE( CONTROL!$C$29, 12.9919, 12.9873) * CHOOSE( CONTROL!$C$12, $D$11, 100%, $F$11)</f>
        <v>10.4454876</v>
      </c>
      <c r="H515" s="4">
        <f>CHOOSE( CONTROL!$C$29, 13.8948, 13.8902) * CHOOSE(CONTROL!$C$12, $D$11, 100%, $F$11)</f>
        <v>11.171419200000001</v>
      </c>
      <c r="I515" s="8">
        <f>CHOOSE( CONTROL!$C$29, 12.8366, 12.8321) * CHOOSE(CONTROL!$C$12, $D$11, 100%, $F$11)</f>
        <v>10.320626400000002</v>
      </c>
      <c r="J515" s="4">
        <f>CHOOSE( CONTROL!$C$29, 12.7786, 12.7741) * CHOOSE(CONTROL!$C$12, $D$11, 100%, $F$11)</f>
        <v>10.273994400000001</v>
      </c>
      <c r="K515" s="4"/>
      <c r="L515" s="9">
        <v>29.520499999999998</v>
      </c>
      <c r="M515" s="9">
        <v>12.063700000000001</v>
      </c>
      <c r="N515" s="9">
        <v>4.9444999999999997</v>
      </c>
      <c r="O515" s="9">
        <v>0.37459999999999999</v>
      </c>
      <c r="P515" s="9">
        <v>1.2192000000000001</v>
      </c>
      <c r="Q515" s="9">
        <v>19.688099999999999</v>
      </c>
      <c r="R515" s="9"/>
      <c r="S515" s="11"/>
    </row>
    <row r="516" spans="1:19" ht="15.75">
      <c r="A516" s="13">
        <v>57588</v>
      </c>
      <c r="B516" s="8">
        <f>CHOOSE( CONTROL!$C$29, 12.3119, 12.3072) * CHOOSE(CONTROL!$C$12, $D$11, 100%, $F$11)</f>
        <v>9.8987676000000011</v>
      </c>
      <c r="C516" s="8">
        <f>CHOOSE( CONTROL!$C$29, 12.3224, 12.3176) * CHOOSE(CONTROL!$C$12, $D$11, 100%, $F$11)</f>
        <v>9.9072095999999998</v>
      </c>
      <c r="D516" s="8">
        <f>CHOOSE( CONTROL!$C$29, 12.3172, 12.3125) * CHOOSE( CONTROL!$C$12, $D$11, 100%, $F$11)</f>
        <v>9.9030287999999995</v>
      </c>
      <c r="E516" s="12">
        <f>CHOOSE( CONTROL!$C$29, 12.3175, 12.3128) * CHOOSE( CONTROL!$C$12, $D$11, 100%, $F$11)</f>
        <v>9.9032700000000009</v>
      </c>
      <c r="F516" s="4">
        <f>CHOOSE( CONTROL!$C$29, 13.3087, 13.304) * CHOOSE(CONTROL!$C$12, $D$11, 100%, $F$11)</f>
        <v>10.7001948</v>
      </c>
      <c r="G516" s="8">
        <f>CHOOSE( CONTROL!$C$29, 11.9909, 11.9863) * CHOOSE( CONTROL!$C$12, $D$11, 100%, $F$11)</f>
        <v>9.6406836000000009</v>
      </c>
      <c r="H516" s="4">
        <f>CHOOSE( CONTROL!$C$29, 12.8967, 12.8921) * CHOOSE(CONTROL!$C$12, $D$11, 100%, $F$11)</f>
        <v>10.3689468</v>
      </c>
      <c r="I516" s="8">
        <f>CHOOSE( CONTROL!$C$29, 11.8546, 11.8501) * CHOOSE(CONTROL!$C$12, $D$11, 100%, $F$11)</f>
        <v>9.5310983999999994</v>
      </c>
      <c r="J516" s="4">
        <f>CHOOSE( CONTROL!$C$29, 11.7925, 11.788) * CHOOSE(CONTROL!$C$12, $D$11, 100%, $F$11)</f>
        <v>9.4811700000000005</v>
      </c>
      <c r="K516" s="4"/>
      <c r="L516" s="9">
        <v>29.520499999999998</v>
      </c>
      <c r="M516" s="9">
        <v>12.063700000000001</v>
      </c>
      <c r="N516" s="9">
        <v>4.9444999999999997</v>
      </c>
      <c r="O516" s="9">
        <v>0.37459999999999999</v>
      </c>
      <c r="P516" s="9">
        <v>1.2192000000000001</v>
      </c>
      <c r="Q516" s="9">
        <v>19.688099999999999</v>
      </c>
      <c r="R516" s="9"/>
      <c r="S516" s="11"/>
    </row>
    <row r="517" spans="1:19" ht="15.75">
      <c r="A517" s="13">
        <v>57618</v>
      </c>
      <c r="B517" s="8">
        <f>CHOOSE( CONTROL!$C$29, 12.0542, 12.0495) * CHOOSE(CONTROL!$C$12, $D$11, 100%, $F$11)</f>
        <v>9.6915768</v>
      </c>
      <c r="C517" s="8">
        <f>CHOOSE( CONTROL!$C$29, 12.0647, 12.06) * CHOOSE(CONTROL!$C$12, $D$11, 100%, $F$11)</f>
        <v>9.7000188000000005</v>
      </c>
      <c r="D517" s="8">
        <f>CHOOSE( CONTROL!$C$29, 12.0553, 12.0506) * CHOOSE( CONTROL!$C$12, $D$11, 100%, $F$11)</f>
        <v>9.6924612000000003</v>
      </c>
      <c r="E517" s="12">
        <f>CHOOSE( CONTROL!$C$29, 12.0571, 12.0524) * CHOOSE( CONTROL!$C$12, $D$11, 100%, $F$11)</f>
        <v>9.6939084000000015</v>
      </c>
      <c r="F517" s="4">
        <f>CHOOSE( CONTROL!$C$29, 13.0432, 13.0385) * CHOOSE(CONTROL!$C$12, $D$11, 100%, $F$11)</f>
        <v>10.4867328</v>
      </c>
      <c r="G517" s="8">
        <f>CHOOSE( CONTROL!$C$29, 11.7384, 11.7338) * CHOOSE( CONTROL!$C$12, $D$11, 100%, $F$11)</f>
        <v>9.4376736000000001</v>
      </c>
      <c r="H517" s="4">
        <f>CHOOSE( CONTROL!$C$29, 12.6379, 12.6333) * CHOOSE(CONTROL!$C$12, $D$11, 100%, $F$11)</f>
        <v>10.1608716</v>
      </c>
      <c r="I517" s="8">
        <f>CHOOSE( CONTROL!$C$29, 11.6089, 11.6044) * CHOOSE(CONTROL!$C$12, $D$11, 100%, $F$11)</f>
        <v>9.3335556000000004</v>
      </c>
      <c r="J517" s="4">
        <f>CHOOSE( CONTROL!$C$29, 11.5456, 11.5411) * CHOOSE(CONTROL!$C$12, $D$11, 100%, $F$11)</f>
        <v>9.2826624000000013</v>
      </c>
      <c r="K517" s="4"/>
      <c r="L517" s="9">
        <v>28.568200000000001</v>
      </c>
      <c r="M517" s="9">
        <v>11.6745</v>
      </c>
      <c r="N517" s="9">
        <v>4.7850000000000001</v>
      </c>
      <c r="O517" s="9">
        <v>0.36249999999999999</v>
      </c>
      <c r="P517" s="9">
        <v>1.1798</v>
      </c>
      <c r="Q517" s="9">
        <v>19.053000000000001</v>
      </c>
      <c r="R517" s="9"/>
      <c r="S517" s="11"/>
    </row>
    <row r="518" spans="1:19" ht="15.75">
      <c r="A518" s="13">
        <v>57649</v>
      </c>
      <c r="B518" s="8">
        <f>12.5846 * CHOOSE(CONTROL!$C$12, $D$11, 100%, $F$11)</f>
        <v>10.1180184</v>
      </c>
      <c r="C518" s="8">
        <f>12.595 * CHOOSE(CONTROL!$C$12, $D$11, 100%, $F$11)</f>
        <v>10.126380000000001</v>
      </c>
      <c r="D518" s="8">
        <f>12.5866 * CHOOSE( CONTROL!$C$12, $D$11, 100%, $F$11)</f>
        <v>10.119626400000001</v>
      </c>
      <c r="E518" s="12">
        <f>12.5883 * CHOOSE( CONTROL!$C$12, $D$11, 100%, $F$11)</f>
        <v>10.120993200000001</v>
      </c>
      <c r="F518" s="4">
        <f>13.5736 * CHOOSE(CONTROL!$C$12, $D$11, 100%, $F$11)</f>
        <v>10.913174400000001</v>
      </c>
      <c r="G518" s="8">
        <f>12.255 * CHOOSE( CONTROL!$C$12, $D$11, 100%, $F$11)</f>
        <v>9.8530200000000008</v>
      </c>
      <c r="H518" s="4">
        <f>13.1549 * CHOOSE(CONTROL!$C$12, $D$11, 100%, $F$11)</f>
        <v>10.5765396</v>
      </c>
      <c r="I518" s="8">
        <f>12.1194 * CHOOSE(CONTROL!$C$12, $D$11, 100%, $F$11)</f>
        <v>9.7439976000000019</v>
      </c>
      <c r="J518" s="4">
        <f>12.0538 * CHOOSE(CONTROL!$C$12, $D$11, 100%, $F$11)</f>
        <v>9.6912552000000005</v>
      </c>
      <c r="K518" s="4"/>
      <c r="L518" s="9">
        <v>28.921800000000001</v>
      </c>
      <c r="M518" s="9">
        <v>12.063700000000001</v>
      </c>
      <c r="N518" s="9">
        <v>4.9444999999999997</v>
      </c>
      <c r="O518" s="9">
        <v>0.37459999999999999</v>
      </c>
      <c r="P518" s="9">
        <v>1.2192000000000001</v>
      </c>
      <c r="Q518" s="9">
        <v>19.688099999999999</v>
      </c>
      <c r="R518" s="9"/>
      <c r="S518" s="11"/>
    </row>
    <row r="519" spans="1:19" ht="15.75">
      <c r="A519" s="13">
        <v>57679</v>
      </c>
      <c r="B519" s="8">
        <f>13.5722 * CHOOSE(CONTROL!$C$12, $D$11, 100%, $F$11)</f>
        <v>10.912048800000001</v>
      </c>
      <c r="C519" s="8">
        <f>13.5826 * CHOOSE(CONTROL!$C$12, $D$11, 100%, $F$11)</f>
        <v>10.9204104</v>
      </c>
      <c r="D519" s="8">
        <f>13.5629 * CHOOSE( CONTROL!$C$12, $D$11, 100%, $F$11)</f>
        <v>10.904571600000001</v>
      </c>
      <c r="E519" s="12">
        <f>13.569 * CHOOSE( CONTROL!$C$12, $D$11, 100%, $F$11)</f>
        <v>10.909476000000002</v>
      </c>
      <c r="F519" s="4">
        <f>14.5638 * CHOOSE(CONTROL!$C$12, $D$11, 100%, $F$11)</f>
        <v>11.709295200000001</v>
      </c>
      <c r="G519" s="8">
        <f>13.2367 * CHOOSE( CONTROL!$C$12, $D$11, 100%, $F$11)</f>
        <v>10.642306800000002</v>
      </c>
      <c r="H519" s="4">
        <f>14.1201 * CHOOSE(CONTROL!$C$12, $D$11, 100%, $F$11)</f>
        <v>11.352560400000002</v>
      </c>
      <c r="I519" s="8">
        <f>13.0964 * CHOOSE(CONTROL!$C$12, $D$11, 100%, $F$11)</f>
        <v>10.5295056</v>
      </c>
      <c r="J519" s="4">
        <f>13.0001 * CHOOSE(CONTROL!$C$12, $D$11, 100%, $F$11)</f>
        <v>10.4520804</v>
      </c>
      <c r="K519" s="4"/>
      <c r="L519" s="9">
        <v>26.515499999999999</v>
      </c>
      <c r="M519" s="9">
        <v>11.6745</v>
      </c>
      <c r="N519" s="9">
        <v>4.7850000000000001</v>
      </c>
      <c r="O519" s="9">
        <v>0.36249999999999999</v>
      </c>
      <c r="P519" s="9">
        <v>1.2522</v>
      </c>
      <c r="Q519" s="9">
        <v>19.053000000000001</v>
      </c>
      <c r="R519" s="9"/>
      <c r="S519" s="11"/>
    </row>
    <row r="520" spans="1:19" ht="15.75">
      <c r="A520" s="13">
        <v>57710</v>
      </c>
      <c r="B520" s="8">
        <f>13.5475 * CHOOSE(CONTROL!$C$12, $D$11, 100%, $F$11)</f>
        <v>10.892189999999999</v>
      </c>
      <c r="C520" s="8">
        <f>13.558 * CHOOSE(CONTROL!$C$12, $D$11, 100%, $F$11)</f>
        <v>10.900632</v>
      </c>
      <c r="D520" s="8">
        <f>13.5401 * CHOOSE( CONTROL!$C$12, $D$11, 100%, $F$11)</f>
        <v>10.886240400000002</v>
      </c>
      <c r="E520" s="12">
        <f>13.5455 * CHOOSE( CONTROL!$C$12, $D$11, 100%, $F$11)</f>
        <v>10.890582</v>
      </c>
      <c r="F520" s="4">
        <f>14.5391 * CHOOSE(CONTROL!$C$12, $D$11, 100%, $F$11)</f>
        <v>11.6894364</v>
      </c>
      <c r="G520" s="8">
        <f>13.2142 * CHOOSE( CONTROL!$C$12, $D$11, 100%, $F$11)</f>
        <v>10.624216800000001</v>
      </c>
      <c r="H520" s="4">
        <f>14.0961 * CHOOSE(CONTROL!$C$12, $D$11, 100%, $F$11)</f>
        <v>11.333264400000001</v>
      </c>
      <c r="I520" s="8">
        <f>13.0796 * CHOOSE(CONTROL!$C$12, $D$11, 100%, $F$11)</f>
        <v>10.515998400000001</v>
      </c>
      <c r="J520" s="4">
        <f>12.9765 * CHOOSE(CONTROL!$C$12, $D$11, 100%, $F$11)</f>
        <v>10.433106</v>
      </c>
      <c r="K520" s="4"/>
      <c r="L520" s="9">
        <v>27.3993</v>
      </c>
      <c r="M520" s="9">
        <v>12.063700000000001</v>
      </c>
      <c r="N520" s="9">
        <v>4.9444999999999997</v>
      </c>
      <c r="O520" s="9">
        <v>0.37459999999999999</v>
      </c>
      <c r="P520" s="9">
        <v>1.2939000000000001</v>
      </c>
      <c r="Q520" s="9">
        <v>19.688099999999999</v>
      </c>
      <c r="R520" s="9"/>
      <c r="S520" s="11"/>
    </row>
    <row r="521" spans="1:19" ht="15.75">
      <c r="A521" s="13">
        <v>57741</v>
      </c>
      <c r="B521" s="8">
        <f>14.0651 * CHOOSE(CONTROL!$C$12, $D$11, 100%, $F$11)</f>
        <v>11.308340400000001</v>
      </c>
      <c r="C521" s="8">
        <f>14.0755 * CHOOSE(CONTROL!$C$12, $D$11, 100%, $F$11)</f>
        <v>11.316702000000001</v>
      </c>
      <c r="D521" s="8">
        <f>14.0732 * CHOOSE( CONTROL!$C$12, $D$11, 100%, $F$11)</f>
        <v>11.314852800000001</v>
      </c>
      <c r="E521" s="12">
        <f>14.0729 * CHOOSE( CONTROL!$C$12, $D$11, 100%, $F$11)</f>
        <v>11.314611600000001</v>
      </c>
      <c r="F521" s="4">
        <f>15.088 * CHOOSE(CONTROL!$C$12, $D$11, 100%, $F$11)</f>
        <v>12.130751999999999</v>
      </c>
      <c r="G521" s="8">
        <f>13.7378 * CHOOSE( CONTROL!$C$12, $D$11, 100%, $F$11)</f>
        <v>11.045191200000001</v>
      </c>
      <c r="H521" s="4">
        <f>14.6311 * CHOOSE(CONTROL!$C$12, $D$11, 100%, $F$11)</f>
        <v>11.763404400000001</v>
      </c>
      <c r="I521" s="8">
        <f>13.5878 * CHOOSE(CONTROL!$C$12, $D$11, 100%, $F$11)</f>
        <v>10.9245912</v>
      </c>
      <c r="J521" s="4">
        <f>13.4724 * CHOOSE(CONTROL!$C$12, $D$11, 100%, $F$11)</f>
        <v>10.831809600000001</v>
      </c>
      <c r="K521" s="4"/>
      <c r="L521" s="9">
        <v>27.3993</v>
      </c>
      <c r="M521" s="9">
        <v>12.063700000000001</v>
      </c>
      <c r="N521" s="9">
        <v>4.9444999999999997</v>
      </c>
      <c r="O521" s="9">
        <v>0.37459999999999999</v>
      </c>
      <c r="P521" s="9">
        <v>1.2939000000000001</v>
      </c>
      <c r="Q521" s="9">
        <v>19.688099999999999</v>
      </c>
      <c r="R521" s="9"/>
      <c r="S521" s="11"/>
    </row>
    <row r="522" spans="1:19" ht="15.75">
      <c r="A522" s="13">
        <v>57769</v>
      </c>
      <c r="B522" s="8">
        <f>13.1561 * CHOOSE(CONTROL!$C$12, $D$11, 100%, $F$11)</f>
        <v>10.5775044</v>
      </c>
      <c r="C522" s="8">
        <f>13.1666 * CHOOSE(CONTROL!$C$12, $D$11, 100%, $F$11)</f>
        <v>10.585946400000001</v>
      </c>
      <c r="D522" s="8">
        <f>13.1665 * CHOOSE( CONTROL!$C$12, $D$11, 100%, $F$11)</f>
        <v>10.585865999999999</v>
      </c>
      <c r="E522" s="12">
        <f>13.1654 * CHOOSE( CONTROL!$C$12, $D$11, 100%, $F$11)</f>
        <v>10.584981600000001</v>
      </c>
      <c r="F522" s="4">
        <f>14.1712 * CHOOSE(CONTROL!$C$12, $D$11, 100%, $F$11)</f>
        <v>11.393644800000001</v>
      </c>
      <c r="G522" s="8">
        <f>12.8516 * CHOOSE( CONTROL!$C$12, $D$11, 100%, $F$11)</f>
        <v>10.3326864</v>
      </c>
      <c r="H522" s="4">
        <f>13.7375 * CHOOSE(CONTROL!$C$12, $D$11, 100%, $F$11)</f>
        <v>11.044950000000002</v>
      </c>
      <c r="I522" s="8">
        <f>12.7054 * CHOOSE(CONTROL!$C$12, $D$11, 100%, $F$11)</f>
        <v>10.215141599999999</v>
      </c>
      <c r="J522" s="4">
        <f>12.6015 * CHOOSE(CONTROL!$C$12, $D$11, 100%, $F$11)</f>
        <v>10.131606</v>
      </c>
      <c r="K522" s="4"/>
      <c r="L522" s="9">
        <v>24.747800000000002</v>
      </c>
      <c r="M522" s="9">
        <v>10.8962</v>
      </c>
      <c r="N522" s="9">
        <v>4.4660000000000002</v>
      </c>
      <c r="O522" s="9">
        <v>0.33829999999999999</v>
      </c>
      <c r="P522" s="9">
        <v>1.1687000000000001</v>
      </c>
      <c r="Q522" s="9">
        <v>17.782800000000002</v>
      </c>
      <c r="R522" s="9"/>
      <c r="S522" s="11"/>
    </row>
    <row r="523" spans="1:19" ht="15.75">
      <c r="A523" s="13">
        <v>57800</v>
      </c>
      <c r="B523" s="8">
        <f>12.8762 * CHOOSE(CONTROL!$C$12, $D$11, 100%, $F$11)</f>
        <v>10.352464800000002</v>
      </c>
      <c r="C523" s="8">
        <f>12.8866 * CHOOSE(CONTROL!$C$12, $D$11, 100%, $F$11)</f>
        <v>10.360826400000001</v>
      </c>
      <c r="D523" s="8">
        <f>12.8665 * CHOOSE( CONTROL!$C$12, $D$11, 100%, $F$11)</f>
        <v>10.344666</v>
      </c>
      <c r="E523" s="12">
        <f>12.8727 * CHOOSE( CONTROL!$C$12, $D$11, 100%, $F$11)</f>
        <v>10.349650800000001</v>
      </c>
      <c r="F523" s="4">
        <f>13.8751 * CHOOSE(CONTROL!$C$12, $D$11, 100%, $F$11)</f>
        <v>11.1555804</v>
      </c>
      <c r="G523" s="8">
        <f>12.5582 * CHOOSE( CONTROL!$C$12, $D$11, 100%, $F$11)</f>
        <v>10.096792799999999</v>
      </c>
      <c r="H523" s="4">
        <f>13.4488 * CHOOSE(CONTROL!$C$12, $D$11, 100%, $F$11)</f>
        <v>10.8128352</v>
      </c>
      <c r="I523" s="8">
        <f>12.3975 * CHOOSE(CONTROL!$C$12, $D$11, 100%, $F$11)</f>
        <v>9.9675900000000013</v>
      </c>
      <c r="J523" s="4">
        <f>12.3332 * CHOOSE(CONTROL!$C$12, $D$11, 100%, $F$11)</f>
        <v>9.9158928</v>
      </c>
      <c r="K523" s="4"/>
      <c r="L523" s="9">
        <v>27.3993</v>
      </c>
      <c r="M523" s="9">
        <v>12.063700000000001</v>
      </c>
      <c r="N523" s="9">
        <v>4.9444999999999997</v>
      </c>
      <c r="O523" s="9">
        <v>0.37459999999999999</v>
      </c>
      <c r="P523" s="9">
        <v>1.2939000000000001</v>
      </c>
      <c r="Q523" s="9">
        <v>19.688099999999999</v>
      </c>
      <c r="R523" s="9"/>
      <c r="S523" s="11"/>
    </row>
    <row r="524" spans="1:19" ht="15.75">
      <c r="A524" s="13">
        <v>57830</v>
      </c>
      <c r="B524" s="8">
        <f>13.0718 * CHOOSE(CONTROL!$C$12, $D$11, 100%, $F$11)</f>
        <v>10.5097272</v>
      </c>
      <c r="C524" s="8">
        <f>13.0822 * CHOOSE(CONTROL!$C$12, $D$11, 100%, $F$11)</f>
        <v>10.518088800000001</v>
      </c>
      <c r="D524" s="8">
        <f>13.0854 * CHOOSE( CONTROL!$C$12, $D$11, 100%, $F$11)</f>
        <v>10.5206616</v>
      </c>
      <c r="E524" s="12">
        <f>13.0832 * CHOOSE( CONTROL!$C$12, $D$11, 100%, $F$11)</f>
        <v>10.5188928</v>
      </c>
      <c r="F524" s="4">
        <f>14.0791 * CHOOSE(CONTROL!$C$12, $D$11, 100%, $F$11)</f>
        <v>11.319596400000002</v>
      </c>
      <c r="G524" s="8">
        <f>12.7368 * CHOOSE( CONTROL!$C$12, $D$11, 100%, $F$11)</f>
        <v>10.240387200000001</v>
      </c>
      <c r="H524" s="4">
        <f>13.6476 * CHOOSE(CONTROL!$C$12, $D$11, 100%, $F$11)</f>
        <v>10.972670400000002</v>
      </c>
      <c r="I524" s="8">
        <f>12.5752 * CHOOSE(CONTROL!$C$12, $D$11, 100%, $F$11)</f>
        <v>10.1104608</v>
      </c>
      <c r="J524" s="4">
        <f>12.5207 * CHOOSE(CONTROL!$C$12, $D$11, 100%, $F$11)</f>
        <v>10.0666428</v>
      </c>
      <c r="K524" s="4"/>
      <c r="L524" s="9">
        <v>27.988800000000001</v>
      </c>
      <c r="M524" s="9">
        <v>11.6745</v>
      </c>
      <c r="N524" s="9">
        <v>4.7850000000000001</v>
      </c>
      <c r="O524" s="9">
        <v>0.36249999999999999</v>
      </c>
      <c r="P524" s="9">
        <v>1.1798</v>
      </c>
      <c r="Q524" s="9">
        <v>19.053000000000001</v>
      </c>
      <c r="R524" s="9"/>
      <c r="S524" s="11"/>
    </row>
    <row r="525" spans="1:19" ht="15.75">
      <c r="A525" s="13">
        <v>57861</v>
      </c>
      <c r="B525" s="8">
        <f>CHOOSE( CONTROL!$C$29, 13.4247, 13.42) * CHOOSE(CONTROL!$C$12, $D$11, 100%, $F$11)</f>
        <v>10.7934588</v>
      </c>
      <c r="C525" s="8">
        <f>CHOOSE( CONTROL!$C$29, 13.4351, 13.4304) * CHOOSE(CONTROL!$C$12, $D$11, 100%, $F$11)</f>
        <v>10.8018204</v>
      </c>
      <c r="D525" s="8">
        <f>CHOOSE( CONTROL!$C$29, 13.4131, 13.4084) * CHOOSE( CONTROL!$C$12, $D$11, 100%, $F$11)</f>
        <v>10.784132400000001</v>
      </c>
      <c r="E525" s="12">
        <f>CHOOSE( CONTROL!$C$29, 13.4195, 13.4148) * CHOOSE( CONTROL!$C$12, $D$11, 100%, $F$11)</f>
        <v>10.789277999999999</v>
      </c>
      <c r="F525" s="4">
        <f>CHOOSE( CONTROL!$C$29, 14.3996, 14.3949) * CHOOSE(CONTROL!$C$12, $D$11, 100%, $F$11)</f>
        <v>11.577278400000001</v>
      </c>
      <c r="G525" s="8">
        <f>CHOOSE( CONTROL!$C$29, 13.0621, 13.0575) * CHOOSE( CONTROL!$C$12, $D$11, 100%, $F$11)</f>
        <v>10.501928400000001</v>
      </c>
      <c r="H525" s="4">
        <f>CHOOSE( CONTROL!$C$29, 13.9601, 13.9555) * CHOOSE(CONTROL!$C$12, $D$11, 100%, $F$11)</f>
        <v>11.223920400000001</v>
      </c>
      <c r="I525" s="8">
        <f>CHOOSE( CONTROL!$C$29, 12.8919, 12.8874) * CHOOSE(CONTROL!$C$12, $D$11, 100%, $F$11)</f>
        <v>10.365087600000001</v>
      </c>
      <c r="J525" s="4">
        <f>CHOOSE( CONTROL!$C$29, 12.8588, 12.8543) * CHOOSE(CONTROL!$C$12, $D$11, 100%, $F$11)</f>
        <v>10.338475200000001</v>
      </c>
      <c r="K525" s="4"/>
      <c r="L525" s="9">
        <v>29.520499999999998</v>
      </c>
      <c r="M525" s="9">
        <v>12.063700000000001</v>
      </c>
      <c r="N525" s="9">
        <v>4.9444999999999997</v>
      </c>
      <c r="O525" s="9">
        <v>0.37459999999999999</v>
      </c>
      <c r="P525" s="9">
        <v>1.2192000000000001</v>
      </c>
      <c r="Q525" s="9">
        <v>19.688099999999999</v>
      </c>
      <c r="R525" s="9"/>
      <c r="S525" s="11"/>
    </row>
    <row r="526" spans="1:19" ht="15.75">
      <c r="A526" s="13">
        <v>57891</v>
      </c>
      <c r="B526" s="8">
        <f>CHOOSE( CONTROL!$C$29, 13.209, 13.2043) * CHOOSE(CONTROL!$C$12, $D$11, 100%, $F$11)</f>
        <v>10.620036000000001</v>
      </c>
      <c r="C526" s="8">
        <f>CHOOSE( CONTROL!$C$29, 13.2194, 13.2147) * CHOOSE(CONTROL!$C$12, $D$11, 100%, $F$11)</f>
        <v>10.628397600000001</v>
      </c>
      <c r="D526" s="8">
        <f>CHOOSE( CONTROL!$C$29, 13.1918, 13.1871) * CHOOSE( CONTROL!$C$12, $D$11, 100%, $F$11)</f>
        <v>10.606207200000002</v>
      </c>
      <c r="E526" s="12">
        <f>CHOOSE( CONTROL!$C$29, 13.2002, 13.1955) * CHOOSE( CONTROL!$C$12, $D$11, 100%, $F$11)</f>
        <v>10.612960800000002</v>
      </c>
      <c r="F526" s="4">
        <f>CHOOSE( CONTROL!$C$29, 14.1735, 14.1688) * CHOOSE(CONTROL!$C$12, $D$11, 100%, $F$11)</f>
        <v>11.395494000000001</v>
      </c>
      <c r="G526" s="8">
        <f>CHOOSE( CONTROL!$C$29, 12.8506, 12.846) * CHOOSE( CONTROL!$C$12, $D$11, 100%, $F$11)</f>
        <v>10.331882400000001</v>
      </c>
      <c r="H526" s="4">
        <f>CHOOSE( CONTROL!$C$29, 13.7396, 13.7351) * CHOOSE(CONTROL!$C$12, $D$11, 100%, $F$11)</f>
        <v>11.046638400000001</v>
      </c>
      <c r="I526" s="8">
        <f>CHOOSE( CONTROL!$C$29, 12.6873, 12.6828) * CHOOSE(CONTROL!$C$12, $D$11, 100%, $F$11)</f>
        <v>10.200589200000001</v>
      </c>
      <c r="J526" s="4">
        <f>CHOOSE( CONTROL!$C$29, 12.6521, 12.6476) * CHOOSE(CONTROL!$C$12, $D$11, 100%, $F$11)</f>
        <v>10.172288400000001</v>
      </c>
      <c r="K526" s="4"/>
      <c r="L526" s="9">
        <v>28.568200000000001</v>
      </c>
      <c r="M526" s="9">
        <v>11.6745</v>
      </c>
      <c r="N526" s="9">
        <v>4.7850000000000001</v>
      </c>
      <c r="O526" s="9">
        <v>0.36249999999999999</v>
      </c>
      <c r="P526" s="9">
        <v>1.1798</v>
      </c>
      <c r="Q526" s="9">
        <v>19.053000000000001</v>
      </c>
      <c r="R526" s="9"/>
      <c r="S526" s="11"/>
    </row>
    <row r="527" spans="1:19" ht="15.75">
      <c r="A527" s="13">
        <v>57922</v>
      </c>
      <c r="B527" s="8">
        <f>CHOOSE( CONTROL!$C$29, 13.777, 13.7723) * CHOOSE(CONTROL!$C$12, $D$11, 100%, $F$11)</f>
        <v>11.076708</v>
      </c>
      <c r="C527" s="8">
        <f>CHOOSE( CONTROL!$C$29, 13.7874, 13.7827) * CHOOSE(CONTROL!$C$12, $D$11, 100%, $F$11)</f>
        <v>11.085069600000001</v>
      </c>
      <c r="D527" s="8">
        <f>CHOOSE( CONTROL!$C$29, 13.779, 13.7743) * CHOOSE( CONTROL!$C$12, $D$11, 100%, $F$11)</f>
        <v>11.078316000000001</v>
      </c>
      <c r="E527" s="12">
        <f>CHOOSE( CONTROL!$C$29, 13.7805, 13.7758) * CHOOSE( CONTROL!$C$12, $D$11, 100%, $F$11)</f>
        <v>11.079522000000001</v>
      </c>
      <c r="F527" s="4">
        <f>CHOOSE( CONTROL!$C$29, 14.7686, 14.7639) * CHOOSE(CONTROL!$C$12, $D$11, 100%, $F$11)</f>
        <v>11.873954400000001</v>
      </c>
      <c r="G527" s="8">
        <f>CHOOSE( CONTROL!$C$29, 13.4169, 13.4123) * CHOOSE( CONTROL!$C$12, $D$11, 100%, $F$11)</f>
        <v>10.787187600000001</v>
      </c>
      <c r="H527" s="4">
        <f>CHOOSE( CONTROL!$C$29, 14.3197, 14.3152) * CHOOSE(CONTROL!$C$12, $D$11, 100%, $F$11)</f>
        <v>11.5130388</v>
      </c>
      <c r="I527" s="8">
        <f>CHOOSE( CONTROL!$C$29, 13.2545, 13.25) * CHOOSE(CONTROL!$C$12, $D$11, 100%, $F$11)</f>
        <v>10.656618</v>
      </c>
      <c r="J527" s="4">
        <f>CHOOSE( CONTROL!$C$29, 13.1963, 13.1918) * CHOOSE(CONTROL!$C$12, $D$11, 100%, $F$11)</f>
        <v>10.609825200000001</v>
      </c>
      <c r="K527" s="4"/>
      <c r="L527" s="9">
        <v>29.520499999999998</v>
      </c>
      <c r="M527" s="9">
        <v>12.063700000000001</v>
      </c>
      <c r="N527" s="9">
        <v>4.9444999999999997</v>
      </c>
      <c r="O527" s="9">
        <v>0.37459999999999999</v>
      </c>
      <c r="P527" s="9">
        <v>1.2192000000000001</v>
      </c>
      <c r="Q527" s="9">
        <v>19.688099999999999</v>
      </c>
      <c r="R527" s="9"/>
      <c r="S527" s="11"/>
    </row>
    <row r="528" spans="1:19" ht="15.75">
      <c r="A528" s="13">
        <v>57953</v>
      </c>
      <c r="B528" s="8">
        <f>CHOOSE( CONTROL!$C$29, 12.7142, 12.7095) * CHOOSE(CONTROL!$C$12, $D$11, 100%, $F$11)</f>
        <v>10.2222168</v>
      </c>
      <c r="C528" s="8">
        <f>CHOOSE( CONTROL!$C$29, 12.7247, 12.72) * CHOOSE(CONTROL!$C$12, $D$11, 100%, $F$11)</f>
        <v>10.2306588</v>
      </c>
      <c r="D528" s="8">
        <f>CHOOSE( CONTROL!$C$29, 12.7196, 12.7149) * CHOOSE( CONTROL!$C$12, $D$11, 100%, $F$11)</f>
        <v>10.2265584</v>
      </c>
      <c r="E528" s="12">
        <f>CHOOSE( CONTROL!$C$29, 12.7198, 12.7151) * CHOOSE( CONTROL!$C$12, $D$11, 100%, $F$11)</f>
        <v>10.2267192</v>
      </c>
      <c r="F528" s="4">
        <f>CHOOSE( CONTROL!$C$29, 13.7111, 13.7064) * CHOOSE(CONTROL!$C$12, $D$11, 100%, $F$11)</f>
        <v>11.023724400000001</v>
      </c>
      <c r="G528" s="8">
        <f>CHOOSE( CONTROL!$C$29, 12.3831, 12.3785) * CHOOSE( CONTROL!$C$12, $D$11, 100%, $F$11)</f>
        <v>9.9560124000000005</v>
      </c>
      <c r="H528" s="4">
        <f>CHOOSE( CONTROL!$C$29, 13.2889, 13.2843) * CHOOSE(CONTROL!$C$12, $D$11, 100%, $F$11)</f>
        <v>10.684275600000001</v>
      </c>
      <c r="I528" s="8">
        <f>CHOOSE( CONTROL!$C$29, 12.2403, 12.2358) * CHOOSE(CONTROL!$C$12, $D$11, 100%, $F$11)</f>
        <v>9.8412012000000004</v>
      </c>
      <c r="J528" s="4">
        <f>CHOOSE( CONTROL!$C$29, 12.178, 12.1735) * CHOOSE(CONTROL!$C$12, $D$11, 100%, $F$11)</f>
        <v>9.7911120000000018</v>
      </c>
      <c r="K528" s="4"/>
      <c r="L528" s="9">
        <v>29.520499999999998</v>
      </c>
      <c r="M528" s="9">
        <v>12.063700000000001</v>
      </c>
      <c r="N528" s="9">
        <v>4.9444999999999997</v>
      </c>
      <c r="O528" s="9">
        <v>0.37459999999999999</v>
      </c>
      <c r="P528" s="9">
        <v>1.2192000000000001</v>
      </c>
      <c r="Q528" s="9">
        <v>19.688099999999999</v>
      </c>
      <c r="R528" s="9"/>
      <c r="S528" s="11"/>
    </row>
    <row r="529" spans="1:19" ht="15.75">
      <c r="A529" s="13">
        <v>57983</v>
      </c>
      <c r="B529" s="8">
        <f>CHOOSE( CONTROL!$C$29, 12.4481, 12.4434) * CHOOSE(CONTROL!$C$12, $D$11, 100%, $F$11)</f>
        <v>10.008272400000001</v>
      </c>
      <c r="C529" s="8">
        <f>CHOOSE( CONTROL!$C$29, 12.4586, 12.4539) * CHOOSE(CONTROL!$C$12, $D$11, 100%, $F$11)</f>
        <v>10.016714400000001</v>
      </c>
      <c r="D529" s="8">
        <f>CHOOSE( CONTROL!$C$29, 12.4492, 12.4445) * CHOOSE( CONTROL!$C$12, $D$11, 100%, $F$11)</f>
        <v>10.0091568</v>
      </c>
      <c r="E529" s="12">
        <f>CHOOSE( CONTROL!$C$29, 12.451, 12.4463) * CHOOSE( CONTROL!$C$12, $D$11, 100%, $F$11)</f>
        <v>10.010604000000001</v>
      </c>
      <c r="F529" s="4">
        <f>CHOOSE( CONTROL!$C$29, 13.4371, 13.4324) * CHOOSE(CONTROL!$C$12, $D$11, 100%, $F$11)</f>
        <v>10.8034284</v>
      </c>
      <c r="G529" s="8">
        <f>CHOOSE( CONTROL!$C$29, 12.1224, 12.1178) * CHOOSE( CONTROL!$C$12, $D$11, 100%, $F$11)</f>
        <v>9.7464096000000016</v>
      </c>
      <c r="H529" s="4">
        <f>CHOOSE( CONTROL!$C$29, 13.0219, 13.0173) * CHOOSE(CONTROL!$C$12, $D$11, 100%, $F$11)</f>
        <v>10.469607600000002</v>
      </c>
      <c r="I529" s="8">
        <f>CHOOSE( CONTROL!$C$29, 11.9865, 11.982) * CHOOSE(CONTROL!$C$12, $D$11, 100%, $F$11)</f>
        <v>9.6371459999999995</v>
      </c>
      <c r="J529" s="4">
        <f>CHOOSE( CONTROL!$C$29, 11.923, 11.9185) * CHOOSE(CONTROL!$C$12, $D$11, 100%, $F$11)</f>
        <v>9.5860920000000007</v>
      </c>
      <c r="K529" s="4"/>
      <c r="L529" s="9">
        <v>28.568200000000001</v>
      </c>
      <c r="M529" s="9">
        <v>11.6745</v>
      </c>
      <c r="N529" s="9">
        <v>4.7850000000000001</v>
      </c>
      <c r="O529" s="9">
        <v>0.36249999999999999</v>
      </c>
      <c r="P529" s="9">
        <v>1.1798</v>
      </c>
      <c r="Q529" s="9">
        <v>19.053000000000001</v>
      </c>
      <c r="R529" s="9"/>
      <c r="S529" s="11"/>
    </row>
    <row r="530" spans="1:19" ht="15.75">
      <c r="A530" s="13">
        <v>58014</v>
      </c>
      <c r="B530" s="8">
        <f>12.996 * CHOOSE(CONTROL!$C$12, $D$11, 100%, $F$11)</f>
        <v>10.448784000000002</v>
      </c>
      <c r="C530" s="8">
        <f>13.0064 * CHOOSE(CONTROL!$C$12, $D$11, 100%, $F$11)</f>
        <v>10.4571456</v>
      </c>
      <c r="D530" s="8">
        <f>12.998 * CHOOSE( CONTROL!$C$12, $D$11, 100%, $F$11)</f>
        <v>10.450392000000001</v>
      </c>
      <c r="E530" s="12">
        <f>12.9997 * CHOOSE( CONTROL!$C$12, $D$11, 100%, $F$11)</f>
        <v>10.4517588</v>
      </c>
      <c r="F530" s="4">
        <f>13.985 * CHOOSE(CONTROL!$C$12, $D$11, 100%, $F$11)</f>
        <v>11.24394</v>
      </c>
      <c r="G530" s="8">
        <f>12.656 * CHOOSE( CONTROL!$C$12, $D$11, 100%, $F$11)</f>
        <v>10.175424000000001</v>
      </c>
      <c r="H530" s="4">
        <f>13.5559 * CHOOSE(CONTROL!$C$12, $D$11, 100%, $F$11)</f>
        <v>10.898943600000001</v>
      </c>
      <c r="I530" s="8">
        <f>12.5138 * CHOOSE(CONTROL!$C$12, $D$11, 100%, $F$11)</f>
        <v>10.0610952</v>
      </c>
      <c r="J530" s="4">
        <f>12.448 * CHOOSE(CONTROL!$C$12, $D$11, 100%, $F$11)</f>
        <v>10.008192000000001</v>
      </c>
      <c r="K530" s="4"/>
      <c r="L530" s="9">
        <v>28.921800000000001</v>
      </c>
      <c r="M530" s="9">
        <v>12.063700000000001</v>
      </c>
      <c r="N530" s="9">
        <v>4.9444999999999997</v>
      </c>
      <c r="O530" s="9">
        <v>0.37459999999999999</v>
      </c>
      <c r="P530" s="9">
        <v>1.2192000000000001</v>
      </c>
      <c r="Q530" s="9">
        <v>19.688099999999999</v>
      </c>
      <c r="R530" s="9"/>
      <c r="S530" s="11"/>
    </row>
    <row r="531" spans="1:19" ht="15.75">
      <c r="A531" s="13">
        <v>58044</v>
      </c>
      <c r="B531" s="8">
        <f>14.0159 * CHOOSE(CONTROL!$C$12, $D$11, 100%, $F$11)</f>
        <v>11.268783600000001</v>
      </c>
      <c r="C531" s="8">
        <f>14.0263 * CHOOSE(CONTROL!$C$12, $D$11, 100%, $F$11)</f>
        <v>11.277145200000001</v>
      </c>
      <c r="D531" s="8">
        <f>14.0066 * CHOOSE( CONTROL!$C$12, $D$11, 100%, $F$11)</f>
        <v>11.2613064</v>
      </c>
      <c r="E531" s="12">
        <f>14.0127 * CHOOSE( CONTROL!$C$12, $D$11, 100%, $F$11)</f>
        <v>11.266210800000001</v>
      </c>
      <c r="F531" s="4">
        <f>15.0075 * CHOOSE(CONTROL!$C$12, $D$11, 100%, $F$11)</f>
        <v>12.066030000000001</v>
      </c>
      <c r="G531" s="8">
        <f>13.6692 * CHOOSE( CONTROL!$C$12, $D$11, 100%, $F$11)</f>
        <v>10.9900368</v>
      </c>
      <c r="H531" s="4">
        <f>14.5526 * CHOOSE(CONTROL!$C$12, $D$11, 100%, $F$11)</f>
        <v>11.7002904</v>
      </c>
      <c r="I531" s="8">
        <f>13.5218 * CHOOSE(CONTROL!$C$12, $D$11, 100%, $F$11)</f>
        <v>10.871527200000001</v>
      </c>
      <c r="J531" s="4">
        <f>13.4253 * CHOOSE(CONTROL!$C$12, $D$11, 100%, $F$11)</f>
        <v>10.793941200000001</v>
      </c>
      <c r="K531" s="4"/>
      <c r="L531" s="9">
        <v>26.515499999999999</v>
      </c>
      <c r="M531" s="9">
        <v>11.6745</v>
      </c>
      <c r="N531" s="9">
        <v>4.7850000000000001</v>
      </c>
      <c r="O531" s="9">
        <v>0.36249999999999999</v>
      </c>
      <c r="P531" s="9">
        <v>1.2522</v>
      </c>
      <c r="Q531" s="9">
        <v>19.053000000000001</v>
      </c>
      <c r="R531" s="9"/>
      <c r="S531" s="11"/>
    </row>
    <row r="532" spans="1:19" ht="15.75">
      <c r="A532" s="13">
        <v>58075</v>
      </c>
      <c r="B532" s="8">
        <f>13.9904 * CHOOSE(CONTROL!$C$12, $D$11, 100%, $F$11)</f>
        <v>11.2482816</v>
      </c>
      <c r="C532" s="8">
        <f>14.0008 * CHOOSE(CONTROL!$C$12, $D$11, 100%, $F$11)</f>
        <v>11.256643200000001</v>
      </c>
      <c r="D532" s="8">
        <f>13.983 * CHOOSE( CONTROL!$C$12, $D$11, 100%, $F$11)</f>
        <v>11.242332000000001</v>
      </c>
      <c r="E532" s="12">
        <f>13.9884 * CHOOSE( CONTROL!$C$12, $D$11, 100%, $F$11)</f>
        <v>11.246673600000001</v>
      </c>
      <c r="F532" s="4">
        <f>14.982 * CHOOSE(CONTROL!$C$12, $D$11, 100%, $F$11)</f>
        <v>12.045528000000001</v>
      </c>
      <c r="G532" s="8">
        <f>13.6459 * CHOOSE( CONTROL!$C$12, $D$11, 100%, $F$11)</f>
        <v>10.971303600000001</v>
      </c>
      <c r="H532" s="4">
        <f>14.5278 * CHOOSE(CONTROL!$C$12, $D$11, 100%, $F$11)</f>
        <v>11.6803512</v>
      </c>
      <c r="I532" s="8">
        <f>13.5042 * CHOOSE(CONTROL!$C$12, $D$11, 100%, $F$11)</f>
        <v>10.857376800000001</v>
      </c>
      <c r="J532" s="4">
        <f>13.4009 * CHOOSE(CONTROL!$C$12, $D$11, 100%, $F$11)</f>
        <v>10.774323600000001</v>
      </c>
      <c r="K532" s="4"/>
      <c r="L532" s="9">
        <v>27.3993</v>
      </c>
      <c r="M532" s="9">
        <v>12.063700000000001</v>
      </c>
      <c r="N532" s="9">
        <v>4.9444999999999997</v>
      </c>
      <c r="O532" s="9">
        <v>0.37459999999999999</v>
      </c>
      <c r="P532" s="9">
        <v>1.2939000000000001</v>
      </c>
      <c r="Q532" s="9">
        <v>19.688099999999999</v>
      </c>
      <c r="R532" s="9"/>
      <c r="S532" s="11"/>
    </row>
    <row r="533" spans="1:19" ht="15.75">
      <c r="A533" s="13">
        <v>58106</v>
      </c>
      <c r="B533" s="8">
        <f>14.5249 * CHOOSE(CONTROL!$C$12, $D$11, 100%, $F$11)</f>
        <v>11.678019600000001</v>
      </c>
      <c r="C533" s="8">
        <f>14.5354 * CHOOSE(CONTROL!$C$12, $D$11, 100%, $F$11)</f>
        <v>11.686461599999999</v>
      </c>
      <c r="D533" s="8">
        <f>14.533 * CHOOSE( CONTROL!$C$12, $D$11, 100%, $F$11)</f>
        <v>11.684532000000001</v>
      </c>
      <c r="E533" s="12">
        <f>14.5328 * CHOOSE( CONTROL!$C$12, $D$11, 100%, $F$11)</f>
        <v>11.684371200000001</v>
      </c>
      <c r="F533" s="4">
        <f>15.5478 * CHOOSE(CONTROL!$C$12, $D$11, 100%, $F$11)</f>
        <v>12.500431200000001</v>
      </c>
      <c r="G533" s="8">
        <f>14.186 * CHOOSE( CONTROL!$C$12, $D$11, 100%, $F$11)</f>
        <v>11.405544000000001</v>
      </c>
      <c r="H533" s="4">
        <f>15.0793 * CHOOSE(CONTROL!$C$12, $D$11, 100%, $F$11)</f>
        <v>12.1237572</v>
      </c>
      <c r="I533" s="8">
        <f>14.0286 * CHOOSE(CONTROL!$C$12, $D$11, 100%, $F$11)</f>
        <v>11.278994400000002</v>
      </c>
      <c r="J533" s="4">
        <f>13.913 * CHOOSE(CONTROL!$C$12, $D$11, 100%, $F$11)</f>
        <v>11.186052</v>
      </c>
      <c r="K533" s="4"/>
      <c r="L533" s="9">
        <v>27.3993</v>
      </c>
      <c r="M533" s="9">
        <v>12.063700000000001</v>
      </c>
      <c r="N533" s="9">
        <v>4.9444999999999997</v>
      </c>
      <c r="O533" s="9">
        <v>0.37459999999999999</v>
      </c>
      <c r="P533" s="9">
        <v>1.2939000000000001</v>
      </c>
      <c r="Q533" s="9">
        <v>19.688099999999999</v>
      </c>
      <c r="R533" s="9"/>
      <c r="S533" s="11"/>
    </row>
    <row r="534" spans="1:19" ht="15.75">
      <c r="A534" s="13">
        <v>58134</v>
      </c>
      <c r="B534" s="8">
        <f>13.5862 * CHOOSE(CONTROL!$C$12, $D$11, 100%, $F$11)</f>
        <v>10.9233048</v>
      </c>
      <c r="C534" s="8">
        <f>13.5967 * CHOOSE(CONTROL!$C$12, $D$11, 100%, $F$11)</f>
        <v>10.931746800000001</v>
      </c>
      <c r="D534" s="8">
        <f>13.5966 * CHOOSE( CONTROL!$C$12, $D$11, 100%, $F$11)</f>
        <v>10.931666400000001</v>
      </c>
      <c r="E534" s="12">
        <f>13.5955 * CHOOSE( CONTROL!$C$12, $D$11, 100%, $F$11)</f>
        <v>10.930782000000001</v>
      </c>
      <c r="F534" s="4">
        <f>14.6013 * CHOOSE(CONTROL!$C$12, $D$11, 100%, $F$11)</f>
        <v>11.7394452</v>
      </c>
      <c r="G534" s="8">
        <f>13.2708 * CHOOSE( CONTROL!$C$12, $D$11, 100%, $F$11)</f>
        <v>10.6697232</v>
      </c>
      <c r="H534" s="4">
        <f>14.1567 * CHOOSE(CONTROL!$C$12, $D$11, 100%, $F$11)</f>
        <v>11.381986800000002</v>
      </c>
      <c r="I534" s="8">
        <f>13.1177 * CHOOSE(CONTROL!$C$12, $D$11, 100%, $F$11)</f>
        <v>10.546630800000001</v>
      </c>
      <c r="J534" s="4">
        <f>13.0136 * CHOOSE(CONTROL!$C$12, $D$11, 100%, $F$11)</f>
        <v>10.4629344</v>
      </c>
      <c r="K534" s="4"/>
      <c r="L534" s="9">
        <v>24.747800000000002</v>
      </c>
      <c r="M534" s="9">
        <v>10.8962</v>
      </c>
      <c r="N534" s="9">
        <v>4.4660000000000002</v>
      </c>
      <c r="O534" s="9">
        <v>0.33829999999999999</v>
      </c>
      <c r="P534" s="9">
        <v>1.1687000000000001</v>
      </c>
      <c r="Q534" s="9">
        <v>17.782800000000002</v>
      </c>
      <c r="R534" s="9"/>
      <c r="S534" s="11"/>
    </row>
    <row r="535" spans="1:19" ht="15.75">
      <c r="A535" s="13">
        <v>58165</v>
      </c>
      <c r="B535" s="8">
        <f>13.2971 * CHOOSE(CONTROL!$C$12, $D$11, 100%, $F$11)</f>
        <v>10.690868400000001</v>
      </c>
      <c r="C535" s="8">
        <f>13.3076 * CHOOSE(CONTROL!$C$12, $D$11, 100%, $F$11)</f>
        <v>10.699310400000002</v>
      </c>
      <c r="D535" s="8">
        <f>13.2874 * CHOOSE( CONTROL!$C$12, $D$11, 100%, $F$11)</f>
        <v>10.683069600000001</v>
      </c>
      <c r="E535" s="12">
        <f>13.2937 * CHOOSE( CONTROL!$C$12, $D$11, 100%, $F$11)</f>
        <v>10.6881348</v>
      </c>
      <c r="F535" s="4">
        <f>14.296 * CHOOSE(CONTROL!$C$12, $D$11, 100%, $F$11)</f>
        <v>11.493983999999999</v>
      </c>
      <c r="G535" s="8">
        <f>12.9685 * CHOOSE( CONTROL!$C$12, $D$11, 100%, $F$11)</f>
        <v>10.426674</v>
      </c>
      <c r="H535" s="4">
        <f>13.8591 * CHOOSE(CONTROL!$C$12, $D$11, 100%, $F$11)</f>
        <v>11.142716400000001</v>
      </c>
      <c r="I535" s="8">
        <f>12.8011 * CHOOSE(CONTROL!$C$12, $D$11, 100%, $F$11)</f>
        <v>10.2920844</v>
      </c>
      <c r="J535" s="4">
        <f>12.7365 * CHOOSE(CONTROL!$C$12, $D$11, 100%, $F$11)</f>
        <v>10.240146000000001</v>
      </c>
      <c r="K535" s="4"/>
      <c r="L535" s="9">
        <v>27.3993</v>
      </c>
      <c r="M535" s="9">
        <v>12.063700000000001</v>
      </c>
      <c r="N535" s="9">
        <v>4.9444999999999997</v>
      </c>
      <c r="O535" s="9">
        <v>0.37459999999999999</v>
      </c>
      <c r="P535" s="9">
        <v>1.2939000000000001</v>
      </c>
      <c r="Q535" s="9">
        <v>19.688099999999999</v>
      </c>
      <c r="R535" s="9"/>
      <c r="S535" s="11"/>
    </row>
    <row r="536" spans="1:19" ht="15.75">
      <c r="A536" s="13">
        <v>58195</v>
      </c>
      <c r="B536" s="8">
        <f>13.4991 * CHOOSE(CONTROL!$C$12, $D$11, 100%, $F$11)</f>
        <v>10.8532764</v>
      </c>
      <c r="C536" s="8">
        <f>13.5096 * CHOOSE(CONTROL!$C$12, $D$11, 100%, $F$11)</f>
        <v>10.861718400000001</v>
      </c>
      <c r="D536" s="8">
        <f>13.5128 * CHOOSE( CONTROL!$C$12, $D$11, 100%, $F$11)</f>
        <v>10.8642912</v>
      </c>
      <c r="E536" s="12">
        <f>13.5105 * CHOOSE( CONTROL!$C$12, $D$11, 100%, $F$11)</f>
        <v>10.862442000000001</v>
      </c>
      <c r="F536" s="4">
        <f>14.5064 * CHOOSE(CONTROL!$C$12, $D$11, 100%, $F$11)</f>
        <v>11.6631456</v>
      </c>
      <c r="G536" s="8">
        <f>13.1533 * CHOOSE( CONTROL!$C$12, $D$11, 100%, $F$11)</f>
        <v>10.575253200000001</v>
      </c>
      <c r="H536" s="4">
        <f>14.0642 * CHOOSE(CONTROL!$C$12, $D$11, 100%, $F$11)</f>
        <v>11.3076168</v>
      </c>
      <c r="I536" s="8">
        <f>12.9848 * CHOOSE(CONTROL!$C$12, $D$11, 100%, $F$11)</f>
        <v>10.4397792</v>
      </c>
      <c r="J536" s="4">
        <f>12.9301 * CHOOSE(CONTROL!$C$12, $D$11, 100%, $F$11)</f>
        <v>10.395800400000001</v>
      </c>
      <c r="K536" s="4"/>
      <c r="L536" s="9">
        <v>27.988800000000001</v>
      </c>
      <c r="M536" s="9">
        <v>11.6745</v>
      </c>
      <c r="N536" s="9">
        <v>4.7850000000000001</v>
      </c>
      <c r="O536" s="9">
        <v>0.36249999999999999</v>
      </c>
      <c r="P536" s="9">
        <v>1.1798</v>
      </c>
      <c r="Q536" s="9">
        <v>19.053000000000001</v>
      </c>
      <c r="R536" s="9"/>
      <c r="S536" s="11"/>
    </row>
    <row r="537" spans="1:19" ht="15.75">
      <c r="A537" s="13">
        <v>58226</v>
      </c>
      <c r="B537" s="8">
        <f>CHOOSE( CONTROL!$C$29, 13.8634, 13.8587) * CHOOSE(CONTROL!$C$12, $D$11, 100%, $F$11)</f>
        <v>11.146173600000001</v>
      </c>
      <c r="C537" s="8">
        <f>CHOOSE( CONTROL!$C$29, 13.8738, 13.8691) * CHOOSE(CONTROL!$C$12, $D$11, 100%, $F$11)</f>
        <v>11.1545352</v>
      </c>
      <c r="D537" s="8">
        <f>CHOOSE( CONTROL!$C$29, 13.8518, 13.8471) * CHOOSE( CONTROL!$C$12, $D$11, 100%, $F$11)</f>
        <v>11.136847200000002</v>
      </c>
      <c r="E537" s="12">
        <f>CHOOSE( CONTROL!$C$29, 13.8582, 13.8535) * CHOOSE( CONTROL!$C$12, $D$11, 100%, $F$11)</f>
        <v>11.141992800000001</v>
      </c>
      <c r="F537" s="4">
        <f>CHOOSE( CONTROL!$C$29, 14.8383, 14.8336) * CHOOSE(CONTROL!$C$12, $D$11, 100%, $F$11)</f>
        <v>11.9299932</v>
      </c>
      <c r="G537" s="8">
        <f>CHOOSE( CONTROL!$C$29, 13.4897, 13.4851) * CHOOSE( CONTROL!$C$12, $D$11, 100%, $F$11)</f>
        <v>10.8457188</v>
      </c>
      <c r="H537" s="4">
        <f>CHOOSE( CONTROL!$C$29, 14.3877, 14.3831) * CHOOSE(CONTROL!$C$12, $D$11, 100%, $F$11)</f>
        <v>11.5677108</v>
      </c>
      <c r="I537" s="8">
        <f>CHOOSE( CONTROL!$C$29, 13.3125, 13.308) * CHOOSE(CONTROL!$C$12, $D$11, 100%, $F$11)</f>
        <v>10.703250000000001</v>
      </c>
      <c r="J537" s="4">
        <f>CHOOSE( CONTROL!$C$29, 13.2792, 13.2747) * CHOOSE(CONTROL!$C$12, $D$11, 100%, $F$11)</f>
        <v>10.6764768</v>
      </c>
      <c r="K537" s="4"/>
      <c r="L537" s="9">
        <v>29.520499999999998</v>
      </c>
      <c r="M537" s="9">
        <v>12.063700000000001</v>
      </c>
      <c r="N537" s="9">
        <v>4.9444999999999997</v>
      </c>
      <c r="O537" s="9">
        <v>0.37459999999999999</v>
      </c>
      <c r="P537" s="9">
        <v>1.2192000000000001</v>
      </c>
      <c r="Q537" s="9">
        <v>19.688099999999999</v>
      </c>
      <c r="R537" s="9"/>
      <c r="S537" s="11"/>
    </row>
    <row r="538" spans="1:19" ht="15.75">
      <c r="A538" s="13">
        <v>58256</v>
      </c>
      <c r="B538" s="8">
        <f>CHOOSE( CONTROL!$C$29, 13.6407, 13.636) * CHOOSE(CONTROL!$C$12, $D$11, 100%, $F$11)</f>
        <v>10.967122800000002</v>
      </c>
      <c r="C538" s="8">
        <f>CHOOSE( CONTROL!$C$29, 13.6511, 13.6464) * CHOOSE(CONTROL!$C$12, $D$11, 100%, $F$11)</f>
        <v>10.975484400000001</v>
      </c>
      <c r="D538" s="8">
        <f>CHOOSE( CONTROL!$C$29, 13.6235, 13.6188) * CHOOSE( CONTROL!$C$12, $D$11, 100%, $F$11)</f>
        <v>10.953294000000001</v>
      </c>
      <c r="E538" s="12">
        <f>CHOOSE( CONTROL!$C$29, 13.6319, 13.6272) * CHOOSE( CONTROL!$C$12, $D$11, 100%, $F$11)</f>
        <v>10.960047600000001</v>
      </c>
      <c r="F538" s="4">
        <f>CHOOSE( CONTROL!$C$29, 14.6051, 14.6004) * CHOOSE(CONTROL!$C$12, $D$11, 100%, $F$11)</f>
        <v>11.742500400000001</v>
      </c>
      <c r="G538" s="8">
        <f>CHOOSE( CONTROL!$C$29, 13.2713, 13.2667) * CHOOSE( CONTROL!$C$12, $D$11, 100%, $F$11)</f>
        <v>10.670125200000001</v>
      </c>
      <c r="H538" s="4">
        <f>CHOOSE( CONTROL!$C$29, 14.1604, 14.1558) * CHOOSE(CONTROL!$C$12, $D$11, 100%, $F$11)</f>
        <v>11.3849616</v>
      </c>
      <c r="I538" s="8">
        <f>CHOOSE( CONTROL!$C$29, 13.1011, 13.0966) * CHOOSE(CONTROL!$C$12, $D$11, 100%, $F$11)</f>
        <v>10.533284400000001</v>
      </c>
      <c r="J538" s="4">
        <f>CHOOSE( CONTROL!$C$29, 13.0657, 13.0612) * CHOOSE(CONTROL!$C$12, $D$11, 100%, $F$11)</f>
        <v>10.504822799999999</v>
      </c>
      <c r="K538" s="4"/>
      <c r="L538" s="9">
        <v>28.568200000000001</v>
      </c>
      <c r="M538" s="9">
        <v>11.6745</v>
      </c>
      <c r="N538" s="9">
        <v>4.7850000000000001</v>
      </c>
      <c r="O538" s="9">
        <v>0.36249999999999999</v>
      </c>
      <c r="P538" s="9">
        <v>1.1798</v>
      </c>
      <c r="Q538" s="9">
        <v>19.053000000000001</v>
      </c>
      <c r="R538" s="9"/>
      <c r="S538" s="11"/>
    </row>
    <row r="539" spans="1:19" ht="15.75">
      <c r="A539" s="13">
        <v>58287</v>
      </c>
      <c r="B539" s="8">
        <f>CHOOSE( CONTROL!$C$29, 14.2272, 14.2225) * CHOOSE(CONTROL!$C$12, $D$11, 100%, $F$11)</f>
        <v>11.4386688</v>
      </c>
      <c r="C539" s="8">
        <f>CHOOSE( CONTROL!$C$29, 14.2377, 14.233) * CHOOSE(CONTROL!$C$12, $D$11, 100%, $F$11)</f>
        <v>11.447110800000001</v>
      </c>
      <c r="D539" s="8">
        <f>CHOOSE( CONTROL!$C$29, 14.2292, 14.2245) * CHOOSE( CONTROL!$C$12, $D$11, 100%, $F$11)</f>
        <v>11.440276800000001</v>
      </c>
      <c r="E539" s="12">
        <f>CHOOSE( CONTROL!$C$29, 14.2307, 14.226) * CHOOSE( CONTROL!$C$12, $D$11, 100%, $F$11)</f>
        <v>11.441482800000001</v>
      </c>
      <c r="F539" s="4">
        <f>CHOOSE( CONTROL!$C$29, 15.2188, 15.2141) * CHOOSE(CONTROL!$C$12, $D$11, 100%, $F$11)</f>
        <v>12.235915200000001</v>
      </c>
      <c r="G539" s="8">
        <f>CHOOSE( CONTROL!$C$29, 13.8558, 13.8512) * CHOOSE( CONTROL!$C$12, $D$11, 100%, $F$11)</f>
        <v>11.1400632</v>
      </c>
      <c r="H539" s="4">
        <f>CHOOSE( CONTROL!$C$29, 14.7586, 14.754) * CHOOSE(CONTROL!$C$12, $D$11, 100%, $F$11)</f>
        <v>11.865914399999999</v>
      </c>
      <c r="I539" s="8">
        <f>CHOOSE( CONTROL!$C$29, 13.6862, 13.6817) * CHOOSE(CONTROL!$C$12, $D$11, 100%, $F$11)</f>
        <v>11.0037048</v>
      </c>
      <c r="J539" s="4">
        <f>CHOOSE( CONTROL!$C$29, 13.6278, 13.6233) * CHOOSE(CONTROL!$C$12, $D$11, 100%, $F$11)</f>
        <v>10.956751200000001</v>
      </c>
      <c r="K539" s="4"/>
      <c r="L539" s="9">
        <v>29.520499999999998</v>
      </c>
      <c r="M539" s="9">
        <v>12.063700000000001</v>
      </c>
      <c r="N539" s="9">
        <v>4.9444999999999997</v>
      </c>
      <c r="O539" s="9">
        <v>0.37459999999999999</v>
      </c>
      <c r="P539" s="9">
        <v>1.2192000000000001</v>
      </c>
      <c r="Q539" s="9">
        <v>19.688099999999999</v>
      </c>
      <c r="R539" s="9"/>
      <c r="S539" s="11"/>
    </row>
    <row r="540" spans="1:19" ht="15.75">
      <c r="A540" s="13">
        <v>58318</v>
      </c>
      <c r="B540" s="8">
        <f>CHOOSE( CONTROL!$C$29, 13.1297, 13.125) * CHOOSE(CONTROL!$C$12, $D$11, 100%, $F$11)</f>
        <v>10.556278800000001</v>
      </c>
      <c r="C540" s="8">
        <f>CHOOSE( CONTROL!$C$29, 13.1402, 13.1355) * CHOOSE(CONTROL!$C$12, $D$11, 100%, $F$11)</f>
        <v>10.5647208</v>
      </c>
      <c r="D540" s="8">
        <f>CHOOSE( CONTROL!$C$29, 13.135, 13.1303) * CHOOSE( CONTROL!$C$12, $D$11, 100%, $F$11)</f>
        <v>10.56054</v>
      </c>
      <c r="E540" s="12">
        <f>CHOOSE( CONTROL!$C$29, 13.1353, 13.1306) * CHOOSE( CONTROL!$C$12, $D$11, 100%, $F$11)</f>
        <v>10.560781200000001</v>
      </c>
      <c r="F540" s="4">
        <f>CHOOSE( CONTROL!$C$29, 14.1265, 14.1218) * CHOOSE(CONTROL!$C$12, $D$11, 100%, $F$11)</f>
        <v>11.357706</v>
      </c>
      <c r="G540" s="8">
        <f>CHOOSE( CONTROL!$C$29, 12.7881, 12.7835) * CHOOSE( CONTROL!$C$12, $D$11, 100%, $F$11)</f>
        <v>10.281632400000001</v>
      </c>
      <c r="H540" s="4">
        <f>CHOOSE( CONTROL!$C$29, 13.6939, 13.6893) * CHOOSE(CONTROL!$C$12, $D$11, 100%, $F$11)</f>
        <v>11.0098956</v>
      </c>
      <c r="I540" s="8">
        <f>CHOOSE( CONTROL!$C$29, 12.6387, 12.6341) * CHOOSE(CONTROL!$C$12, $D$11, 100%, $F$11)</f>
        <v>10.161514800000001</v>
      </c>
      <c r="J540" s="4">
        <f>CHOOSE( CONTROL!$C$29, 12.5762, 12.5716) * CHOOSE(CONTROL!$C$12, $D$11, 100%, $F$11)</f>
        <v>10.111264800000001</v>
      </c>
      <c r="K540" s="4"/>
      <c r="L540" s="9">
        <v>29.520499999999998</v>
      </c>
      <c r="M540" s="9">
        <v>12.063700000000001</v>
      </c>
      <c r="N540" s="9">
        <v>4.9444999999999997</v>
      </c>
      <c r="O540" s="9">
        <v>0.37459999999999999</v>
      </c>
      <c r="P540" s="9">
        <v>1.2192000000000001</v>
      </c>
      <c r="Q540" s="9">
        <v>19.688099999999999</v>
      </c>
      <c r="R540" s="9"/>
      <c r="S540" s="11"/>
    </row>
    <row r="541" spans="1:19" ht="15.75">
      <c r="A541" s="13">
        <v>58348</v>
      </c>
      <c r="B541" s="8">
        <f>CHOOSE( CONTROL!$C$29, 12.8549, 12.8502) * CHOOSE(CONTROL!$C$12, $D$11, 100%, $F$11)</f>
        <v>10.335339600000001</v>
      </c>
      <c r="C541" s="8">
        <f>CHOOSE( CONTROL!$C$29, 12.8653, 12.8606) * CHOOSE(CONTROL!$C$12, $D$11, 100%, $F$11)</f>
        <v>10.3437012</v>
      </c>
      <c r="D541" s="8">
        <f>CHOOSE( CONTROL!$C$29, 12.856, 12.8513) * CHOOSE( CONTROL!$C$12, $D$11, 100%, $F$11)</f>
        <v>10.336224</v>
      </c>
      <c r="E541" s="12">
        <f>CHOOSE( CONTROL!$C$29, 12.8578, 12.8531) * CHOOSE( CONTROL!$C$12, $D$11, 100%, $F$11)</f>
        <v>10.337671200000001</v>
      </c>
      <c r="F541" s="4">
        <f>CHOOSE( CONTROL!$C$29, 13.8439, 13.8392) * CHOOSE(CONTROL!$C$12, $D$11, 100%, $F$11)</f>
        <v>11.1304956</v>
      </c>
      <c r="G541" s="8">
        <f>CHOOSE( CONTROL!$C$29, 12.5189, 12.5143) * CHOOSE( CONTROL!$C$12, $D$11, 100%, $F$11)</f>
        <v>10.065195600000001</v>
      </c>
      <c r="H541" s="4">
        <f>CHOOSE( CONTROL!$C$29, 13.4184, 13.4138) * CHOOSE(CONTROL!$C$12, $D$11, 100%, $F$11)</f>
        <v>10.788393600000001</v>
      </c>
      <c r="I541" s="8">
        <f>CHOOSE( CONTROL!$C$29, 12.3765, 12.372) * CHOOSE(CONTROL!$C$12, $D$11, 100%, $F$11)</f>
        <v>9.9507060000000003</v>
      </c>
      <c r="J541" s="4">
        <f>CHOOSE( CONTROL!$C$29, 12.3128, 12.3083) * CHOOSE(CONTROL!$C$12, $D$11, 100%, $F$11)</f>
        <v>9.8994911999999999</v>
      </c>
      <c r="K541" s="4"/>
      <c r="L541" s="9">
        <v>28.568200000000001</v>
      </c>
      <c r="M541" s="9">
        <v>11.6745</v>
      </c>
      <c r="N541" s="9">
        <v>4.7850000000000001</v>
      </c>
      <c r="O541" s="9">
        <v>0.36249999999999999</v>
      </c>
      <c r="P541" s="9">
        <v>1.1798</v>
      </c>
      <c r="Q541" s="9">
        <v>19.053000000000001</v>
      </c>
      <c r="R541" s="9"/>
      <c r="S541" s="11"/>
    </row>
    <row r="542" spans="1:19" ht="15.75">
      <c r="A542" s="13">
        <v>58379</v>
      </c>
      <c r="B542" s="8">
        <f>13.4208 * CHOOSE(CONTROL!$C$12, $D$11, 100%, $F$11)</f>
        <v>10.790323200000001</v>
      </c>
      <c r="C542" s="8">
        <f>13.4313 * CHOOSE(CONTROL!$C$12, $D$11, 100%, $F$11)</f>
        <v>10.7987652</v>
      </c>
      <c r="D542" s="8">
        <f>13.4228 * CHOOSE( CONTROL!$C$12, $D$11, 100%, $F$11)</f>
        <v>10.791931200000001</v>
      </c>
      <c r="E542" s="12">
        <f>13.4245 * CHOOSE( CONTROL!$C$12, $D$11, 100%, $F$11)</f>
        <v>10.793298</v>
      </c>
      <c r="F542" s="4">
        <f>14.4098 * CHOOSE(CONTROL!$C$12, $D$11, 100%, $F$11)</f>
        <v>11.585479200000002</v>
      </c>
      <c r="G542" s="8">
        <f>13.0702 * CHOOSE( CONTROL!$C$12, $D$11, 100%, $F$11)</f>
        <v>10.508440800000001</v>
      </c>
      <c r="H542" s="4">
        <f>13.97 * CHOOSE(CONTROL!$C$12, $D$11, 100%, $F$11)</f>
        <v>11.23188</v>
      </c>
      <c r="I542" s="8">
        <f>12.9211 * CHOOSE(CONTROL!$C$12, $D$11, 100%, $F$11)</f>
        <v>10.3885644</v>
      </c>
      <c r="J542" s="4">
        <f>12.8551 * CHOOSE(CONTROL!$C$12, $D$11, 100%, $F$11)</f>
        <v>10.335500400000001</v>
      </c>
      <c r="K542" s="4"/>
      <c r="L542" s="9">
        <v>28.921800000000001</v>
      </c>
      <c r="M542" s="9">
        <v>12.063700000000001</v>
      </c>
      <c r="N542" s="9">
        <v>4.9444999999999997</v>
      </c>
      <c r="O542" s="9">
        <v>0.37459999999999999</v>
      </c>
      <c r="P542" s="9">
        <v>1.2192000000000001</v>
      </c>
      <c r="Q542" s="9">
        <v>19.688099999999999</v>
      </c>
      <c r="R542" s="9"/>
      <c r="S542" s="11"/>
    </row>
    <row r="543" spans="1:19" ht="15.75">
      <c r="A543" s="13">
        <v>58409</v>
      </c>
      <c r="B543" s="8">
        <f>14.4741 * CHOOSE(CONTROL!$C$12, $D$11, 100%, $F$11)</f>
        <v>11.637176400000001</v>
      </c>
      <c r="C543" s="8">
        <f>14.4845 * CHOOSE(CONTROL!$C$12, $D$11, 100%, $F$11)</f>
        <v>11.645538000000002</v>
      </c>
      <c r="D543" s="8">
        <f>14.4648 * CHOOSE( CONTROL!$C$12, $D$11, 100%, $F$11)</f>
        <v>11.629699200000001</v>
      </c>
      <c r="E543" s="12">
        <f>14.4709 * CHOOSE( CONTROL!$C$12, $D$11, 100%, $F$11)</f>
        <v>11.6346036</v>
      </c>
      <c r="F543" s="4">
        <f>15.4657 * CHOOSE(CONTROL!$C$12, $D$11, 100%, $F$11)</f>
        <v>12.4344228</v>
      </c>
      <c r="G543" s="8">
        <f>14.1159 * CHOOSE( CONTROL!$C$12, $D$11, 100%, $F$11)</f>
        <v>11.3491836</v>
      </c>
      <c r="H543" s="4">
        <f>14.9993 * CHOOSE(CONTROL!$C$12, $D$11, 100%, $F$11)</f>
        <v>12.059437200000001</v>
      </c>
      <c r="I543" s="8">
        <f>13.961 * CHOOSE(CONTROL!$C$12, $D$11, 100%, $F$11)</f>
        <v>11.224644000000001</v>
      </c>
      <c r="J543" s="4">
        <f>13.8643 * CHOOSE(CONTROL!$C$12, $D$11, 100%, $F$11)</f>
        <v>11.146897200000002</v>
      </c>
      <c r="K543" s="4"/>
      <c r="L543" s="9">
        <v>26.515499999999999</v>
      </c>
      <c r="M543" s="9">
        <v>11.6745</v>
      </c>
      <c r="N543" s="9">
        <v>4.7850000000000001</v>
      </c>
      <c r="O543" s="9">
        <v>0.36249999999999999</v>
      </c>
      <c r="P543" s="9">
        <v>1.2522</v>
      </c>
      <c r="Q543" s="9">
        <v>19.053000000000001</v>
      </c>
      <c r="R543" s="9"/>
      <c r="S543" s="11"/>
    </row>
    <row r="544" spans="1:19" ht="15.75">
      <c r="A544" s="13">
        <v>58440</v>
      </c>
      <c r="B544" s="8">
        <f>14.4478 * CHOOSE(CONTROL!$C$12, $D$11, 100%, $F$11)</f>
        <v>11.616031200000002</v>
      </c>
      <c r="C544" s="8">
        <f>14.4582 * CHOOSE(CONTROL!$C$12, $D$11, 100%, $F$11)</f>
        <v>11.624392800000001</v>
      </c>
      <c r="D544" s="8">
        <f>14.4404 * CHOOSE( CONTROL!$C$12, $D$11, 100%, $F$11)</f>
        <v>11.610081600000001</v>
      </c>
      <c r="E544" s="12">
        <f>14.4458 * CHOOSE( CONTROL!$C$12, $D$11, 100%, $F$11)</f>
        <v>11.614423200000001</v>
      </c>
      <c r="F544" s="4">
        <f>15.4394 * CHOOSE(CONTROL!$C$12, $D$11, 100%, $F$11)</f>
        <v>12.413277600000001</v>
      </c>
      <c r="G544" s="8">
        <f>14.0917 * CHOOSE( CONTROL!$C$12, $D$11, 100%, $F$11)</f>
        <v>11.3297268</v>
      </c>
      <c r="H544" s="4">
        <f>14.9736 * CHOOSE(CONTROL!$C$12, $D$11, 100%, $F$11)</f>
        <v>12.038774399999999</v>
      </c>
      <c r="I544" s="8">
        <f>13.9427 * CHOOSE(CONTROL!$C$12, $D$11, 100%, $F$11)</f>
        <v>11.2099308</v>
      </c>
      <c r="J544" s="4">
        <f>13.8391 * CHOOSE(CONTROL!$C$12, $D$11, 100%, $F$11)</f>
        <v>11.126636400000001</v>
      </c>
      <c r="K544" s="4"/>
      <c r="L544" s="9">
        <v>27.3993</v>
      </c>
      <c r="M544" s="9">
        <v>12.063700000000001</v>
      </c>
      <c r="N544" s="9">
        <v>4.9444999999999997</v>
      </c>
      <c r="O544" s="9">
        <v>0.37459999999999999</v>
      </c>
      <c r="P544" s="9">
        <v>1.2939000000000001</v>
      </c>
      <c r="Q544" s="9">
        <v>19.688099999999999</v>
      </c>
      <c r="R544" s="9"/>
      <c r="S544" s="11"/>
    </row>
    <row r="545" spans="1:19" ht="15.75">
      <c r="A545" s="13">
        <v>58471</v>
      </c>
      <c r="B545" s="8">
        <f>14.9998 * CHOOSE(CONTROL!$C$12, $D$11, 100%, $F$11)</f>
        <v>12.059839200000001</v>
      </c>
      <c r="C545" s="8">
        <f>15.0102 * CHOOSE(CONTROL!$C$12, $D$11, 100%, $F$11)</f>
        <v>12.0682008</v>
      </c>
      <c r="D545" s="8">
        <f>15.0079 * CHOOSE( CONTROL!$C$12, $D$11, 100%, $F$11)</f>
        <v>12.066351600000001</v>
      </c>
      <c r="E545" s="12">
        <f>15.0076 * CHOOSE( CONTROL!$C$12, $D$11, 100%, $F$11)</f>
        <v>12.066110400000001</v>
      </c>
      <c r="F545" s="4">
        <f>16.0227 * CHOOSE(CONTROL!$C$12, $D$11, 100%, $F$11)</f>
        <v>12.882250800000001</v>
      </c>
      <c r="G545" s="8">
        <f>14.6488 * CHOOSE( CONTROL!$C$12, $D$11, 100%, $F$11)</f>
        <v>11.777635200000001</v>
      </c>
      <c r="H545" s="4">
        <f>15.5422 * CHOOSE(CONTROL!$C$12, $D$11, 100%, $F$11)</f>
        <v>12.4959288</v>
      </c>
      <c r="I545" s="8">
        <f>14.4838 * CHOOSE(CONTROL!$C$12, $D$11, 100%, $F$11)</f>
        <v>11.644975200000001</v>
      </c>
      <c r="J545" s="4">
        <f>14.368 * CHOOSE(CONTROL!$C$12, $D$11, 100%, $F$11)</f>
        <v>11.551872000000001</v>
      </c>
      <c r="K545" s="4"/>
      <c r="L545" s="9">
        <v>27.3993</v>
      </c>
      <c r="M545" s="9">
        <v>12.063700000000001</v>
      </c>
      <c r="N545" s="9">
        <v>4.9444999999999997</v>
      </c>
      <c r="O545" s="9">
        <v>0.37459999999999999</v>
      </c>
      <c r="P545" s="9">
        <v>1.2939000000000001</v>
      </c>
      <c r="Q545" s="9">
        <v>19.688099999999999</v>
      </c>
      <c r="R545" s="9"/>
      <c r="S545" s="11"/>
    </row>
    <row r="546" spans="1:19" ht="15.75">
      <c r="A546" s="13">
        <v>58499</v>
      </c>
      <c r="B546" s="8">
        <f>14.0304 * CHOOSE(CONTROL!$C$12, $D$11, 100%, $F$11)</f>
        <v>11.280441600000001</v>
      </c>
      <c r="C546" s="8">
        <f>14.0408 * CHOOSE(CONTROL!$C$12, $D$11, 100%, $F$11)</f>
        <v>11.288803200000002</v>
      </c>
      <c r="D546" s="8">
        <f>14.0408 * CHOOSE( CONTROL!$C$12, $D$11, 100%, $F$11)</f>
        <v>11.288803200000002</v>
      </c>
      <c r="E546" s="12">
        <f>14.0397 * CHOOSE( CONTROL!$C$12, $D$11, 100%, $F$11)</f>
        <v>11.2879188</v>
      </c>
      <c r="F546" s="4">
        <f>15.0455 * CHOOSE(CONTROL!$C$12, $D$11, 100%, $F$11)</f>
        <v>12.096582000000001</v>
      </c>
      <c r="G546" s="8">
        <f>13.7038 * CHOOSE( CONTROL!$C$12, $D$11, 100%, $F$11)</f>
        <v>11.0178552</v>
      </c>
      <c r="H546" s="4">
        <f>14.5896 * CHOOSE(CONTROL!$C$12, $D$11, 100%, $F$11)</f>
        <v>11.730038400000002</v>
      </c>
      <c r="I546" s="8">
        <f>13.5435 * CHOOSE(CONTROL!$C$12, $D$11, 100%, $F$11)</f>
        <v>10.888974000000001</v>
      </c>
      <c r="J546" s="4">
        <f>13.4392 * CHOOSE(CONTROL!$C$12, $D$11, 100%, $F$11)</f>
        <v>10.8051168</v>
      </c>
      <c r="K546" s="4"/>
      <c r="L546" s="9">
        <v>25.631599999999999</v>
      </c>
      <c r="M546" s="9">
        <v>11.285299999999999</v>
      </c>
      <c r="N546" s="9">
        <v>4.6254999999999997</v>
      </c>
      <c r="O546" s="9">
        <v>0.35039999999999999</v>
      </c>
      <c r="P546" s="9">
        <v>1.2104999999999999</v>
      </c>
      <c r="Q546" s="9">
        <v>18.417899999999999</v>
      </c>
      <c r="R546" s="9"/>
      <c r="S546" s="11"/>
    </row>
    <row r="547" spans="1:19" ht="15.75">
      <c r="A547" s="13">
        <v>58531</v>
      </c>
      <c r="B547" s="8">
        <f>13.7318 * CHOOSE(CONTROL!$C$12, $D$11, 100%, $F$11)</f>
        <v>11.0403672</v>
      </c>
      <c r="C547" s="8">
        <f>13.7423 * CHOOSE(CONTROL!$C$12, $D$11, 100%, $F$11)</f>
        <v>11.048809200000001</v>
      </c>
      <c r="D547" s="8">
        <f>13.7221 * CHOOSE( CONTROL!$C$12, $D$11, 100%, $F$11)</f>
        <v>11.032568400000001</v>
      </c>
      <c r="E547" s="12">
        <f>13.7284 * CHOOSE( CONTROL!$C$12, $D$11, 100%, $F$11)</f>
        <v>11.037633600000001</v>
      </c>
      <c r="F547" s="4">
        <f>14.7307 * CHOOSE(CONTROL!$C$12, $D$11, 100%, $F$11)</f>
        <v>11.8434828</v>
      </c>
      <c r="G547" s="8">
        <f>13.3922 * CHOOSE( CONTROL!$C$12, $D$11, 100%, $F$11)</f>
        <v>10.767328800000001</v>
      </c>
      <c r="H547" s="4">
        <f>14.2828 * CHOOSE(CONTROL!$C$12, $D$11, 100%, $F$11)</f>
        <v>11.483371200000001</v>
      </c>
      <c r="I547" s="8">
        <f>13.2178 * CHOOSE(CONTROL!$C$12, $D$11, 100%, $F$11)</f>
        <v>10.627111200000002</v>
      </c>
      <c r="J547" s="4">
        <f>13.1531 * CHOOSE(CONTROL!$C$12, $D$11, 100%, $F$11)</f>
        <v>10.575092400000001</v>
      </c>
      <c r="K547" s="4"/>
      <c r="L547" s="9">
        <v>27.3993</v>
      </c>
      <c r="M547" s="9">
        <v>12.063700000000001</v>
      </c>
      <c r="N547" s="9">
        <v>4.9444999999999997</v>
      </c>
      <c r="O547" s="9">
        <v>0.37459999999999999</v>
      </c>
      <c r="P547" s="9">
        <v>1.2939000000000001</v>
      </c>
      <c r="Q547" s="9">
        <v>19.688099999999999</v>
      </c>
      <c r="R547" s="9"/>
      <c r="S547" s="11"/>
    </row>
    <row r="548" spans="1:19" ht="15.75">
      <c r="A548" s="13">
        <v>58561</v>
      </c>
      <c r="B548" s="8">
        <f>13.9405 * CHOOSE(CONTROL!$C$12, $D$11, 100%, $F$11)</f>
        <v>11.208162000000002</v>
      </c>
      <c r="C548" s="8">
        <f>13.9509 * CHOOSE(CONTROL!$C$12, $D$11, 100%, $F$11)</f>
        <v>11.216523600000002</v>
      </c>
      <c r="D548" s="8">
        <f>13.9541 * CHOOSE( CONTROL!$C$12, $D$11, 100%, $F$11)</f>
        <v>11.219096400000002</v>
      </c>
      <c r="E548" s="12">
        <f>13.9519 * CHOOSE( CONTROL!$C$12, $D$11, 100%, $F$11)</f>
        <v>11.217327600000001</v>
      </c>
      <c r="F548" s="4">
        <f>14.9477 * CHOOSE(CONTROL!$C$12, $D$11, 100%, $F$11)</f>
        <v>12.017950799999999</v>
      </c>
      <c r="G548" s="8">
        <f>13.5835 * CHOOSE( CONTROL!$C$12, $D$11, 100%, $F$11)</f>
        <v>10.921134000000002</v>
      </c>
      <c r="H548" s="4">
        <f>14.4944 * CHOOSE(CONTROL!$C$12, $D$11, 100%, $F$11)</f>
        <v>11.653497600000001</v>
      </c>
      <c r="I548" s="8">
        <f>13.4079 * CHOOSE(CONTROL!$C$12, $D$11, 100%, $F$11)</f>
        <v>10.7799516</v>
      </c>
      <c r="J548" s="4">
        <f>13.353 * CHOOSE(CONTROL!$C$12, $D$11, 100%, $F$11)</f>
        <v>10.735812000000001</v>
      </c>
      <c r="K548" s="4"/>
      <c r="L548" s="9">
        <v>27.988800000000001</v>
      </c>
      <c r="M548" s="9">
        <v>11.6745</v>
      </c>
      <c r="N548" s="9">
        <v>4.7850000000000001</v>
      </c>
      <c r="O548" s="9">
        <v>0.36249999999999999</v>
      </c>
      <c r="P548" s="9">
        <v>1.1798</v>
      </c>
      <c r="Q548" s="9">
        <v>19.053000000000001</v>
      </c>
      <c r="R548" s="9"/>
      <c r="S548" s="11"/>
    </row>
    <row r="549" spans="1:19" ht="15.75">
      <c r="A549" s="13">
        <v>58592</v>
      </c>
      <c r="B549" s="8">
        <f>CHOOSE( CONTROL!$C$29, 14.3165, 14.3118) * CHOOSE(CONTROL!$C$12, $D$11, 100%, $F$11)</f>
        <v>11.510466000000001</v>
      </c>
      <c r="C549" s="8">
        <f>CHOOSE( CONTROL!$C$29, 14.3269, 14.3222) * CHOOSE(CONTROL!$C$12, $D$11, 100%, $F$11)</f>
        <v>11.518827600000002</v>
      </c>
      <c r="D549" s="8">
        <f>CHOOSE( CONTROL!$C$29, 14.3049, 14.3002) * CHOOSE( CONTROL!$C$12, $D$11, 100%, $F$11)</f>
        <v>11.5011396</v>
      </c>
      <c r="E549" s="12">
        <f>CHOOSE( CONTROL!$C$29, 14.3113, 14.3066) * CHOOSE( CONTROL!$C$12, $D$11, 100%, $F$11)</f>
        <v>11.506285200000001</v>
      </c>
      <c r="F549" s="4">
        <f>CHOOSE( CONTROL!$C$29, 15.2914, 15.2867) * CHOOSE(CONTROL!$C$12, $D$11, 100%, $F$11)</f>
        <v>12.2942856</v>
      </c>
      <c r="G549" s="8">
        <f>CHOOSE( CONTROL!$C$29, 13.9313, 13.9268) * CHOOSE( CONTROL!$C$12, $D$11, 100%, $F$11)</f>
        <v>11.200765200000001</v>
      </c>
      <c r="H549" s="4">
        <f>CHOOSE( CONTROL!$C$29, 14.8294, 14.8248) * CHOOSE(CONTROL!$C$12, $D$11, 100%, $F$11)</f>
        <v>11.922837600000001</v>
      </c>
      <c r="I549" s="8">
        <f>CHOOSE( CONTROL!$C$29, 13.7469, 13.7423) * CHOOSE(CONTROL!$C$12, $D$11, 100%, $F$11)</f>
        <v>11.0525076</v>
      </c>
      <c r="J549" s="4">
        <f>CHOOSE( CONTROL!$C$29, 13.7133, 13.7088) * CHOOSE(CONTROL!$C$12, $D$11, 100%, $F$11)</f>
        <v>11.025493200000001</v>
      </c>
      <c r="K549" s="4"/>
      <c r="L549" s="9">
        <v>29.520499999999998</v>
      </c>
      <c r="M549" s="9">
        <v>12.063700000000001</v>
      </c>
      <c r="N549" s="9">
        <v>4.9444999999999997</v>
      </c>
      <c r="O549" s="9">
        <v>0.37459999999999999</v>
      </c>
      <c r="P549" s="9">
        <v>1.2192000000000001</v>
      </c>
      <c r="Q549" s="9">
        <v>19.688099999999999</v>
      </c>
      <c r="R549" s="9"/>
      <c r="S549" s="11"/>
    </row>
    <row r="550" spans="1:19" ht="15.75">
      <c r="A550" s="13">
        <v>58622</v>
      </c>
      <c r="B550" s="8">
        <f>CHOOSE( CONTROL!$C$29, 14.0865, 14.0818) * CHOOSE(CONTROL!$C$12, $D$11, 100%, $F$11)</f>
        <v>11.325545999999999</v>
      </c>
      <c r="C550" s="8">
        <f>CHOOSE( CONTROL!$C$29, 14.0969, 14.0922) * CHOOSE(CONTROL!$C$12, $D$11, 100%, $F$11)</f>
        <v>11.3339076</v>
      </c>
      <c r="D550" s="8">
        <f>CHOOSE( CONTROL!$C$29, 14.0693, 14.0646) * CHOOSE( CONTROL!$C$12, $D$11, 100%, $F$11)</f>
        <v>11.3117172</v>
      </c>
      <c r="E550" s="12">
        <f>CHOOSE( CONTROL!$C$29, 14.0777, 14.073) * CHOOSE( CONTROL!$C$12, $D$11, 100%, $F$11)</f>
        <v>11.3184708</v>
      </c>
      <c r="F550" s="4">
        <f>CHOOSE( CONTROL!$C$29, 15.0509, 15.0462) * CHOOSE(CONTROL!$C$12, $D$11, 100%, $F$11)</f>
        <v>12.100923600000002</v>
      </c>
      <c r="G550" s="8">
        <f>CHOOSE( CONTROL!$C$29, 13.7059, 13.7013) * CHOOSE( CONTROL!$C$12, $D$11, 100%, $F$11)</f>
        <v>11.0195436</v>
      </c>
      <c r="H550" s="4">
        <f>CHOOSE( CONTROL!$C$29, 14.595, 14.5904) * CHOOSE(CONTROL!$C$12, $D$11, 100%, $F$11)</f>
        <v>11.734380000000002</v>
      </c>
      <c r="I550" s="8">
        <f>CHOOSE( CONTROL!$C$29, 13.5285, 13.524) * CHOOSE(CONTROL!$C$12, $D$11, 100%, $F$11)</f>
        <v>10.876913999999999</v>
      </c>
      <c r="J550" s="4">
        <f>CHOOSE( CONTROL!$C$29, 13.4929, 13.4884) * CHOOSE(CONTROL!$C$12, $D$11, 100%, $F$11)</f>
        <v>10.848291600000001</v>
      </c>
      <c r="K550" s="4"/>
      <c r="L550" s="9">
        <v>28.568200000000001</v>
      </c>
      <c r="M550" s="9">
        <v>11.6745</v>
      </c>
      <c r="N550" s="9">
        <v>4.7850000000000001</v>
      </c>
      <c r="O550" s="9">
        <v>0.36249999999999999</v>
      </c>
      <c r="P550" s="9">
        <v>1.1798</v>
      </c>
      <c r="Q550" s="9">
        <v>19.053000000000001</v>
      </c>
      <c r="R550" s="9"/>
      <c r="S550" s="11"/>
    </row>
    <row r="551" spans="1:19" ht="15.75">
      <c r="A551" s="13">
        <v>58653</v>
      </c>
      <c r="B551" s="8">
        <f>CHOOSE( CONTROL!$C$29, 14.6922, 14.6875) * CHOOSE(CONTROL!$C$12, $D$11, 100%, $F$11)</f>
        <v>11.812528800000001</v>
      </c>
      <c r="C551" s="8">
        <f>CHOOSE( CONTROL!$C$29, 14.7026, 14.6979) * CHOOSE(CONTROL!$C$12, $D$11, 100%, $F$11)</f>
        <v>11.820890400000001</v>
      </c>
      <c r="D551" s="8">
        <f>CHOOSE( CONTROL!$C$29, 14.6942, 14.6895) * CHOOSE( CONTROL!$C$12, $D$11, 100%, $F$11)</f>
        <v>11.814136800000002</v>
      </c>
      <c r="E551" s="12">
        <f>CHOOSE( CONTROL!$C$29, 14.6957, 14.691) * CHOOSE( CONTROL!$C$12, $D$11, 100%, $F$11)</f>
        <v>11.815342800000002</v>
      </c>
      <c r="F551" s="4">
        <f>CHOOSE( CONTROL!$C$29, 15.6838, 15.6791) * CHOOSE(CONTROL!$C$12, $D$11, 100%, $F$11)</f>
        <v>12.609775200000001</v>
      </c>
      <c r="G551" s="8">
        <f>CHOOSE( CONTROL!$C$29, 14.309, 14.3044) * CHOOSE( CONTROL!$C$12, $D$11, 100%, $F$11)</f>
        <v>11.504436</v>
      </c>
      <c r="H551" s="4">
        <f>CHOOSE( CONTROL!$C$29, 15.2119, 15.2073) * CHOOSE(CONTROL!$C$12, $D$11, 100%, $F$11)</f>
        <v>12.230367600000001</v>
      </c>
      <c r="I551" s="8">
        <f>CHOOSE( CONTROL!$C$29, 14.1319, 14.1274) * CHOOSE(CONTROL!$C$12, $D$11, 100%, $F$11)</f>
        <v>11.3620476</v>
      </c>
      <c r="J551" s="4">
        <f>CHOOSE( CONTROL!$C$29, 14.0733, 14.0688) * CHOOSE(CONTROL!$C$12, $D$11, 100%, $F$11)</f>
        <v>11.3149332</v>
      </c>
      <c r="K551" s="4"/>
      <c r="L551" s="9">
        <v>29.520499999999998</v>
      </c>
      <c r="M551" s="9">
        <v>12.063700000000001</v>
      </c>
      <c r="N551" s="9">
        <v>4.9444999999999997</v>
      </c>
      <c r="O551" s="9">
        <v>0.37459999999999999</v>
      </c>
      <c r="P551" s="9">
        <v>1.2192000000000001</v>
      </c>
      <c r="Q551" s="9">
        <v>19.688099999999999</v>
      </c>
      <c r="R551" s="9"/>
      <c r="S551" s="11"/>
    </row>
    <row r="552" spans="1:19" ht="15.75">
      <c r="A552" s="13">
        <v>58684</v>
      </c>
      <c r="B552" s="8">
        <f>CHOOSE( CONTROL!$C$29, 13.5588, 13.5541) * CHOOSE(CONTROL!$C$12, $D$11, 100%, $F$11)</f>
        <v>10.901275200000001</v>
      </c>
      <c r="C552" s="8">
        <f>CHOOSE( CONTROL!$C$29, 13.5692, 13.5645) * CHOOSE(CONTROL!$C$12, $D$11, 100%, $F$11)</f>
        <v>10.909636800000001</v>
      </c>
      <c r="D552" s="8">
        <f>CHOOSE( CONTROL!$C$29, 13.5641, 13.5594) * CHOOSE( CONTROL!$C$12, $D$11, 100%, $F$11)</f>
        <v>10.905536400000001</v>
      </c>
      <c r="E552" s="12">
        <f>CHOOSE( CONTROL!$C$29, 13.5644, 13.5597) * CHOOSE( CONTROL!$C$12, $D$11, 100%, $F$11)</f>
        <v>10.9057776</v>
      </c>
      <c r="F552" s="4">
        <f>CHOOSE( CONTROL!$C$29, 14.5556, 14.5509) * CHOOSE(CONTROL!$C$12, $D$11, 100%, $F$11)</f>
        <v>11.702702400000002</v>
      </c>
      <c r="G552" s="8">
        <f>CHOOSE( CONTROL!$C$29, 13.2063, 13.2017) * CHOOSE( CONTROL!$C$12, $D$11, 100%, $F$11)</f>
        <v>10.617865200000001</v>
      </c>
      <c r="H552" s="4">
        <f>CHOOSE( CONTROL!$C$29, 14.1122, 14.1076) * CHOOSE(CONTROL!$C$12, $D$11, 100%, $F$11)</f>
        <v>11.346208800000001</v>
      </c>
      <c r="I552" s="8">
        <f>CHOOSE( CONTROL!$C$29, 13.05, 13.0455) * CHOOSE(CONTROL!$C$12, $D$11, 100%, $F$11)</f>
        <v>10.4922</v>
      </c>
      <c r="J552" s="4">
        <f>CHOOSE( CONTROL!$C$29, 12.9873, 12.9828) * CHOOSE(CONTROL!$C$12, $D$11, 100%, $F$11)</f>
        <v>10.441789200000001</v>
      </c>
      <c r="K552" s="4"/>
      <c r="L552" s="9">
        <v>29.520499999999998</v>
      </c>
      <c r="M552" s="9">
        <v>12.063700000000001</v>
      </c>
      <c r="N552" s="9">
        <v>4.9444999999999997</v>
      </c>
      <c r="O552" s="9">
        <v>0.37459999999999999</v>
      </c>
      <c r="P552" s="9">
        <v>1.2192000000000001</v>
      </c>
      <c r="Q552" s="9">
        <v>19.688099999999999</v>
      </c>
      <c r="R552" s="9"/>
      <c r="S552" s="11"/>
    </row>
    <row r="553" spans="1:19" ht="15.75">
      <c r="A553" s="13">
        <v>58714</v>
      </c>
      <c r="B553" s="8">
        <f>CHOOSE( CONTROL!$C$29, 13.275, 13.2703) * CHOOSE(CONTROL!$C$12, $D$11, 100%, $F$11)</f>
        <v>10.673100000000002</v>
      </c>
      <c r="C553" s="8">
        <f>CHOOSE( CONTROL!$C$29, 13.2854, 13.2807) * CHOOSE(CONTROL!$C$12, $D$11, 100%, $F$11)</f>
        <v>10.6814616</v>
      </c>
      <c r="D553" s="8">
        <f>CHOOSE( CONTROL!$C$29, 13.2761, 13.2714) * CHOOSE( CONTROL!$C$12, $D$11, 100%, $F$11)</f>
        <v>10.6739844</v>
      </c>
      <c r="E553" s="12">
        <f>CHOOSE( CONTROL!$C$29, 13.2779, 13.2732) * CHOOSE( CONTROL!$C$12, $D$11, 100%, $F$11)</f>
        <v>10.675431600000001</v>
      </c>
      <c r="F553" s="4">
        <f>CHOOSE( CONTROL!$C$29, 14.264, 14.2593) * CHOOSE(CONTROL!$C$12, $D$11, 100%, $F$11)</f>
        <v>11.468256</v>
      </c>
      <c r="G553" s="8">
        <f>CHOOSE( CONTROL!$C$29, 12.9284, 12.9238) * CHOOSE( CONTROL!$C$12, $D$11, 100%, $F$11)</f>
        <v>10.394433600000001</v>
      </c>
      <c r="H553" s="4">
        <f>CHOOSE( CONTROL!$C$29, 13.8279, 13.8233) * CHOOSE(CONTROL!$C$12, $D$11, 100%, $F$11)</f>
        <v>11.117631600000001</v>
      </c>
      <c r="I553" s="8">
        <f>CHOOSE( CONTROL!$C$29, 12.7792, 12.7747) * CHOOSE(CONTROL!$C$12, $D$11, 100%, $F$11)</f>
        <v>10.2744768</v>
      </c>
      <c r="J553" s="4">
        <f>CHOOSE( CONTROL!$C$29, 12.7153, 12.7108) * CHOOSE(CONTROL!$C$12, $D$11, 100%, $F$11)</f>
        <v>10.2231012</v>
      </c>
      <c r="K553" s="4"/>
      <c r="L553" s="9">
        <v>28.568200000000001</v>
      </c>
      <c r="M553" s="9">
        <v>11.6745</v>
      </c>
      <c r="N553" s="9">
        <v>4.7850000000000001</v>
      </c>
      <c r="O553" s="9">
        <v>0.36249999999999999</v>
      </c>
      <c r="P553" s="9">
        <v>1.1798</v>
      </c>
      <c r="Q553" s="9">
        <v>19.053000000000001</v>
      </c>
      <c r="R553" s="9"/>
      <c r="S553" s="11"/>
    </row>
    <row r="554" spans="1:19" ht="15.75">
      <c r="A554" s="13">
        <v>58745</v>
      </c>
      <c r="B554" s="8">
        <f>13.8596 * CHOOSE(CONTROL!$C$12, $D$11, 100%, $F$11)</f>
        <v>11.143118400000001</v>
      </c>
      <c r="C554" s="8">
        <f>13.87 * CHOOSE(CONTROL!$C$12, $D$11, 100%, $F$11)</f>
        <v>11.151479999999999</v>
      </c>
      <c r="D554" s="8">
        <f>13.8616 * CHOOSE( CONTROL!$C$12, $D$11, 100%, $F$11)</f>
        <v>11.1447264</v>
      </c>
      <c r="E554" s="12">
        <f>13.8633 * CHOOSE( CONTROL!$C$12, $D$11, 100%, $F$11)</f>
        <v>11.146093200000001</v>
      </c>
      <c r="F554" s="4">
        <f>14.8486 * CHOOSE(CONTROL!$C$12, $D$11, 100%, $F$11)</f>
        <v>11.938274400000001</v>
      </c>
      <c r="G554" s="8">
        <f>13.4978 * CHOOSE( CONTROL!$C$12, $D$11, 100%, $F$11)</f>
        <v>10.8522312</v>
      </c>
      <c r="H554" s="4">
        <f>14.3977 * CHOOSE(CONTROL!$C$12, $D$11, 100%, $F$11)</f>
        <v>11.575750800000002</v>
      </c>
      <c r="I554" s="8">
        <f>13.3417 * CHOOSE(CONTROL!$C$12, $D$11, 100%, $F$11)</f>
        <v>10.7267268</v>
      </c>
      <c r="J554" s="4">
        <f>13.2755 * CHOOSE(CONTROL!$C$12, $D$11, 100%, $F$11)</f>
        <v>10.673501999999999</v>
      </c>
      <c r="K554" s="4"/>
      <c r="L554" s="9">
        <v>28.921800000000001</v>
      </c>
      <c r="M554" s="9">
        <v>12.063700000000001</v>
      </c>
      <c r="N554" s="9">
        <v>4.9444999999999997</v>
      </c>
      <c r="O554" s="9">
        <v>0.37459999999999999</v>
      </c>
      <c r="P554" s="9">
        <v>1.2192000000000001</v>
      </c>
      <c r="Q554" s="9">
        <v>19.688099999999999</v>
      </c>
      <c r="R554" s="9"/>
      <c r="S554" s="11"/>
    </row>
    <row r="555" spans="1:19" ht="15.75">
      <c r="A555" s="13">
        <v>58775</v>
      </c>
      <c r="B555" s="8">
        <f>14.9473 * CHOOSE(CONTROL!$C$12, $D$11, 100%, $F$11)</f>
        <v>12.017629200000002</v>
      </c>
      <c r="C555" s="8">
        <f>14.9577 * CHOOSE(CONTROL!$C$12, $D$11, 100%, $F$11)</f>
        <v>12.025990800000001</v>
      </c>
      <c r="D555" s="8">
        <f>14.938 * CHOOSE( CONTROL!$C$12, $D$11, 100%, $F$11)</f>
        <v>12.010152000000001</v>
      </c>
      <c r="E555" s="12">
        <f>14.9441 * CHOOSE( CONTROL!$C$12, $D$11, 100%, $F$11)</f>
        <v>12.015056400000001</v>
      </c>
      <c r="F555" s="4">
        <f>15.9389 * CHOOSE(CONTROL!$C$12, $D$11, 100%, $F$11)</f>
        <v>12.814875600000001</v>
      </c>
      <c r="G555" s="8">
        <f>14.5772 * CHOOSE( CONTROL!$C$12, $D$11, 100%, $F$11)</f>
        <v>11.7200688</v>
      </c>
      <c r="H555" s="4">
        <f>15.4605 * CHOOSE(CONTROL!$C$12, $D$11, 100%, $F$11)</f>
        <v>12.430242</v>
      </c>
      <c r="I555" s="8">
        <f>14.4147 * CHOOSE(CONTROL!$C$12, $D$11, 100%, $F$11)</f>
        <v>11.589418800000001</v>
      </c>
      <c r="J555" s="4">
        <f>14.3177 * CHOOSE(CONTROL!$C$12, $D$11, 100%, $F$11)</f>
        <v>11.511430800000001</v>
      </c>
      <c r="K555" s="4"/>
      <c r="L555" s="9">
        <v>26.515499999999999</v>
      </c>
      <c r="M555" s="9">
        <v>11.6745</v>
      </c>
      <c r="N555" s="9">
        <v>4.7850000000000001</v>
      </c>
      <c r="O555" s="9">
        <v>0.36249999999999999</v>
      </c>
      <c r="P555" s="9">
        <v>1.2522</v>
      </c>
      <c r="Q555" s="9">
        <v>19.053000000000001</v>
      </c>
      <c r="R555" s="9"/>
      <c r="S555" s="11"/>
    </row>
    <row r="556" spans="1:19" ht="15.75">
      <c r="A556" s="13">
        <v>58806</v>
      </c>
      <c r="B556" s="8">
        <f>14.9201 * CHOOSE(CONTROL!$C$12, $D$11, 100%, $F$11)</f>
        <v>11.9957604</v>
      </c>
      <c r="C556" s="8">
        <f>14.9306 * CHOOSE(CONTROL!$C$12, $D$11, 100%, $F$11)</f>
        <v>12.0042024</v>
      </c>
      <c r="D556" s="8">
        <f>14.9127 * CHOOSE( CONTROL!$C$12, $D$11, 100%, $F$11)</f>
        <v>11.989810800000001</v>
      </c>
      <c r="E556" s="12">
        <f>14.9181 * CHOOSE( CONTROL!$C$12, $D$11, 100%, $F$11)</f>
        <v>11.994152400000001</v>
      </c>
      <c r="F556" s="4">
        <f>15.9117 * CHOOSE(CONTROL!$C$12, $D$11, 100%, $F$11)</f>
        <v>12.793006800000001</v>
      </c>
      <c r="G556" s="8">
        <f>14.5521 * CHOOSE( CONTROL!$C$12, $D$11, 100%, $F$11)</f>
        <v>11.699888400000001</v>
      </c>
      <c r="H556" s="4">
        <f>15.434 * CHOOSE(CONTROL!$C$12, $D$11, 100%, $F$11)</f>
        <v>12.408936000000001</v>
      </c>
      <c r="I556" s="8">
        <f>14.3955 * CHOOSE(CONTROL!$C$12, $D$11, 100%, $F$11)</f>
        <v>11.573982000000001</v>
      </c>
      <c r="J556" s="4">
        <f>14.2917 * CHOOSE(CONTROL!$C$12, $D$11, 100%, $F$11)</f>
        <v>11.490526800000001</v>
      </c>
      <c r="K556" s="4"/>
      <c r="L556" s="9">
        <v>27.3993</v>
      </c>
      <c r="M556" s="9">
        <v>12.063700000000001</v>
      </c>
      <c r="N556" s="9">
        <v>4.9444999999999997</v>
      </c>
      <c r="O556" s="9">
        <v>0.37459999999999999</v>
      </c>
      <c r="P556" s="9">
        <v>1.2939000000000001</v>
      </c>
      <c r="Q556" s="9">
        <v>19.688099999999999</v>
      </c>
      <c r="R556" s="9"/>
      <c r="S556" s="11"/>
    </row>
    <row r="557" spans="1:19" ht="15.75">
      <c r="A557" s="13">
        <v>58837</v>
      </c>
      <c r="B557" s="8">
        <f>15.4902 * CHOOSE(CONTROL!$C$12, $D$11, 100%, $F$11)</f>
        <v>12.4541208</v>
      </c>
      <c r="C557" s="8">
        <f>15.5006 * CHOOSE(CONTROL!$C$12, $D$11, 100%, $F$11)</f>
        <v>12.462482400000001</v>
      </c>
      <c r="D557" s="8">
        <f>15.4983 * CHOOSE( CONTROL!$C$12, $D$11, 100%, $F$11)</f>
        <v>12.4606332</v>
      </c>
      <c r="E557" s="12">
        <f>15.498 * CHOOSE( CONTROL!$C$12, $D$11, 100%, $F$11)</f>
        <v>12.460392000000001</v>
      </c>
      <c r="F557" s="4">
        <f>16.5131 * CHOOSE(CONTROL!$C$12, $D$11, 100%, $F$11)</f>
        <v>13.276532400000002</v>
      </c>
      <c r="G557" s="8">
        <f>15.1269 * CHOOSE( CONTROL!$C$12, $D$11, 100%, $F$11)</f>
        <v>12.1620276</v>
      </c>
      <c r="H557" s="4">
        <f>16.0202 * CHOOSE(CONTROL!$C$12, $D$11, 100%, $F$11)</f>
        <v>12.880240799999999</v>
      </c>
      <c r="I557" s="8">
        <f>14.9539 * CHOOSE(CONTROL!$C$12, $D$11, 100%, $F$11)</f>
        <v>12.022935600000002</v>
      </c>
      <c r="J557" s="4">
        <f>14.8379 * CHOOSE(CONTROL!$C$12, $D$11, 100%, $F$11)</f>
        <v>11.929671600000001</v>
      </c>
      <c r="K557" s="4"/>
      <c r="L557" s="9">
        <v>27.3993</v>
      </c>
      <c r="M557" s="9">
        <v>12.063700000000001</v>
      </c>
      <c r="N557" s="9">
        <v>4.9444999999999997</v>
      </c>
      <c r="O557" s="9">
        <v>0.37459999999999999</v>
      </c>
      <c r="P557" s="9">
        <v>1.2939000000000001</v>
      </c>
      <c r="Q557" s="9">
        <v>19.688099999999999</v>
      </c>
      <c r="R557" s="9"/>
      <c r="S557" s="11"/>
    </row>
    <row r="558" spans="1:19" ht="15.75">
      <c r="A558" s="13">
        <v>58865</v>
      </c>
      <c r="B558" s="8">
        <f>14.4891 * CHOOSE(CONTROL!$C$12, $D$11, 100%, $F$11)</f>
        <v>11.649236400000001</v>
      </c>
      <c r="C558" s="8">
        <f>14.4995 * CHOOSE(CONTROL!$C$12, $D$11, 100%, $F$11)</f>
        <v>11.657598</v>
      </c>
      <c r="D558" s="8">
        <f>14.4995 * CHOOSE( CONTROL!$C$12, $D$11, 100%, $F$11)</f>
        <v>11.657598</v>
      </c>
      <c r="E558" s="12">
        <f>14.4984 * CHOOSE( CONTROL!$C$12, $D$11, 100%, $F$11)</f>
        <v>11.656713600000002</v>
      </c>
      <c r="F558" s="4">
        <f>15.5042 * CHOOSE(CONTROL!$C$12, $D$11, 100%, $F$11)</f>
        <v>12.465376800000001</v>
      </c>
      <c r="G558" s="8">
        <f>14.1509 * CHOOSE( CONTROL!$C$12, $D$11, 100%, $F$11)</f>
        <v>11.3773236</v>
      </c>
      <c r="H558" s="4">
        <f>15.0368 * CHOOSE(CONTROL!$C$12, $D$11, 100%, $F$11)</f>
        <v>12.0895872</v>
      </c>
      <c r="I558" s="8">
        <f>13.9833 * CHOOSE(CONTROL!$C$12, $D$11, 100%, $F$11)</f>
        <v>11.242573200000001</v>
      </c>
      <c r="J558" s="4">
        <f>13.8787 * CHOOSE(CONTROL!$C$12, $D$11, 100%, $F$11)</f>
        <v>11.1584748</v>
      </c>
      <c r="K558" s="4"/>
      <c r="L558" s="9">
        <v>24.747800000000002</v>
      </c>
      <c r="M558" s="9">
        <v>10.8962</v>
      </c>
      <c r="N558" s="9">
        <v>4.4660000000000002</v>
      </c>
      <c r="O558" s="9">
        <v>0.33829999999999999</v>
      </c>
      <c r="P558" s="9">
        <v>1.1687000000000001</v>
      </c>
      <c r="Q558" s="9">
        <v>17.782800000000002</v>
      </c>
      <c r="R558" s="9"/>
      <c r="S558" s="11"/>
    </row>
    <row r="559" spans="1:19" ht="15.75">
      <c r="A559" s="13">
        <v>58893</v>
      </c>
      <c r="B559" s="8">
        <f>14.1807 * CHOOSE(CONTROL!$C$12, $D$11, 100%, $F$11)</f>
        <v>11.401282800000001</v>
      </c>
      <c r="C559" s="8">
        <f>14.1912 * CHOOSE(CONTROL!$C$12, $D$11, 100%, $F$11)</f>
        <v>11.409724800000001</v>
      </c>
      <c r="D559" s="8">
        <f>14.171 * CHOOSE( CONTROL!$C$12, $D$11, 100%, $F$11)</f>
        <v>11.393484000000001</v>
      </c>
      <c r="E559" s="12">
        <f>14.1773 * CHOOSE( CONTROL!$C$12, $D$11, 100%, $F$11)</f>
        <v>11.398549200000001</v>
      </c>
      <c r="F559" s="4">
        <f>15.1796 * CHOOSE(CONTROL!$C$12, $D$11, 100%, $F$11)</f>
        <v>12.204398400000001</v>
      </c>
      <c r="G559" s="8">
        <f>13.8298 * CHOOSE( CONTROL!$C$12, $D$11, 100%, $F$11)</f>
        <v>11.1191592</v>
      </c>
      <c r="H559" s="4">
        <f>14.7204 * CHOOSE(CONTROL!$C$12, $D$11, 100%, $F$11)</f>
        <v>11.835201600000001</v>
      </c>
      <c r="I559" s="8">
        <f>13.6482 * CHOOSE(CONTROL!$C$12, $D$11, 100%, $F$11)</f>
        <v>10.973152799999999</v>
      </c>
      <c r="J559" s="4">
        <f>13.5832 * CHOOSE(CONTROL!$C$12, $D$11, 100%, $F$11)</f>
        <v>10.920892800000001</v>
      </c>
      <c r="K559" s="4"/>
      <c r="L559" s="9">
        <v>27.3993</v>
      </c>
      <c r="M559" s="9">
        <v>12.063700000000001</v>
      </c>
      <c r="N559" s="9">
        <v>4.9444999999999997</v>
      </c>
      <c r="O559" s="9">
        <v>0.37459999999999999</v>
      </c>
      <c r="P559" s="9">
        <v>1.2939000000000001</v>
      </c>
      <c r="Q559" s="9">
        <v>19.688099999999999</v>
      </c>
      <c r="R559" s="9"/>
      <c r="S559" s="11"/>
    </row>
    <row r="560" spans="1:19" ht="15.75">
      <c r="A560" s="13">
        <v>58926</v>
      </c>
      <c r="B560" s="8">
        <f>14.3962 * CHOOSE(CONTROL!$C$12, $D$11, 100%, $F$11)</f>
        <v>11.574544800000002</v>
      </c>
      <c r="C560" s="8">
        <f>14.4066 * CHOOSE(CONTROL!$C$12, $D$11, 100%, $F$11)</f>
        <v>11.582906400000001</v>
      </c>
      <c r="D560" s="8">
        <f>14.4098 * CHOOSE( CONTROL!$C$12, $D$11, 100%, $F$11)</f>
        <v>11.585479200000002</v>
      </c>
      <c r="E560" s="12">
        <f>14.4076 * CHOOSE( CONTROL!$C$12, $D$11, 100%, $F$11)</f>
        <v>11.583710400000001</v>
      </c>
      <c r="F560" s="4">
        <f>15.4035 * CHOOSE(CONTROL!$C$12, $D$11, 100%, $F$11)</f>
        <v>12.384414</v>
      </c>
      <c r="G560" s="8">
        <f>14.0277 * CHOOSE( CONTROL!$C$12, $D$11, 100%, $F$11)</f>
        <v>11.2782708</v>
      </c>
      <c r="H560" s="4">
        <f>14.9386 * CHOOSE(CONTROL!$C$12, $D$11, 100%, $F$11)</f>
        <v>12.010634400000001</v>
      </c>
      <c r="I560" s="8">
        <f>13.8448 * CHOOSE(CONTROL!$C$12, $D$11, 100%, $F$11)</f>
        <v>11.1312192</v>
      </c>
      <c r="J560" s="4">
        <f>13.7897 * CHOOSE(CONTROL!$C$12, $D$11, 100%, $F$11)</f>
        <v>11.086918800000001</v>
      </c>
      <c r="K560" s="4"/>
      <c r="L560" s="9">
        <v>27.988800000000001</v>
      </c>
      <c r="M560" s="9">
        <v>11.6745</v>
      </c>
      <c r="N560" s="9">
        <v>4.7850000000000001</v>
      </c>
      <c r="O560" s="9">
        <v>0.36249999999999999</v>
      </c>
      <c r="P560" s="9">
        <v>1.1798</v>
      </c>
      <c r="Q560" s="9">
        <v>19.053000000000001</v>
      </c>
      <c r="R560" s="9"/>
      <c r="S560" s="11"/>
    </row>
    <row r="561" spans="1:19" ht="15.75">
      <c r="A561" s="13">
        <v>58957</v>
      </c>
      <c r="B561" s="8">
        <f>CHOOSE( CONTROL!$C$29, 14.7844, 14.7797) * CHOOSE(CONTROL!$C$12, $D$11, 100%, $F$11)</f>
        <v>11.886657600000001</v>
      </c>
      <c r="C561" s="8">
        <f>CHOOSE( CONTROL!$C$29, 14.7948, 14.7901) * CHOOSE(CONTROL!$C$12, $D$11, 100%, $F$11)</f>
        <v>11.895019200000002</v>
      </c>
      <c r="D561" s="8">
        <f>CHOOSE( CONTROL!$C$29, 14.7728, 14.768) * CHOOSE( CONTROL!$C$12, $D$11, 100%, $F$11)</f>
        <v>11.8773312</v>
      </c>
      <c r="E561" s="12">
        <f>CHOOSE( CONTROL!$C$29, 14.7792, 14.7744) * CHOOSE( CONTROL!$C$12, $D$11, 100%, $F$11)</f>
        <v>11.882476800000001</v>
      </c>
      <c r="F561" s="4">
        <f>CHOOSE( CONTROL!$C$29, 15.7593, 15.7546) * CHOOSE(CONTROL!$C$12, $D$11, 100%, $F$11)</f>
        <v>12.670477200000001</v>
      </c>
      <c r="G561" s="8">
        <f>CHOOSE( CONTROL!$C$29, 14.3874, 14.3828) * CHOOSE( CONTROL!$C$12, $D$11, 100%, $F$11)</f>
        <v>11.567469600000001</v>
      </c>
      <c r="H561" s="4">
        <f>CHOOSE( CONTROL!$C$29, 15.2854, 15.2809) * CHOOSE(CONTROL!$C$12, $D$11, 100%, $F$11)</f>
        <v>12.289461600000001</v>
      </c>
      <c r="I561" s="8">
        <f>CHOOSE( CONTROL!$C$29, 14.1954, 14.1909) * CHOOSE(CONTROL!$C$12, $D$11, 100%, $F$11)</f>
        <v>11.413101600000001</v>
      </c>
      <c r="J561" s="4">
        <f>CHOOSE( CONTROL!$C$29, 14.1616, 14.1571) * CHOOSE(CONTROL!$C$12, $D$11, 100%, $F$11)</f>
        <v>11.385926400000001</v>
      </c>
      <c r="K561" s="4"/>
      <c r="L561" s="9">
        <v>29.520499999999998</v>
      </c>
      <c r="M561" s="9">
        <v>12.063700000000001</v>
      </c>
      <c r="N561" s="9">
        <v>4.9444999999999997</v>
      </c>
      <c r="O561" s="9">
        <v>0.37459999999999999</v>
      </c>
      <c r="P561" s="9">
        <v>1.2192000000000001</v>
      </c>
      <c r="Q561" s="9">
        <v>19.688099999999999</v>
      </c>
      <c r="R561" s="9"/>
      <c r="S561" s="11"/>
    </row>
    <row r="562" spans="1:19" ht="15.75">
      <c r="A562" s="13">
        <v>58987</v>
      </c>
      <c r="B562" s="8">
        <f>CHOOSE( CONTROL!$C$29, 14.5468, 14.5421) * CHOOSE(CONTROL!$C$12, $D$11, 100%, $F$11)</f>
        <v>11.695627200000001</v>
      </c>
      <c r="C562" s="8">
        <f>CHOOSE( CONTROL!$C$29, 14.5573, 14.5526) * CHOOSE(CONTROL!$C$12, $D$11, 100%, $F$11)</f>
        <v>11.704069200000001</v>
      </c>
      <c r="D562" s="8">
        <f>CHOOSE( CONTROL!$C$29, 14.5296, 14.5249) * CHOOSE( CONTROL!$C$12, $D$11, 100%, $F$11)</f>
        <v>11.681798400000002</v>
      </c>
      <c r="E562" s="12">
        <f>CHOOSE( CONTROL!$C$29, 14.538, 14.5333) * CHOOSE( CONTROL!$C$12, $D$11, 100%, $F$11)</f>
        <v>11.688552000000001</v>
      </c>
      <c r="F562" s="4">
        <f>CHOOSE( CONTROL!$C$29, 15.5113, 15.5066) * CHOOSE(CONTROL!$C$12, $D$11, 100%, $F$11)</f>
        <v>12.471085200000001</v>
      </c>
      <c r="G562" s="8">
        <f>CHOOSE( CONTROL!$C$29, 14.1546, 14.15) * CHOOSE( CONTROL!$C$12, $D$11, 100%, $F$11)</f>
        <v>11.380298400000001</v>
      </c>
      <c r="H562" s="4">
        <f>CHOOSE( CONTROL!$C$29, 15.0437, 15.0391) * CHOOSE(CONTROL!$C$12, $D$11, 100%, $F$11)</f>
        <v>12.0951348</v>
      </c>
      <c r="I562" s="8">
        <f>CHOOSE( CONTROL!$C$29, 13.9698, 13.9653) * CHOOSE(CONTROL!$C$12, $D$11, 100%, $F$11)</f>
        <v>11.231719200000001</v>
      </c>
      <c r="J562" s="4">
        <f>CHOOSE( CONTROL!$C$29, 13.934, 13.9295) * CHOOSE(CONTROL!$C$12, $D$11, 100%, $F$11)</f>
        <v>11.202935999999999</v>
      </c>
      <c r="K562" s="4"/>
      <c r="L562" s="9">
        <v>28.568200000000001</v>
      </c>
      <c r="M562" s="9">
        <v>11.6745</v>
      </c>
      <c r="N562" s="9">
        <v>4.7850000000000001</v>
      </c>
      <c r="O562" s="9">
        <v>0.36249999999999999</v>
      </c>
      <c r="P562" s="9">
        <v>1.1798</v>
      </c>
      <c r="Q562" s="9">
        <v>19.053000000000001</v>
      </c>
      <c r="R562" s="9"/>
      <c r="S562" s="11"/>
    </row>
    <row r="563" spans="1:19" ht="15.75">
      <c r="A563" s="13">
        <v>59018</v>
      </c>
      <c r="B563" s="8">
        <f>CHOOSE( CONTROL!$C$29, 15.1724, 15.1677) * CHOOSE(CONTROL!$C$12, $D$11, 100%, $F$11)</f>
        <v>12.198609600000001</v>
      </c>
      <c r="C563" s="8">
        <f>CHOOSE( CONTROL!$C$29, 15.1828, 15.1781) * CHOOSE(CONTROL!$C$12, $D$11, 100%, $F$11)</f>
        <v>12.206971200000002</v>
      </c>
      <c r="D563" s="8">
        <f>CHOOSE( CONTROL!$C$29, 15.1743, 15.1696) * CHOOSE( CONTROL!$C$12, $D$11, 100%, $F$11)</f>
        <v>12.2001372</v>
      </c>
      <c r="E563" s="12">
        <f>CHOOSE( CONTROL!$C$29, 15.1758, 15.1711) * CHOOSE( CONTROL!$C$12, $D$11, 100%, $F$11)</f>
        <v>12.201343200000002</v>
      </c>
      <c r="F563" s="4">
        <f>CHOOSE( CONTROL!$C$29, 16.164, 16.1593) * CHOOSE(CONTROL!$C$12, $D$11, 100%, $F$11)</f>
        <v>12.995856000000002</v>
      </c>
      <c r="G563" s="8">
        <f>CHOOSE( CONTROL!$C$29, 14.7771, 14.7725) * CHOOSE( CONTROL!$C$12, $D$11, 100%, $F$11)</f>
        <v>11.880788400000002</v>
      </c>
      <c r="H563" s="4">
        <f>CHOOSE( CONTROL!$C$29, 15.6799, 15.6753) * CHOOSE(CONTROL!$C$12, $D$11, 100%, $F$11)</f>
        <v>12.606639600000001</v>
      </c>
      <c r="I563" s="8">
        <f>CHOOSE( CONTROL!$C$29, 14.5923, 14.5878) * CHOOSE(CONTROL!$C$12, $D$11, 100%, $F$11)</f>
        <v>11.7322092</v>
      </c>
      <c r="J563" s="4">
        <f>CHOOSE( CONTROL!$C$29, 14.5334, 14.5289) * CHOOSE(CONTROL!$C$12, $D$11, 100%, $F$11)</f>
        <v>11.6848536</v>
      </c>
      <c r="K563" s="4"/>
      <c r="L563" s="9">
        <v>29.520499999999998</v>
      </c>
      <c r="M563" s="9">
        <v>12.063700000000001</v>
      </c>
      <c r="N563" s="9">
        <v>4.9444999999999997</v>
      </c>
      <c r="O563" s="9">
        <v>0.37459999999999999</v>
      </c>
      <c r="P563" s="9">
        <v>1.2192000000000001</v>
      </c>
      <c r="Q563" s="9">
        <v>19.688099999999999</v>
      </c>
      <c r="R563" s="9"/>
      <c r="S563" s="11"/>
    </row>
    <row r="564" spans="1:19" ht="15.75">
      <c r="A564" s="13">
        <v>59049</v>
      </c>
      <c r="B564" s="8">
        <f>CHOOSE( CONTROL!$C$29, 14.0019, 13.9972) * CHOOSE(CONTROL!$C$12, $D$11, 100%, $F$11)</f>
        <v>11.2575276</v>
      </c>
      <c r="C564" s="8">
        <f>CHOOSE( CONTROL!$C$29, 14.0123, 14.0076) * CHOOSE(CONTROL!$C$12, $D$11, 100%, $F$11)</f>
        <v>11.2658892</v>
      </c>
      <c r="D564" s="8">
        <f>CHOOSE( CONTROL!$C$29, 14.0072, 14.0025) * CHOOSE( CONTROL!$C$12, $D$11, 100%, $F$11)</f>
        <v>11.2617888</v>
      </c>
      <c r="E564" s="12">
        <f>CHOOSE( CONTROL!$C$29, 14.0075, 14.0028) * CHOOSE( CONTROL!$C$12, $D$11, 100%, $F$11)</f>
        <v>11.262030000000001</v>
      </c>
      <c r="F564" s="4">
        <f>CHOOSE( CONTROL!$C$29, 14.9987, 14.994) * CHOOSE(CONTROL!$C$12, $D$11, 100%, $F$11)</f>
        <v>12.0589548</v>
      </c>
      <c r="G564" s="8">
        <f>CHOOSE( CONTROL!$C$29, 13.6383, 13.6337) * CHOOSE( CONTROL!$C$12, $D$11, 100%, $F$11)</f>
        <v>10.9651932</v>
      </c>
      <c r="H564" s="4">
        <f>CHOOSE( CONTROL!$C$29, 14.5441, 14.5395) * CHOOSE(CONTROL!$C$12, $D$11, 100%, $F$11)</f>
        <v>11.693456400000001</v>
      </c>
      <c r="I564" s="8">
        <f>CHOOSE( CONTROL!$C$29, 13.4748, 13.4703) * CHOOSE(CONTROL!$C$12, $D$11, 100%, $F$11)</f>
        <v>10.8337392</v>
      </c>
      <c r="J564" s="4">
        <f>CHOOSE( CONTROL!$C$29, 13.4119, 13.4074) * CHOOSE(CONTROL!$C$12, $D$11, 100%, $F$11)</f>
        <v>10.783167600000001</v>
      </c>
      <c r="K564" s="4"/>
      <c r="L564" s="9">
        <v>29.520499999999998</v>
      </c>
      <c r="M564" s="9">
        <v>12.063700000000001</v>
      </c>
      <c r="N564" s="9">
        <v>4.9444999999999997</v>
      </c>
      <c r="O564" s="9">
        <v>0.37459999999999999</v>
      </c>
      <c r="P564" s="9">
        <v>1.2192000000000001</v>
      </c>
      <c r="Q564" s="9">
        <v>19.688099999999999</v>
      </c>
      <c r="R564" s="9"/>
      <c r="S564" s="11"/>
    </row>
    <row r="565" spans="1:19" ht="15.75">
      <c r="A565" s="13">
        <v>59079</v>
      </c>
      <c r="B565" s="8">
        <f>CHOOSE( CONTROL!$C$29, 13.7088, 13.7041) * CHOOSE(CONTROL!$C$12, $D$11, 100%, $F$11)</f>
        <v>11.0218752</v>
      </c>
      <c r="C565" s="8">
        <f>CHOOSE( CONTROL!$C$29, 13.7193, 13.7146) * CHOOSE(CONTROL!$C$12, $D$11, 100%, $F$11)</f>
        <v>11.030317200000001</v>
      </c>
      <c r="D565" s="8">
        <f>CHOOSE( CONTROL!$C$29, 13.7099, 13.7052) * CHOOSE( CONTROL!$C$12, $D$11, 100%, $F$11)</f>
        <v>11.022759600000001</v>
      </c>
      <c r="E565" s="12">
        <f>CHOOSE( CONTROL!$C$29, 13.7117, 13.707) * CHOOSE( CONTROL!$C$12, $D$11, 100%, $F$11)</f>
        <v>11.024206800000002</v>
      </c>
      <c r="F565" s="4">
        <f>CHOOSE( CONTROL!$C$29, 14.6978, 14.6931) * CHOOSE(CONTROL!$C$12, $D$11, 100%, $F$11)</f>
        <v>11.817031200000001</v>
      </c>
      <c r="G565" s="8">
        <f>CHOOSE( CONTROL!$C$29, 13.3513, 13.3467) * CHOOSE( CONTROL!$C$12, $D$11, 100%, $F$11)</f>
        <v>10.734445200000001</v>
      </c>
      <c r="H565" s="4">
        <f>CHOOSE( CONTROL!$C$29, 14.2508, 14.2462) * CHOOSE(CONTROL!$C$12, $D$11, 100%, $F$11)</f>
        <v>11.457643200000001</v>
      </c>
      <c r="I565" s="8">
        <f>CHOOSE( CONTROL!$C$29, 13.1951, 13.1906) * CHOOSE(CONTROL!$C$12, $D$11, 100%, $F$11)</f>
        <v>10.608860400000001</v>
      </c>
      <c r="J565" s="4">
        <f>CHOOSE( CONTROL!$C$29, 13.131, 13.1265) * CHOOSE(CONTROL!$C$12, $D$11, 100%, $F$11)</f>
        <v>10.557324000000001</v>
      </c>
      <c r="K565" s="4"/>
      <c r="L565" s="9">
        <v>28.568200000000001</v>
      </c>
      <c r="M565" s="9">
        <v>11.6745</v>
      </c>
      <c r="N565" s="9">
        <v>4.7850000000000001</v>
      </c>
      <c r="O565" s="9">
        <v>0.36249999999999999</v>
      </c>
      <c r="P565" s="9">
        <v>1.1798</v>
      </c>
      <c r="Q565" s="9">
        <v>19.053000000000001</v>
      </c>
      <c r="R565" s="9"/>
      <c r="S565" s="11"/>
    </row>
    <row r="566" spans="1:19" ht="15.75">
      <c r="A566" s="13">
        <v>59110</v>
      </c>
      <c r="B566" s="8">
        <f>14.3127 * CHOOSE(CONTROL!$C$12, $D$11, 100%, $F$11)</f>
        <v>11.507410800000001</v>
      </c>
      <c r="C566" s="8">
        <f>14.3231 * CHOOSE(CONTROL!$C$12, $D$11, 100%, $F$11)</f>
        <v>11.515772400000001</v>
      </c>
      <c r="D566" s="8">
        <f>14.3147 * CHOOSE( CONTROL!$C$12, $D$11, 100%, $F$11)</f>
        <v>11.509018800000002</v>
      </c>
      <c r="E566" s="12">
        <f>14.3164 * CHOOSE( CONTROL!$C$12, $D$11, 100%, $F$11)</f>
        <v>11.510385600000001</v>
      </c>
      <c r="F566" s="4">
        <f>15.3017 * CHOOSE(CONTROL!$C$12, $D$11, 100%, $F$11)</f>
        <v>12.302566800000001</v>
      </c>
      <c r="G566" s="8">
        <f>13.9395 * CHOOSE( CONTROL!$C$12, $D$11, 100%, $F$11)</f>
        <v>11.207358000000001</v>
      </c>
      <c r="H566" s="4">
        <f>14.8394 * CHOOSE(CONTROL!$C$12, $D$11, 100%, $F$11)</f>
        <v>11.930877600000001</v>
      </c>
      <c r="I566" s="8">
        <f>13.7761 * CHOOSE(CONTROL!$C$12, $D$11, 100%, $F$11)</f>
        <v>11.075984400000001</v>
      </c>
      <c r="J566" s="4">
        <f>13.7097 * CHOOSE(CONTROL!$C$12, $D$11, 100%, $F$11)</f>
        <v>11.022598800000001</v>
      </c>
      <c r="K566" s="4"/>
      <c r="L566" s="9">
        <v>28.921800000000001</v>
      </c>
      <c r="M566" s="9">
        <v>12.063700000000001</v>
      </c>
      <c r="N566" s="9">
        <v>4.9444999999999997</v>
      </c>
      <c r="O566" s="9">
        <v>0.37459999999999999</v>
      </c>
      <c r="P566" s="9">
        <v>1.2192000000000001</v>
      </c>
      <c r="Q566" s="9">
        <v>19.688099999999999</v>
      </c>
      <c r="R566" s="9"/>
      <c r="S566" s="11"/>
    </row>
    <row r="567" spans="1:19" ht="15.75">
      <c r="A567" s="13">
        <v>59140</v>
      </c>
      <c r="B567" s="8">
        <f>15.436 * CHOOSE(CONTROL!$C$12, $D$11, 100%, $F$11)</f>
        <v>12.410544000000002</v>
      </c>
      <c r="C567" s="8">
        <f>15.4464 * CHOOSE(CONTROL!$C$12, $D$11, 100%, $F$11)</f>
        <v>12.4189056</v>
      </c>
      <c r="D567" s="8">
        <f>15.4267 * CHOOSE( CONTROL!$C$12, $D$11, 100%, $F$11)</f>
        <v>12.403066800000001</v>
      </c>
      <c r="E567" s="12">
        <f>15.4328 * CHOOSE( CONTROL!$C$12, $D$11, 100%, $F$11)</f>
        <v>12.4079712</v>
      </c>
      <c r="F567" s="4">
        <f>16.4276 * CHOOSE(CONTROL!$C$12, $D$11, 100%, $F$11)</f>
        <v>13.207790400000002</v>
      </c>
      <c r="G567" s="8">
        <f>15.0535 * CHOOSE( CONTROL!$C$12, $D$11, 100%, $F$11)</f>
        <v>12.103014</v>
      </c>
      <c r="H567" s="4">
        <f>15.9369 * CHOOSE(CONTROL!$C$12, $D$11, 100%, $F$11)</f>
        <v>12.8132676</v>
      </c>
      <c r="I567" s="8">
        <f>14.8832 * CHOOSE(CONTROL!$C$12, $D$11, 100%, $F$11)</f>
        <v>11.9660928</v>
      </c>
      <c r="J567" s="4">
        <f>14.786 * CHOOSE(CONTROL!$C$12, $D$11, 100%, $F$11)</f>
        <v>11.887944000000001</v>
      </c>
      <c r="K567" s="4"/>
      <c r="L567" s="9">
        <v>26.515499999999999</v>
      </c>
      <c r="M567" s="9">
        <v>11.6745</v>
      </c>
      <c r="N567" s="9">
        <v>4.7850000000000001</v>
      </c>
      <c r="O567" s="9">
        <v>0.36249999999999999</v>
      </c>
      <c r="P567" s="9">
        <v>1.2522</v>
      </c>
      <c r="Q567" s="9">
        <v>19.053000000000001</v>
      </c>
      <c r="R567" s="9"/>
      <c r="S567" s="11"/>
    </row>
    <row r="568" spans="1:19" ht="15.75">
      <c r="A568" s="13">
        <v>59171</v>
      </c>
      <c r="B568" s="8">
        <f>15.4079 * CHOOSE(CONTROL!$C$12, $D$11, 100%, $F$11)</f>
        <v>12.387951600000001</v>
      </c>
      <c r="C568" s="8">
        <f>15.4183 * CHOOSE(CONTROL!$C$12, $D$11, 100%, $F$11)</f>
        <v>12.396313200000002</v>
      </c>
      <c r="D568" s="8">
        <f>15.4005 * CHOOSE( CONTROL!$C$12, $D$11, 100%, $F$11)</f>
        <v>12.382002</v>
      </c>
      <c r="E568" s="12">
        <f>15.4059 * CHOOSE( CONTROL!$C$12, $D$11, 100%, $F$11)</f>
        <v>12.386343600000002</v>
      </c>
      <c r="F568" s="4">
        <f>16.3995 * CHOOSE(CONTROL!$C$12, $D$11, 100%, $F$11)</f>
        <v>13.185198</v>
      </c>
      <c r="G568" s="8">
        <f>15.0276 * CHOOSE( CONTROL!$C$12, $D$11, 100%, $F$11)</f>
        <v>12.0821904</v>
      </c>
      <c r="H568" s="4">
        <f>15.9095 * CHOOSE(CONTROL!$C$12, $D$11, 100%, $F$11)</f>
        <v>12.791238</v>
      </c>
      <c r="I568" s="8">
        <f>14.8631 * CHOOSE(CONTROL!$C$12, $D$11, 100%, $F$11)</f>
        <v>11.9499324</v>
      </c>
      <c r="J568" s="4">
        <f>14.7591 * CHOOSE(CONTROL!$C$12, $D$11, 100%, $F$11)</f>
        <v>11.866316400000001</v>
      </c>
      <c r="K568" s="4"/>
      <c r="L568" s="9">
        <v>27.3993</v>
      </c>
      <c r="M568" s="9">
        <v>12.063700000000001</v>
      </c>
      <c r="N568" s="9">
        <v>4.9444999999999997</v>
      </c>
      <c r="O568" s="9">
        <v>0.37459999999999999</v>
      </c>
      <c r="P568" s="9">
        <v>1.2939000000000001</v>
      </c>
      <c r="Q568" s="9">
        <v>19.688099999999999</v>
      </c>
      <c r="R568" s="9"/>
      <c r="S568" s="11"/>
    </row>
    <row r="569" spans="1:19" ht="15.75">
      <c r="A569" s="13">
        <v>59202</v>
      </c>
      <c r="B569" s="8">
        <f>15.9966 * CHOOSE(CONTROL!$C$12, $D$11, 100%, $F$11)</f>
        <v>12.861266400000002</v>
      </c>
      <c r="C569" s="8">
        <f>16.007 * CHOOSE(CONTROL!$C$12, $D$11, 100%, $F$11)</f>
        <v>12.869628000000002</v>
      </c>
      <c r="D569" s="8">
        <f>16.0047 * CHOOSE( CONTROL!$C$12, $D$11, 100%, $F$11)</f>
        <v>12.8677788</v>
      </c>
      <c r="E569" s="12">
        <f>16.0044 * CHOOSE( CONTROL!$C$12, $D$11, 100%, $F$11)</f>
        <v>12.8675376</v>
      </c>
      <c r="F569" s="4">
        <f>17.0195 * CHOOSE(CONTROL!$C$12, $D$11, 100%, $F$11)</f>
        <v>13.683678000000002</v>
      </c>
      <c r="G569" s="8">
        <f>15.6205 * CHOOSE( CONTROL!$C$12, $D$11, 100%, $F$11)</f>
        <v>12.558882000000001</v>
      </c>
      <c r="H569" s="4">
        <f>16.5139 * CHOOSE(CONTROL!$C$12, $D$11, 100%, $F$11)</f>
        <v>13.2771756</v>
      </c>
      <c r="I569" s="8">
        <f>15.4394 * CHOOSE(CONTROL!$C$12, $D$11, 100%, $F$11)</f>
        <v>12.413277600000001</v>
      </c>
      <c r="J569" s="4">
        <f>15.3232 * CHOOSE(CONTROL!$C$12, $D$11, 100%, $F$11)</f>
        <v>12.319852800000001</v>
      </c>
      <c r="K569" s="4"/>
      <c r="L569" s="9">
        <v>27.3993</v>
      </c>
      <c r="M569" s="9">
        <v>12.063700000000001</v>
      </c>
      <c r="N569" s="9">
        <v>4.9444999999999997</v>
      </c>
      <c r="O569" s="9">
        <v>0.37459999999999999</v>
      </c>
      <c r="P569" s="9">
        <v>1.2939000000000001</v>
      </c>
      <c r="Q569" s="9">
        <v>19.688099999999999</v>
      </c>
      <c r="R569" s="9"/>
      <c r="S569" s="11"/>
    </row>
    <row r="570" spans="1:19" ht="15.75">
      <c r="A570" s="13">
        <v>59230</v>
      </c>
      <c r="B570" s="8">
        <f>14.9628 * CHOOSE(CONTROL!$C$12, $D$11, 100%, $F$11)</f>
        <v>12.030091200000001</v>
      </c>
      <c r="C570" s="8">
        <f>14.9732 * CHOOSE(CONTROL!$C$12, $D$11, 100%, $F$11)</f>
        <v>12.038452800000002</v>
      </c>
      <c r="D570" s="8">
        <f>14.9732 * CHOOSE( CONTROL!$C$12, $D$11, 100%, $F$11)</f>
        <v>12.038452800000002</v>
      </c>
      <c r="E570" s="12">
        <f>14.9721 * CHOOSE( CONTROL!$C$12, $D$11, 100%, $F$11)</f>
        <v>12.0375684</v>
      </c>
      <c r="F570" s="4">
        <f>15.9778 * CHOOSE(CONTROL!$C$12, $D$11, 100%, $F$11)</f>
        <v>12.846151200000001</v>
      </c>
      <c r="G570" s="8">
        <f>14.6126 * CHOOSE( CONTROL!$C$12, $D$11, 100%, $F$11)</f>
        <v>11.748530400000002</v>
      </c>
      <c r="H570" s="4">
        <f>15.4985 * CHOOSE(CONTROL!$C$12, $D$11, 100%, $F$11)</f>
        <v>12.460794</v>
      </c>
      <c r="I570" s="8">
        <f>14.4374 * CHOOSE(CONTROL!$C$12, $D$11, 100%, $F$11)</f>
        <v>11.607669600000001</v>
      </c>
      <c r="J570" s="4">
        <f>14.3326 * CHOOSE(CONTROL!$C$12, $D$11, 100%, $F$11)</f>
        <v>11.523410399999999</v>
      </c>
      <c r="K570" s="4"/>
      <c r="L570" s="9">
        <v>24.747800000000002</v>
      </c>
      <c r="M570" s="9">
        <v>10.8962</v>
      </c>
      <c r="N570" s="9">
        <v>4.4660000000000002</v>
      </c>
      <c r="O570" s="9">
        <v>0.33829999999999999</v>
      </c>
      <c r="P570" s="9">
        <v>1.1687000000000001</v>
      </c>
      <c r="Q570" s="9">
        <v>17.782800000000002</v>
      </c>
      <c r="R570" s="9"/>
      <c r="S570" s="11"/>
    </row>
    <row r="571" spans="1:19" ht="15.75">
      <c r="A571" s="13">
        <v>59261</v>
      </c>
      <c r="B571" s="8">
        <f>14.6443 * CHOOSE(CONTROL!$C$12, $D$11, 100%, $F$11)</f>
        <v>11.774017199999999</v>
      </c>
      <c r="C571" s="8">
        <f>14.6548 * CHOOSE(CONTROL!$C$12, $D$11, 100%, $F$11)</f>
        <v>11.7824592</v>
      </c>
      <c r="D571" s="8">
        <f>14.6346 * CHOOSE( CONTROL!$C$12, $D$11, 100%, $F$11)</f>
        <v>11.766218400000001</v>
      </c>
      <c r="E571" s="12">
        <f>14.6409 * CHOOSE( CONTROL!$C$12, $D$11, 100%, $F$11)</f>
        <v>11.7712836</v>
      </c>
      <c r="F571" s="4">
        <f>15.6432 * CHOOSE(CONTROL!$C$12, $D$11, 100%, $F$11)</f>
        <v>12.577132800000001</v>
      </c>
      <c r="G571" s="8">
        <f>14.2817 * CHOOSE( CONTROL!$C$12, $D$11, 100%, $F$11)</f>
        <v>11.482486800000002</v>
      </c>
      <c r="H571" s="4">
        <f>15.1723 * CHOOSE(CONTROL!$C$12, $D$11, 100%, $F$11)</f>
        <v>12.198529200000001</v>
      </c>
      <c r="I571" s="8">
        <f>14.0926 * CHOOSE(CONTROL!$C$12, $D$11, 100%, $F$11)</f>
        <v>11.3304504</v>
      </c>
      <c r="J571" s="4">
        <f>14.0275 * CHOOSE(CONTROL!$C$12, $D$11, 100%, $F$11)</f>
        <v>11.27811</v>
      </c>
      <c r="K571" s="4"/>
      <c r="L571" s="9">
        <v>27.3993</v>
      </c>
      <c r="M571" s="9">
        <v>12.063700000000001</v>
      </c>
      <c r="N571" s="9">
        <v>4.9444999999999997</v>
      </c>
      <c r="O571" s="9">
        <v>0.37459999999999999</v>
      </c>
      <c r="P571" s="9">
        <v>1.2939000000000001</v>
      </c>
      <c r="Q571" s="9">
        <v>19.688099999999999</v>
      </c>
      <c r="R571" s="9"/>
      <c r="S571" s="11"/>
    </row>
    <row r="572" spans="1:19" ht="15.75">
      <c r="A572" s="13">
        <v>59291</v>
      </c>
      <c r="B572" s="8">
        <f>14.8668 * CHOOSE(CONTROL!$C$12, $D$11, 100%, $F$11)</f>
        <v>11.9529072</v>
      </c>
      <c r="C572" s="8">
        <f>14.8773 * CHOOSE(CONTROL!$C$12, $D$11, 100%, $F$11)</f>
        <v>11.961349200000001</v>
      </c>
      <c r="D572" s="8">
        <f>14.8805 * CHOOSE( CONTROL!$C$12, $D$11, 100%, $F$11)</f>
        <v>11.963922</v>
      </c>
      <c r="E572" s="12">
        <f>14.8782 * CHOOSE( CONTROL!$C$12, $D$11, 100%, $F$11)</f>
        <v>11.9620728</v>
      </c>
      <c r="F572" s="4">
        <f>15.8741 * CHOOSE(CONTROL!$C$12, $D$11, 100%, $F$11)</f>
        <v>12.762776400000002</v>
      </c>
      <c r="G572" s="8">
        <f>14.4865 * CHOOSE( CONTROL!$C$12, $D$11, 100%, $F$11)</f>
        <v>11.647146000000001</v>
      </c>
      <c r="H572" s="4">
        <f>15.3974 * CHOOSE(CONTROL!$C$12, $D$11, 100%, $F$11)</f>
        <v>12.3795096</v>
      </c>
      <c r="I572" s="8">
        <f>14.296 * CHOOSE(CONTROL!$C$12, $D$11, 100%, $F$11)</f>
        <v>11.493983999999999</v>
      </c>
      <c r="J572" s="4">
        <f>14.2407 * CHOOSE(CONTROL!$C$12, $D$11, 100%, $F$11)</f>
        <v>11.4495228</v>
      </c>
      <c r="K572" s="4"/>
      <c r="L572" s="9">
        <v>27.988800000000001</v>
      </c>
      <c r="M572" s="9">
        <v>11.6745</v>
      </c>
      <c r="N572" s="9">
        <v>4.7850000000000001</v>
      </c>
      <c r="O572" s="9">
        <v>0.36249999999999999</v>
      </c>
      <c r="P572" s="9">
        <v>1.1798</v>
      </c>
      <c r="Q572" s="9">
        <v>19.053000000000001</v>
      </c>
      <c r="R572" s="9"/>
      <c r="S572" s="11"/>
    </row>
    <row r="573" spans="1:19" ht="15.75">
      <c r="A573" s="13">
        <v>59322</v>
      </c>
      <c r="B573" s="8">
        <f>CHOOSE( CONTROL!$C$29, 15.2676, 15.2628) * CHOOSE(CONTROL!$C$12, $D$11, 100%, $F$11)</f>
        <v>12.275150400000001</v>
      </c>
      <c r="C573" s="8">
        <f>CHOOSE( CONTROL!$C$29, 15.278, 15.2733) * CHOOSE(CONTROL!$C$12, $D$11, 100%, $F$11)</f>
        <v>12.283512000000002</v>
      </c>
      <c r="D573" s="8">
        <f>CHOOSE( CONTROL!$C$29, 15.2559, 15.2512) * CHOOSE( CONTROL!$C$12, $D$11, 100%, $F$11)</f>
        <v>12.2657436</v>
      </c>
      <c r="E573" s="12">
        <f>CHOOSE( CONTROL!$C$29, 15.2623, 15.2576) * CHOOSE( CONTROL!$C$12, $D$11, 100%, $F$11)</f>
        <v>12.270889200000001</v>
      </c>
      <c r="F573" s="4">
        <f>CHOOSE( CONTROL!$C$29, 16.2425, 16.2378) * CHOOSE(CONTROL!$C$12, $D$11, 100%, $F$11)</f>
        <v>13.05897</v>
      </c>
      <c r="G573" s="8">
        <f>CHOOSE( CONTROL!$C$29, 14.8584, 14.8538) * CHOOSE( CONTROL!$C$12, $D$11, 100%, $F$11)</f>
        <v>11.946153600000001</v>
      </c>
      <c r="H573" s="4">
        <f>CHOOSE( CONTROL!$C$29, 15.7564, 15.7518) * CHOOSE(CONTROL!$C$12, $D$11, 100%, $F$11)</f>
        <v>12.668145600000001</v>
      </c>
      <c r="I573" s="8">
        <f>CHOOSE( CONTROL!$C$29, 14.6586, 14.6541) * CHOOSE(CONTROL!$C$12, $D$11, 100%, $F$11)</f>
        <v>11.7855144</v>
      </c>
      <c r="J573" s="4">
        <f>CHOOSE( CONTROL!$C$29, 14.6246, 14.6201) * CHOOSE(CONTROL!$C$12, $D$11, 100%, $F$11)</f>
        <v>11.7581784</v>
      </c>
      <c r="K573" s="4"/>
      <c r="L573" s="9">
        <v>29.520499999999998</v>
      </c>
      <c r="M573" s="9">
        <v>12.063700000000001</v>
      </c>
      <c r="N573" s="9">
        <v>4.9444999999999997</v>
      </c>
      <c r="O573" s="9">
        <v>0.37459999999999999</v>
      </c>
      <c r="P573" s="9">
        <v>1.2192000000000001</v>
      </c>
      <c r="Q573" s="9">
        <v>19.688099999999999</v>
      </c>
      <c r="R573" s="9"/>
      <c r="S573" s="11"/>
    </row>
    <row r="574" spans="1:19" ht="15.75">
      <c r="A574" s="13">
        <v>59352</v>
      </c>
      <c r="B574" s="8">
        <f>CHOOSE( CONTROL!$C$29, 15.0222, 15.0175) * CHOOSE(CONTROL!$C$12, $D$11, 100%, $F$11)</f>
        <v>12.0778488</v>
      </c>
      <c r="C574" s="8">
        <f>CHOOSE( CONTROL!$C$29, 15.0327, 15.028) * CHOOSE(CONTROL!$C$12, $D$11, 100%, $F$11)</f>
        <v>12.0862908</v>
      </c>
      <c r="D574" s="8">
        <f>CHOOSE( CONTROL!$C$29, 15.005, 15.0003) * CHOOSE( CONTROL!$C$12, $D$11, 100%, $F$11)</f>
        <v>12.064020000000001</v>
      </c>
      <c r="E574" s="12">
        <f>CHOOSE( CONTROL!$C$29, 15.0134, 15.0087) * CHOOSE( CONTROL!$C$12, $D$11, 100%, $F$11)</f>
        <v>12.070773600000001</v>
      </c>
      <c r="F574" s="4">
        <f>CHOOSE( CONTROL!$C$29, 15.9867, 15.982) * CHOOSE(CONTROL!$C$12, $D$11, 100%, $F$11)</f>
        <v>12.853306800000002</v>
      </c>
      <c r="G574" s="8">
        <f>CHOOSE( CONTROL!$C$29, 14.618, 14.6135) * CHOOSE( CONTROL!$C$12, $D$11, 100%, $F$11)</f>
        <v>11.752872000000002</v>
      </c>
      <c r="H574" s="4">
        <f>CHOOSE( CONTROL!$C$29, 15.5071, 15.5026) * CHOOSE(CONTROL!$C$12, $D$11, 100%, $F$11)</f>
        <v>12.467708400000001</v>
      </c>
      <c r="I574" s="8">
        <f>CHOOSE( CONTROL!$C$29, 14.4256, 14.4211) * CHOOSE(CONTROL!$C$12, $D$11, 100%, $F$11)</f>
        <v>11.598182400000001</v>
      </c>
      <c r="J574" s="4">
        <f>CHOOSE( CONTROL!$C$29, 14.3896, 14.385) * CHOOSE(CONTROL!$C$12, $D$11, 100%, $F$11)</f>
        <v>11.5692384</v>
      </c>
      <c r="K574" s="4"/>
      <c r="L574" s="9">
        <v>28.568200000000001</v>
      </c>
      <c r="M574" s="9">
        <v>11.6745</v>
      </c>
      <c r="N574" s="9">
        <v>4.7850000000000001</v>
      </c>
      <c r="O574" s="9">
        <v>0.36249999999999999</v>
      </c>
      <c r="P574" s="9">
        <v>1.1798</v>
      </c>
      <c r="Q574" s="9">
        <v>19.053000000000001</v>
      </c>
      <c r="R574" s="9"/>
      <c r="S574" s="11"/>
    </row>
    <row r="575" spans="1:19" ht="15.75">
      <c r="A575" s="13">
        <v>59383</v>
      </c>
      <c r="B575" s="8">
        <f>CHOOSE( CONTROL!$C$29, 15.6682, 15.6635) * CHOOSE(CONTROL!$C$12, $D$11, 100%, $F$11)</f>
        <v>12.5972328</v>
      </c>
      <c r="C575" s="8">
        <f>CHOOSE( CONTROL!$C$29, 15.6787, 15.674) * CHOOSE(CONTROL!$C$12, $D$11, 100%, $F$11)</f>
        <v>12.605674800000001</v>
      </c>
      <c r="D575" s="8">
        <f>CHOOSE( CONTROL!$C$29, 15.6702, 15.6655) * CHOOSE( CONTROL!$C$12, $D$11, 100%, $F$11)</f>
        <v>12.5988408</v>
      </c>
      <c r="E575" s="12">
        <f>CHOOSE( CONTROL!$C$29, 15.6717, 15.667) * CHOOSE( CONTROL!$C$12, $D$11, 100%, $F$11)</f>
        <v>12.600046800000001</v>
      </c>
      <c r="F575" s="4">
        <f>CHOOSE( CONTROL!$C$29, 16.6598, 16.6551) * CHOOSE(CONTROL!$C$12, $D$11, 100%, $F$11)</f>
        <v>13.394479200000001</v>
      </c>
      <c r="G575" s="8">
        <f>CHOOSE( CONTROL!$C$29, 15.2604, 15.2559) * CHOOSE( CONTROL!$C$12, $D$11, 100%, $F$11)</f>
        <v>12.269361600000002</v>
      </c>
      <c r="H575" s="4">
        <f>CHOOSE( CONTROL!$C$29, 16.1633, 16.1587) * CHOOSE(CONTROL!$C$12, $D$11, 100%, $F$11)</f>
        <v>12.995293200000001</v>
      </c>
      <c r="I575" s="8">
        <f>CHOOSE( CONTROL!$C$29, 15.0677, 15.0631) * CHOOSE(CONTROL!$C$12, $D$11, 100%, $F$11)</f>
        <v>12.114430800000001</v>
      </c>
      <c r="J575" s="4">
        <f>CHOOSE( CONTROL!$C$29, 15.0085, 15.004) * CHOOSE(CONTROL!$C$12, $D$11, 100%, $F$11)</f>
        <v>12.066834</v>
      </c>
      <c r="K575" s="4"/>
      <c r="L575" s="9">
        <v>29.520499999999998</v>
      </c>
      <c r="M575" s="9">
        <v>12.063700000000001</v>
      </c>
      <c r="N575" s="9">
        <v>4.9444999999999997</v>
      </c>
      <c r="O575" s="9">
        <v>0.37459999999999999</v>
      </c>
      <c r="P575" s="9">
        <v>1.2192000000000001</v>
      </c>
      <c r="Q575" s="9">
        <v>19.688099999999999</v>
      </c>
      <c r="R575" s="9"/>
      <c r="S575" s="11"/>
    </row>
    <row r="576" spans="1:19" ht="15.75">
      <c r="A576" s="13">
        <v>59414</v>
      </c>
      <c r="B576" s="8">
        <f>CHOOSE( CONTROL!$C$29, 14.4595, 14.4548) * CHOOSE(CONTROL!$C$12, $D$11, 100%, $F$11)</f>
        <v>11.625438000000001</v>
      </c>
      <c r="C576" s="8">
        <f>CHOOSE( CONTROL!$C$29, 14.4699, 14.4652) * CHOOSE(CONTROL!$C$12, $D$11, 100%, $F$11)</f>
        <v>11.633799600000001</v>
      </c>
      <c r="D576" s="8">
        <f>CHOOSE( CONTROL!$C$29, 14.4648, 14.4601) * CHOOSE( CONTROL!$C$12, $D$11, 100%, $F$11)</f>
        <v>11.629699200000001</v>
      </c>
      <c r="E576" s="12">
        <f>CHOOSE( CONTROL!$C$29, 14.4651, 14.4604) * CHOOSE( CONTROL!$C$12, $D$11, 100%, $F$11)</f>
        <v>11.629940400000001</v>
      </c>
      <c r="F576" s="4">
        <f>CHOOSE( CONTROL!$C$29, 15.4563, 15.4516) * CHOOSE(CONTROL!$C$12, $D$11, 100%, $F$11)</f>
        <v>12.426865200000002</v>
      </c>
      <c r="G576" s="8">
        <f>CHOOSE( CONTROL!$C$29, 14.0843, 14.0797) * CHOOSE( CONTROL!$C$12, $D$11, 100%, $F$11)</f>
        <v>11.323777200000002</v>
      </c>
      <c r="H576" s="4">
        <f>CHOOSE( CONTROL!$C$29, 14.9901, 14.9856) * CHOOSE(CONTROL!$C$12, $D$11, 100%, $F$11)</f>
        <v>12.052040400000001</v>
      </c>
      <c r="I576" s="8">
        <f>CHOOSE( CONTROL!$C$29, 13.9135, 13.909) * CHOOSE(CONTROL!$C$12, $D$11, 100%, $F$11)</f>
        <v>11.186454000000001</v>
      </c>
      <c r="J576" s="4">
        <f>CHOOSE( CONTROL!$C$29, 13.8503, 13.8458) * CHOOSE(CONTROL!$C$12, $D$11, 100%, $F$11)</f>
        <v>11.135641200000002</v>
      </c>
      <c r="K576" s="4"/>
      <c r="L576" s="9">
        <v>29.520499999999998</v>
      </c>
      <c r="M576" s="9">
        <v>12.063700000000001</v>
      </c>
      <c r="N576" s="9">
        <v>4.9444999999999997</v>
      </c>
      <c r="O576" s="9">
        <v>0.37459999999999999</v>
      </c>
      <c r="P576" s="9">
        <v>1.2192000000000001</v>
      </c>
      <c r="Q576" s="9">
        <v>19.688099999999999</v>
      </c>
      <c r="R576" s="9"/>
      <c r="S576" s="11"/>
    </row>
    <row r="577" spans="1:19" ht="15.75">
      <c r="A577" s="13">
        <v>59444</v>
      </c>
      <c r="B577" s="8">
        <f>CHOOSE( CONTROL!$C$29, 14.1568, 14.1521) * CHOOSE(CONTROL!$C$12, $D$11, 100%, $F$11)</f>
        <v>11.382067200000002</v>
      </c>
      <c r="C577" s="8">
        <f>CHOOSE( CONTROL!$C$29, 14.1673, 14.1626) * CHOOSE(CONTROL!$C$12, $D$11, 100%, $F$11)</f>
        <v>11.3905092</v>
      </c>
      <c r="D577" s="8">
        <f>CHOOSE( CONTROL!$C$29, 14.1579, 14.1532) * CHOOSE( CONTROL!$C$12, $D$11, 100%, $F$11)</f>
        <v>11.3829516</v>
      </c>
      <c r="E577" s="12">
        <f>CHOOSE( CONTROL!$C$29, 14.1597, 14.155) * CHOOSE( CONTROL!$C$12, $D$11, 100%, $F$11)</f>
        <v>11.384398800000001</v>
      </c>
      <c r="F577" s="4">
        <f>CHOOSE( CONTROL!$C$29, 15.1458, 15.1411) * CHOOSE(CONTROL!$C$12, $D$11, 100%, $F$11)</f>
        <v>12.1772232</v>
      </c>
      <c r="G577" s="8">
        <f>CHOOSE( CONTROL!$C$29, 13.788, 13.7834) * CHOOSE( CONTROL!$C$12, $D$11, 100%, $F$11)</f>
        <v>11.085552000000002</v>
      </c>
      <c r="H577" s="4">
        <f>CHOOSE( CONTROL!$C$29, 14.6875, 14.6829) * CHOOSE(CONTROL!$C$12, $D$11, 100%, $F$11)</f>
        <v>11.80875</v>
      </c>
      <c r="I577" s="8">
        <f>CHOOSE( CONTROL!$C$29, 13.6246, 13.6201) * CHOOSE(CONTROL!$C$12, $D$11, 100%, $F$11)</f>
        <v>10.9541784</v>
      </c>
      <c r="J577" s="4">
        <f>CHOOSE( CONTROL!$C$29, 13.5603, 13.5558) * CHOOSE(CONTROL!$C$12, $D$11, 100%, $F$11)</f>
        <v>10.9024812</v>
      </c>
      <c r="K577" s="4"/>
      <c r="L577" s="9">
        <v>28.568200000000001</v>
      </c>
      <c r="M577" s="9">
        <v>11.6745</v>
      </c>
      <c r="N577" s="9">
        <v>4.7850000000000001</v>
      </c>
      <c r="O577" s="9">
        <v>0.36249999999999999</v>
      </c>
      <c r="P577" s="9">
        <v>1.1798</v>
      </c>
      <c r="Q577" s="9">
        <v>19.053000000000001</v>
      </c>
      <c r="R577" s="9"/>
      <c r="S577" s="11"/>
    </row>
    <row r="578" spans="1:19" ht="15.75">
      <c r="A578" s="13">
        <v>59475</v>
      </c>
      <c r="B578" s="8">
        <f>14.7806 * CHOOSE(CONTROL!$C$12, $D$11, 100%, $F$11)</f>
        <v>11.883602400000001</v>
      </c>
      <c r="C578" s="8">
        <f>14.791 * CHOOSE(CONTROL!$C$12, $D$11, 100%, $F$11)</f>
        <v>11.891964000000002</v>
      </c>
      <c r="D578" s="8">
        <f>14.7826 * CHOOSE( CONTROL!$C$12, $D$11, 100%, $F$11)</f>
        <v>11.885210400000002</v>
      </c>
      <c r="E578" s="12">
        <f>14.7843 * CHOOSE( CONTROL!$C$12, $D$11, 100%, $F$11)</f>
        <v>11.886577200000001</v>
      </c>
      <c r="F578" s="4">
        <f>15.7696 * CHOOSE(CONTROL!$C$12, $D$11, 100%, $F$11)</f>
        <v>12.678758400000001</v>
      </c>
      <c r="G578" s="8">
        <f>14.3956 * CHOOSE( CONTROL!$C$12, $D$11, 100%, $F$11)</f>
        <v>11.574062400000001</v>
      </c>
      <c r="H578" s="4">
        <f>15.2955 * CHOOSE(CONTROL!$C$12, $D$11, 100%, $F$11)</f>
        <v>12.297582000000002</v>
      </c>
      <c r="I578" s="8">
        <f>14.2247 * CHOOSE(CONTROL!$C$12, $D$11, 100%, $F$11)</f>
        <v>11.436658800000002</v>
      </c>
      <c r="J578" s="4">
        <f>14.158 * CHOOSE(CONTROL!$C$12, $D$11, 100%, $F$11)</f>
        <v>11.383032</v>
      </c>
      <c r="K578" s="4"/>
      <c r="L578" s="9">
        <v>28.921800000000001</v>
      </c>
      <c r="M578" s="9">
        <v>12.063700000000001</v>
      </c>
      <c r="N578" s="9">
        <v>4.9444999999999997</v>
      </c>
      <c r="O578" s="9">
        <v>0.37459999999999999</v>
      </c>
      <c r="P578" s="9">
        <v>1.2192000000000001</v>
      </c>
      <c r="Q578" s="9">
        <v>19.688099999999999</v>
      </c>
      <c r="R578" s="9"/>
      <c r="S578" s="11"/>
    </row>
    <row r="579" spans="1:19" ht="15.75">
      <c r="A579" s="13">
        <v>59505</v>
      </c>
      <c r="B579" s="8">
        <f>15.9406 * CHOOSE(CONTROL!$C$12, $D$11, 100%, $F$11)</f>
        <v>12.8162424</v>
      </c>
      <c r="C579" s="8">
        <f>15.9511 * CHOOSE(CONTROL!$C$12, $D$11, 100%, $F$11)</f>
        <v>12.824684400000001</v>
      </c>
      <c r="D579" s="8">
        <f>15.9313 * CHOOSE( CONTROL!$C$12, $D$11, 100%, $F$11)</f>
        <v>12.808765200000002</v>
      </c>
      <c r="E579" s="12">
        <f>15.9374 * CHOOSE( CONTROL!$C$12, $D$11, 100%, $F$11)</f>
        <v>12.813669600000001</v>
      </c>
      <c r="F579" s="4">
        <f>16.9322 * CHOOSE(CONTROL!$C$12, $D$11, 100%, $F$11)</f>
        <v>13.613488800000002</v>
      </c>
      <c r="G579" s="8">
        <f>15.5454 * CHOOSE( CONTROL!$C$12, $D$11, 100%, $F$11)</f>
        <v>12.498501600000001</v>
      </c>
      <c r="H579" s="4">
        <f>16.4288 * CHOOSE(CONTROL!$C$12, $D$11, 100%, $F$11)</f>
        <v>13.208755200000001</v>
      </c>
      <c r="I579" s="8">
        <f>15.367 * CHOOSE(CONTROL!$C$12, $D$11, 100%, $F$11)</f>
        <v>12.355068000000001</v>
      </c>
      <c r="J579" s="4">
        <f>15.2695 * CHOOSE(CONTROL!$C$12, $D$11, 100%, $F$11)</f>
        <v>12.276678000000002</v>
      </c>
      <c r="K579" s="4"/>
      <c r="L579" s="9">
        <v>26.515499999999999</v>
      </c>
      <c r="M579" s="9">
        <v>11.6745</v>
      </c>
      <c r="N579" s="9">
        <v>4.7850000000000001</v>
      </c>
      <c r="O579" s="9">
        <v>0.36249999999999999</v>
      </c>
      <c r="P579" s="9">
        <v>1.2522</v>
      </c>
      <c r="Q579" s="9">
        <v>19.053000000000001</v>
      </c>
      <c r="R579" s="9"/>
      <c r="S579" s="11"/>
    </row>
    <row r="580" spans="1:19" ht="15.75">
      <c r="A580" s="13">
        <v>59536</v>
      </c>
      <c r="B580" s="8">
        <f>15.9116 * CHOOSE(CONTROL!$C$12, $D$11, 100%, $F$11)</f>
        <v>12.792926400000001</v>
      </c>
      <c r="C580" s="8">
        <f>15.9221 * CHOOSE(CONTROL!$C$12, $D$11, 100%, $F$11)</f>
        <v>12.801368400000001</v>
      </c>
      <c r="D580" s="8">
        <f>15.9042 * CHOOSE( CONTROL!$C$12, $D$11, 100%, $F$11)</f>
        <v>12.7869768</v>
      </c>
      <c r="E580" s="12">
        <f>15.9096 * CHOOSE( CONTROL!$C$12, $D$11, 100%, $F$11)</f>
        <v>12.7913184</v>
      </c>
      <c r="F580" s="4">
        <f>16.9032 * CHOOSE(CONTROL!$C$12, $D$11, 100%, $F$11)</f>
        <v>13.590172799999999</v>
      </c>
      <c r="G580" s="8">
        <f>15.5186 * CHOOSE( CONTROL!$C$12, $D$11, 100%, $F$11)</f>
        <v>12.4769544</v>
      </c>
      <c r="H580" s="4">
        <f>16.4005 * CHOOSE(CONTROL!$C$12, $D$11, 100%, $F$11)</f>
        <v>13.186002000000002</v>
      </c>
      <c r="I580" s="8">
        <f>15.346 * CHOOSE(CONTROL!$C$12, $D$11, 100%, $F$11)</f>
        <v>12.338184</v>
      </c>
      <c r="J580" s="4">
        <f>15.2418 * CHOOSE(CONTROL!$C$12, $D$11, 100%, $F$11)</f>
        <v>12.254407200000001</v>
      </c>
      <c r="K580" s="4"/>
      <c r="L580" s="9">
        <v>27.3993</v>
      </c>
      <c r="M580" s="9">
        <v>12.063700000000001</v>
      </c>
      <c r="N580" s="9">
        <v>4.9444999999999997</v>
      </c>
      <c r="O580" s="9">
        <v>0.37459999999999999</v>
      </c>
      <c r="P580" s="9">
        <v>1.2939000000000001</v>
      </c>
      <c r="Q580" s="9">
        <v>19.688099999999999</v>
      </c>
      <c r="R580" s="9"/>
      <c r="S580" s="11"/>
    </row>
    <row r="581" spans="1:19" ht="15.75">
      <c r="A581" s="13">
        <v>59567</v>
      </c>
      <c r="B581" s="8">
        <f>16.5196 * CHOOSE(CONTROL!$C$12, $D$11, 100%, $F$11)</f>
        <v>13.281758400000001</v>
      </c>
      <c r="C581" s="8">
        <f>16.53 * CHOOSE(CONTROL!$C$12, $D$11, 100%, $F$11)</f>
        <v>13.290120000000002</v>
      </c>
      <c r="D581" s="8">
        <f>16.5277 * CHOOSE( CONTROL!$C$12, $D$11, 100%, $F$11)</f>
        <v>13.288270800000001</v>
      </c>
      <c r="E581" s="12">
        <f>16.5274 * CHOOSE( CONTROL!$C$12, $D$11, 100%, $F$11)</f>
        <v>13.288029600000002</v>
      </c>
      <c r="F581" s="4">
        <f>17.5425 * CHOOSE(CONTROL!$C$12, $D$11, 100%, $F$11)</f>
        <v>14.104170000000002</v>
      </c>
      <c r="G581" s="8">
        <f>16.1303 * CHOOSE( CONTROL!$C$12, $D$11, 100%, $F$11)</f>
        <v>12.968761199999999</v>
      </c>
      <c r="H581" s="4">
        <f>17.0237 * CHOOSE(CONTROL!$C$12, $D$11, 100%, $F$11)</f>
        <v>13.687054800000002</v>
      </c>
      <c r="I581" s="8">
        <f>15.9408 * CHOOSE(CONTROL!$C$12, $D$11, 100%, $F$11)</f>
        <v>12.8164032</v>
      </c>
      <c r="J581" s="4">
        <f>15.8243 * CHOOSE(CONTROL!$C$12, $D$11, 100%, $F$11)</f>
        <v>12.722737199999999</v>
      </c>
      <c r="K581" s="4"/>
      <c r="L581" s="9">
        <v>27.3993</v>
      </c>
      <c r="M581" s="9">
        <v>12.063700000000001</v>
      </c>
      <c r="N581" s="9">
        <v>4.9444999999999997</v>
      </c>
      <c r="O581" s="9">
        <v>0.37459999999999999</v>
      </c>
      <c r="P581" s="9">
        <v>1.2939000000000001</v>
      </c>
      <c r="Q581" s="9">
        <v>19.688099999999999</v>
      </c>
      <c r="R581" s="9"/>
      <c r="S581" s="11"/>
    </row>
    <row r="582" spans="1:19" ht="15.75">
      <c r="A582" s="13">
        <v>59595</v>
      </c>
      <c r="B582" s="8">
        <f>15.4519 * CHOOSE(CONTROL!$C$12, $D$11, 100%, $F$11)</f>
        <v>12.4233276</v>
      </c>
      <c r="C582" s="8">
        <f>15.4624 * CHOOSE(CONTROL!$C$12, $D$11, 100%, $F$11)</f>
        <v>12.431769600000001</v>
      </c>
      <c r="D582" s="8">
        <f>15.4623 * CHOOSE( CONTROL!$C$12, $D$11, 100%, $F$11)</f>
        <v>12.431689200000001</v>
      </c>
      <c r="E582" s="12">
        <f>15.4612 * CHOOSE( CONTROL!$C$12, $D$11, 100%, $F$11)</f>
        <v>12.430804800000001</v>
      </c>
      <c r="F582" s="4">
        <f>16.467 * CHOOSE(CONTROL!$C$12, $D$11, 100%, $F$11)</f>
        <v>13.239468</v>
      </c>
      <c r="G582" s="8">
        <f>15.0894 * CHOOSE( CONTROL!$C$12, $D$11, 100%, $F$11)</f>
        <v>12.131877600000001</v>
      </c>
      <c r="H582" s="4">
        <f>15.9753 * CHOOSE(CONTROL!$C$12, $D$11, 100%, $F$11)</f>
        <v>12.844141200000001</v>
      </c>
      <c r="I582" s="8">
        <f>14.9063 * CHOOSE(CONTROL!$C$12, $D$11, 100%, $F$11)</f>
        <v>11.9846652</v>
      </c>
      <c r="J582" s="4">
        <f>14.8013 * CHOOSE(CONTROL!$C$12, $D$11, 100%, $F$11)</f>
        <v>11.900245200000001</v>
      </c>
      <c r="K582" s="4"/>
      <c r="L582" s="9">
        <v>24.747800000000002</v>
      </c>
      <c r="M582" s="9">
        <v>10.8962</v>
      </c>
      <c r="N582" s="9">
        <v>4.4660000000000002</v>
      </c>
      <c r="O582" s="9">
        <v>0.33829999999999999</v>
      </c>
      <c r="P582" s="9">
        <v>1.1687000000000001</v>
      </c>
      <c r="Q582" s="9">
        <v>17.782800000000002</v>
      </c>
      <c r="R582" s="9"/>
      <c r="S582" s="11"/>
    </row>
    <row r="583" spans="1:19" ht="15.75">
      <c r="A583" s="13">
        <v>59626</v>
      </c>
      <c r="B583" s="8">
        <f>15.1231 * CHOOSE(CONTROL!$C$12, $D$11, 100%, $F$11)</f>
        <v>12.158972400000001</v>
      </c>
      <c r="C583" s="8">
        <f>15.1335 * CHOOSE(CONTROL!$C$12, $D$11, 100%, $F$11)</f>
        <v>12.167334</v>
      </c>
      <c r="D583" s="8">
        <f>15.1134 * CHOOSE( CONTROL!$C$12, $D$11, 100%, $F$11)</f>
        <v>12.151173600000002</v>
      </c>
      <c r="E583" s="12">
        <f>15.1196 * CHOOSE( CONTROL!$C$12, $D$11, 100%, $F$11)</f>
        <v>12.156158400000001</v>
      </c>
      <c r="F583" s="4">
        <f>16.122 * CHOOSE(CONTROL!$C$12, $D$11, 100%, $F$11)</f>
        <v>12.962088000000001</v>
      </c>
      <c r="G583" s="8">
        <f>14.7484 * CHOOSE( CONTROL!$C$12, $D$11, 100%, $F$11)</f>
        <v>11.8577136</v>
      </c>
      <c r="H583" s="4">
        <f>15.639 * CHOOSE(CONTROL!$C$12, $D$11, 100%, $F$11)</f>
        <v>12.573755999999999</v>
      </c>
      <c r="I583" s="8">
        <f>14.5516 * CHOOSE(CONTROL!$C$12, $D$11, 100%, $F$11)</f>
        <v>11.699486400000001</v>
      </c>
      <c r="J583" s="4">
        <f>14.4862 * CHOOSE(CONTROL!$C$12, $D$11, 100%, $F$11)</f>
        <v>11.646904800000002</v>
      </c>
      <c r="K583" s="4"/>
      <c r="L583" s="9">
        <v>27.3993</v>
      </c>
      <c r="M583" s="9">
        <v>12.063700000000001</v>
      </c>
      <c r="N583" s="9">
        <v>4.9444999999999997</v>
      </c>
      <c r="O583" s="9">
        <v>0.37459999999999999</v>
      </c>
      <c r="P583" s="9">
        <v>1.2939000000000001</v>
      </c>
      <c r="Q583" s="9">
        <v>19.688099999999999</v>
      </c>
      <c r="R583" s="9"/>
      <c r="S583" s="11"/>
    </row>
    <row r="584" spans="1:19" ht="15.75">
      <c r="A584" s="13">
        <v>59656</v>
      </c>
      <c r="B584" s="8">
        <f>15.3529 * CHOOSE(CONTROL!$C$12, $D$11, 100%, $F$11)</f>
        <v>12.3437316</v>
      </c>
      <c r="C584" s="8">
        <f>15.3633 * CHOOSE(CONTROL!$C$12, $D$11, 100%, $F$11)</f>
        <v>12.352093200000001</v>
      </c>
      <c r="D584" s="8">
        <f>15.3665 * CHOOSE( CONTROL!$C$12, $D$11, 100%, $F$11)</f>
        <v>12.354666000000002</v>
      </c>
      <c r="E584" s="12">
        <f>15.3643 * CHOOSE( CONTROL!$C$12, $D$11, 100%, $F$11)</f>
        <v>12.352897200000001</v>
      </c>
      <c r="F584" s="4">
        <f>16.3601 * CHOOSE(CONTROL!$C$12, $D$11, 100%, $F$11)</f>
        <v>13.1535204</v>
      </c>
      <c r="G584" s="8">
        <f>14.9603 * CHOOSE( CONTROL!$C$12, $D$11, 100%, $F$11)</f>
        <v>12.028081200000001</v>
      </c>
      <c r="H584" s="4">
        <f>15.8711 * CHOOSE(CONTROL!$C$12, $D$11, 100%, $F$11)</f>
        <v>12.7603644</v>
      </c>
      <c r="I584" s="8">
        <f>14.762 * CHOOSE(CONTROL!$C$12, $D$11, 100%, $F$11)</f>
        <v>11.868648</v>
      </c>
      <c r="J584" s="4">
        <f>14.7064 * CHOOSE(CONTROL!$C$12, $D$11, 100%, $F$11)</f>
        <v>11.823945600000002</v>
      </c>
      <c r="K584" s="4"/>
      <c r="L584" s="9">
        <v>27.988800000000001</v>
      </c>
      <c r="M584" s="9">
        <v>11.6745</v>
      </c>
      <c r="N584" s="9">
        <v>4.7850000000000001</v>
      </c>
      <c r="O584" s="9">
        <v>0.36249999999999999</v>
      </c>
      <c r="P584" s="9">
        <v>1.1798</v>
      </c>
      <c r="Q584" s="9">
        <v>19.053000000000001</v>
      </c>
      <c r="R584" s="9"/>
      <c r="S584" s="11"/>
    </row>
    <row r="585" spans="1:19" ht="15.75">
      <c r="A585" s="13">
        <v>59687</v>
      </c>
      <c r="B585" s="8">
        <f>CHOOSE( CONTROL!$C$29, 15.7665, 15.7618) * CHOOSE(CONTROL!$C$12, $D$11, 100%, $F$11)</f>
        <v>12.676266000000002</v>
      </c>
      <c r="C585" s="8">
        <f>CHOOSE( CONTROL!$C$29, 15.777, 15.7723) * CHOOSE(CONTROL!$C$12, $D$11, 100%, $F$11)</f>
        <v>12.684708000000001</v>
      </c>
      <c r="D585" s="8">
        <f>CHOOSE( CONTROL!$C$29, 15.7549, 15.7502) * CHOOSE( CONTROL!$C$12, $D$11, 100%, $F$11)</f>
        <v>12.666939600000001</v>
      </c>
      <c r="E585" s="12">
        <f>CHOOSE( CONTROL!$C$29, 15.7613, 15.7566) * CHOOSE( CONTROL!$C$12, $D$11, 100%, $F$11)</f>
        <v>12.672085200000001</v>
      </c>
      <c r="F585" s="4">
        <f>CHOOSE( CONTROL!$C$29, 16.7414, 16.7367) * CHOOSE(CONTROL!$C$12, $D$11, 100%, $F$11)</f>
        <v>13.460085599999999</v>
      </c>
      <c r="G585" s="8">
        <f>CHOOSE( CONTROL!$C$29, 15.3448, 15.3402) * CHOOSE( CONTROL!$C$12, $D$11, 100%, $F$11)</f>
        <v>12.3372192</v>
      </c>
      <c r="H585" s="4">
        <f>CHOOSE( CONTROL!$C$29, 16.2428, 16.2382) * CHOOSE(CONTROL!$C$12, $D$11, 100%, $F$11)</f>
        <v>13.0592112</v>
      </c>
      <c r="I585" s="8">
        <f>CHOOSE( CONTROL!$C$29, 15.137, 15.1325) * CHOOSE(CONTROL!$C$12, $D$11, 100%, $F$11)</f>
        <v>12.170148000000001</v>
      </c>
      <c r="J585" s="4">
        <f>CHOOSE( CONTROL!$C$29, 15.1027, 15.0982) * CHOOSE(CONTROL!$C$12, $D$11, 100%, $F$11)</f>
        <v>12.142570800000001</v>
      </c>
      <c r="K585" s="4"/>
      <c r="L585" s="9">
        <v>29.520499999999998</v>
      </c>
      <c r="M585" s="9">
        <v>12.063700000000001</v>
      </c>
      <c r="N585" s="9">
        <v>4.9444999999999997</v>
      </c>
      <c r="O585" s="9">
        <v>0.37459999999999999</v>
      </c>
      <c r="P585" s="9">
        <v>1.2192000000000001</v>
      </c>
      <c r="Q585" s="9">
        <v>19.688099999999999</v>
      </c>
      <c r="R585" s="9"/>
      <c r="S585" s="11"/>
    </row>
    <row r="586" spans="1:19" ht="15.75">
      <c r="A586" s="13">
        <v>59717</v>
      </c>
      <c r="B586" s="8">
        <f>CHOOSE( CONTROL!$C$29, 15.5132, 15.5085) * CHOOSE(CONTROL!$C$12, $D$11, 100%, $F$11)</f>
        <v>12.4726128</v>
      </c>
      <c r="C586" s="8">
        <f>CHOOSE( CONTROL!$C$29, 15.5236, 15.5189) * CHOOSE(CONTROL!$C$12, $D$11, 100%, $F$11)</f>
        <v>12.480974400000001</v>
      </c>
      <c r="D586" s="8">
        <f>CHOOSE( CONTROL!$C$29, 15.496, 15.4913) * CHOOSE( CONTROL!$C$12, $D$11, 100%, $F$11)</f>
        <v>12.458784000000001</v>
      </c>
      <c r="E586" s="12">
        <f>CHOOSE( CONTROL!$C$29, 15.5044, 15.4997) * CHOOSE( CONTROL!$C$12, $D$11, 100%, $F$11)</f>
        <v>12.465537600000001</v>
      </c>
      <c r="F586" s="4">
        <f>CHOOSE( CONTROL!$C$29, 16.4777, 16.473) * CHOOSE(CONTROL!$C$12, $D$11, 100%, $F$11)</f>
        <v>13.248070799999999</v>
      </c>
      <c r="G586" s="8">
        <f>CHOOSE( CONTROL!$C$29, 15.0966, 15.092) * CHOOSE( CONTROL!$C$12, $D$11, 100%, $F$11)</f>
        <v>12.137666400000001</v>
      </c>
      <c r="H586" s="4">
        <f>CHOOSE( CONTROL!$C$29, 15.9857, 15.9811) * CHOOSE(CONTROL!$C$12, $D$11, 100%, $F$11)</f>
        <v>12.8525028</v>
      </c>
      <c r="I586" s="8">
        <f>CHOOSE( CONTROL!$C$29, 14.8963, 14.8918) * CHOOSE(CONTROL!$C$12, $D$11, 100%, $F$11)</f>
        <v>11.976625200000001</v>
      </c>
      <c r="J586" s="4">
        <f>CHOOSE( CONTROL!$C$29, 14.86, 14.8555) * CHOOSE(CONTROL!$C$12, $D$11, 100%, $F$11)</f>
        <v>11.94744</v>
      </c>
      <c r="K586" s="4"/>
      <c r="L586" s="9">
        <v>28.568200000000001</v>
      </c>
      <c r="M586" s="9">
        <v>11.6745</v>
      </c>
      <c r="N586" s="9">
        <v>4.7850000000000001</v>
      </c>
      <c r="O586" s="9">
        <v>0.36249999999999999</v>
      </c>
      <c r="P586" s="9">
        <v>1.1798</v>
      </c>
      <c r="Q586" s="9">
        <v>19.053000000000001</v>
      </c>
      <c r="R586" s="9"/>
      <c r="S586" s="11"/>
    </row>
    <row r="587" spans="1:19" ht="15.75">
      <c r="A587" s="13">
        <v>59748</v>
      </c>
      <c r="B587" s="8">
        <f>CHOOSE( CONTROL!$C$29, 16.1803, 16.1756) * CHOOSE(CONTROL!$C$12, $D$11, 100%, $F$11)</f>
        <v>13.0089612</v>
      </c>
      <c r="C587" s="8">
        <f>CHOOSE( CONTROL!$C$29, 16.1908, 16.1861) * CHOOSE(CONTROL!$C$12, $D$11, 100%, $F$11)</f>
        <v>13.0174032</v>
      </c>
      <c r="D587" s="8">
        <f>CHOOSE( CONTROL!$C$29, 16.1823, 16.1776) * CHOOSE( CONTROL!$C$12, $D$11, 100%, $F$11)</f>
        <v>13.010569200000003</v>
      </c>
      <c r="E587" s="12">
        <f>CHOOSE( CONTROL!$C$29, 16.1838, 16.1791) * CHOOSE( CONTROL!$C$12, $D$11, 100%, $F$11)</f>
        <v>13.011775200000002</v>
      </c>
      <c r="F587" s="4">
        <f>CHOOSE( CONTROL!$C$29, 17.1719, 17.1672) * CHOOSE(CONTROL!$C$12, $D$11, 100%, $F$11)</f>
        <v>13.806207600000002</v>
      </c>
      <c r="G587" s="8">
        <f>CHOOSE( CONTROL!$C$29, 15.7596, 15.755) * CHOOSE( CONTROL!$C$12, $D$11, 100%, $F$11)</f>
        <v>12.670718400000002</v>
      </c>
      <c r="H587" s="4">
        <f>CHOOSE( CONTROL!$C$29, 16.6625, 16.6579) * CHOOSE(CONTROL!$C$12, $D$11, 100%, $F$11)</f>
        <v>13.396650000000001</v>
      </c>
      <c r="I587" s="8">
        <f>CHOOSE( CONTROL!$C$29, 15.5586, 15.5541) * CHOOSE(CONTROL!$C$12, $D$11, 100%, $F$11)</f>
        <v>12.509114400000001</v>
      </c>
      <c r="J587" s="4">
        <f>CHOOSE( CONTROL!$C$29, 15.4992, 15.4947) * CHOOSE(CONTROL!$C$12, $D$11, 100%, $F$11)</f>
        <v>12.461356800000001</v>
      </c>
      <c r="K587" s="4"/>
      <c r="L587" s="9">
        <v>29.520499999999998</v>
      </c>
      <c r="M587" s="9">
        <v>12.063700000000001</v>
      </c>
      <c r="N587" s="9">
        <v>4.9444999999999997</v>
      </c>
      <c r="O587" s="9">
        <v>0.37459999999999999</v>
      </c>
      <c r="P587" s="9">
        <v>1.2192000000000001</v>
      </c>
      <c r="Q587" s="9">
        <v>19.688099999999999</v>
      </c>
      <c r="R587" s="9"/>
      <c r="S587" s="11"/>
    </row>
    <row r="588" spans="1:19" ht="15.75">
      <c r="A588" s="13">
        <v>59779</v>
      </c>
      <c r="B588" s="8">
        <f>CHOOSE( CONTROL!$C$29, 14.9321, 14.9274) * CHOOSE(CONTROL!$C$12, $D$11, 100%, $F$11)</f>
        <v>12.0054084</v>
      </c>
      <c r="C588" s="8">
        <f>CHOOSE( CONTROL!$C$29, 14.9425, 14.9378) * CHOOSE(CONTROL!$C$12, $D$11, 100%, $F$11)</f>
        <v>12.013770000000001</v>
      </c>
      <c r="D588" s="8">
        <f>CHOOSE( CONTROL!$C$29, 14.9374, 14.9327) * CHOOSE( CONTROL!$C$12, $D$11, 100%, $F$11)</f>
        <v>12.009669600000001</v>
      </c>
      <c r="E588" s="12">
        <f>CHOOSE( CONTROL!$C$29, 14.9377, 14.933) * CHOOSE( CONTROL!$C$12, $D$11, 100%, $F$11)</f>
        <v>12.0099108</v>
      </c>
      <c r="F588" s="4">
        <f>CHOOSE( CONTROL!$C$29, 15.9289, 15.9242) * CHOOSE(CONTROL!$C$12, $D$11, 100%, $F$11)</f>
        <v>12.806835600000001</v>
      </c>
      <c r="G588" s="8">
        <f>CHOOSE( CONTROL!$C$29, 14.545, 14.5404) * CHOOSE( CONTROL!$C$12, $D$11, 100%, $F$11)</f>
        <v>11.694180000000001</v>
      </c>
      <c r="H588" s="4">
        <f>CHOOSE( CONTROL!$C$29, 15.4508, 15.4462) * CHOOSE(CONTROL!$C$12, $D$11, 100%, $F$11)</f>
        <v>12.4224432</v>
      </c>
      <c r="I588" s="8">
        <f>CHOOSE( CONTROL!$C$29, 14.3665, 14.362) * CHOOSE(CONTROL!$C$12, $D$11, 100%, $F$11)</f>
        <v>11.550666000000001</v>
      </c>
      <c r="J588" s="4">
        <f>CHOOSE( CONTROL!$C$29, 14.3032, 14.2987) * CHOOSE(CONTROL!$C$12, $D$11, 100%, $F$11)</f>
        <v>11.499772800000001</v>
      </c>
      <c r="K588" s="4"/>
      <c r="L588" s="9">
        <v>29.520499999999998</v>
      </c>
      <c r="M588" s="9">
        <v>12.063700000000001</v>
      </c>
      <c r="N588" s="9">
        <v>4.9444999999999997</v>
      </c>
      <c r="O588" s="9">
        <v>0.37459999999999999</v>
      </c>
      <c r="P588" s="9">
        <v>1.2192000000000001</v>
      </c>
      <c r="Q588" s="9">
        <v>19.688099999999999</v>
      </c>
      <c r="R588" s="9"/>
      <c r="S588" s="11"/>
    </row>
    <row r="589" spans="1:19" ht="15.75">
      <c r="A589" s="13">
        <v>59809</v>
      </c>
      <c r="B589" s="8">
        <f>CHOOSE( CONTROL!$C$29, 14.6195, 14.6148) * CHOOSE(CONTROL!$C$12, $D$11, 100%, $F$11)</f>
        <v>11.754078000000002</v>
      </c>
      <c r="C589" s="8">
        <f>CHOOSE( CONTROL!$C$29, 14.6299, 14.6252) * CHOOSE(CONTROL!$C$12, $D$11, 100%, $F$11)</f>
        <v>11.7624396</v>
      </c>
      <c r="D589" s="8">
        <f>CHOOSE( CONTROL!$C$29, 14.6206, 14.6159) * CHOOSE( CONTROL!$C$12, $D$11, 100%, $F$11)</f>
        <v>11.7549624</v>
      </c>
      <c r="E589" s="12">
        <f>CHOOSE( CONTROL!$C$29, 14.6224, 14.6177) * CHOOSE( CONTROL!$C$12, $D$11, 100%, $F$11)</f>
        <v>11.756409600000001</v>
      </c>
      <c r="F589" s="4">
        <f>CHOOSE( CONTROL!$C$29, 15.6085, 15.6038) * CHOOSE(CONTROL!$C$12, $D$11, 100%, $F$11)</f>
        <v>12.549234</v>
      </c>
      <c r="G589" s="8">
        <f>CHOOSE( CONTROL!$C$29, 14.239, 14.2344) * CHOOSE( CONTROL!$C$12, $D$11, 100%, $F$11)</f>
        <v>11.448156000000001</v>
      </c>
      <c r="H589" s="4">
        <f>CHOOSE( CONTROL!$C$29, 15.1385, 15.1339) * CHOOSE(CONTROL!$C$12, $D$11, 100%, $F$11)</f>
        <v>12.171354000000001</v>
      </c>
      <c r="I589" s="8">
        <f>CHOOSE( CONTROL!$C$29, 14.0682, 14.0637) * CHOOSE(CONTROL!$C$12, $D$11, 100%, $F$11)</f>
        <v>11.3108328</v>
      </c>
      <c r="J589" s="4">
        <f>CHOOSE( CONTROL!$C$29, 14.0036, 13.9991) * CHOOSE(CONTROL!$C$12, $D$11, 100%, $F$11)</f>
        <v>11.258894400000001</v>
      </c>
      <c r="K589" s="4"/>
      <c r="L589" s="9">
        <v>28.568200000000001</v>
      </c>
      <c r="M589" s="9">
        <v>11.6745</v>
      </c>
      <c r="N589" s="9">
        <v>4.7850000000000001</v>
      </c>
      <c r="O589" s="9">
        <v>0.36249999999999999</v>
      </c>
      <c r="P589" s="9">
        <v>1.1798</v>
      </c>
      <c r="Q589" s="9">
        <v>19.053000000000001</v>
      </c>
      <c r="R589" s="9"/>
      <c r="S589" s="11"/>
    </row>
    <row r="590" spans="1:19" ht="15.75">
      <c r="A590" s="13">
        <v>59840</v>
      </c>
      <c r="B590" s="8">
        <f>15.2638 * CHOOSE(CONTROL!$C$12, $D$11, 100%, $F$11)</f>
        <v>12.272095200000001</v>
      </c>
      <c r="C590" s="8">
        <f>15.2742 * CHOOSE(CONTROL!$C$12, $D$11, 100%, $F$11)</f>
        <v>12.280456800000001</v>
      </c>
      <c r="D590" s="8">
        <f>15.2658 * CHOOSE( CONTROL!$C$12, $D$11, 100%, $F$11)</f>
        <v>12.273703200000002</v>
      </c>
      <c r="E590" s="12">
        <f>15.2675 * CHOOSE( CONTROL!$C$12, $D$11, 100%, $F$11)</f>
        <v>12.275070000000001</v>
      </c>
      <c r="F590" s="4">
        <f>16.2528 * CHOOSE(CONTROL!$C$12, $D$11, 100%, $F$11)</f>
        <v>13.067251200000001</v>
      </c>
      <c r="G590" s="8">
        <f>14.8667 * CHOOSE( CONTROL!$C$12, $D$11, 100%, $F$11)</f>
        <v>11.9528268</v>
      </c>
      <c r="H590" s="4">
        <f>15.7665 * CHOOSE(CONTROL!$C$12, $D$11, 100%, $F$11)</f>
        <v>12.676266000000002</v>
      </c>
      <c r="I590" s="8">
        <f>14.6879 * CHOOSE(CONTROL!$C$12, $D$11, 100%, $F$11)</f>
        <v>11.809071600000001</v>
      </c>
      <c r="J590" s="4">
        <f>14.621 * CHOOSE(CONTROL!$C$12, $D$11, 100%, $F$11)</f>
        <v>11.755284000000001</v>
      </c>
      <c r="K590" s="4"/>
      <c r="L590" s="9">
        <v>28.921800000000001</v>
      </c>
      <c r="M590" s="9">
        <v>12.063700000000001</v>
      </c>
      <c r="N590" s="9">
        <v>4.9444999999999997</v>
      </c>
      <c r="O590" s="9">
        <v>0.37459999999999999</v>
      </c>
      <c r="P590" s="9">
        <v>1.2192000000000001</v>
      </c>
      <c r="Q590" s="9">
        <v>19.688099999999999</v>
      </c>
      <c r="R590" s="9"/>
      <c r="S590" s="11"/>
    </row>
    <row r="591" spans="1:19" ht="15.75">
      <c r="A591" s="13">
        <v>59870</v>
      </c>
      <c r="B591" s="8">
        <f>16.4618 * CHOOSE(CONTROL!$C$12, $D$11, 100%, $F$11)</f>
        <v>13.2352872</v>
      </c>
      <c r="C591" s="8">
        <f>16.4722 * CHOOSE(CONTROL!$C$12, $D$11, 100%, $F$11)</f>
        <v>13.243648800000001</v>
      </c>
      <c r="D591" s="8">
        <f>16.4525 * CHOOSE( CONTROL!$C$12, $D$11, 100%, $F$11)</f>
        <v>13.227810000000002</v>
      </c>
      <c r="E591" s="12">
        <f>16.4586 * CHOOSE( CONTROL!$C$12, $D$11, 100%, $F$11)</f>
        <v>13.232714400000001</v>
      </c>
      <c r="F591" s="4">
        <f>17.4534 * CHOOSE(CONTROL!$C$12, $D$11, 100%, $F$11)</f>
        <v>14.032533599999999</v>
      </c>
      <c r="G591" s="8">
        <f>16.0534 * CHOOSE( CONTROL!$C$12, $D$11, 100%, $F$11)</f>
        <v>12.9069336</v>
      </c>
      <c r="H591" s="4">
        <f>16.9368 * CHOOSE(CONTROL!$C$12, $D$11, 100%, $F$11)</f>
        <v>13.617187200000002</v>
      </c>
      <c r="I591" s="8">
        <f>15.8666 * CHOOSE(CONTROL!$C$12, $D$11, 100%, $F$11)</f>
        <v>12.756746400000001</v>
      </c>
      <c r="J591" s="4">
        <f>15.7689 * CHOOSE(CONTROL!$C$12, $D$11, 100%, $F$11)</f>
        <v>12.6781956</v>
      </c>
      <c r="K591" s="4"/>
      <c r="L591" s="9">
        <v>26.515499999999999</v>
      </c>
      <c r="M591" s="9">
        <v>11.6745</v>
      </c>
      <c r="N591" s="9">
        <v>4.7850000000000001</v>
      </c>
      <c r="O591" s="9">
        <v>0.36249999999999999</v>
      </c>
      <c r="P591" s="9">
        <v>1.2522</v>
      </c>
      <c r="Q591" s="9">
        <v>19.053000000000001</v>
      </c>
      <c r="R591" s="9"/>
      <c r="S591" s="11"/>
    </row>
    <row r="592" spans="1:19" ht="15.75">
      <c r="A592" s="13">
        <v>59901</v>
      </c>
      <c r="B592" s="8">
        <f>16.4318 * CHOOSE(CONTROL!$C$12, $D$11, 100%, $F$11)</f>
        <v>13.2111672</v>
      </c>
      <c r="C592" s="8">
        <f>16.4423 * CHOOSE(CONTROL!$C$12, $D$11, 100%, $F$11)</f>
        <v>13.219609200000001</v>
      </c>
      <c r="D592" s="8">
        <f>16.4244 * CHOOSE( CONTROL!$C$12, $D$11, 100%, $F$11)</f>
        <v>13.205217599999999</v>
      </c>
      <c r="E592" s="12">
        <f>16.4298 * CHOOSE( CONTROL!$C$12, $D$11, 100%, $F$11)</f>
        <v>13.209559200000001</v>
      </c>
      <c r="F592" s="4">
        <f>17.4234 * CHOOSE(CONTROL!$C$12, $D$11, 100%, $F$11)</f>
        <v>14.008413600000001</v>
      </c>
      <c r="G592" s="8">
        <f>16.0257 * CHOOSE( CONTROL!$C$12, $D$11, 100%, $F$11)</f>
        <v>12.884662800000001</v>
      </c>
      <c r="H592" s="4">
        <f>16.9076 * CHOOSE(CONTROL!$C$12, $D$11, 100%, $F$11)</f>
        <v>13.593710399999999</v>
      </c>
      <c r="I592" s="8">
        <f>15.8448 * CHOOSE(CONTROL!$C$12, $D$11, 100%, $F$11)</f>
        <v>12.739219200000001</v>
      </c>
      <c r="J592" s="4">
        <f>15.7402 * CHOOSE(CONTROL!$C$12, $D$11, 100%, $F$11)</f>
        <v>12.655120800000001</v>
      </c>
      <c r="K592" s="4"/>
      <c r="L592" s="9">
        <v>27.3993</v>
      </c>
      <c r="M592" s="9">
        <v>12.063700000000001</v>
      </c>
      <c r="N592" s="9">
        <v>4.9444999999999997</v>
      </c>
      <c r="O592" s="9">
        <v>0.37459999999999999</v>
      </c>
      <c r="P592" s="9">
        <v>1.2939000000000001</v>
      </c>
      <c r="Q592" s="9">
        <v>19.688099999999999</v>
      </c>
      <c r="R592" s="9"/>
      <c r="S592" s="11"/>
    </row>
    <row r="593" spans="1:19" ht="15.75">
      <c r="A593" s="13">
        <v>59932</v>
      </c>
      <c r="B593" s="8">
        <f>17.0597 * CHOOSE(CONTROL!$C$12, $D$11, 100%, $F$11)</f>
        <v>13.715998799999999</v>
      </c>
      <c r="C593" s="8">
        <f>17.0701 * CHOOSE(CONTROL!$C$12, $D$11, 100%, $F$11)</f>
        <v>13.7243604</v>
      </c>
      <c r="D593" s="8">
        <f>17.0678 * CHOOSE( CONTROL!$C$12, $D$11, 100%, $F$11)</f>
        <v>13.7225112</v>
      </c>
      <c r="E593" s="12">
        <f>17.0675 * CHOOSE( CONTROL!$C$12, $D$11, 100%, $F$11)</f>
        <v>13.72227</v>
      </c>
      <c r="F593" s="4">
        <f>18.0826 * CHOOSE(CONTROL!$C$12, $D$11, 100%, $F$11)</f>
        <v>14.5384104</v>
      </c>
      <c r="G593" s="8">
        <f>16.6568 * CHOOSE( CONTROL!$C$12, $D$11, 100%, $F$11)</f>
        <v>13.392067200000001</v>
      </c>
      <c r="H593" s="4">
        <f>17.5501 * CHOOSE(CONTROL!$C$12, $D$11, 100%, $F$11)</f>
        <v>14.110280400000001</v>
      </c>
      <c r="I593" s="8">
        <f>16.4586 * CHOOSE(CONTROL!$C$12, $D$11, 100%, $F$11)</f>
        <v>13.232714400000001</v>
      </c>
      <c r="J593" s="4">
        <f>16.3418 * CHOOSE(CONTROL!$C$12, $D$11, 100%, $F$11)</f>
        <v>13.1388072</v>
      </c>
      <c r="K593" s="4"/>
      <c r="L593" s="9">
        <v>27.3993</v>
      </c>
      <c r="M593" s="9">
        <v>12.063700000000001</v>
      </c>
      <c r="N593" s="9">
        <v>4.9444999999999997</v>
      </c>
      <c r="O593" s="9">
        <v>0.37459999999999999</v>
      </c>
      <c r="P593" s="9">
        <v>1.2939000000000001</v>
      </c>
      <c r="Q593" s="9">
        <v>19.688099999999999</v>
      </c>
      <c r="R593" s="9"/>
      <c r="S593" s="11"/>
    </row>
    <row r="594" spans="1:19" ht="15.75">
      <c r="A594" s="13">
        <v>59961</v>
      </c>
      <c r="B594" s="8">
        <f>15.9571 * CHOOSE(CONTROL!$C$12, $D$11, 100%, $F$11)</f>
        <v>12.829508400000002</v>
      </c>
      <c r="C594" s="8">
        <f>15.9675 * CHOOSE(CONTROL!$C$12, $D$11, 100%, $F$11)</f>
        <v>12.837870000000001</v>
      </c>
      <c r="D594" s="8">
        <f>15.9675 * CHOOSE( CONTROL!$C$12, $D$11, 100%, $F$11)</f>
        <v>12.837870000000001</v>
      </c>
      <c r="E594" s="12">
        <f>15.9664 * CHOOSE( CONTROL!$C$12, $D$11, 100%, $F$11)</f>
        <v>12.8369856</v>
      </c>
      <c r="F594" s="4">
        <f>16.9722 * CHOOSE(CONTROL!$C$12, $D$11, 100%, $F$11)</f>
        <v>13.645648800000002</v>
      </c>
      <c r="G594" s="8">
        <f>15.5819 * CHOOSE( CONTROL!$C$12, $D$11, 100%, $F$11)</f>
        <v>12.527847599999999</v>
      </c>
      <c r="H594" s="4">
        <f>16.4678 * CHOOSE(CONTROL!$C$12, $D$11, 100%, $F$11)</f>
        <v>13.240111200000001</v>
      </c>
      <c r="I594" s="8">
        <f>15.3906 * CHOOSE(CONTROL!$C$12, $D$11, 100%, $F$11)</f>
        <v>12.3740424</v>
      </c>
      <c r="J594" s="4">
        <f>15.2853 * CHOOSE(CONTROL!$C$12, $D$11, 100%, $F$11)</f>
        <v>12.289381200000001</v>
      </c>
      <c r="K594" s="4"/>
      <c r="L594" s="9">
        <v>25.631599999999999</v>
      </c>
      <c r="M594" s="9">
        <v>11.285299999999999</v>
      </c>
      <c r="N594" s="9">
        <v>4.6254999999999997</v>
      </c>
      <c r="O594" s="9">
        <v>0.35039999999999999</v>
      </c>
      <c r="P594" s="9">
        <v>1.2104999999999999</v>
      </c>
      <c r="Q594" s="9">
        <v>18.417899999999999</v>
      </c>
      <c r="R594" s="9"/>
      <c r="S594" s="11"/>
    </row>
    <row r="595" spans="1:19" ht="15.75">
      <c r="A595" s="13">
        <v>59992</v>
      </c>
      <c r="B595" s="8">
        <f>15.6175 * CHOOSE(CONTROL!$C$12, $D$11, 100%, $F$11)</f>
        <v>12.556470000000001</v>
      </c>
      <c r="C595" s="8">
        <f>15.628 * CHOOSE(CONTROL!$C$12, $D$11, 100%, $F$11)</f>
        <v>12.564912000000001</v>
      </c>
      <c r="D595" s="8">
        <f>15.6078 * CHOOSE( CONTROL!$C$12, $D$11, 100%, $F$11)</f>
        <v>12.548671199999999</v>
      </c>
      <c r="E595" s="12">
        <f>15.6141 * CHOOSE( CONTROL!$C$12, $D$11, 100%, $F$11)</f>
        <v>12.553736400000002</v>
      </c>
      <c r="F595" s="4">
        <f>16.6164 * CHOOSE(CONTROL!$C$12, $D$11, 100%, $F$11)</f>
        <v>13.359585599999999</v>
      </c>
      <c r="G595" s="8">
        <f>15.2304 * CHOOSE( CONTROL!$C$12, $D$11, 100%, $F$11)</f>
        <v>12.2452416</v>
      </c>
      <c r="H595" s="4">
        <f>16.121 * CHOOSE(CONTROL!$C$12, $D$11, 100%, $F$11)</f>
        <v>12.961283999999999</v>
      </c>
      <c r="I595" s="8">
        <f>15.0256 * CHOOSE(CONTROL!$C$12, $D$11, 100%, $F$11)</f>
        <v>12.080582400000001</v>
      </c>
      <c r="J595" s="4">
        <f>14.96 * CHOOSE(CONTROL!$C$12, $D$11, 100%, $F$11)</f>
        <v>12.027840000000001</v>
      </c>
      <c r="K595" s="4"/>
      <c r="L595" s="9">
        <v>27.3993</v>
      </c>
      <c r="M595" s="9">
        <v>12.063700000000001</v>
      </c>
      <c r="N595" s="9">
        <v>4.9444999999999997</v>
      </c>
      <c r="O595" s="9">
        <v>0.37459999999999999</v>
      </c>
      <c r="P595" s="9">
        <v>1.2939000000000001</v>
      </c>
      <c r="Q595" s="9">
        <v>19.688099999999999</v>
      </c>
      <c r="R595" s="9"/>
      <c r="S595" s="11"/>
    </row>
    <row r="596" spans="1:19" ht="15.75">
      <c r="A596" s="13">
        <v>60022</v>
      </c>
      <c r="B596" s="8">
        <f>15.8548 * CHOOSE(CONTROL!$C$12, $D$11, 100%, $F$11)</f>
        <v>12.7472592</v>
      </c>
      <c r="C596" s="8">
        <f>15.8653 * CHOOSE(CONTROL!$C$12, $D$11, 100%, $F$11)</f>
        <v>12.755701200000001</v>
      </c>
      <c r="D596" s="8">
        <f>15.8685 * CHOOSE( CONTROL!$C$12, $D$11, 100%, $F$11)</f>
        <v>12.758274</v>
      </c>
      <c r="E596" s="12">
        <f>15.8662 * CHOOSE( CONTROL!$C$12, $D$11, 100%, $F$11)</f>
        <v>12.7564248</v>
      </c>
      <c r="F596" s="4">
        <f>16.8621 * CHOOSE(CONTROL!$C$12, $D$11, 100%, $F$11)</f>
        <v>13.557128400000002</v>
      </c>
      <c r="G596" s="8">
        <f>15.4496 * CHOOSE( CONTROL!$C$12, $D$11, 100%, $F$11)</f>
        <v>12.421478400000002</v>
      </c>
      <c r="H596" s="4">
        <f>16.3604 * CHOOSE(CONTROL!$C$12, $D$11, 100%, $F$11)</f>
        <v>13.153761599999999</v>
      </c>
      <c r="I596" s="8">
        <f>15.2432 * CHOOSE(CONTROL!$C$12, $D$11, 100%, $F$11)</f>
        <v>12.255532800000001</v>
      </c>
      <c r="J596" s="4">
        <f>15.1873 * CHOOSE(CONTROL!$C$12, $D$11, 100%, $F$11)</f>
        <v>12.210589200000001</v>
      </c>
      <c r="K596" s="4"/>
      <c r="L596" s="9">
        <v>27.988800000000001</v>
      </c>
      <c r="M596" s="9">
        <v>11.6745</v>
      </c>
      <c r="N596" s="9">
        <v>4.7850000000000001</v>
      </c>
      <c r="O596" s="9">
        <v>0.36249999999999999</v>
      </c>
      <c r="P596" s="9">
        <v>1.1798</v>
      </c>
      <c r="Q596" s="9">
        <v>19.053000000000001</v>
      </c>
      <c r="R596" s="9"/>
      <c r="S596" s="11"/>
    </row>
    <row r="597" spans="1:19" ht="15.75">
      <c r="A597" s="13">
        <v>60053</v>
      </c>
      <c r="B597" s="8">
        <f>CHOOSE( CONTROL!$C$29, 16.2819, 16.2771) * CHOOSE(CONTROL!$C$12, $D$11, 100%, $F$11)</f>
        <v>13.0906476</v>
      </c>
      <c r="C597" s="8">
        <f>CHOOSE( CONTROL!$C$29, 16.2923, 16.2876) * CHOOSE(CONTROL!$C$12, $D$11, 100%, $F$11)</f>
        <v>13.099009200000001</v>
      </c>
      <c r="D597" s="8">
        <f>CHOOSE( CONTROL!$C$29, 16.2702, 16.2655) * CHOOSE( CONTROL!$C$12, $D$11, 100%, $F$11)</f>
        <v>13.0812408</v>
      </c>
      <c r="E597" s="12">
        <f>CHOOSE( CONTROL!$C$29, 16.2766, 16.2719) * CHOOSE( CONTROL!$C$12, $D$11, 100%, $F$11)</f>
        <v>13.0863864</v>
      </c>
      <c r="F597" s="4">
        <f>CHOOSE( CONTROL!$C$29, 17.2568, 17.252) * CHOOSE(CONTROL!$C$12, $D$11, 100%, $F$11)</f>
        <v>13.8744672</v>
      </c>
      <c r="G597" s="8">
        <f>CHOOSE( CONTROL!$C$29, 15.8471, 15.8426) * CHOOSE( CONTROL!$C$12, $D$11, 100%, $F$11)</f>
        <v>12.7410684</v>
      </c>
      <c r="H597" s="4">
        <f>CHOOSE( CONTROL!$C$29, 16.7451, 16.7406) * CHOOSE(CONTROL!$C$12, $D$11, 100%, $F$11)</f>
        <v>13.463060400000002</v>
      </c>
      <c r="I597" s="8">
        <f>CHOOSE( CONTROL!$C$29, 15.631, 15.6265) * CHOOSE(CONTROL!$C$12, $D$11, 100%, $F$11)</f>
        <v>12.567324000000001</v>
      </c>
      <c r="J597" s="4">
        <f>CHOOSE( CONTROL!$C$29, 15.5965, 15.592) * CHOOSE(CONTROL!$C$12, $D$11, 100%, $F$11)</f>
        <v>12.539586000000002</v>
      </c>
      <c r="K597" s="4"/>
      <c r="L597" s="9">
        <v>29.520499999999998</v>
      </c>
      <c r="M597" s="9">
        <v>12.063700000000001</v>
      </c>
      <c r="N597" s="9">
        <v>4.9444999999999997</v>
      </c>
      <c r="O597" s="9">
        <v>0.37459999999999999</v>
      </c>
      <c r="P597" s="9">
        <v>1.2192000000000001</v>
      </c>
      <c r="Q597" s="9">
        <v>19.688099999999999</v>
      </c>
      <c r="R597" s="9"/>
      <c r="S597" s="11"/>
    </row>
    <row r="598" spans="1:19" ht="15.75">
      <c r="A598" s="13">
        <v>60083</v>
      </c>
      <c r="B598" s="8">
        <f>CHOOSE( CONTROL!$C$29, 16.0202, 16.0155) * CHOOSE(CONTROL!$C$12, $D$11, 100%, $F$11)</f>
        <v>12.880240799999999</v>
      </c>
      <c r="C598" s="8">
        <f>CHOOSE( CONTROL!$C$29, 16.0307, 16.026) * CHOOSE(CONTROL!$C$12, $D$11, 100%, $F$11)</f>
        <v>12.8886828</v>
      </c>
      <c r="D598" s="8">
        <f>CHOOSE( CONTROL!$C$29, 16.003, 15.9983) * CHOOSE( CONTROL!$C$12, $D$11, 100%, $F$11)</f>
        <v>12.866412</v>
      </c>
      <c r="E598" s="12">
        <f>CHOOSE( CONTROL!$C$29, 16.0114, 16.0067) * CHOOSE( CONTROL!$C$12, $D$11, 100%, $F$11)</f>
        <v>12.8731656</v>
      </c>
      <c r="F598" s="4">
        <f>CHOOSE( CONTROL!$C$29, 16.9847, 16.98) * CHOOSE(CONTROL!$C$12, $D$11, 100%, $F$11)</f>
        <v>13.655698800000001</v>
      </c>
      <c r="G598" s="8">
        <f>CHOOSE( CONTROL!$C$29, 15.5909, 15.5863) * CHOOSE( CONTROL!$C$12, $D$11, 100%, $F$11)</f>
        <v>12.5350836</v>
      </c>
      <c r="H598" s="4">
        <f>CHOOSE( CONTROL!$C$29, 16.48, 16.4754) * CHOOSE(CONTROL!$C$12, $D$11, 100%, $F$11)</f>
        <v>13.249920000000001</v>
      </c>
      <c r="I598" s="8">
        <f>CHOOSE( CONTROL!$C$29, 15.3824, 15.3779) * CHOOSE(CONTROL!$C$12, $D$11, 100%, $F$11)</f>
        <v>12.3674496</v>
      </c>
      <c r="J598" s="4">
        <f>CHOOSE( CONTROL!$C$29, 15.3458, 15.3413) * CHOOSE(CONTROL!$C$12, $D$11, 100%, $F$11)</f>
        <v>12.3380232</v>
      </c>
      <c r="K598" s="4"/>
      <c r="L598" s="9">
        <v>28.568200000000001</v>
      </c>
      <c r="M598" s="9">
        <v>11.6745</v>
      </c>
      <c r="N598" s="9">
        <v>4.7850000000000001</v>
      </c>
      <c r="O598" s="9">
        <v>0.36249999999999999</v>
      </c>
      <c r="P598" s="9">
        <v>1.1798</v>
      </c>
      <c r="Q598" s="9">
        <v>19.053000000000001</v>
      </c>
      <c r="R598" s="9"/>
      <c r="S598" s="11"/>
    </row>
    <row r="599" spans="1:19" ht="15.75">
      <c r="A599" s="13">
        <v>60114</v>
      </c>
      <c r="B599" s="8">
        <f>CHOOSE( CONTROL!$C$29, 16.7092, 16.7045) * CHOOSE(CONTROL!$C$12, $D$11, 100%, $F$11)</f>
        <v>13.4341968</v>
      </c>
      <c r="C599" s="8">
        <f>CHOOSE( CONTROL!$C$29, 16.7196, 16.7149) * CHOOSE(CONTROL!$C$12, $D$11, 100%, $F$11)</f>
        <v>13.442558400000001</v>
      </c>
      <c r="D599" s="8">
        <f>CHOOSE( CONTROL!$C$29, 16.7112, 16.7065) * CHOOSE( CONTROL!$C$12, $D$11, 100%, $F$11)</f>
        <v>13.435804800000001</v>
      </c>
      <c r="E599" s="12">
        <f>CHOOSE( CONTROL!$C$29, 16.7127, 16.708) * CHOOSE( CONTROL!$C$12, $D$11, 100%, $F$11)</f>
        <v>13.437010800000001</v>
      </c>
      <c r="F599" s="4">
        <f>CHOOSE( CONTROL!$C$29, 17.7008, 17.6961) * CHOOSE(CONTROL!$C$12, $D$11, 100%, $F$11)</f>
        <v>14.231443200000001</v>
      </c>
      <c r="G599" s="8">
        <f>CHOOSE( CONTROL!$C$29, 16.2751, 16.2705) * CHOOSE( CONTROL!$C$12, $D$11, 100%, $F$11)</f>
        <v>13.085180399999999</v>
      </c>
      <c r="H599" s="4">
        <f>CHOOSE( CONTROL!$C$29, 17.178, 17.1734) * CHOOSE(CONTROL!$C$12, $D$11, 100%, $F$11)</f>
        <v>13.811112000000001</v>
      </c>
      <c r="I599" s="8">
        <f>CHOOSE( CONTROL!$C$29, 16.0656, 16.0611) * CHOOSE(CONTROL!$C$12, $D$11, 100%, $F$11)</f>
        <v>12.9167424</v>
      </c>
      <c r="J599" s="4">
        <f>CHOOSE( CONTROL!$C$29, 16.006, 16.0015) * CHOOSE(CONTROL!$C$12, $D$11, 100%, $F$11)</f>
        <v>12.868824000000002</v>
      </c>
      <c r="K599" s="4"/>
      <c r="L599" s="9">
        <v>29.520499999999998</v>
      </c>
      <c r="M599" s="9">
        <v>12.063700000000001</v>
      </c>
      <c r="N599" s="9">
        <v>4.9444999999999997</v>
      </c>
      <c r="O599" s="9">
        <v>0.37459999999999999</v>
      </c>
      <c r="P599" s="9">
        <v>1.2192000000000001</v>
      </c>
      <c r="Q599" s="9">
        <v>19.688099999999999</v>
      </c>
      <c r="R599" s="9"/>
      <c r="S599" s="11"/>
    </row>
    <row r="600" spans="1:19" ht="15.75">
      <c r="A600" s="13">
        <v>60145</v>
      </c>
      <c r="B600" s="8">
        <f>CHOOSE( CONTROL!$C$29, 15.4201, 15.4154) * CHOOSE(CONTROL!$C$12, $D$11, 100%, $F$11)</f>
        <v>12.397760400000001</v>
      </c>
      <c r="C600" s="8">
        <f>CHOOSE( CONTROL!$C$29, 15.4305, 15.4258) * CHOOSE(CONTROL!$C$12, $D$11, 100%, $F$11)</f>
        <v>12.406122000000002</v>
      </c>
      <c r="D600" s="8">
        <f>CHOOSE( CONTROL!$C$29, 15.4254, 15.4207) * CHOOSE( CONTROL!$C$12, $D$11, 100%, $F$11)</f>
        <v>12.402021600000001</v>
      </c>
      <c r="E600" s="12">
        <f>CHOOSE( CONTROL!$C$29, 15.4257, 15.421) * CHOOSE( CONTROL!$C$12, $D$11, 100%, $F$11)</f>
        <v>12.402262800000001</v>
      </c>
      <c r="F600" s="4">
        <f>CHOOSE( CONTROL!$C$29, 16.4169, 16.4122) * CHOOSE(CONTROL!$C$12, $D$11, 100%, $F$11)</f>
        <v>13.1991876</v>
      </c>
      <c r="G600" s="8">
        <f>CHOOSE( CONTROL!$C$29, 15.0207, 15.0161) * CHOOSE( CONTROL!$C$12, $D$11, 100%, $F$11)</f>
        <v>12.0766428</v>
      </c>
      <c r="H600" s="4">
        <f>CHOOSE( CONTROL!$C$29, 15.9265, 15.9219) * CHOOSE(CONTROL!$C$12, $D$11, 100%, $F$11)</f>
        <v>12.804906000000001</v>
      </c>
      <c r="I600" s="8">
        <f>CHOOSE( CONTROL!$C$29, 14.8344, 14.8299) * CHOOSE(CONTROL!$C$12, $D$11, 100%, $F$11)</f>
        <v>11.926857600000002</v>
      </c>
      <c r="J600" s="4">
        <f>CHOOSE( CONTROL!$C$29, 14.7708, 14.7663) * CHOOSE(CONTROL!$C$12, $D$11, 100%, $F$11)</f>
        <v>11.875723199999999</v>
      </c>
      <c r="K600" s="4"/>
      <c r="L600" s="9">
        <v>29.520499999999998</v>
      </c>
      <c r="M600" s="9">
        <v>12.063700000000001</v>
      </c>
      <c r="N600" s="9">
        <v>4.9444999999999997</v>
      </c>
      <c r="O600" s="9">
        <v>0.37459999999999999</v>
      </c>
      <c r="P600" s="9">
        <v>1.2192000000000001</v>
      </c>
      <c r="Q600" s="9">
        <v>19.688099999999999</v>
      </c>
      <c r="R600" s="9"/>
      <c r="S600" s="11"/>
    </row>
    <row r="601" spans="1:19" ht="15.75">
      <c r="A601" s="13">
        <v>60175</v>
      </c>
      <c r="B601" s="8">
        <f>CHOOSE( CONTROL!$C$29, 15.0973, 15.0926) * CHOOSE(CONTROL!$C$12, $D$11, 100%, $F$11)</f>
        <v>12.138229200000001</v>
      </c>
      <c r="C601" s="8">
        <f>CHOOSE( CONTROL!$C$29, 15.1077, 15.103) * CHOOSE(CONTROL!$C$12, $D$11, 100%, $F$11)</f>
        <v>12.1465908</v>
      </c>
      <c r="D601" s="8">
        <f>CHOOSE( CONTROL!$C$29, 15.0984, 15.0937) * CHOOSE( CONTROL!$C$12, $D$11, 100%, $F$11)</f>
        <v>12.1391136</v>
      </c>
      <c r="E601" s="12">
        <f>CHOOSE( CONTROL!$C$29, 15.1002, 15.0955) * CHOOSE( CONTROL!$C$12, $D$11, 100%, $F$11)</f>
        <v>12.140560799999999</v>
      </c>
      <c r="F601" s="4">
        <f>CHOOSE( CONTROL!$C$29, 16.0863, 16.0816) * CHOOSE(CONTROL!$C$12, $D$11, 100%, $F$11)</f>
        <v>12.933385200000002</v>
      </c>
      <c r="G601" s="8">
        <f>CHOOSE( CONTROL!$C$29, 14.7047, 14.7001) * CHOOSE( CONTROL!$C$12, $D$11, 100%, $F$11)</f>
        <v>11.8225788</v>
      </c>
      <c r="H601" s="4">
        <f>CHOOSE( CONTROL!$C$29, 15.6042, 15.5996) * CHOOSE(CONTROL!$C$12, $D$11, 100%, $F$11)</f>
        <v>12.545776800000001</v>
      </c>
      <c r="I601" s="8">
        <f>CHOOSE( CONTROL!$C$29, 14.5262, 14.5217) * CHOOSE(CONTROL!$C$12, $D$11, 100%, $F$11)</f>
        <v>11.679064800000001</v>
      </c>
      <c r="J601" s="4">
        <f>CHOOSE( CONTROL!$C$29, 14.4615, 14.457) * CHOOSE(CONTROL!$C$12, $D$11, 100%, $F$11)</f>
        <v>11.627046</v>
      </c>
      <c r="K601" s="4"/>
      <c r="L601" s="9">
        <v>28.568200000000001</v>
      </c>
      <c r="M601" s="9">
        <v>11.6745</v>
      </c>
      <c r="N601" s="9">
        <v>4.7850000000000001</v>
      </c>
      <c r="O601" s="9">
        <v>0.36249999999999999</v>
      </c>
      <c r="P601" s="9">
        <v>1.1798</v>
      </c>
      <c r="Q601" s="9">
        <v>19.053000000000001</v>
      </c>
      <c r="R601" s="9"/>
      <c r="S601" s="11"/>
    </row>
    <row r="602" spans="1:19" ht="15.75">
      <c r="A602" s="13">
        <v>60206</v>
      </c>
      <c r="B602" s="8">
        <f>15.7628 * CHOOSE(CONTROL!$C$12, $D$11, 100%, $F$11)</f>
        <v>12.673291200000001</v>
      </c>
      <c r="C602" s="8">
        <f>15.7733 * CHOOSE(CONTROL!$C$12, $D$11, 100%, $F$11)</f>
        <v>12.681733200000002</v>
      </c>
      <c r="D602" s="8">
        <f>15.7648 * CHOOSE( CONTROL!$C$12, $D$11, 100%, $F$11)</f>
        <v>12.6748992</v>
      </c>
      <c r="E602" s="12">
        <f>15.7665 * CHOOSE( CONTROL!$C$12, $D$11, 100%, $F$11)</f>
        <v>12.676266000000002</v>
      </c>
      <c r="F602" s="4">
        <f>16.7518 * CHOOSE(CONTROL!$C$12, $D$11, 100%, $F$11)</f>
        <v>13.4684472</v>
      </c>
      <c r="G602" s="8">
        <f>15.3531 * CHOOSE( CONTROL!$C$12, $D$11, 100%, $F$11)</f>
        <v>12.3438924</v>
      </c>
      <c r="H602" s="4">
        <f>16.253 * CHOOSE(CONTROL!$C$12, $D$11, 100%, $F$11)</f>
        <v>13.067412000000001</v>
      </c>
      <c r="I602" s="8">
        <f>15.1663 * CHOOSE(CONTROL!$C$12, $D$11, 100%, $F$11)</f>
        <v>12.1937052</v>
      </c>
      <c r="J602" s="4">
        <f>15.0992 * CHOOSE(CONTROL!$C$12, $D$11, 100%, $F$11)</f>
        <v>12.139756800000001</v>
      </c>
      <c r="K602" s="4"/>
      <c r="L602" s="9">
        <v>28.921800000000001</v>
      </c>
      <c r="M602" s="9">
        <v>12.063700000000001</v>
      </c>
      <c r="N602" s="9">
        <v>4.9444999999999997</v>
      </c>
      <c r="O602" s="9">
        <v>0.37459999999999999</v>
      </c>
      <c r="P602" s="9">
        <v>1.2192000000000001</v>
      </c>
      <c r="Q602" s="9">
        <v>19.688099999999999</v>
      </c>
      <c r="R602" s="9"/>
      <c r="S602" s="11"/>
    </row>
    <row r="603" spans="1:19" ht="15.75">
      <c r="A603" s="13">
        <v>60236</v>
      </c>
      <c r="B603" s="8">
        <f>17 * CHOOSE(CONTROL!$C$12, $D$11, 100%, $F$11)</f>
        <v>13.668000000000001</v>
      </c>
      <c r="C603" s="8">
        <f>17.0104 * CHOOSE(CONTROL!$C$12, $D$11, 100%, $F$11)</f>
        <v>13.676361600000002</v>
      </c>
      <c r="D603" s="8">
        <f>16.9907 * CHOOSE( CONTROL!$C$12, $D$11, 100%, $F$11)</f>
        <v>13.660522800000001</v>
      </c>
      <c r="E603" s="12">
        <f>16.9968 * CHOOSE( CONTROL!$C$12, $D$11, 100%, $F$11)</f>
        <v>13.665427200000002</v>
      </c>
      <c r="F603" s="4">
        <f>17.9916 * CHOOSE(CONTROL!$C$12, $D$11, 100%, $F$11)</f>
        <v>14.4652464</v>
      </c>
      <c r="G603" s="8">
        <f>16.578 * CHOOSE( CONTROL!$C$12, $D$11, 100%, $F$11)</f>
        <v>13.328711999999999</v>
      </c>
      <c r="H603" s="4">
        <f>17.4614 * CHOOSE(CONTROL!$C$12, $D$11, 100%, $F$11)</f>
        <v>14.038965600000001</v>
      </c>
      <c r="I603" s="8">
        <f>16.3825 * CHOOSE(CONTROL!$C$12, $D$11, 100%, $F$11)</f>
        <v>13.171530000000001</v>
      </c>
      <c r="J603" s="4">
        <f>16.2846 * CHOOSE(CONTROL!$C$12, $D$11, 100%, $F$11)</f>
        <v>13.092818400000002</v>
      </c>
      <c r="K603" s="4"/>
      <c r="L603" s="9">
        <v>26.515499999999999</v>
      </c>
      <c r="M603" s="9">
        <v>11.6745</v>
      </c>
      <c r="N603" s="9">
        <v>4.7850000000000001</v>
      </c>
      <c r="O603" s="9">
        <v>0.36249999999999999</v>
      </c>
      <c r="P603" s="9">
        <v>1.2522</v>
      </c>
      <c r="Q603" s="9">
        <v>19.053000000000001</v>
      </c>
      <c r="R603" s="9"/>
      <c r="S603" s="11"/>
    </row>
    <row r="604" spans="1:19" ht="15.75">
      <c r="A604" s="13">
        <v>60267</v>
      </c>
      <c r="B604" s="8">
        <f>16.9691 * CHOOSE(CONTROL!$C$12, $D$11, 100%, $F$11)</f>
        <v>13.643156400000002</v>
      </c>
      <c r="C604" s="8">
        <f>16.9795 * CHOOSE(CONTROL!$C$12, $D$11, 100%, $F$11)</f>
        <v>13.651518000000003</v>
      </c>
      <c r="D604" s="8">
        <f>16.9617 * CHOOSE( CONTROL!$C$12, $D$11, 100%, $F$11)</f>
        <v>13.637206800000001</v>
      </c>
      <c r="E604" s="12">
        <f>16.9671 * CHOOSE( CONTROL!$C$12, $D$11, 100%, $F$11)</f>
        <v>13.6415484</v>
      </c>
      <c r="F604" s="4">
        <f>17.9607 * CHOOSE(CONTROL!$C$12, $D$11, 100%, $F$11)</f>
        <v>14.440402800000001</v>
      </c>
      <c r="G604" s="8">
        <f>16.5494 * CHOOSE( CONTROL!$C$12, $D$11, 100%, $F$11)</f>
        <v>13.305717599999999</v>
      </c>
      <c r="H604" s="4">
        <f>17.4313 * CHOOSE(CONTROL!$C$12, $D$11, 100%, $F$11)</f>
        <v>14.014765200000001</v>
      </c>
      <c r="I604" s="8">
        <f>16.3598 * CHOOSE(CONTROL!$C$12, $D$11, 100%, $F$11)</f>
        <v>13.1532792</v>
      </c>
      <c r="J604" s="4">
        <f>16.255 * CHOOSE(CONTROL!$C$12, $D$11, 100%, $F$11)</f>
        <v>13.06902</v>
      </c>
      <c r="K604" s="4"/>
      <c r="L604" s="9">
        <v>27.3993</v>
      </c>
      <c r="M604" s="9">
        <v>12.063700000000001</v>
      </c>
      <c r="N604" s="9">
        <v>4.9444999999999997</v>
      </c>
      <c r="O604" s="9">
        <v>0.37459999999999999</v>
      </c>
      <c r="P604" s="9">
        <v>1.2939000000000001</v>
      </c>
      <c r="Q604" s="9">
        <v>19.688099999999999</v>
      </c>
      <c r="R604" s="9"/>
      <c r="S604" s="11"/>
    </row>
    <row r="605" spans="1:19" ht="15.75">
      <c r="A605" s="13">
        <v>60298</v>
      </c>
      <c r="B605" s="8">
        <f>17.6174 * CHOOSE(CONTROL!$C$12, $D$11, 100%, $F$11)</f>
        <v>14.164389600000002</v>
      </c>
      <c r="C605" s="8">
        <f>17.6279 * CHOOSE(CONTROL!$C$12, $D$11, 100%, $F$11)</f>
        <v>14.1728316</v>
      </c>
      <c r="D605" s="8">
        <f>17.6255 * CHOOSE( CONTROL!$C$12, $D$11, 100%, $F$11)</f>
        <v>14.170902</v>
      </c>
      <c r="E605" s="12">
        <f>17.6253 * CHOOSE( CONTROL!$C$12, $D$11, 100%, $F$11)</f>
        <v>14.1707412</v>
      </c>
      <c r="F605" s="4">
        <f>18.6403 * CHOOSE(CONTROL!$C$12, $D$11, 100%, $F$11)</f>
        <v>14.9868012</v>
      </c>
      <c r="G605" s="8">
        <f>17.2004 * CHOOSE( CONTROL!$C$12, $D$11, 100%, $F$11)</f>
        <v>13.829121599999999</v>
      </c>
      <c r="H605" s="4">
        <f>18.0938 * CHOOSE(CONTROL!$C$12, $D$11, 100%, $F$11)</f>
        <v>14.547415200000001</v>
      </c>
      <c r="I605" s="8">
        <f>16.9933 * CHOOSE(CONTROL!$C$12, $D$11, 100%, $F$11)</f>
        <v>13.662613200000003</v>
      </c>
      <c r="J605" s="4">
        <f>16.8763 * CHOOSE(CONTROL!$C$12, $D$11, 100%, $F$11)</f>
        <v>13.568545200000001</v>
      </c>
      <c r="K605" s="4"/>
      <c r="L605" s="9">
        <v>27.3993</v>
      </c>
      <c r="M605" s="9">
        <v>12.063700000000001</v>
      </c>
      <c r="N605" s="9">
        <v>4.9444999999999997</v>
      </c>
      <c r="O605" s="9">
        <v>0.37459999999999999</v>
      </c>
      <c r="P605" s="9">
        <v>1.2939000000000001</v>
      </c>
      <c r="Q605" s="9">
        <v>19.688099999999999</v>
      </c>
      <c r="R605" s="9"/>
      <c r="S605" s="11"/>
    </row>
    <row r="606" spans="1:19" ht="15.75">
      <c r="A606" s="13">
        <v>60326</v>
      </c>
      <c r="B606" s="8">
        <f>16.4788 * CHOOSE(CONTROL!$C$12, $D$11, 100%, $F$11)</f>
        <v>13.248955200000001</v>
      </c>
      <c r="C606" s="8">
        <f>16.4892 * CHOOSE(CONTROL!$C$12, $D$11, 100%, $F$11)</f>
        <v>13.257316800000002</v>
      </c>
      <c r="D606" s="8">
        <f>16.4892 * CHOOSE( CONTROL!$C$12, $D$11, 100%, $F$11)</f>
        <v>13.257316800000002</v>
      </c>
      <c r="E606" s="12">
        <f>16.4881 * CHOOSE( CONTROL!$C$12, $D$11, 100%, $F$11)</f>
        <v>13.2564324</v>
      </c>
      <c r="F606" s="4">
        <f>17.4939 * CHOOSE(CONTROL!$C$12, $D$11, 100%, $F$11)</f>
        <v>14.065095600000001</v>
      </c>
      <c r="G606" s="8">
        <f>16.0904 * CHOOSE( CONTROL!$C$12, $D$11, 100%, $F$11)</f>
        <v>12.9366816</v>
      </c>
      <c r="H606" s="4">
        <f>16.9763 * CHOOSE(CONTROL!$C$12, $D$11, 100%, $F$11)</f>
        <v>13.6489452</v>
      </c>
      <c r="I606" s="8">
        <f>15.8908 * CHOOSE(CONTROL!$C$12, $D$11, 100%, $F$11)</f>
        <v>12.776203200000001</v>
      </c>
      <c r="J606" s="4">
        <f>15.7852 * CHOOSE(CONTROL!$C$12, $D$11, 100%, $F$11)</f>
        <v>12.6913008</v>
      </c>
      <c r="K606" s="4"/>
      <c r="L606" s="9">
        <v>24.747800000000002</v>
      </c>
      <c r="M606" s="9">
        <v>10.8962</v>
      </c>
      <c r="N606" s="9">
        <v>4.4660000000000002</v>
      </c>
      <c r="O606" s="9">
        <v>0.33829999999999999</v>
      </c>
      <c r="P606" s="9">
        <v>1.1687000000000001</v>
      </c>
      <c r="Q606" s="9">
        <v>17.782800000000002</v>
      </c>
      <c r="R606" s="9"/>
      <c r="S606" s="11"/>
    </row>
    <row r="607" spans="1:19" ht="15.75">
      <c r="A607" s="13">
        <v>60357</v>
      </c>
      <c r="B607" s="8">
        <f>16.1281 * CHOOSE(CONTROL!$C$12, $D$11, 100%, $F$11)</f>
        <v>12.966992400000001</v>
      </c>
      <c r="C607" s="8">
        <f>16.1385 * CHOOSE(CONTROL!$C$12, $D$11, 100%, $F$11)</f>
        <v>12.975354000000001</v>
      </c>
      <c r="D607" s="8">
        <f>16.1184 * CHOOSE( CONTROL!$C$12, $D$11, 100%, $F$11)</f>
        <v>12.959193600000003</v>
      </c>
      <c r="E607" s="12">
        <f>16.1246 * CHOOSE( CONTROL!$C$12, $D$11, 100%, $F$11)</f>
        <v>12.964178400000002</v>
      </c>
      <c r="F607" s="4">
        <f>17.127 * CHOOSE(CONTROL!$C$12, $D$11, 100%, $F$11)</f>
        <v>13.770108</v>
      </c>
      <c r="G607" s="8">
        <f>15.7281 * CHOOSE( CONTROL!$C$12, $D$11, 100%, $F$11)</f>
        <v>12.6453924</v>
      </c>
      <c r="H607" s="4">
        <f>16.6187 * CHOOSE(CONTROL!$C$12, $D$11, 100%, $F$11)</f>
        <v>13.361434800000001</v>
      </c>
      <c r="I607" s="8">
        <f>15.5151 * CHOOSE(CONTROL!$C$12, $D$11, 100%, $F$11)</f>
        <v>12.474140400000001</v>
      </c>
      <c r="J607" s="4">
        <f>15.4492 * CHOOSE(CONTROL!$C$12, $D$11, 100%, $F$11)</f>
        <v>12.4211568</v>
      </c>
      <c r="K607" s="4"/>
      <c r="L607" s="9">
        <v>27.3993</v>
      </c>
      <c r="M607" s="9">
        <v>12.063700000000001</v>
      </c>
      <c r="N607" s="9">
        <v>4.9444999999999997</v>
      </c>
      <c r="O607" s="9">
        <v>0.37459999999999999</v>
      </c>
      <c r="P607" s="9">
        <v>1.2939000000000001</v>
      </c>
      <c r="Q607" s="9">
        <v>19.688099999999999</v>
      </c>
      <c r="R607" s="9"/>
      <c r="S607" s="11"/>
    </row>
    <row r="608" spans="1:19" ht="15.75">
      <c r="A608" s="13">
        <v>60387</v>
      </c>
      <c r="B608" s="8">
        <f>16.3732 * CHOOSE(CONTROL!$C$12, $D$11, 100%, $F$11)</f>
        <v>13.164052800000002</v>
      </c>
      <c r="C608" s="8">
        <f>16.3836 * CHOOSE(CONTROL!$C$12, $D$11, 100%, $F$11)</f>
        <v>13.172414400000001</v>
      </c>
      <c r="D608" s="8">
        <f>16.3868 * CHOOSE( CONTROL!$C$12, $D$11, 100%, $F$11)</f>
        <v>13.174987200000002</v>
      </c>
      <c r="E608" s="12">
        <f>16.3846 * CHOOSE( CONTROL!$C$12, $D$11, 100%, $F$11)</f>
        <v>13.1732184</v>
      </c>
      <c r="F608" s="4">
        <f>17.3804 * CHOOSE(CONTROL!$C$12, $D$11, 100%, $F$11)</f>
        <v>13.973841600000002</v>
      </c>
      <c r="G608" s="8">
        <f>15.9548 * CHOOSE( CONTROL!$C$12, $D$11, 100%, $F$11)</f>
        <v>12.827659200000001</v>
      </c>
      <c r="H608" s="4">
        <f>16.8657 * CHOOSE(CONTROL!$C$12, $D$11, 100%, $F$11)</f>
        <v>13.5600228</v>
      </c>
      <c r="I608" s="8">
        <f>15.7401 * CHOOSE(CONTROL!$C$12, $D$11, 100%, $F$11)</f>
        <v>12.655040400000001</v>
      </c>
      <c r="J608" s="4">
        <f>15.684 * CHOOSE(CONTROL!$C$12, $D$11, 100%, $F$11)</f>
        <v>12.609935999999999</v>
      </c>
      <c r="K608" s="4"/>
      <c r="L608" s="9">
        <v>27.988800000000001</v>
      </c>
      <c r="M608" s="9">
        <v>11.6745</v>
      </c>
      <c r="N608" s="9">
        <v>4.7850000000000001</v>
      </c>
      <c r="O608" s="9">
        <v>0.36249999999999999</v>
      </c>
      <c r="P608" s="9">
        <v>1.1798</v>
      </c>
      <c r="Q608" s="9">
        <v>19.053000000000001</v>
      </c>
      <c r="R608" s="9"/>
      <c r="S608" s="11"/>
    </row>
    <row r="609" spans="1:19" ht="15.75">
      <c r="A609" s="13">
        <v>60418</v>
      </c>
      <c r="B609" s="8">
        <f>CHOOSE( CONTROL!$C$29, 16.814, 16.8093) * CHOOSE(CONTROL!$C$12, $D$11, 100%, $F$11)</f>
        <v>13.518456</v>
      </c>
      <c r="C609" s="8">
        <f>CHOOSE( CONTROL!$C$29, 16.8244, 16.8197) * CHOOSE(CONTROL!$C$12, $D$11, 100%, $F$11)</f>
        <v>13.526817600000001</v>
      </c>
      <c r="D609" s="8">
        <f>CHOOSE( CONTROL!$C$29, 16.8024, 16.7977) * CHOOSE( CONTROL!$C$12, $D$11, 100%, $F$11)</f>
        <v>13.5091296</v>
      </c>
      <c r="E609" s="12">
        <f>CHOOSE( CONTROL!$C$29, 16.8088, 16.8041) * CHOOSE( CONTROL!$C$12, $D$11, 100%, $F$11)</f>
        <v>13.514275200000002</v>
      </c>
      <c r="F609" s="4">
        <f>CHOOSE( CONTROL!$C$29, 17.7889, 17.7842) * CHOOSE(CONTROL!$C$12, $D$11, 100%, $F$11)</f>
        <v>14.302275600000002</v>
      </c>
      <c r="G609" s="8">
        <f>CHOOSE( CONTROL!$C$29, 16.3659, 16.3613) * CHOOSE( CONTROL!$C$12, $D$11, 100%, $F$11)</f>
        <v>13.158183600000001</v>
      </c>
      <c r="H609" s="4">
        <f>CHOOSE( CONTROL!$C$29, 17.2639, 17.2593) * CHOOSE(CONTROL!$C$12, $D$11, 100%, $F$11)</f>
        <v>13.880175600000001</v>
      </c>
      <c r="I609" s="8">
        <f>CHOOSE( CONTROL!$C$29, 16.1412, 16.1367) * CHOOSE(CONTROL!$C$12, $D$11, 100%, $F$11)</f>
        <v>12.977524800000001</v>
      </c>
      <c r="J609" s="4">
        <f>CHOOSE( CONTROL!$C$29, 16.1064, 16.1019) * CHOOSE(CONTROL!$C$12, $D$11, 100%, $F$11)</f>
        <v>12.949545600000002</v>
      </c>
      <c r="K609" s="4"/>
      <c r="L609" s="9">
        <v>29.520499999999998</v>
      </c>
      <c r="M609" s="9">
        <v>12.063700000000001</v>
      </c>
      <c r="N609" s="9">
        <v>4.9444999999999997</v>
      </c>
      <c r="O609" s="9">
        <v>0.37459999999999999</v>
      </c>
      <c r="P609" s="9">
        <v>1.2192000000000001</v>
      </c>
      <c r="Q609" s="9">
        <v>19.688099999999999</v>
      </c>
      <c r="R609" s="9"/>
      <c r="S609" s="11"/>
    </row>
    <row r="610" spans="1:19" ht="15.75">
      <c r="A610" s="13">
        <v>60448</v>
      </c>
      <c r="B610" s="8">
        <f>CHOOSE( CONTROL!$C$29, 16.5438, 16.5391) * CHOOSE(CONTROL!$C$12, $D$11, 100%, $F$11)</f>
        <v>13.301215200000001</v>
      </c>
      <c r="C610" s="8">
        <f>CHOOSE( CONTROL!$C$29, 16.5543, 16.5496) * CHOOSE(CONTROL!$C$12, $D$11, 100%, $F$11)</f>
        <v>13.309657200000002</v>
      </c>
      <c r="D610" s="8">
        <f>CHOOSE( CONTROL!$C$29, 16.5266, 16.5219) * CHOOSE( CONTROL!$C$12, $D$11, 100%, $F$11)</f>
        <v>13.287386399999999</v>
      </c>
      <c r="E610" s="12">
        <f>CHOOSE( CONTROL!$C$29, 16.535, 16.5303) * CHOOSE( CONTROL!$C$12, $D$11, 100%, $F$11)</f>
        <v>13.294140000000001</v>
      </c>
      <c r="F610" s="4">
        <f>CHOOSE( CONTROL!$C$29, 17.5083, 17.5036) * CHOOSE(CONTROL!$C$12, $D$11, 100%, $F$11)</f>
        <v>14.0766732</v>
      </c>
      <c r="G610" s="8">
        <f>CHOOSE( CONTROL!$C$29, 16.1012, 16.0967) * CHOOSE( CONTROL!$C$12, $D$11, 100%, $F$11)</f>
        <v>12.9453648</v>
      </c>
      <c r="H610" s="4">
        <f>CHOOSE( CONTROL!$C$29, 16.9903, 16.9858) * CHOOSE(CONTROL!$C$12, $D$11, 100%, $F$11)</f>
        <v>13.660201200000001</v>
      </c>
      <c r="I610" s="8">
        <f>CHOOSE( CONTROL!$C$29, 15.8843, 15.8798) * CHOOSE(CONTROL!$C$12, $D$11, 100%, $F$11)</f>
        <v>12.770977200000001</v>
      </c>
      <c r="J610" s="4">
        <f>CHOOSE( CONTROL!$C$29, 15.8475, 15.843) * CHOOSE(CONTROL!$C$12, $D$11, 100%, $F$11)</f>
        <v>12.741390000000001</v>
      </c>
      <c r="K610" s="4"/>
      <c r="L610" s="9">
        <v>28.568200000000001</v>
      </c>
      <c r="M610" s="9">
        <v>11.6745</v>
      </c>
      <c r="N610" s="9">
        <v>4.7850000000000001</v>
      </c>
      <c r="O610" s="9">
        <v>0.36249999999999999</v>
      </c>
      <c r="P610" s="9">
        <v>1.1798</v>
      </c>
      <c r="Q610" s="9">
        <v>19.053000000000001</v>
      </c>
      <c r="R610" s="9"/>
      <c r="S610" s="11"/>
    </row>
    <row r="611" spans="1:19" ht="15.75">
      <c r="A611" s="13">
        <v>60479</v>
      </c>
      <c r="B611" s="8">
        <f>CHOOSE( CONTROL!$C$29, 17.2553, 17.2506) * CHOOSE(CONTROL!$C$12, $D$11, 100%, $F$11)</f>
        <v>13.8732612</v>
      </c>
      <c r="C611" s="8">
        <f>CHOOSE( CONTROL!$C$29, 17.2657, 17.261) * CHOOSE(CONTROL!$C$12, $D$11, 100%, $F$11)</f>
        <v>13.881622800000001</v>
      </c>
      <c r="D611" s="8">
        <f>CHOOSE( CONTROL!$C$29, 17.2573, 17.2526) * CHOOSE( CONTROL!$C$12, $D$11, 100%, $F$11)</f>
        <v>13.874869200000001</v>
      </c>
      <c r="E611" s="12">
        <f>CHOOSE( CONTROL!$C$29, 17.2588, 17.2541) * CHOOSE( CONTROL!$C$12, $D$11, 100%, $F$11)</f>
        <v>13.876075200000001</v>
      </c>
      <c r="F611" s="4">
        <f>CHOOSE( CONTROL!$C$29, 18.2469, 18.2422) * CHOOSE(CONTROL!$C$12, $D$11, 100%, $F$11)</f>
        <v>14.670507600000001</v>
      </c>
      <c r="G611" s="8">
        <f>CHOOSE( CONTROL!$C$29, 16.8075, 16.8029) * CHOOSE( CONTROL!$C$12, $D$11, 100%, $F$11)</f>
        <v>13.513230000000002</v>
      </c>
      <c r="H611" s="4">
        <f>CHOOSE( CONTROL!$C$29, 17.7103, 17.7057) * CHOOSE(CONTROL!$C$12, $D$11, 100%, $F$11)</f>
        <v>14.239081200000001</v>
      </c>
      <c r="I611" s="8">
        <f>CHOOSE( CONTROL!$C$29, 16.5891, 16.5846) * CHOOSE(CONTROL!$C$12, $D$11, 100%, $F$11)</f>
        <v>13.337636399999999</v>
      </c>
      <c r="J611" s="4">
        <f>CHOOSE( CONTROL!$C$29, 16.5293, 16.5248) * CHOOSE(CONTROL!$C$12, $D$11, 100%, $F$11)</f>
        <v>13.289557200000001</v>
      </c>
      <c r="K611" s="4"/>
      <c r="L611" s="9">
        <v>29.520499999999998</v>
      </c>
      <c r="M611" s="9">
        <v>12.063700000000001</v>
      </c>
      <c r="N611" s="9">
        <v>4.9444999999999997</v>
      </c>
      <c r="O611" s="9">
        <v>0.37459999999999999</v>
      </c>
      <c r="P611" s="9">
        <v>1.2192000000000001</v>
      </c>
      <c r="Q611" s="9">
        <v>19.688099999999999</v>
      </c>
      <c r="R611" s="9"/>
      <c r="S611" s="11"/>
    </row>
    <row r="612" spans="1:19" ht="15.75">
      <c r="A612" s="13">
        <v>60510</v>
      </c>
      <c r="B612" s="8">
        <f>CHOOSE( CONTROL!$C$29, 15.9241, 15.9194) * CHOOSE(CONTROL!$C$12, $D$11, 100%, $F$11)</f>
        <v>12.8029764</v>
      </c>
      <c r="C612" s="8">
        <f>CHOOSE( CONTROL!$C$29, 15.9345, 15.9298) * CHOOSE(CONTROL!$C$12, $D$11, 100%, $F$11)</f>
        <v>12.811338000000001</v>
      </c>
      <c r="D612" s="8">
        <f>CHOOSE( CONTROL!$C$29, 15.9294, 15.9247) * CHOOSE( CONTROL!$C$12, $D$11, 100%, $F$11)</f>
        <v>12.807237600000001</v>
      </c>
      <c r="E612" s="12">
        <f>CHOOSE( CONTROL!$C$29, 15.9297, 15.925) * CHOOSE( CONTROL!$C$12, $D$11, 100%, $F$11)</f>
        <v>12.807478800000002</v>
      </c>
      <c r="F612" s="4">
        <f>CHOOSE( CONTROL!$C$29, 16.9209, 16.9162) * CHOOSE(CONTROL!$C$12, $D$11, 100%, $F$11)</f>
        <v>13.604403600000001</v>
      </c>
      <c r="G612" s="8">
        <f>CHOOSE( CONTROL!$C$29, 15.5119, 15.5073) * CHOOSE( CONTROL!$C$12, $D$11, 100%, $F$11)</f>
        <v>12.471567600000002</v>
      </c>
      <c r="H612" s="4">
        <f>CHOOSE( CONTROL!$C$29, 16.4178, 16.4132) * CHOOSE(CONTROL!$C$12, $D$11, 100%, $F$11)</f>
        <v>13.199911200000001</v>
      </c>
      <c r="I612" s="8">
        <f>CHOOSE( CONTROL!$C$29, 15.3175, 15.313) * CHOOSE(CONTROL!$C$12, $D$11, 100%, $F$11)</f>
        <v>12.315270000000002</v>
      </c>
      <c r="J612" s="4">
        <f>CHOOSE( CONTROL!$C$29, 15.2537, 15.2492) * CHOOSE(CONTROL!$C$12, $D$11, 100%, $F$11)</f>
        <v>12.263974800000002</v>
      </c>
      <c r="K612" s="4"/>
      <c r="L612" s="9">
        <v>29.520499999999998</v>
      </c>
      <c r="M612" s="9">
        <v>12.063700000000001</v>
      </c>
      <c r="N612" s="9">
        <v>4.9444999999999997</v>
      </c>
      <c r="O612" s="9">
        <v>0.37459999999999999</v>
      </c>
      <c r="P612" s="9">
        <v>1.2192000000000001</v>
      </c>
      <c r="Q612" s="9">
        <v>19.688099999999999</v>
      </c>
      <c r="R612" s="9"/>
      <c r="S612" s="11"/>
    </row>
    <row r="613" spans="1:19" ht="15.75">
      <c r="A613" s="13">
        <v>60540</v>
      </c>
      <c r="B613" s="8">
        <f>CHOOSE( CONTROL!$C$29, 15.5907, 15.586) * CHOOSE(CONTROL!$C$12, $D$11, 100%, $F$11)</f>
        <v>12.5349228</v>
      </c>
      <c r="C613" s="8">
        <f>CHOOSE( CONTROL!$C$29, 15.6011, 15.5964) * CHOOSE(CONTROL!$C$12, $D$11, 100%, $F$11)</f>
        <v>12.543284400000001</v>
      </c>
      <c r="D613" s="8">
        <f>CHOOSE( CONTROL!$C$29, 15.5918, 15.5871) * CHOOSE( CONTROL!$C$12, $D$11, 100%, $F$11)</f>
        <v>12.535807200000001</v>
      </c>
      <c r="E613" s="12">
        <f>CHOOSE( CONTROL!$C$29, 15.5936, 15.5889) * CHOOSE( CONTROL!$C$12, $D$11, 100%, $F$11)</f>
        <v>12.537254400000002</v>
      </c>
      <c r="F613" s="4">
        <f>CHOOSE( CONTROL!$C$29, 16.5797, 16.575) * CHOOSE(CONTROL!$C$12, $D$11, 100%, $F$11)</f>
        <v>13.330078800000001</v>
      </c>
      <c r="G613" s="8">
        <f>CHOOSE( CONTROL!$C$29, 15.1857, 15.1811) * CHOOSE( CONTROL!$C$12, $D$11, 100%, $F$11)</f>
        <v>12.209302800000001</v>
      </c>
      <c r="H613" s="4">
        <f>CHOOSE( CONTROL!$C$29, 16.0852, 16.0806) * CHOOSE(CONTROL!$C$12, $D$11, 100%, $F$11)</f>
        <v>12.932500800000001</v>
      </c>
      <c r="I613" s="8">
        <f>CHOOSE( CONTROL!$C$29, 14.9993, 14.9948) * CHOOSE(CONTROL!$C$12, $D$11, 100%, $F$11)</f>
        <v>12.059437200000001</v>
      </c>
      <c r="J613" s="4">
        <f>CHOOSE( CONTROL!$C$29, 14.9343, 14.9298) * CHOOSE(CONTROL!$C$12, $D$11, 100%, $F$11)</f>
        <v>12.007177200000001</v>
      </c>
      <c r="K613" s="4"/>
      <c r="L613" s="9">
        <v>28.568200000000001</v>
      </c>
      <c r="M613" s="9">
        <v>11.6745</v>
      </c>
      <c r="N613" s="9">
        <v>4.7850000000000001</v>
      </c>
      <c r="O613" s="9">
        <v>0.36249999999999999</v>
      </c>
      <c r="P613" s="9">
        <v>1.1798</v>
      </c>
      <c r="Q613" s="9">
        <v>19.053000000000001</v>
      </c>
      <c r="R613" s="9"/>
      <c r="S613" s="11"/>
    </row>
    <row r="614" spans="1:19" ht="15.75">
      <c r="A614" s="13">
        <v>60571</v>
      </c>
      <c r="B614" s="8">
        <f>16.2782 * CHOOSE(CONTROL!$C$12, $D$11, 100%, $F$11)</f>
        <v>13.0876728</v>
      </c>
      <c r="C614" s="8">
        <f>16.2886 * CHOOSE(CONTROL!$C$12, $D$11, 100%, $F$11)</f>
        <v>13.096034400000001</v>
      </c>
      <c r="D614" s="8">
        <f>16.2802 * CHOOSE( CONTROL!$C$12, $D$11, 100%, $F$11)</f>
        <v>13.089280800000001</v>
      </c>
      <c r="E614" s="12">
        <f>16.2819 * CHOOSE( CONTROL!$C$12, $D$11, 100%, $F$11)</f>
        <v>13.0906476</v>
      </c>
      <c r="F614" s="4">
        <f>17.2672 * CHOOSE(CONTROL!$C$12, $D$11, 100%, $F$11)</f>
        <v>13.8828288</v>
      </c>
      <c r="G614" s="8">
        <f>15.8554 * CHOOSE( CONTROL!$C$12, $D$11, 100%, $F$11)</f>
        <v>12.747741600000001</v>
      </c>
      <c r="H614" s="4">
        <f>16.7553 * CHOOSE(CONTROL!$C$12, $D$11, 100%, $F$11)</f>
        <v>13.471261199999999</v>
      </c>
      <c r="I614" s="8">
        <f>15.6604 * CHOOSE(CONTROL!$C$12, $D$11, 100%, $F$11)</f>
        <v>12.5909616</v>
      </c>
      <c r="J614" s="4">
        <f>15.593 * CHOOSE(CONTROL!$C$12, $D$11, 100%, $F$11)</f>
        <v>12.536772000000001</v>
      </c>
      <c r="K614" s="4"/>
      <c r="L614" s="9">
        <v>28.921800000000001</v>
      </c>
      <c r="M614" s="9">
        <v>12.063700000000001</v>
      </c>
      <c r="N614" s="9">
        <v>4.9444999999999997</v>
      </c>
      <c r="O614" s="9">
        <v>0.37459999999999999</v>
      </c>
      <c r="P614" s="9">
        <v>1.2192000000000001</v>
      </c>
      <c r="Q614" s="9">
        <v>19.688099999999999</v>
      </c>
      <c r="R614" s="9"/>
      <c r="S614" s="11"/>
    </row>
    <row r="615" spans="1:19" ht="15.75">
      <c r="A615" s="13">
        <v>60601</v>
      </c>
      <c r="B615" s="8">
        <f>17.5558 * CHOOSE(CONTROL!$C$12, $D$11, 100%, $F$11)</f>
        <v>14.114863200000002</v>
      </c>
      <c r="C615" s="8">
        <f>17.5662 * CHOOSE(CONTROL!$C$12, $D$11, 100%, $F$11)</f>
        <v>14.123224799999999</v>
      </c>
      <c r="D615" s="8">
        <f>17.5465 * CHOOSE( CONTROL!$C$12, $D$11, 100%, $F$11)</f>
        <v>14.107386000000002</v>
      </c>
      <c r="E615" s="12">
        <f>17.5526 * CHOOSE( CONTROL!$C$12, $D$11, 100%, $F$11)</f>
        <v>14.112290400000003</v>
      </c>
      <c r="F615" s="4">
        <f>18.5474 * CHOOSE(CONTROL!$C$12, $D$11, 100%, $F$11)</f>
        <v>14.912109600000001</v>
      </c>
      <c r="G615" s="8">
        <f>17.1198 * CHOOSE( CONTROL!$C$12, $D$11, 100%, $F$11)</f>
        <v>13.764319200000003</v>
      </c>
      <c r="H615" s="4">
        <f>18.0032 * CHOOSE(CONTROL!$C$12, $D$11, 100%, $F$11)</f>
        <v>14.474572800000001</v>
      </c>
      <c r="I615" s="8">
        <f>16.9154 * CHOOSE(CONTROL!$C$12, $D$11, 100%, $F$11)</f>
        <v>13.599981600000003</v>
      </c>
      <c r="J615" s="4">
        <f>16.8172 * CHOOSE(CONTROL!$C$12, $D$11, 100%, $F$11)</f>
        <v>13.5210288</v>
      </c>
      <c r="K615" s="4"/>
      <c r="L615" s="9">
        <v>26.515499999999999</v>
      </c>
      <c r="M615" s="9">
        <v>11.6745</v>
      </c>
      <c r="N615" s="9">
        <v>4.7850000000000001</v>
      </c>
      <c r="O615" s="9">
        <v>0.36249999999999999</v>
      </c>
      <c r="P615" s="9">
        <v>1.2522</v>
      </c>
      <c r="Q615" s="9">
        <v>19.053000000000001</v>
      </c>
      <c r="R615" s="9"/>
      <c r="S615" s="11"/>
    </row>
    <row r="616" spans="1:19" ht="15.75">
      <c r="A616" s="13">
        <v>60632</v>
      </c>
      <c r="B616" s="8">
        <f>17.5239 * CHOOSE(CONTROL!$C$12, $D$11, 100%, $F$11)</f>
        <v>14.089215600000001</v>
      </c>
      <c r="C616" s="8">
        <f>17.5343 * CHOOSE(CONTROL!$C$12, $D$11, 100%, $F$11)</f>
        <v>14.097577200000002</v>
      </c>
      <c r="D616" s="8">
        <f>17.5165 * CHOOSE( CONTROL!$C$12, $D$11, 100%, $F$11)</f>
        <v>14.083266000000002</v>
      </c>
      <c r="E616" s="12">
        <f>17.5219 * CHOOSE( CONTROL!$C$12, $D$11, 100%, $F$11)</f>
        <v>14.0876076</v>
      </c>
      <c r="F616" s="4">
        <f>18.5154 * CHOOSE(CONTROL!$C$12, $D$11, 100%, $F$11)</f>
        <v>14.8863816</v>
      </c>
      <c r="G616" s="8">
        <f>17.0902 * CHOOSE( CONTROL!$C$12, $D$11, 100%, $F$11)</f>
        <v>13.740520800000001</v>
      </c>
      <c r="H616" s="4">
        <f>17.9721 * CHOOSE(CONTROL!$C$12, $D$11, 100%, $F$11)</f>
        <v>14.449568400000002</v>
      </c>
      <c r="I616" s="8">
        <f>16.8916 * CHOOSE(CONTROL!$C$12, $D$11, 100%, $F$11)</f>
        <v>13.5808464</v>
      </c>
      <c r="J616" s="4">
        <f>16.7866 * CHOOSE(CONTROL!$C$12, $D$11, 100%, $F$11)</f>
        <v>13.496426400000001</v>
      </c>
      <c r="K616" s="4"/>
      <c r="L616" s="9">
        <v>27.3993</v>
      </c>
      <c r="M616" s="9">
        <v>12.063700000000001</v>
      </c>
      <c r="N616" s="9">
        <v>4.9444999999999997</v>
      </c>
      <c r="O616" s="9">
        <v>0.37459999999999999</v>
      </c>
      <c r="P616" s="9">
        <v>1.2939000000000001</v>
      </c>
      <c r="Q616" s="9">
        <v>19.688099999999999</v>
      </c>
      <c r="R616" s="9"/>
      <c r="S616" s="11"/>
    </row>
    <row r="617" spans="1:19" ht="15.75">
      <c r="A617" s="13">
        <v>60663</v>
      </c>
      <c r="B617" s="8">
        <f>18.1934 * CHOOSE(CONTROL!$C$12, $D$11, 100%, $F$11)</f>
        <v>14.627493600000001</v>
      </c>
      <c r="C617" s="8">
        <f>18.2038 * CHOOSE(CONTROL!$C$12, $D$11, 100%, $F$11)</f>
        <v>14.635855200000002</v>
      </c>
      <c r="D617" s="8">
        <f>18.2015 * CHOOSE( CONTROL!$C$12, $D$11, 100%, $F$11)</f>
        <v>14.634006000000001</v>
      </c>
      <c r="E617" s="12">
        <f>18.2012 * CHOOSE( CONTROL!$C$12, $D$11, 100%, $F$11)</f>
        <v>14.633764800000002</v>
      </c>
      <c r="F617" s="4">
        <f>19.2163 * CHOOSE(CONTROL!$C$12, $D$11, 100%, $F$11)</f>
        <v>15.449905200000002</v>
      </c>
      <c r="G617" s="8">
        <f>17.7619 * CHOOSE( CONTROL!$C$12, $D$11, 100%, $F$11)</f>
        <v>14.280567600000001</v>
      </c>
      <c r="H617" s="4">
        <f>18.6553 * CHOOSE(CONTROL!$C$12, $D$11, 100%, $F$11)</f>
        <v>14.998861200000002</v>
      </c>
      <c r="I617" s="8">
        <f>17.5455 * CHOOSE(CONTROL!$C$12, $D$11, 100%, $F$11)</f>
        <v>14.106582000000001</v>
      </c>
      <c r="J617" s="4">
        <f>17.4282 * CHOOSE(CONTROL!$C$12, $D$11, 100%, $F$11)</f>
        <v>14.012272800000002</v>
      </c>
      <c r="K617" s="4"/>
      <c r="L617" s="9">
        <v>27.3993</v>
      </c>
      <c r="M617" s="9">
        <v>12.063700000000001</v>
      </c>
      <c r="N617" s="9">
        <v>4.9444999999999997</v>
      </c>
      <c r="O617" s="9">
        <v>0.37459999999999999</v>
      </c>
      <c r="P617" s="9">
        <v>1.2939000000000001</v>
      </c>
      <c r="Q617" s="9">
        <v>19.688099999999999</v>
      </c>
      <c r="R617" s="9"/>
      <c r="S617" s="11"/>
    </row>
    <row r="618" spans="1:19" ht="15.75">
      <c r="A618" s="13">
        <v>60691</v>
      </c>
      <c r="B618" s="8">
        <f>17.0176 * CHOOSE(CONTROL!$C$12, $D$11, 100%, $F$11)</f>
        <v>13.682150400000003</v>
      </c>
      <c r="C618" s="8">
        <f>17.028 * CHOOSE(CONTROL!$C$12, $D$11, 100%, $F$11)</f>
        <v>13.690512</v>
      </c>
      <c r="D618" s="8">
        <f>17.028 * CHOOSE( CONTROL!$C$12, $D$11, 100%, $F$11)</f>
        <v>13.690512</v>
      </c>
      <c r="E618" s="12">
        <f>17.0269 * CHOOSE( CONTROL!$C$12, $D$11, 100%, $F$11)</f>
        <v>13.689627600000001</v>
      </c>
      <c r="F618" s="4">
        <f>18.0326 * CHOOSE(CONTROL!$C$12, $D$11, 100%, $F$11)</f>
        <v>14.4982104</v>
      </c>
      <c r="G618" s="8">
        <f>16.6156 * CHOOSE( CONTROL!$C$12, $D$11, 100%, $F$11)</f>
        <v>13.358942400000002</v>
      </c>
      <c r="H618" s="4">
        <f>17.5015 * CHOOSE(CONTROL!$C$12, $D$11, 100%, $F$11)</f>
        <v>14.071206</v>
      </c>
      <c r="I618" s="8">
        <f>16.4073 * CHOOSE(CONTROL!$C$12, $D$11, 100%, $F$11)</f>
        <v>13.1914692</v>
      </c>
      <c r="J618" s="4">
        <f>16.3015 * CHOOSE(CONTROL!$C$12, $D$11, 100%, $F$11)</f>
        <v>13.106406000000002</v>
      </c>
      <c r="K618" s="4"/>
      <c r="L618" s="9">
        <v>24.747800000000002</v>
      </c>
      <c r="M618" s="9">
        <v>10.8962</v>
      </c>
      <c r="N618" s="9">
        <v>4.4660000000000002</v>
      </c>
      <c r="O618" s="9">
        <v>0.33829999999999999</v>
      </c>
      <c r="P618" s="9">
        <v>1.1687000000000001</v>
      </c>
      <c r="Q618" s="9">
        <v>17.782800000000002</v>
      </c>
      <c r="R618" s="9"/>
      <c r="S618" s="11"/>
    </row>
    <row r="619" spans="1:19" ht="15.75">
      <c r="A619" s="13">
        <v>60722</v>
      </c>
      <c r="B619" s="8">
        <f>16.6554 * CHOOSE(CONTROL!$C$12, $D$11, 100%, $F$11)</f>
        <v>13.390941600000001</v>
      </c>
      <c r="C619" s="8">
        <f>16.6658 * CHOOSE(CONTROL!$C$12, $D$11, 100%, $F$11)</f>
        <v>13.399303200000002</v>
      </c>
      <c r="D619" s="8">
        <f>16.6457 * CHOOSE( CONTROL!$C$12, $D$11, 100%, $F$11)</f>
        <v>13.383142800000002</v>
      </c>
      <c r="E619" s="12">
        <f>16.6519 * CHOOSE( CONTROL!$C$12, $D$11, 100%, $F$11)</f>
        <v>13.388127600000002</v>
      </c>
      <c r="F619" s="4">
        <f>17.6543 * CHOOSE(CONTROL!$C$12, $D$11, 100%, $F$11)</f>
        <v>14.1940572</v>
      </c>
      <c r="G619" s="8">
        <f>16.2421 * CHOOSE( CONTROL!$C$12, $D$11, 100%, $F$11)</f>
        <v>13.058648400000001</v>
      </c>
      <c r="H619" s="4">
        <f>17.1327 * CHOOSE(CONTROL!$C$12, $D$11, 100%, $F$11)</f>
        <v>13.7746908</v>
      </c>
      <c r="I619" s="8">
        <f>16.0206 * CHOOSE(CONTROL!$C$12, $D$11, 100%, $F$11)</f>
        <v>12.880562400000002</v>
      </c>
      <c r="J619" s="4">
        <f>15.9544 * CHOOSE(CONTROL!$C$12, $D$11, 100%, $F$11)</f>
        <v>12.8273376</v>
      </c>
      <c r="K619" s="4"/>
      <c r="L619" s="9">
        <v>27.3993</v>
      </c>
      <c r="M619" s="9">
        <v>12.063700000000001</v>
      </c>
      <c r="N619" s="9">
        <v>4.9444999999999997</v>
      </c>
      <c r="O619" s="9">
        <v>0.37459999999999999</v>
      </c>
      <c r="P619" s="9">
        <v>1.2939000000000001</v>
      </c>
      <c r="Q619" s="9">
        <v>19.688099999999999</v>
      </c>
      <c r="R619" s="9"/>
      <c r="S619" s="11"/>
    </row>
    <row r="620" spans="1:19" ht="15.75">
      <c r="A620" s="13">
        <v>60752</v>
      </c>
      <c r="B620" s="8">
        <f>16.9085 * CHOOSE(CONTROL!$C$12, $D$11, 100%, $F$11)</f>
        <v>13.594434000000001</v>
      </c>
      <c r="C620" s="8">
        <f>16.9189 * CHOOSE(CONTROL!$C$12, $D$11, 100%, $F$11)</f>
        <v>13.602795600000002</v>
      </c>
      <c r="D620" s="8">
        <f>16.9221 * CHOOSE( CONTROL!$C$12, $D$11, 100%, $F$11)</f>
        <v>13.605368400000001</v>
      </c>
      <c r="E620" s="12">
        <f>16.9199 * CHOOSE( CONTROL!$C$12, $D$11, 100%, $F$11)</f>
        <v>13.603599599999999</v>
      </c>
      <c r="F620" s="4">
        <f>17.9157 * CHOOSE(CONTROL!$C$12, $D$11, 100%, $F$11)</f>
        <v>14.404222800000001</v>
      </c>
      <c r="G620" s="8">
        <f>16.4766 * CHOOSE( CONTROL!$C$12, $D$11, 100%, $F$11)</f>
        <v>13.247186400000002</v>
      </c>
      <c r="H620" s="4">
        <f>17.3875 * CHOOSE(CONTROL!$C$12, $D$11, 100%, $F$11)</f>
        <v>13.97955</v>
      </c>
      <c r="I620" s="8">
        <f>16.2533 * CHOOSE(CONTROL!$C$12, $D$11, 100%, $F$11)</f>
        <v>13.067653200000001</v>
      </c>
      <c r="J620" s="4">
        <f>16.1969 * CHOOSE(CONTROL!$C$12, $D$11, 100%, $F$11)</f>
        <v>13.0223076</v>
      </c>
      <c r="K620" s="4"/>
      <c r="L620" s="9">
        <v>27.988800000000001</v>
      </c>
      <c r="M620" s="9">
        <v>11.6745</v>
      </c>
      <c r="N620" s="9">
        <v>4.7850000000000001</v>
      </c>
      <c r="O620" s="9">
        <v>0.36249999999999999</v>
      </c>
      <c r="P620" s="9">
        <v>1.1798</v>
      </c>
      <c r="Q620" s="9">
        <v>19.053000000000001</v>
      </c>
      <c r="R620" s="9"/>
      <c r="S620" s="11"/>
    </row>
    <row r="621" spans="1:19" ht="15.75">
      <c r="A621" s="13">
        <v>60783</v>
      </c>
      <c r="B621" s="8">
        <f>CHOOSE( CONTROL!$C$29, 17.3636, 17.3589) * CHOOSE(CONTROL!$C$12, $D$11, 100%, $F$11)</f>
        <v>13.960334400000002</v>
      </c>
      <c r="C621" s="8">
        <f>CHOOSE( CONTROL!$C$29, 17.374, 17.3693) * CHOOSE(CONTROL!$C$12, $D$11, 100%, $F$11)</f>
        <v>13.968696</v>
      </c>
      <c r="D621" s="8">
        <f>CHOOSE( CONTROL!$C$29, 17.352, 17.3473) * CHOOSE( CONTROL!$C$12, $D$11, 100%, $F$11)</f>
        <v>13.951008000000002</v>
      </c>
      <c r="E621" s="12">
        <f>CHOOSE( CONTROL!$C$29, 17.3584, 17.3537) * CHOOSE( CONTROL!$C$12, $D$11, 100%, $F$11)</f>
        <v>13.9561536</v>
      </c>
      <c r="F621" s="4">
        <f>CHOOSE( CONTROL!$C$29, 18.3385, 18.3338) * CHOOSE(CONTROL!$C$12, $D$11, 100%, $F$11)</f>
        <v>14.744154</v>
      </c>
      <c r="G621" s="8">
        <f>CHOOSE( CONTROL!$C$29, 16.9016, 16.897) * CHOOSE( CONTROL!$C$12, $D$11, 100%, $F$11)</f>
        <v>13.5888864</v>
      </c>
      <c r="H621" s="4">
        <f>CHOOSE( CONTROL!$C$29, 17.7996, 17.795) * CHOOSE(CONTROL!$C$12, $D$11, 100%, $F$11)</f>
        <v>14.310878400000002</v>
      </c>
      <c r="I621" s="8">
        <f>CHOOSE( CONTROL!$C$29, 16.668, 16.6635) * CHOOSE(CONTROL!$C$12, $D$11, 100%, $F$11)</f>
        <v>13.401072000000001</v>
      </c>
      <c r="J621" s="4">
        <f>CHOOSE( CONTROL!$C$29, 16.633, 16.6285) * CHOOSE(CONTROL!$C$12, $D$11, 100%, $F$11)</f>
        <v>13.372932</v>
      </c>
      <c r="K621" s="4"/>
      <c r="L621" s="9">
        <v>29.520499999999998</v>
      </c>
      <c r="M621" s="9">
        <v>12.063700000000001</v>
      </c>
      <c r="N621" s="9">
        <v>4.9444999999999997</v>
      </c>
      <c r="O621" s="9">
        <v>0.37459999999999999</v>
      </c>
      <c r="P621" s="9">
        <v>1.2192000000000001</v>
      </c>
      <c r="Q621" s="9">
        <v>19.688099999999999</v>
      </c>
      <c r="R621" s="9"/>
      <c r="S621" s="11"/>
    </row>
    <row r="622" spans="1:19" ht="15.75">
      <c r="A622" s="13">
        <v>60813</v>
      </c>
      <c r="B622" s="8">
        <f>CHOOSE( CONTROL!$C$29, 17.0846, 17.0799) * CHOOSE(CONTROL!$C$12, $D$11, 100%, $F$11)</f>
        <v>13.736018399999999</v>
      </c>
      <c r="C622" s="8">
        <f>CHOOSE( CONTROL!$C$29, 17.095, 17.0903) * CHOOSE(CONTROL!$C$12, $D$11, 100%, $F$11)</f>
        <v>13.74438</v>
      </c>
      <c r="D622" s="8">
        <f>CHOOSE( CONTROL!$C$29, 17.0674, 17.0627) * CHOOSE( CONTROL!$C$12, $D$11, 100%, $F$11)</f>
        <v>13.7221896</v>
      </c>
      <c r="E622" s="12">
        <f>CHOOSE( CONTROL!$C$29, 17.0758, 17.0711) * CHOOSE( CONTROL!$C$12, $D$11, 100%, $F$11)</f>
        <v>13.728943200000002</v>
      </c>
      <c r="F622" s="4">
        <f>CHOOSE( CONTROL!$C$29, 18.049, 18.0443) * CHOOSE(CONTROL!$C$12, $D$11, 100%, $F$11)</f>
        <v>14.511396000000001</v>
      </c>
      <c r="G622" s="8">
        <f>CHOOSE( CONTROL!$C$29, 16.6283, 16.6237) * CHOOSE( CONTROL!$C$12, $D$11, 100%, $F$11)</f>
        <v>13.3691532</v>
      </c>
      <c r="H622" s="4">
        <f>CHOOSE( CONTROL!$C$29, 17.5174, 17.5128) * CHOOSE(CONTROL!$C$12, $D$11, 100%, $F$11)</f>
        <v>14.083989599999999</v>
      </c>
      <c r="I622" s="8">
        <f>CHOOSE( CONTROL!$C$29, 16.4027, 16.3982) * CHOOSE(CONTROL!$C$12, $D$11, 100%, $F$11)</f>
        <v>13.187770800000001</v>
      </c>
      <c r="J622" s="4">
        <f>CHOOSE( CONTROL!$C$29, 16.3657, 16.3612) * CHOOSE(CONTROL!$C$12, $D$11, 100%, $F$11)</f>
        <v>13.158022800000001</v>
      </c>
      <c r="K622" s="4"/>
      <c r="L622" s="9">
        <v>28.568200000000001</v>
      </c>
      <c r="M622" s="9">
        <v>11.6745</v>
      </c>
      <c r="N622" s="9">
        <v>4.7850000000000001</v>
      </c>
      <c r="O622" s="9">
        <v>0.36249999999999999</v>
      </c>
      <c r="P622" s="9">
        <v>1.1798</v>
      </c>
      <c r="Q622" s="9">
        <v>19.053000000000001</v>
      </c>
      <c r="R622" s="9"/>
      <c r="S622" s="11"/>
    </row>
    <row r="623" spans="1:19" ht="15.75">
      <c r="A623" s="13">
        <v>60844</v>
      </c>
      <c r="B623" s="8">
        <f>CHOOSE( CONTROL!$C$29, 17.8193, 17.8146) * CHOOSE(CONTROL!$C$12, $D$11, 100%, $F$11)</f>
        <v>14.326717199999999</v>
      </c>
      <c r="C623" s="8">
        <f>CHOOSE( CONTROL!$C$29, 17.8297, 17.825) * CHOOSE(CONTROL!$C$12, $D$11, 100%, $F$11)</f>
        <v>14.3350788</v>
      </c>
      <c r="D623" s="8">
        <f>CHOOSE( CONTROL!$C$29, 17.8213, 17.8166) * CHOOSE( CONTROL!$C$12, $D$11, 100%, $F$11)</f>
        <v>14.328325200000002</v>
      </c>
      <c r="E623" s="12">
        <f>CHOOSE( CONTROL!$C$29, 17.8228, 17.8181) * CHOOSE( CONTROL!$C$12, $D$11, 100%, $F$11)</f>
        <v>14.329531200000002</v>
      </c>
      <c r="F623" s="4">
        <f>CHOOSE( CONTROL!$C$29, 18.8109, 18.8062) * CHOOSE(CONTROL!$C$12, $D$11, 100%, $F$11)</f>
        <v>15.123963600000002</v>
      </c>
      <c r="G623" s="8">
        <f>CHOOSE( CONTROL!$C$29, 17.3572, 17.3527) * CHOOSE( CONTROL!$C$12, $D$11, 100%, $F$11)</f>
        <v>13.9551888</v>
      </c>
      <c r="H623" s="4">
        <f>CHOOSE( CONTROL!$C$29, 18.2601, 18.2555) * CHOOSE(CONTROL!$C$12, $D$11, 100%, $F$11)</f>
        <v>14.681120400000001</v>
      </c>
      <c r="I623" s="8">
        <f>CHOOSE( CONTROL!$C$29, 17.1298, 17.1253) * CHOOSE(CONTROL!$C$12, $D$11, 100%, $F$11)</f>
        <v>13.7723592</v>
      </c>
      <c r="J623" s="4">
        <f>CHOOSE( CONTROL!$C$29, 17.0697, 17.0652) * CHOOSE(CONTROL!$C$12, $D$11, 100%, $F$11)</f>
        <v>13.724038800000002</v>
      </c>
      <c r="K623" s="4"/>
      <c r="L623" s="9">
        <v>29.520499999999998</v>
      </c>
      <c r="M623" s="9">
        <v>12.063700000000001</v>
      </c>
      <c r="N623" s="9">
        <v>4.9444999999999997</v>
      </c>
      <c r="O623" s="9">
        <v>0.37459999999999999</v>
      </c>
      <c r="P623" s="9">
        <v>1.2192000000000001</v>
      </c>
      <c r="Q623" s="9">
        <v>19.688099999999999</v>
      </c>
      <c r="R623" s="9"/>
      <c r="S623" s="11"/>
    </row>
    <row r="624" spans="1:19" ht="15.75">
      <c r="A624" s="13">
        <v>60875</v>
      </c>
      <c r="B624" s="8">
        <f>CHOOSE( CONTROL!$C$29, 16.4445, 16.4398) * CHOOSE(CONTROL!$C$12, $D$11, 100%, $F$11)</f>
        <v>13.221378000000001</v>
      </c>
      <c r="C624" s="8">
        <f>CHOOSE( CONTROL!$C$29, 16.455, 16.4503) * CHOOSE(CONTROL!$C$12, $D$11, 100%, $F$11)</f>
        <v>13.22982</v>
      </c>
      <c r="D624" s="8">
        <f>CHOOSE( CONTROL!$C$29, 16.4498, 16.4451) * CHOOSE( CONTROL!$C$12, $D$11, 100%, $F$11)</f>
        <v>13.2256392</v>
      </c>
      <c r="E624" s="12">
        <f>CHOOSE( CONTROL!$C$29, 16.4501, 16.4454) * CHOOSE( CONTROL!$C$12, $D$11, 100%, $F$11)</f>
        <v>13.225880399999999</v>
      </c>
      <c r="F624" s="4">
        <f>CHOOSE( CONTROL!$C$29, 17.4413, 17.4366) * CHOOSE(CONTROL!$C$12, $D$11, 100%, $F$11)</f>
        <v>14.022805199999999</v>
      </c>
      <c r="G624" s="8">
        <f>CHOOSE( CONTROL!$C$29, 16.0193, 16.0147) * CHOOSE( CONTROL!$C$12, $D$11, 100%, $F$11)</f>
        <v>12.879517200000002</v>
      </c>
      <c r="H624" s="4">
        <f>CHOOSE( CONTROL!$C$29, 16.9251, 16.9205) * CHOOSE(CONTROL!$C$12, $D$11, 100%, $F$11)</f>
        <v>13.607780400000001</v>
      </c>
      <c r="I624" s="8">
        <f>CHOOSE( CONTROL!$C$29, 15.8165, 15.812) * CHOOSE(CONTROL!$C$12, $D$11, 100%, $F$11)</f>
        <v>12.716466</v>
      </c>
      <c r="J624" s="4">
        <f>CHOOSE( CONTROL!$C$29, 15.7524, 15.7479) * CHOOSE(CONTROL!$C$12, $D$11, 100%, $F$11)</f>
        <v>12.664929600000001</v>
      </c>
      <c r="K624" s="4"/>
      <c r="L624" s="9">
        <v>29.520499999999998</v>
      </c>
      <c r="M624" s="9">
        <v>12.063700000000001</v>
      </c>
      <c r="N624" s="9">
        <v>4.9444999999999997</v>
      </c>
      <c r="O624" s="9">
        <v>0.37459999999999999</v>
      </c>
      <c r="P624" s="9">
        <v>1.2192000000000001</v>
      </c>
      <c r="Q624" s="9">
        <v>19.688099999999999</v>
      </c>
      <c r="R624" s="9"/>
      <c r="S624" s="11"/>
    </row>
    <row r="625" spans="1:19" ht="15.75">
      <c r="A625" s="13">
        <v>60905</v>
      </c>
      <c r="B625" s="8">
        <f>CHOOSE( CONTROL!$C$29, 16.1003, 16.0956) * CHOOSE(CONTROL!$C$12, $D$11, 100%, $F$11)</f>
        <v>12.944641200000001</v>
      </c>
      <c r="C625" s="8">
        <f>CHOOSE( CONTROL!$C$29, 16.1107, 16.106) * CHOOSE(CONTROL!$C$12, $D$11, 100%, $F$11)</f>
        <v>12.953002800000002</v>
      </c>
      <c r="D625" s="8">
        <f>CHOOSE( CONTROL!$C$29, 16.1014, 16.0967) * CHOOSE( CONTROL!$C$12, $D$11, 100%, $F$11)</f>
        <v>12.945525600000002</v>
      </c>
      <c r="E625" s="12">
        <f>CHOOSE( CONTROL!$C$29, 16.1032, 16.0985) * CHOOSE( CONTROL!$C$12, $D$11, 100%, $F$11)</f>
        <v>12.946972800000001</v>
      </c>
      <c r="F625" s="4">
        <f>CHOOSE( CONTROL!$C$29, 17.0893, 17.0846) * CHOOSE(CONTROL!$C$12, $D$11, 100%, $F$11)</f>
        <v>13.739797200000002</v>
      </c>
      <c r="G625" s="8">
        <f>CHOOSE( CONTROL!$C$29, 15.6824, 15.6778) * CHOOSE( CONTROL!$C$12, $D$11, 100%, $F$11)</f>
        <v>12.6086496</v>
      </c>
      <c r="H625" s="4">
        <f>CHOOSE( CONTROL!$C$29, 16.5819, 16.5773) * CHOOSE(CONTROL!$C$12, $D$11, 100%, $F$11)</f>
        <v>13.331847600000001</v>
      </c>
      <c r="I625" s="8">
        <f>CHOOSE( CONTROL!$C$29, 15.4878, 15.4833) * CHOOSE(CONTROL!$C$12, $D$11, 100%, $F$11)</f>
        <v>12.452191200000001</v>
      </c>
      <c r="J625" s="4">
        <f>CHOOSE( CONTROL!$C$29, 15.4225, 15.418) * CHOOSE(CONTROL!$C$12, $D$11, 100%, $F$11)</f>
        <v>12.39969</v>
      </c>
      <c r="K625" s="4"/>
      <c r="L625" s="9">
        <v>28.568200000000001</v>
      </c>
      <c r="M625" s="9">
        <v>11.6745</v>
      </c>
      <c r="N625" s="9">
        <v>4.7850000000000001</v>
      </c>
      <c r="O625" s="9">
        <v>0.36249999999999999</v>
      </c>
      <c r="P625" s="9">
        <v>1.1798</v>
      </c>
      <c r="Q625" s="9">
        <v>19.053000000000001</v>
      </c>
      <c r="R625" s="9"/>
      <c r="S625" s="11"/>
    </row>
    <row r="626" spans="1:19" ht="15.75">
      <c r="A626" s="13">
        <v>60936</v>
      </c>
      <c r="B626" s="8">
        <f>16.8104 * CHOOSE(CONTROL!$C$12, $D$11, 100%, $F$11)</f>
        <v>13.515561600000002</v>
      </c>
      <c r="C626" s="8">
        <f>16.8208 * CHOOSE(CONTROL!$C$12, $D$11, 100%, $F$11)</f>
        <v>13.523923199999999</v>
      </c>
      <c r="D626" s="8">
        <f>16.8124 * CHOOSE( CONTROL!$C$12, $D$11, 100%, $F$11)</f>
        <v>13.517169600000001</v>
      </c>
      <c r="E626" s="12">
        <f>16.8141 * CHOOSE( CONTROL!$C$12, $D$11, 100%, $F$11)</f>
        <v>13.5185364</v>
      </c>
      <c r="F626" s="4">
        <f>17.7994 * CHOOSE(CONTROL!$C$12, $D$11, 100%, $F$11)</f>
        <v>14.3107176</v>
      </c>
      <c r="G626" s="8">
        <f>16.3742 * CHOOSE( CONTROL!$C$12, $D$11, 100%, $F$11)</f>
        <v>13.164856799999999</v>
      </c>
      <c r="H626" s="4">
        <f>17.2741 * CHOOSE(CONTROL!$C$12, $D$11, 100%, $F$11)</f>
        <v>13.888376400000002</v>
      </c>
      <c r="I626" s="8">
        <f>16.1706 * CHOOSE(CONTROL!$C$12, $D$11, 100%, $F$11)</f>
        <v>13.001162400000002</v>
      </c>
      <c r="J626" s="4">
        <f>16.1029 * CHOOSE(CONTROL!$C$12, $D$11, 100%, $F$11)</f>
        <v>12.946731600000001</v>
      </c>
      <c r="K626" s="4"/>
      <c r="L626" s="9">
        <v>28.921800000000001</v>
      </c>
      <c r="M626" s="9">
        <v>12.063700000000001</v>
      </c>
      <c r="N626" s="9">
        <v>4.9444999999999997</v>
      </c>
      <c r="O626" s="9">
        <v>0.37459999999999999</v>
      </c>
      <c r="P626" s="9">
        <v>1.2192000000000001</v>
      </c>
      <c r="Q626" s="9">
        <v>19.688099999999999</v>
      </c>
      <c r="R626" s="9"/>
      <c r="S626" s="11"/>
    </row>
    <row r="627" spans="1:19" ht="15.75">
      <c r="A627" s="13">
        <v>60966</v>
      </c>
      <c r="B627" s="8">
        <f>18.1297 * CHOOSE(CONTROL!$C$12, $D$11, 100%, $F$11)</f>
        <v>14.576278800000001</v>
      </c>
      <c r="C627" s="8">
        <f>18.1402 * CHOOSE(CONTROL!$C$12, $D$11, 100%, $F$11)</f>
        <v>14.584720800000001</v>
      </c>
      <c r="D627" s="8">
        <f>18.1204 * CHOOSE( CONTROL!$C$12, $D$11, 100%, $F$11)</f>
        <v>14.5688016</v>
      </c>
      <c r="E627" s="12">
        <f>18.1265 * CHOOSE( CONTROL!$C$12, $D$11, 100%, $F$11)</f>
        <v>14.573706000000001</v>
      </c>
      <c r="F627" s="4">
        <f>19.1213 * CHOOSE(CONTROL!$C$12, $D$11, 100%, $F$11)</f>
        <v>15.373525200000001</v>
      </c>
      <c r="G627" s="8">
        <f>17.6793 * CHOOSE( CONTROL!$C$12, $D$11, 100%, $F$11)</f>
        <v>14.214157200000002</v>
      </c>
      <c r="H627" s="4">
        <f>18.5627 * CHOOSE(CONTROL!$C$12, $D$11, 100%, $F$11)</f>
        <v>14.9244108</v>
      </c>
      <c r="I627" s="8">
        <f>17.4656 * CHOOSE(CONTROL!$C$12, $D$11, 100%, $F$11)</f>
        <v>14.042342399999999</v>
      </c>
      <c r="J627" s="4">
        <f>17.3672 * CHOOSE(CONTROL!$C$12, $D$11, 100%, $F$11)</f>
        <v>13.963228800000001</v>
      </c>
      <c r="K627" s="4"/>
      <c r="L627" s="9">
        <v>26.515499999999999</v>
      </c>
      <c r="M627" s="9">
        <v>11.6745</v>
      </c>
      <c r="N627" s="9">
        <v>4.7850000000000001</v>
      </c>
      <c r="O627" s="9">
        <v>0.36249999999999999</v>
      </c>
      <c r="P627" s="9">
        <v>1.2522</v>
      </c>
      <c r="Q627" s="9">
        <v>19.053000000000001</v>
      </c>
      <c r="R627" s="9"/>
      <c r="S627" s="11"/>
    </row>
    <row r="628" spans="1:19" ht="15.75">
      <c r="A628" s="13">
        <v>60997</v>
      </c>
      <c r="B628" s="8">
        <f>18.0968 * CHOOSE(CONTROL!$C$12, $D$11, 100%, $F$11)</f>
        <v>14.549827200000003</v>
      </c>
      <c r="C628" s="8">
        <f>18.1072 * CHOOSE(CONTROL!$C$12, $D$11, 100%, $F$11)</f>
        <v>14.5581888</v>
      </c>
      <c r="D628" s="8">
        <f>18.0894 * CHOOSE( CONTROL!$C$12, $D$11, 100%, $F$11)</f>
        <v>14.543877600000002</v>
      </c>
      <c r="E628" s="12">
        <f>18.0948 * CHOOSE( CONTROL!$C$12, $D$11, 100%, $F$11)</f>
        <v>14.5482192</v>
      </c>
      <c r="F628" s="4">
        <f>19.0884 * CHOOSE(CONTROL!$C$12, $D$11, 100%, $F$11)</f>
        <v>15.347073600000002</v>
      </c>
      <c r="G628" s="8">
        <f>17.6486 * CHOOSE( CONTROL!$C$12, $D$11, 100%, $F$11)</f>
        <v>14.1894744</v>
      </c>
      <c r="H628" s="4">
        <f>18.5306 * CHOOSE(CONTROL!$C$12, $D$11, 100%, $F$11)</f>
        <v>14.898602400000001</v>
      </c>
      <c r="I628" s="8">
        <f>17.4409 * CHOOSE(CONTROL!$C$12, $D$11, 100%, $F$11)</f>
        <v>14.022483600000001</v>
      </c>
      <c r="J628" s="4">
        <f>17.3356 * CHOOSE(CONTROL!$C$12, $D$11, 100%, $F$11)</f>
        <v>13.9378224</v>
      </c>
      <c r="K628" s="4"/>
      <c r="L628" s="9">
        <v>27.3993</v>
      </c>
      <c r="M628" s="9">
        <v>12.063700000000001</v>
      </c>
      <c r="N628" s="9">
        <v>4.9444999999999997</v>
      </c>
      <c r="O628" s="9">
        <v>0.37459999999999999</v>
      </c>
      <c r="P628" s="9">
        <v>1.2939000000000001</v>
      </c>
      <c r="Q628" s="9">
        <v>19.688099999999999</v>
      </c>
      <c r="R628" s="9"/>
      <c r="S628" s="11"/>
    </row>
    <row r="629" spans="1:19" ht="15.75">
      <c r="A629" s="13">
        <v>61028</v>
      </c>
      <c r="B629" s="8">
        <f>18.7882 * CHOOSE(CONTROL!$C$12, $D$11, 100%, $F$11)</f>
        <v>15.105712800000001</v>
      </c>
      <c r="C629" s="8">
        <f>18.7987 * CHOOSE(CONTROL!$C$12, $D$11, 100%, $F$11)</f>
        <v>15.114154800000001</v>
      </c>
      <c r="D629" s="8">
        <f>18.7963 * CHOOSE( CONTROL!$C$12, $D$11, 100%, $F$11)</f>
        <v>15.112225199999999</v>
      </c>
      <c r="E629" s="12">
        <f>18.7961 * CHOOSE( CONTROL!$C$12, $D$11, 100%, $F$11)</f>
        <v>15.1120644</v>
      </c>
      <c r="F629" s="4">
        <f>19.8111 * CHOOSE(CONTROL!$C$12, $D$11, 100%, $F$11)</f>
        <v>15.928124400000002</v>
      </c>
      <c r="G629" s="8">
        <f>18.3417 * CHOOSE( CONTROL!$C$12, $D$11, 100%, $F$11)</f>
        <v>14.746726800000001</v>
      </c>
      <c r="H629" s="4">
        <f>19.2351 * CHOOSE(CONTROL!$C$12, $D$11, 100%, $F$11)</f>
        <v>15.4650204</v>
      </c>
      <c r="I629" s="8">
        <f>18.1157 * CHOOSE(CONTROL!$C$12, $D$11, 100%, $F$11)</f>
        <v>14.565022800000001</v>
      </c>
      <c r="J629" s="4">
        <f>17.9981 * CHOOSE(CONTROL!$C$12, $D$11, 100%, $F$11)</f>
        <v>14.470472400000002</v>
      </c>
      <c r="K629" s="4"/>
      <c r="L629" s="9">
        <v>27.3993</v>
      </c>
      <c r="M629" s="9">
        <v>12.063700000000001</v>
      </c>
      <c r="N629" s="9">
        <v>4.9444999999999997</v>
      </c>
      <c r="O629" s="9">
        <v>0.37459999999999999</v>
      </c>
      <c r="P629" s="9">
        <v>1.2939000000000001</v>
      </c>
      <c r="Q629" s="9">
        <v>19.688099999999999</v>
      </c>
      <c r="R629" s="9"/>
      <c r="S629" s="11"/>
    </row>
    <row r="630" spans="1:19" ht="15.75">
      <c r="A630" s="13">
        <v>61056</v>
      </c>
      <c r="B630" s="8">
        <f>17.5739 * CHOOSE(CONTROL!$C$12, $D$11, 100%, $F$11)</f>
        <v>14.1294156</v>
      </c>
      <c r="C630" s="8">
        <f>17.5844 * CHOOSE(CONTROL!$C$12, $D$11, 100%, $F$11)</f>
        <v>14.1378576</v>
      </c>
      <c r="D630" s="8">
        <f>17.5843 * CHOOSE( CONTROL!$C$12, $D$11, 100%, $F$11)</f>
        <v>14.1377772</v>
      </c>
      <c r="E630" s="12">
        <f>17.5832 * CHOOSE( CONTROL!$C$12, $D$11, 100%, $F$11)</f>
        <v>14.136892800000002</v>
      </c>
      <c r="F630" s="4">
        <f>18.589 * CHOOSE(CONTROL!$C$12, $D$11, 100%, $F$11)</f>
        <v>14.945556</v>
      </c>
      <c r="G630" s="8">
        <f>17.1579 * CHOOSE( CONTROL!$C$12, $D$11, 100%, $F$11)</f>
        <v>13.794951600000003</v>
      </c>
      <c r="H630" s="4">
        <f>18.0438 * CHOOSE(CONTROL!$C$12, $D$11, 100%, $F$11)</f>
        <v>14.507215200000001</v>
      </c>
      <c r="I630" s="8">
        <f>16.9407 * CHOOSE(CONTROL!$C$12, $D$11, 100%, $F$11)</f>
        <v>13.6203228</v>
      </c>
      <c r="J630" s="4">
        <f>16.8346 * CHOOSE(CONTROL!$C$12, $D$11, 100%, $F$11)</f>
        <v>13.5350184</v>
      </c>
      <c r="K630" s="4"/>
      <c r="L630" s="9">
        <v>24.747800000000002</v>
      </c>
      <c r="M630" s="9">
        <v>10.8962</v>
      </c>
      <c r="N630" s="9">
        <v>4.4660000000000002</v>
      </c>
      <c r="O630" s="9">
        <v>0.33829999999999999</v>
      </c>
      <c r="P630" s="9">
        <v>1.1687000000000001</v>
      </c>
      <c r="Q630" s="9">
        <v>17.782800000000002</v>
      </c>
      <c r="R630" s="9"/>
      <c r="S630" s="11"/>
    </row>
    <row r="631" spans="1:19" ht="15.75">
      <c r="A631" s="13">
        <v>61087</v>
      </c>
      <c r="B631" s="8">
        <f>17.1999 * CHOOSE(CONTROL!$C$12, $D$11, 100%, $F$11)</f>
        <v>13.828719600000001</v>
      </c>
      <c r="C631" s="8">
        <f>17.2104 * CHOOSE(CONTROL!$C$12, $D$11, 100%, $F$11)</f>
        <v>13.8371616</v>
      </c>
      <c r="D631" s="8">
        <f>17.1902 * CHOOSE( CONTROL!$C$12, $D$11, 100%, $F$11)</f>
        <v>13.820920800000001</v>
      </c>
      <c r="E631" s="12">
        <f>17.1965 * CHOOSE( CONTROL!$C$12, $D$11, 100%, $F$11)</f>
        <v>13.825986</v>
      </c>
      <c r="F631" s="4">
        <f>18.1988 * CHOOSE(CONTROL!$C$12, $D$11, 100%, $F$11)</f>
        <v>14.631835199999999</v>
      </c>
      <c r="G631" s="8">
        <f>16.7729 * CHOOSE( CONTROL!$C$12, $D$11, 100%, $F$11)</f>
        <v>13.485411600000001</v>
      </c>
      <c r="H631" s="4">
        <f>17.6635 * CHOOSE(CONTROL!$C$12, $D$11, 100%, $F$11)</f>
        <v>14.201454</v>
      </c>
      <c r="I631" s="8">
        <f>16.5426 * CHOOSE(CONTROL!$C$12, $D$11, 100%, $F$11)</f>
        <v>13.300250400000001</v>
      </c>
      <c r="J631" s="4">
        <f>16.4762 * CHOOSE(CONTROL!$C$12, $D$11, 100%, $F$11)</f>
        <v>13.246864799999999</v>
      </c>
      <c r="K631" s="4"/>
      <c r="L631" s="9">
        <v>27.3993</v>
      </c>
      <c r="M631" s="9">
        <v>12.063700000000001</v>
      </c>
      <c r="N631" s="9">
        <v>4.9444999999999997</v>
      </c>
      <c r="O631" s="9">
        <v>0.37459999999999999</v>
      </c>
      <c r="P631" s="9">
        <v>1.2939000000000001</v>
      </c>
      <c r="Q631" s="9">
        <v>19.688099999999999</v>
      </c>
      <c r="R631" s="9"/>
      <c r="S631" s="11"/>
    </row>
    <row r="632" spans="1:19" ht="15.75">
      <c r="A632" s="13">
        <v>61117</v>
      </c>
      <c r="B632" s="8">
        <f>17.4613 * CHOOSE(CONTROL!$C$12, $D$11, 100%, $F$11)</f>
        <v>14.038885200000001</v>
      </c>
      <c r="C632" s="8">
        <f>17.4717 * CHOOSE(CONTROL!$C$12, $D$11, 100%, $F$11)</f>
        <v>14.0472468</v>
      </c>
      <c r="D632" s="8">
        <f>17.4749 * CHOOSE( CONTROL!$C$12, $D$11, 100%, $F$11)</f>
        <v>14.049819600000003</v>
      </c>
      <c r="E632" s="12">
        <f>17.4727 * CHOOSE( CONTROL!$C$12, $D$11, 100%, $F$11)</f>
        <v>14.0480508</v>
      </c>
      <c r="F632" s="4">
        <f>18.4685 * CHOOSE(CONTROL!$C$12, $D$11, 100%, $F$11)</f>
        <v>14.848673999999999</v>
      </c>
      <c r="G632" s="8">
        <f>17.0155 * CHOOSE( CONTROL!$C$12, $D$11, 100%, $F$11)</f>
        <v>13.680462</v>
      </c>
      <c r="H632" s="4">
        <f>17.9263 * CHOOSE(CONTROL!$C$12, $D$11, 100%, $F$11)</f>
        <v>14.412745200000002</v>
      </c>
      <c r="I632" s="8">
        <f>16.7832 * CHOOSE(CONTROL!$C$12, $D$11, 100%, $F$11)</f>
        <v>13.493692800000002</v>
      </c>
      <c r="J632" s="4">
        <f>16.7266 * CHOOSE(CONTROL!$C$12, $D$11, 100%, $F$11)</f>
        <v>13.448186400000003</v>
      </c>
      <c r="K632" s="4"/>
      <c r="L632" s="9">
        <v>27.988800000000001</v>
      </c>
      <c r="M632" s="9">
        <v>11.6745</v>
      </c>
      <c r="N632" s="9">
        <v>4.7850000000000001</v>
      </c>
      <c r="O632" s="9">
        <v>0.36249999999999999</v>
      </c>
      <c r="P632" s="9">
        <v>1.1798</v>
      </c>
      <c r="Q632" s="9">
        <v>19.053000000000001</v>
      </c>
      <c r="R632" s="9"/>
      <c r="S632" s="11"/>
    </row>
    <row r="633" spans="1:19" ht="15.75">
      <c r="A633" s="13">
        <v>61148</v>
      </c>
      <c r="B633" s="8">
        <f>CHOOSE( CONTROL!$C$29, 17.9311, 17.9264) * CHOOSE(CONTROL!$C$12, $D$11, 100%, $F$11)</f>
        <v>14.416604400000001</v>
      </c>
      <c r="C633" s="8">
        <f>CHOOSE( CONTROL!$C$29, 17.9416, 17.9368) * CHOOSE(CONTROL!$C$12, $D$11, 100%, $F$11)</f>
        <v>14.425046400000001</v>
      </c>
      <c r="D633" s="8">
        <f>CHOOSE( CONTROL!$C$29, 17.9195, 17.9148) * CHOOSE( CONTROL!$C$12, $D$11, 100%, $F$11)</f>
        <v>14.407278</v>
      </c>
      <c r="E633" s="12">
        <f>CHOOSE( CONTROL!$C$29, 17.9259, 17.9212) * CHOOSE( CONTROL!$C$12, $D$11, 100%, $F$11)</f>
        <v>14.4124236</v>
      </c>
      <c r="F633" s="4">
        <f>CHOOSE( CONTROL!$C$29, 18.906, 18.9013) * CHOOSE(CONTROL!$C$12, $D$11, 100%, $F$11)</f>
        <v>15.200424</v>
      </c>
      <c r="G633" s="8">
        <f>CHOOSE( CONTROL!$C$29, 17.4548, 17.4502) * CHOOSE( CONTROL!$C$12, $D$11, 100%, $F$11)</f>
        <v>14.033659200000001</v>
      </c>
      <c r="H633" s="4">
        <f>CHOOSE( CONTROL!$C$29, 18.3528, 18.3482) * CHOOSE(CONTROL!$C$12, $D$11, 100%, $F$11)</f>
        <v>14.755651199999999</v>
      </c>
      <c r="I633" s="8">
        <f>CHOOSE( CONTROL!$C$29, 17.2121, 17.2076) * CHOOSE(CONTROL!$C$12, $D$11, 100%, $F$11)</f>
        <v>13.838528400000001</v>
      </c>
      <c r="J633" s="4">
        <f>CHOOSE( CONTROL!$C$29, 17.1768, 17.1723) * CHOOSE(CONTROL!$C$12, $D$11, 100%, $F$11)</f>
        <v>13.810147200000001</v>
      </c>
      <c r="K633" s="4"/>
      <c r="L633" s="9">
        <v>29.520499999999998</v>
      </c>
      <c r="M633" s="9">
        <v>12.063700000000001</v>
      </c>
      <c r="N633" s="9">
        <v>4.9444999999999997</v>
      </c>
      <c r="O633" s="9">
        <v>0.37459999999999999</v>
      </c>
      <c r="P633" s="9">
        <v>1.2192000000000001</v>
      </c>
      <c r="Q633" s="9">
        <v>19.688099999999999</v>
      </c>
      <c r="R633" s="9"/>
      <c r="S633" s="11"/>
    </row>
    <row r="634" spans="1:19" ht="15.75">
      <c r="A634" s="13">
        <v>61178</v>
      </c>
      <c r="B634" s="8">
        <f>CHOOSE( CONTROL!$C$29, 17.643, 17.6383) * CHOOSE(CONTROL!$C$12, $D$11, 100%, $F$11)</f>
        <v>14.184972000000002</v>
      </c>
      <c r="C634" s="8">
        <f>CHOOSE( CONTROL!$C$29, 17.6534, 17.6487) * CHOOSE(CONTROL!$C$12, $D$11, 100%, $F$11)</f>
        <v>14.193333600000003</v>
      </c>
      <c r="D634" s="8">
        <f>CHOOSE( CONTROL!$C$29, 17.6258, 17.6211) * CHOOSE( CONTROL!$C$12, $D$11, 100%, $F$11)</f>
        <v>14.171143200000003</v>
      </c>
      <c r="E634" s="12">
        <f>CHOOSE( CONTROL!$C$29, 17.6342, 17.6295) * CHOOSE( CONTROL!$C$12, $D$11, 100%, $F$11)</f>
        <v>14.177896800000001</v>
      </c>
      <c r="F634" s="4">
        <f>CHOOSE( CONTROL!$C$29, 18.6074, 18.6027) * CHOOSE(CONTROL!$C$12, $D$11, 100%, $F$11)</f>
        <v>14.960349599999999</v>
      </c>
      <c r="G634" s="8">
        <f>CHOOSE( CONTROL!$C$29, 17.1727, 17.1681) * CHOOSE( CONTROL!$C$12, $D$11, 100%, $F$11)</f>
        <v>13.806850799999999</v>
      </c>
      <c r="H634" s="4">
        <f>CHOOSE( CONTROL!$C$29, 18.0618, 18.0572) * CHOOSE(CONTROL!$C$12, $D$11, 100%, $F$11)</f>
        <v>14.521687200000002</v>
      </c>
      <c r="I634" s="8">
        <f>CHOOSE( CONTROL!$C$29, 16.9381, 16.9336) * CHOOSE(CONTROL!$C$12, $D$11, 100%, $F$11)</f>
        <v>13.6182324</v>
      </c>
      <c r="J634" s="4">
        <f>CHOOSE( CONTROL!$C$29, 16.9007, 16.8962) * CHOOSE(CONTROL!$C$12, $D$11, 100%, $F$11)</f>
        <v>13.588162800000001</v>
      </c>
      <c r="K634" s="4"/>
      <c r="L634" s="9">
        <v>28.568200000000001</v>
      </c>
      <c r="M634" s="9">
        <v>11.6745</v>
      </c>
      <c r="N634" s="9">
        <v>4.7850000000000001</v>
      </c>
      <c r="O634" s="9">
        <v>0.36249999999999999</v>
      </c>
      <c r="P634" s="9">
        <v>1.1798</v>
      </c>
      <c r="Q634" s="9">
        <v>19.053000000000001</v>
      </c>
      <c r="R634" s="9"/>
      <c r="S634" s="11"/>
    </row>
    <row r="635" spans="1:19" ht="15.75">
      <c r="A635" s="13">
        <v>61209</v>
      </c>
      <c r="B635" s="8">
        <f>CHOOSE( CONTROL!$C$29, 18.4017, 18.397) * CHOOSE(CONTROL!$C$12, $D$11, 100%, $F$11)</f>
        <v>14.794966800000003</v>
      </c>
      <c r="C635" s="8">
        <f>CHOOSE( CONTROL!$C$29, 18.4122, 18.4075) * CHOOSE(CONTROL!$C$12, $D$11, 100%, $F$11)</f>
        <v>14.8034088</v>
      </c>
      <c r="D635" s="8">
        <f>CHOOSE( CONTROL!$C$29, 18.4037, 18.399) * CHOOSE( CONTROL!$C$12, $D$11, 100%, $F$11)</f>
        <v>14.796574800000002</v>
      </c>
      <c r="E635" s="12">
        <f>CHOOSE( CONTROL!$C$29, 18.4052, 18.4005) * CHOOSE( CONTROL!$C$12, $D$11, 100%, $F$11)</f>
        <v>14.797780800000002</v>
      </c>
      <c r="F635" s="4">
        <f>CHOOSE( CONTROL!$C$29, 19.3933, 19.3886) * CHOOSE(CONTROL!$C$12, $D$11, 100%, $F$11)</f>
        <v>15.592213200000002</v>
      </c>
      <c r="G635" s="8">
        <f>CHOOSE( CONTROL!$C$29, 17.925, 17.9204) * CHOOSE( CONTROL!$C$12, $D$11, 100%, $F$11)</f>
        <v>14.411700000000002</v>
      </c>
      <c r="H635" s="4">
        <f>CHOOSE( CONTROL!$C$29, 18.8278, 18.8232) * CHOOSE(CONTROL!$C$12, $D$11, 100%, $F$11)</f>
        <v>15.137551200000001</v>
      </c>
      <c r="I635" s="8">
        <f>CHOOSE( CONTROL!$C$29, 17.6882, 17.6837) * CHOOSE(CONTROL!$C$12, $D$11, 100%, $F$11)</f>
        <v>14.2213128</v>
      </c>
      <c r="J635" s="4">
        <f>CHOOSE( CONTROL!$C$29, 17.6278, 17.6233) * CHOOSE(CONTROL!$C$12, $D$11, 100%, $F$11)</f>
        <v>14.1727512</v>
      </c>
      <c r="K635" s="4"/>
      <c r="L635" s="9">
        <v>29.520499999999998</v>
      </c>
      <c r="M635" s="9">
        <v>12.063700000000001</v>
      </c>
      <c r="N635" s="9">
        <v>4.9444999999999997</v>
      </c>
      <c r="O635" s="9">
        <v>0.37459999999999999</v>
      </c>
      <c r="P635" s="9">
        <v>1.2192000000000001</v>
      </c>
      <c r="Q635" s="9">
        <v>19.688099999999999</v>
      </c>
      <c r="R635" s="9"/>
      <c r="S635" s="11"/>
    </row>
    <row r="636" spans="1:19" ht="15.75">
      <c r="A636" s="13">
        <v>61240</v>
      </c>
      <c r="B636" s="8">
        <f>CHOOSE( CONTROL!$C$29, 16.982, 16.9773) * CHOOSE(CONTROL!$C$12, $D$11, 100%, $F$11)</f>
        <v>13.653528</v>
      </c>
      <c r="C636" s="8">
        <f>CHOOSE( CONTROL!$C$29, 16.9924, 16.9877) * CHOOSE(CONTROL!$C$12, $D$11, 100%, $F$11)</f>
        <v>13.6618896</v>
      </c>
      <c r="D636" s="8">
        <f>CHOOSE( CONTROL!$C$29, 16.9873, 16.9826) * CHOOSE( CONTROL!$C$12, $D$11, 100%, $F$11)</f>
        <v>13.657789200000002</v>
      </c>
      <c r="E636" s="12">
        <f>CHOOSE( CONTROL!$C$29, 16.9876, 16.9829) * CHOOSE( CONTROL!$C$12, $D$11, 100%, $F$11)</f>
        <v>13.658030400000001</v>
      </c>
      <c r="F636" s="4">
        <f>CHOOSE( CONTROL!$C$29, 17.9788, 17.9741) * CHOOSE(CONTROL!$C$12, $D$11, 100%, $F$11)</f>
        <v>14.454955200000001</v>
      </c>
      <c r="G636" s="8">
        <f>CHOOSE( CONTROL!$C$29, 16.5432, 16.5386) * CHOOSE( CONTROL!$C$12, $D$11, 100%, $F$11)</f>
        <v>13.3007328</v>
      </c>
      <c r="H636" s="4">
        <f>CHOOSE( CONTROL!$C$29, 17.449, 17.4444) * CHOOSE(CONTROL!$C$12, $D$11, 100%, $F$11)</f>
        <v>14.028996000000003</v>
      </c>
      <c r="I636" s="8">
        <f>CHOOSE( CONTROL!$C$29, 16.3318, 16.3272) * CHOOSE(CONTROL!$C$12, $D$11, 100%, $F$11)</f>
        <v>13.130767200000001</v>
      </c>
      <c r="J636" s="4">
        <f>CHOOSE( CONTROL!$C$29, 16.2674, 16.2629) * CHOOSE(CONTROL!$C$12, $D$11, 100%, $F$11)</f>
        <v>13.0789896</v>
      </c>
      <c r="K636" s="4"/>
      <c r="L636" s="9">
        <v>29.520499999999998</v>
      </c>
      <c r="M636" s="9">
        <v>12.063700000000001</v>
      </c>
      <c r="N636" s="9">
        <v>4.9444999999999997</v>
      </c>
      <c r="O636" s="9">
        <v>0.37459999999999999</v>
      </c>
      <c r="P636" s="9">
        <v>1.2192000000000001</v>
      </c>
      <c r="Q636" s="9">
        <v>19.688099999999999</v>
      </c>
      <c r="R636" s="9"/>
      <c r="S636" s="11"/>
    </row>
    <row r="637" spans="1:19" ht="15.75">
      <c r="A637" s="13">
        <v>61270</v>
      </c>
      <c r="B637" s="8">
        <f>CHOOSE( CONTROL!$C$29, 16.6265, 16.6218) * CHOOSE(CONTROL!$C$12, $D$11, 100%, $F$11)</f>
        <v>13.367706</v>
      </c>
      <c r="C637" s="8">
        <f>CHOOSE( CONTROL!$C$29, 16.6369, 16.6322) * CHOOSE(CONTROL!$C$12, $D$11, 100%, $F$11)</f>
        <v>13.376067600000001</v>
      </c>
      <c r="D637" s="8">
        <f>CHOOSE( CONTROL!$C$29, 16.6276, 16.6229) * CHOOSE( CONTROL!$C$12, $D$11, 100%, $F$11)</f>
        <v>13.368590400000002</v>
      </c>
      <c r="E637" s="12">
        <f>CHOOSE( CONTROL!$C$29, 16.6294, 16.6247) * CHOOSE( CONTROL!$C$12, $D$11, 100%, $F$11)</f>
        <v>13.370037600000002</v>
      </c>
      <c r="F637" s="4">
        <f>CHOOSE( CONTROL!$C$29, 17.6155, 17.6108) * CHOOSE(CONTROL!$C$12, $D$11, 100%, $F$11)</f>
        <v>14.162862000000002</v>
      </c>
      <c r="G637" s="8">
        <f>CHOOSE( CONTROL!$C$29, 16.1953, 16.1908) * CHOOSE( CONTROL!$C$12, $D$11, 100%, $F$11)</f>
        <v>13.0210212</v>
      </c>
      <c r="H637" s="4">
        <f>CHOOSE( CONTROL!$C$29, 17.0948, 17.0902) * CHOOSE(CONTROL!$C$12, $D$11, 100%, $F$11)</f>
        <v>13.7442192</v>
      </c>
      <c r="I637" s="8">
        <f>CHOOSE( CONTROL!$C$29, 15.9923, 15.9877) * CHOOSE(CONTROL!$C$12, $D$11, 100%, $F$11)</f>
        <v>12.8578092</v>
      </c>
      <c r="J637" s="4">
        <f>CHOOSE( CONTROL!$C$29, 15.9268, 15.9222) * CHOOSE(CONTROL!$C$12, $D$11, 100%, $F$11)</f>
        <v>12.8051472</v>
      </c>
      <c r="K637" s="4"/>
      <c r="L637" s="9">
        <v>28.568200000000001</v>
      </c>
      <c r="M637" s="9">
        <v>11.6745</v>
      </c>
      <c r="N637" s="9">
        <v>4.7850000000000001</v>
      </c>
      <c r="O637" s="9">
        <v>0.36249999999999999</v>
      </c>
      <c r="P637" s="9">
        <v>1.1798</v>
      </c>
      <c r="Q637" s="9">
        <v>19.053000000000001</v>
      </c>
      <c r="R637" s="9"/>
      <c r="S637" s="11"/>
    </row>
    <row r="638" spans="1:19" ht="15.75">
      <c r="A638" s="13">
        <v>61301</v>
      </c>
      <c r="B638" s="8">
        <f>17.36 * CHOOSE(CONTROL!$C$12, $D$11, 100%, $F$11)</f>
        <v>13.95744</v>
      </c>
      <c r="C638" s="8">
        <f>17.3704 * CHOOSE(CONTROL!$C$12, $D$11, 100%, $F$11)</f>
        <v>13.965801600000001</v>
      </c>
      <c r="D638" s="8">
        <f>17.362 * CHOOSE( CONTROL!$C$12, $D$11, 100%, $F$11)</f>
        <v>13.959047999999999</v>
      </c>
      <c r="E638" s="12">
        <f>17.3637 * CHOOSE( CONTROL!$C$12, $D$11, 100%, $F$11)</f>
        <v>13.960414800000002</v>
      </c>
      <c r="F638" s="4">
        <f>18.349 * CHOOSE(CONTROL!$C$12, $D$11, 100%, $F$11)</f>
        <v>14.752596</v>
      </c>
      <c r="G638" s="8">
        <f>16.9099 * CHOOSE( CONTROL!$C$12, $D$11, 100%, $F$11)</f>
        <v>13.595559600000001</v>
      </c>
      <c r="H638" s="4">
        <f>17.8098 * CHOOSE(CONTROL!$C$12, $D$11, 100%, $F$11)</f>
        <v>14.319079200000001</v>
      </c>
      <c r="I638" s="8">
        <f>16.6975 * CHOOSE(CONTROL!$C$12, $D$11, 100%, $F$11)</f>
        <v>13.424790000000002</v>
      </c>
      <c r="J638" s="4">
        <f>16.6296 * CHOOSE(CONTROL!$C$12, $D$11, 100%, $F$11)</f>
        <v>13.370198400000001</v>
      </c>
      <c r="K638" s="4"/>
      <c r="L638" s="9">
        <v>28.921800000000001</v>
      </c>
      <c r="M638" s="9">
        <v>12.063700000000001</v>
      </c>
      <c r="N638" s="9">
        <v>4.9444999999999997</v>
      </c>
      <c r="O638" s="9">
        <v>0.37459999999999999</v>
      </c>
      <c r="P638" s="9">
        <v>1.2192000000000001</v>
      </c>
      <c r="Q638" s="9">
        <v>19.688099999999999</v>
      </c>
      <c r="R638" s="9"/>
      <c r="S638" s="11"/>
    </row>
    <row r="639" spans="1:19" ht="15.75">
      <c r="A639" s="13">
        <v>61331</v>
      </c>
      <c r="B639" s="8">
        <f>18.7225 * CHOOSE(CONTROL!$C$12, $D$11, 100%, $F$11)</f>
        <v>15.052890000000001</v>
      </c>
      <c r="C639" s="8">
        <f>18.7329 * CHOOSE(CONTROL!$C$12, $D$11, 100%, $F$11)</f>
        <v>15.061251600000002</v>
      </c>
      <c r="D639" s="8">
        <f>18.7132 * CHOOSE( CONTROL!$C$12, $D$11, 100%, $F$11)</f>
        <v>15.045412800000001</v>
      </c>
      <c r="E639" s="12">
        <f>18.7193 * CHOOSE( CONTROL!$C$12, $D$11, 100%, $F$11)</f>
        <v>15.050317200000002</v>
      </c>
      <c r="F639" s="4">
        <f>19.7141 * CHOOSE(CONTROL!$C$12, $D$11, 100%, $F$11)</f>
        <v>15.8501364</v>
      </c>
      <c r="G639" s="8">
        <f>18.2571 * CHOOSE( CONTROL!$C$12, $D$11, 100%, $F$11)</f>
        <v>14.678708400000001</v>
      </c>
      <c r="H639" s="4">
        <f>19.1405 * CHOOSE(CONTROL!$C$12, $D$11, 100%, $F$11)</f>
        <v>15.388962000000001</v>
      </c>
      <c r="I639" s="8">
        <f>18.0339 * CHOOSE(CONTROL!$C$12, $D$11, 100%, $F$11)</f>
        <v>14.4992556</v>
      </c>
      <c r="J639" s="4">
        <f>17.9351 * CHOOSE(CONTROL!$C$12, $D$11, 100%, $F$11)</f>
        <v>14.419820399999999</v>
      </c>
      <c r="K639" s="4"/>
      <c r="L639" s="9">
        <v>26.515499999999999</v>
      </c>
      <c r="M639" s="9">
        <v>11.6745</v>
      </c>
      <c r="N639" s="9">
        <v>4.7850000000000001</v>
      </c>
      <c r="O639" s="9">
        <v>0.36249999999999999</v>
      </c>
      <c r="P639" s="9">
        <v>1.2522</v>
      </c>
      <c r="Q639" s="9">
        <v>19.053000000000001</v>
      </c>
      <c r="R639" s="9"/>
      <c r="S639" s="11"/>
    </row>
    <row r="640" spans="1:19" ht="15.75">
      <c r="A640" s="13">
        <v>61362</v>
      </c>
      <c r="B640" s="8">
        <f>18.6885 * CHOOSE(CONTROL!$C$12, $D$11, 100%, $F$11)</f>
        <v>15.025554000000001</v>
      </c>
      <c r="C640" s="8">
        <f>18.6989 * CHOOSE(CONTROL!$C$12, $D$11, 100%, $F$11)</f>
        <v>15.0339156</v>
      </c>
      <c r="D640" s="8">
        <f>18.6811 * CHOOSE( CONTROL!$C$12, $D$11, 100%, $F$11)</f>
        <v>15.019604400000002</v>
      </c>
      <c r="E640" s="12">
        <f>18.6865 * CHOOSE( CONTROL!$C$12, $D$11, 100%, $F$11)</f>
        <v>15.023946</v>
      </c>
      <c r="F640" s="4">
        <f>19.6801 * CHOOSE(CONTROL!$C$12, $D$11, 100%, $F$11)</f>
        <v>15.8228004</v>
      </c>
      <c r="G640" s="8">
        <f>18.2254 * CHOOSE( CONTROL!$C$12, $D$11, 100%, $F$11)</f>
        <v>14.653221600000002</v>
      </c>
      <c r="H640" s="4">
        <f>19.1073 * CHOOSE(CONTROL!$C$12, $D$11, 100%, $F$11)</f>
        <v>15.3622692</v>
      </c>
      <c r="I640" s="8">
        <f>18.0081 * CHOOSE(CONTROL!$C$12, $D$11, 100%, $F$11)</f>
        <v>14.4785124</v>
      </c>
      <c r="J640" s="4">
        <f>17.9025 * CHOOSE(CONTROL!$C$12, $D$11, 100%, $F$11)</f>
        <v>14.393610000000001</v>
      </c>
      <c r="K640" s="4"/>
      <c r="L640" s="9">
        <v>27.3993</v>
      </c>
      <c r="M640" s="9">
        <v>12.063700000000001</v>
      </c>
      <c r="N640" s="9">
        <v>4.9444999999999997</v>
      </c>
      <c r="O640" s="9">
        <v>0.37459999999999999</v>
      </c>
      <c r="P640" s="9">
        <v>1.2939000000000001</v>
      </c>
      <c r="Q640" s="9">
        <v>19.688099999999999</v>
      </c>
      <c r="R640" s="9"/>
      <c r="S640" s="11"/>
    </row>
    <row r="641" spans="1:19" ht="15.75">
      <c r="A641" s="13">
        <v>61393</v>
      </c>
      <c r="B641" s="8">
        <f>19.4025 * CHOOSE(CONTROL!$C$12, $D$11, 100%, $F$11)</f>
        <v>15.59961</v>
      </c>
      <c r="C641" s="8">
        <f>19.413 * CHOOSE(CONTROL!$C$12, $D$11, 100%, $F$11)</f>
        <v>15.608052000000001</v>
      </c>
      <c r="D641" s="8">
        <f>19.4106 * CHOOSE( CONTROL!$C$12, $D$11, 100%, $F$11)</f>
        <v>15.6061224</v>
      </c>
      <c r="E641" s="12">
        <f>19.4104 * CHOOSE( CONTROL!$C$12, $D$11, 100%, $F$11)</f>
        <v>15.605961600000001</v>
      </c>
      <c r="F641" s="4">
        <f>20.4254 * CHOOSE(CONTROL!$C$12, $D$11, 100%, $F$11)</f>
        <v>16.422021600000001</v>
      </c>
      <c r="G641" s="8">
        <f>18.9405 * CHOOSE( CONTROL!$C$12, $D$11, 100%, $F$11)</f>
        <v>15.228162000000001</v>
      </c>
      <c r="H641" s="4">
        <f>19.8339 * CHOOSE(CONTROL!$C$12, $D$11, 100%, $F$11)</f>
        <v>15.9464556</v>
      </c>
      <c r="I641" s="8">
        <f>18.7046 * CHOOSE(CONTROL!$C$12, $D$11, 100%, $F$11)</f>
        <v>15.0384984</v>
      </c>
      <c r="J641" s="4">
        <f>18.5867 * CHOOSE(CONTROL!$C$12, $D$11, 100%, $F$11)</f>
        <v>14.943706800000001</v>
      </c>
      <c r="K641" s="4"/>
      <c r="L641" s="9">
        <v>27.3993</v>
      </c>
      <c r="M641" s="9">
        <v>12.063700000000001</v>
      </c>
      <c r="N641" s="9">
        <v>4.9444999999999997</v>
      </c>
      <c r="O641" s="9">
        <v>0.37459999999999999</v>
      </c>
      <c r="P641" s="9">
        <v>1.2939000000000001</v>
      </c>
      <c r="Q641" s="9">
        <v>19.688099999999999</v>
      </c>
      <c r="R641" s="9"/>
      <c r="S641" s="11"/>
    </row>
    <row r="642" spans="1:19" ht="15.75">
      <c r="A642" s="13">
        <v>61422</v>
      </c>
      <c r="B642" s="8">
        <f>18.1485 * CHOOSE(CONTROL!$C$12, $D$11, 100%, $F$11)</f>
        <v>14.591393999999999</v>
      </c>
      <c r="C642" s="8">
        <f>18.1589 * CHOOSE(CONTROL!$C$12, $D$11, 100%, $F$11)</f>
        <v>14.5997556</v>
      </c>
      <c r="D642" s="8">
        <f>18.1589 * CHOOSE( CONTROL!$C$12, $D$11, 100%, $F$11)</f>
        <v>14.5997556</v>
      </c>
      <c r="E642" s="12">
        <f>18.1578 * CHOOSE( CONTROL!$C$12, $D$11, 100%, $F$11)</f>
        <v>14.598871200000001</v>
      </c>
      <c r="F642" s="4">
        <f>19.1636 * CHOOSE(CONTROL!$C$12, $D$11, 100%, $F$11)</f>
        <v>15.407534399999999</v>
      </c>
      <c r="G642" s="8">
        <f>17.718 * CHOOSE( CONTROL!$C$12, $D$11, 100%, $F$11)</f>
        <v>14.245272000000002</v>
      </c>
      <c r="H642" s="4">
        <f>18.6039 * CHOOSE(CONTROL!$C$12, $D$11, 100%, $F$11)</f>
        <v>14.9575356</v>
      </c>
      <c r="I642" s="8">
        <f>17.4915 * CHOOSE(CONTROL!$C$12, $D$11, 100%, $F$11)</f>
        <v>14.063165999999999</v>
      </c>
      <c r="J642" s="4">
        <f>17.3851 * CHOOSE(CONTROL!$C$12, $D$11, 100%, $F$11)</f>
        <v>13.977620400000001</v>
      </c>
      <c r="K642" s="4"/>
      <c r="L642" s="9">
        <v>25.631599999999999</v>
      </c>
      <c r="M642" s="9">
        <v>11.285299999999999</v>
      </c>
      <c r="N642" s="9">
        <v>4.6254999999999997</v>
      </c>
      <c r="O642" s="9">
        <v>0.35039999999999999</v>
      </c>
      <c r="P642" s="9">
        <v>1.2104999999999999</v>
      </c>
      <c r="Q642" s="9">
        <v>18.417899999999999</v>
      </c>
      <c r="R642" s="9"/>
      <c r="S642" s="11"/>
    </row>
    <row r="643" spans="1:19" ht="15.75">
      <c r="A643" s="13">
        <v>61453</v>
      </c>
      <c r="B643" s="8">
        <f>17.7623 * CHOOSE(CONTROL!$C$12, $D$11, 100%, $F$11)</f>
        <v>14.280889200000001</v>
      </c>
      <c r="C643" s="8">
        <f>17.7727 * CHOOSE(CONTROL!$C$12, $D$11, 100%, $F$11)</f>
        <v>14.289250800000001</v>
      </c>
      <c r="D643" s="8">
        <f>17.7525 * CHOOSE( CONTROL!$C$12, $D$11, 100%, $F$11)</f>
        <v>14.273010000000001</v>
      </c>
      <c r="E643" s="12">
        <f>17.7588 * CHOOSE( CONTROL!$C$12, $D$11, 100%, $F$11)</f>
        <v>14.278075200000002</v>
      </c>
      <c r="F643" s="4">
        <f>18.7612 * CHOOSE(CONTROL!$C$12, $D$11, 100%, $F$11)</f>
        <v>15.084004800000001</v>
      </c>
      <c r="G643" s="8">
        <f>17.321 * CHOOSE( CONTROL!$C$12, $D$11, 100%, $F$11)</f>
        <v>13.926084000000001</v>
      </c>
      <c r="H643" s="4">
        <f>18.2116 * CHOOSE(CONTROL!$C$12, $D$11, 100%, $F$11)</f>
        <v>14.642126400000002</v>
      </c>
      <c r="I643" s="8">
        <f>17.0817 * CHOOSE(CONTROL!$C$12, $D$11, 100%, $F$11)</f>
        <v>13.733686800000003</v>
      </c>
      <c r="J643" s="4">
        <f>17.0151 * CHOOSE(CONTROL!$C$12, $D$11, 100%, $F$11)</f>
        <v>13.680140400000001</v>
      </c>
      <c r="K643" s="4"/>
      <c r="L643" s="9">
        <v>27.3993</v>
      </c>
      <c r="M643" s="9">
        <v>12.063700000000001</v>
      </c>
      <c r="N643" s="9">
        <v>4.9444999999999997</v>
      </c>
      <c r="O643" s="9">
        <v>0.37459999999999999</v>
      </c>
      <c r="P643" s="9">
        <v>1.2939000000000001</v>
      </c>
      <c r="Q643" s="9">
        <v>19.688099999999999</v>
      </c>
      <c r="R643" s="9"/>
      <c r="S643" s="11"/>
    </row>
    <row r="644" spans="1:19" ht="15.75">
      <c r="A644" s="13">
        <v>61483</v>
      </c>
      <c r="B644" s="8">
        <f>18.0322 * CHOOSE(CONTROL!$C$12, $D$11, 100%, $F$11)</f>
        <v>14.4978888</v>
      </c>
      <c r="C644" s="8">
        <f>18.0426 * CHOOSE(CONTROL!$C$12, $D$11, 100%, $F$11)</f>
        <v>14.506250400000001</v>
      </c>
      <c r="D644" s="8">
        <f>18.0458 * CHOOSE( CONTROL!$C$12, $D$11, 100%, $F$11)</f>
        <v>14.5088232</v>
      </c>
      <c r="E644" s="12">
        <f>18.0436 * CHOOSE( CONTROL!$C$12, $D$11, 100%, $F$11)</f>
        <v>14.507054400000001</v>
      </c>
      <c r="F644" s="4">
        <f>19.0394 * CHOOSE(CONTROL!$C$12, $D$11, 100%, $F$11)</f>
        <v>15.307677600000002</v>
      </c>
      <c r="G644" s="8">
        <f>17.572 * CHOOSE( CONTROL!$C$12, $D$11, 100%, $F$11)</f>
        <v>14.127888</v>
      </c>
      <c r="H644" s="4">
        <f>18.4828 * CHOOSE(CONTROL!$C$12, $D$11, 100%, $F$11)</f>
        <v>14.860171200000002</v>
      </c>
      <c r="I644" s="8">
        <f>17.3305 * CHOOSE(CONTROL!$C$12, $D$11, 100%, $F$11)</f>
        <v>13.933722000000001</v>
      </c>
      <c r="J644" s="4">
        <f>17.2737 * CHOOSE(CONTROL!$C$12, $D$11, 100%, $F$11)</f>
        <v>13.888054800000003</v>
      </c>
      <c r="K644" s="4"/>
      <c r="L644" s="9">
        <v>27.988800000000001</v>
      </c>
      <c r="M644" s="9">
        <v>11.6745</v>
      </c>
      <c r="N644" s="9">
        <v>4.7850000000000001</v>
      </c>
      <c r="O644" s="9">
        <v>0.36249999999999999</v>
      </c>
      <c r="P644" s="9">
        <v>1.1798</v>
      </c>
      <c r="Q644" s="9">
        <v>19.053000000000001</v>
      </c>
      <c r="R644" s="9"/>
      <c r="S644" s="11"/>
    </row>
    <row r="645" spans="1:19" ht="15.75">
      <c r="A645" s="13">
        <v>61514</v>
      </c>
      <c r="B645" s="8">
        <f>CHOOSE( CONTROL!$C$29, 18.5172, 18.5125) * CHOOSE(CONTROL!$C$12, $D$11, 100%, $F$11)</f>
        <v>14.887828799999999</v>
      </c>
      <c r="C645" s="8">
        <f>CHOOSE( CONTROL!$C$29, 18.5276, 18.5229) * CHOOSE(CONTROL!$C$12, $D$11, 100%, $F$11)</f>
        <v>14.8961904</v>
      </c>
      <c r="D645" s="8">
        <f>CHOOSE( CONTROL!$C$29, 18.5056, 18.5009) * CHOOSE( CONTROL!$C$12, $D$11, 100%, $F$11)</f>
        <v>14.878502400000002</v>
      </c>
      <c r="E645" s="12">
        <f>CHOOSE( CONTROL!$C$29, 18.512, 18.5073) * CHOOSE( CONTROL!$C$12, $D$11, 100%, $F$11)</f>
        <v>14.883648000000001</v>
      </c>
      <c r="F645" s="4">
        <f>CHOOSE( CONTROL!$C$29, 19.4921, 19.4874) * CHOOSE(CONTROL!$C$12, $D$11, 100%, $F$11)</f>
        <v>15.671648400000002</v>
      </c>
      <c r="G645" s="8">
        <f>CHOOSE( CONTROL!$C$29, 18.0261, 18.0215) * CHOOSE( CONTROL!$C$12, $D$11, 100%, $F$11)</f>
        <v>14.492984400000001</v>
      </c>
      <c r="H645" s="4">
        <f>CHOOSE( CONTROL!$C$29, 18.9241, 18.9195) * CHOOSE(CONTROL!$C$12, $D$11, 100%, $F$11)</f>
        <v>15.214976400000001</v>
      </c>
      <c r="I645" s="8">
        <f>CHOOSE( CONTROL!$C$29, 17.774, 17.7695) * CHOOSE(CONTROL!$C$12, $D$11, 100%, $F$11)</f>
        <v>14.290296000000001</v>
      </c>
      <c r="J645" s="4">
        <f>CHOOSE( CONTROL!$C$29, 17.7384, 17.7339) * CHOOSE(CONTROL!$C$12, $D$11, 100%, $F$11)</f>
        <v>14.2616736</v>
      </c>
      <c r="K645" s="4"/>
      <c r="L645" s="9">
        <v>29.520499999999998</v>
      </c>
      <c r="M645" s="9">
        <v>12.063700000000001</v>
      </c>
      <c r="N645" s="9">
        <v>4.9444999999999997</v>
      </c>
      <c r="O645" s="9">
        <v>0.37459999999999999</v>
      </c>
      <c r="P645" s="9">
        <v>1.2192000000000001</v>
      </c>
      <c r="Q645" s="9">
        <v>19.688099999999999</v>
      </c>
      <c r="R645" s="9"/>
      <c r="S645" s="11"/>
    </row>
    <row r="646" spans="1:19" ht="15.75">
      <c r="A646" s="13">
        <v>61544</v>
      </c>
      <c r="B646" s="8">
        <f>CHOOSE( CONTROL!$C$29, 18.2197, 18.215) * CHOOSE(CONTROL!$C$12, $D$11, 100%, $F$11)</f>
        <v>14.648638800000001</v>
      </c>
      <c r="C646" s="8">
        <f>CHOOSE( CONTROL!$C$29, 18.2301, 18.2254) * CHOOSE(CONTROL!$C$12, $D$11, 100%, $F$11)</f>
        <v>14.657000400000001</v>
      </c>
      <c r="D646" s="8">
        <f>CHOOSE( CONTROL!$C$29, 18.2025, 18.1977) * CHOOSE( CONTROL!$C$12, $D$11, 100%, $F$11)</f>
        <v>14.634810000000002</v>
      </c>
      <c r="E646" s="12">
        <f>CHOOSE( CONTROL!$C$29, 18.2109, 18.2062) * CHOOSE( CONTROL!$C$12, $D$11, 100%, $F$11)</f>
        <v>14.6415636</v>
      </c>
      <c r="F646" s="4">
        <f>CHOOSE( CONTROL!$C$29, 19.1841, 19.1794) * CHOOSE(CONTROL!$C$12, $D$11, 100%, $F$11)</f>
        <v>15.424016400000001</v>
      </c>
      <c r="G646" s="8">
        <f>CHOOSE( CONTROL!$C$29, 17.7348, 17.7302) * CHOOSE( CONTROL!$C$12, $D$11, 100%, $F$11)</f>
        <v>14.258779200000001</v>
      </c>
      <c r="H646" s="4">
        <f>CHOOSE( CONTROL!$C$29, 18.6239, 18.6193) * CHOOSE(CONTROL!$C$12, $D$11, 100%, $F$11)</f>
        <v>14.9736156</v>
      </c>
      <c r="I646" s="8">
        <f>CHOOSE( CONTROL!$C$29, 17.4909, 17.4864) * CHOOSE(CONTROL!$C$12, $D$11, 100%, $F$11)</f>
        <v>14.062683600000002</v>
      </c>
      <c r="J646" s="4">
        <f>CHOOSE( CONTROL!$C$29, 17.4533, 17.4488) * CHOOSE(CONTROL!$C$12, $D$11, 100%, $F$11)</f>
        <v>14.032453199999999</v>
      </c>
      <c r="K646" s="4"/>
      <c r="L646" s="9">
        <v>28.568200000000001</v>
      </c>
      <c r="M646" s="9">
        <v>11.6745</v>
      </c>
      <c r="N646" s="9">
        <v>4.7850000000000001</v>
      </c>
      <c r="O646" s="9">
        <v>0.36249999999999999</v>
      </c>
      <c r="P646" s="9">
        <v>1.1798</v>
      </c>
      <c r="Q646" s="9">
        <v>19.053000000000001</v>
      </c>
      <c r="R646" s="9"/>
      <c r="S646" s="11"/>
    </row>
    <row r="647" spans="1:19" ht="15.75">
      <c r="A647" s="13">
        <v>61575</v>
      </c>
      <c r="B647" s="8">
        <f>CHOOSE( CONTROL!$C$29, 19.0032, 18.9985) * CHOOSE(CONTROL!$C$12, $D$11, 100%, $F$11)</f>
        <v>15.278572800000001</v>
      </c>
      <c r="C647" s="8">
        <f>CHOOSE( CONTROL!$C$29, 19.0137, 19.009) * CHOOSE(CONTROL!$C$12, $D$11, 100%, $F$11)</f>
        <v>15.287014800000001</v>
      </c>
      <c r="D647" s="8">
        <f>CHOOSE( CONTROL!$C$29, 19.0052, 19.0005) * CHOOSE( CONTROL!$C$12, $D$11, 100%, $F$11)</f>
        <v>15.2801808</v>
      </c>
      <c r="E647" s="12">
        <f>CHOOSE( CONTROL!$C$29, 19.0067, 19.002) * CHOOSE( CONTROL!$C$12, $D$11, 100%, $F$11)</f>
        <v>15.2813868</v>
      </c>
      <c r="F647" s="4">
        <f>CHOOSE( CONTROL!$C$29, 19.9948, 19.9901) * CHOOSE(CONTROL!$C$12, $D$11, 100%, $F$11)</f>
        <v>16.075819200000002</v>
      </c>
      <c r="G647" s="8">
        <f>CHOOSE( CONTROL!$C$29, 18.5113, 18.5067) * CHOOSE( CONTROL!$C$12, $D$11, 100%, $F$11)</f>
        <v>14.8830852</v>
      </c>
      <c r="H647" s="4">
        <f>CHOOSE( CONTROL!$C$29, 19.4141, 19.4096) * CHOOSE(CONTROL!$C$12, $D$11, 100%, $F$11)</f>
        <v>15.608936400000001</v>
      </c>
      <c r="I647" s="8">
        <f>CHOOSE( CONTROL!$C$29, 18.2648, 18.2603) * CHOOSE(CONTROL!$C$12, $D$11, 100%, $F$11)</f>
        <v>14.684899200000002</v>
      </c>
      <c r="J647" s="4">
        <f>CHOOSE( CONTROL!$C$29, 18.2041, 18.1996) * CHOOSE(CONTROL!$C$12, $D$11, 100%, $F$11)</f>
        <v>14.636096400000001</v>
      </c>
      <c r="K647" s="4"/>
      <c r="L647" s="9">
        <v>29.520499999999998</v>
      </c>
      <c r="M647" s="9">
        <v>12.063700000000001</v>
      </c>
      <c r="N647" s="9">
        <v>4.9444999999999997</v>
      </c>
      <c r="O647" s="9">
        <v>0.37459999999999999</v>
      </c>
      <c r="P647" s="9">
        <v>1.2192000000000001</v>
      </c>
      <c r="Q647" s="9">
        <v>19.688099999999999</v>
      </c>
      <c r="R647" s="9"/>
      <c r="S647" s="11"/>
    </row>
    <row r="648" spans="1:19" ht="15.75">
      <c r="A648" s="13">
        <v>61606</v>
      </c>
      <c r="B648" s="8">
        <f>CHOOSE( CONTROL!$C$29, 17.5371, 17.5324) * CHOOSE(CONTROL!$C$12, $D$11, 100%, $F$11)</f>
        <v>14.0998284</v>
      </c>
      <c r="C648" s="8">
        <f>CHOOSE( CONTROL!$C$29, 17.5475, 17.5428) * CHOOSE(CONTROL!$C$12, $D$11, 100%, $F$11)</f>
        <v>14.10819</v>
      </c>
      <c r="D648" s="8">
        <f>CHOOSE( CONTROL!$C$29, 17.5424, 17.5377) * CHOOSE( CONTROL!$C$12, $D$11, 100%, $F$11)</f>
        <v>14.104089600000002</v>
      </c>
      <c r="E648" s="12">
        <f>CHOOSE( CONTROL!$C$29, 17.5427, 17.538) * CHOOSE( CONTROL!$C$12, $D$11, 100%, $F$11)</f>
        <v>14.104330800000001</v>
      </c>
      <c r="F648" s="4">
        <f>CHOOSE( CONTROL!$C$29, 18.5339, 18.5292) * CHOOSE(CONTROL!$C$12, $D$11, 100%, $F$11)</f>
        <v>14.901255600000001</v>
      </c>
      <c r="G648" s="8">
        <f>CHOOSE( CONTROL!$C$29, 17.0842, 17.0796) * CHOOSE( CONTROL!$C$12, $D$11, 100%, $F$11)</f>
        <v>13.735696799999999</v>
      </c>
      <c r="H648" s="4">
        <f>CHOOSE( CONTROL!$C$29, 17.9901, 17.9855) * CHOOSE(CONTROL!$C$12, $D$11, 100%, $F$11)</f>
        <v>14.464040400000002</v>
      </c>
      <c r="I648" s="8">
        <f>CHOOSE( CONTROL!$C$29, 16.8639, 16.8594) * CHOOSE(CONTROL!$C$12, $D$11, 100%, $F$11)</f>
        <v>13.558575600000001</v>
      </c>
      <c r="J648" s="4">
        <f>CHOOSE( CONTROL!$C$29, 16.7993, 16.7948) * CHOOSE(CONTROL!$C$12, $D$11, 100%, $F$11)</f>
        <v>13.5066372</v>
      </c>
      <c r="K648" s="4"/>
      <c r="L648" s="9">
        <v>29.520499999999998</v>
      </c>
      <c r="M648" s="9">
        <v>12.063700000000001</v>
      </c>
      <c r="N648" s="9">
        <v>4.9444999999999997</v>
      </c>
      <c r="O648" s="9">
        <v>0.37459999999999999</v>
      </c>
      <c r="P648" s="9">
        <v>1.2192000000000001</v>
      </c>
      <c r="Q648" s="9">
        <v>19.688099999999999</v>
      </c>
      <c r="R648" s="9"/>
      <c r="S648" s="11"/>
    </row>
    <row r="649" spans="1:19" ht="15.75">
      <c r="A649" s="13">
        <v>61636</v>
      </c>
      <c r="B649" s="8">
        <f>CHOOSE( CONTROL!$C$29, 17.1699, 17.1652) * CHOOSE(CONTROL!$C$12, $D$11, 100%, $F$11)</f>
        <v>13.8045996</v>
      </c>
      <c r="C649" s="8">
        <f>CHOOSE( CONTROL!$C$29, 17.1804, 17.1757) * CHOOSE(CONTROL!$C$12, $D$11, 100%, $F$11)</f>
        <v>13.8130416</v>
      </c>
      <c r="D649" s="8">
        <f>CHOOSE( CONTROL!$C$29, 17.171, 17.1663) * CHOOSE( CONTROL!$C$12, $D$11, 100%, $F$11)</f>
        <v>13.805484</v>
      </c>
      <c r="E649" s="12">
        <f>CHOOSE( CONTROL!$C$29, 17.1728, 17.1681) * CHOOSE( CONTROL!$C$12, $D$11, 100%, $F$11)</f>
        <v>13.806931199999999</v>
      </c>
      <c r="F649" s="4">
        <f>CHOOSE( CONTROL!$C$29, 18.1589, 18.1542) * CHOOSE(CONTROL!$C$12, $D$11, 100%, $F$11)</f>
        <v>14.5997556</v>
      </c>
      <c r="G649" s="8">
        <f>CHOOSE( CONTROL!$C$29, 16.7251, 16.7205) * CHOOSE( CONTROL!$C$12, $D$11, 100%, $F$11)</f>
        <v>13.446980400000001</v>
      </c>
      <c r="H649" s="4">
        <f>CHOOSE( CONTROL!$C$29, 17.6245, 17.62) * CHOOSE(CONTROL!$C$12, $D$11, 100%, $F$11)</f>
        <v>14.170098000000001</v>
      </c>
      <c r="I649" s="8">
        <f>CHOOSE( CONTROL!$C$29, 16.5132, 16.5087) * CHOOSE(CONTROL!$C$12, $D$11, 100%, $F$11)</f>
        <v>13.276612800000002</v>
      </c>
      <c r="J649" s="4">
        <f>CHOOSE( CONTROL!$C$29, 16.4475, 16.443) * CHOOSE(CONTROL!$C$12, $D$11, 100%, $F$11)</f>
        <v>13.223790000000003</v>
      </c>
      <c r="K649" s="4"/>
      <c r="L649" s="9">
        <v>28.568200000000001</v>
      </c>
      <c r="M649" s="9">
        <v>11.6745</v>
      </c>
      <c r="N649" s="9">
        <v>4.7850000000000001</v>
      </c>
      <c r="O649" s="9">
        <v>0.36249999999999999</v>
      </c>
      <c r="P649" s="9">
        <v>1.1798</v>
      </c>
      <c r="Q649" s="9">
        <v>19.053000000000001</v>
      </c>
      <c r="R649" s="9"/>
      <c r="S649" s="11"/>
    </row>
    <row r="650" spans="1:19" ht="15.75">
      <c r="A650" s="13">
        <v>61667</v>
      </c>
      <c r="B650" s="8">
        <f>17.9275 * CHOOSE(CONTROL!$C$12, $D$11, 100%, $F$11)</f>
        <v>14.41371</v>
      </c>
      <c r="C650" s="8">
        <f>17.938 * CHOOSE(CONTROL!$C$12, $D$11, 100%, $F$11)</f>
        <v>14.422152000000001</v>
      </c>
      <c r="D650" s="8">
        <f>17.9295 * CHOOSE( CONTROL!$C$12, $D$11, 100%, $F$11)</f>
        <v>14.415318000000001</v>
      </c>
      <c r="E650" s="12">
        <f>17.9312 * CHOOSE( CONTROL!$C$12, $D$11, 100%, $F$11)</f>
        <v>14.416684800000001</v>
      </c>
      <c r="F650" s="4">
        <f>18.9165 * CHOOSE(CONTROL!$C$12, $D$11, 100%, $F$11)</f>
        <v>15.208866</v>
      </c>
      <c r="G650" s="8">
        <f>17.4632 * CHOOSE( CONTROL!$C$12, $D$11, 100%, $F$11)</f>
        <v>14.0404128</v>
      </c>
      <c r="H650" s="4">
        <f>18.363 * CHOOSE(CONTROL!$C$12, $D$11, 100%, $F$11)</f>
        <v>14.763852</v>
      </c>
      <c r="I650" s="8">
        <f>17.2416 * CHOOSE(CONTROL!$C$12, $D$11, 100%, $F$11)</f>
        <v>13.8622464</v>
      </c>
      <c r="J650" s="4">
        <f>17.1734 * CHOOSE(CONTROL!$C$12, $D$11, 100%, $F$11)</f>
        <v>13.807413600000002</v>
      </c>
      <c r="K650" s="4"/>
      <c r="L650" s="9">
        <v>28.921800000000001</v>
      </c>
      <c r="M650" s="9">
        <v>12.063700000000001</v>
      </c>
      <c r="N650" s="9">
        <v>4.9444999999999997</v>
      </c>
      <c r="O650" s="9">
        <v>0.37459999999999999</v>
      </c>
      <c r="P650" s="9">
        <v>1.2192000000000001</v>
      </c>
      <c r="Q650" s="9">
        <v>19.688099999999999</v>
      </c>
      <c r="R650" s="9"/>
      <c r="S650" s="11"/>
    </row>
    <row r="651" spans="1:19" ht="15.75">
      <c r="A651" s="13">
        <v>61697</v>
      </c>
      <c r="B651" s="8">
        <f>19.3346 * CHOOSE(CONTROL!$C$12, $D$11, 100%, $F$11)</f>
        <v>15.5450184</v>
      </c>
      <c r="C651" s="8">
        <f>19.3451 * CHOOSE(CONTROL!$C$12, $D$11, 100%, $F$11)</f>
        <v>15.553460400000001</v>
      </c>
      <c r="D651" s="8">
        <f>19.3253 * CHOOSE( CONTROL!$C$12, $D$11, 100%, $F$11)</f>
        <v>15.5375412</v>
      </c>
      <c r="E651" s="12">
        <f>19.3314 * CHOOSE( CONTROL!$C$12, $D$11, 100%, $F$11)</f>
        <v>15.542445600000001</v>
      </c>
      <c r="F651" s="4">
        <f>20.3262 * CHOOSE(CONTROL!$C$12, $D$11, 100%, $F$11)</f>
        <v>16.342264800000002</v>
      </c>
      <c r="G651" s="8">
        <f>18.8538 * CHOOSE( CONTROL!$C$12, $D$11, 100%, $F$11)</f>
        <v>15.158455200000001</v>
      </c>
      <c r="H651" s="4">
        <f>19.7372 * CHOOSE(CONTROL!$C$12, $D$11, 100%, $F$11)</f>
        <v>15.868708800000002</v>
      </c>
      <c r="I651" s="8">
        <f>18.6207 * CHOOSE(CONTROL!$C$12, $D$11, 100%, $F$11)</f>
        <v>14.971042800000001</v>
      </c>
      <c r="J651" s="4">
        <f>18.5217 * CHOOSE(CONTROL!$C$12, $D$11, 100%, $F$11)</f>
        <v>14.891446800000001</v>
      </c>
      <c r="K651" s="4"/>
      <c r="L651" s="9">
        <v>26.515499999999999</v>
      </c>
      <c r="M651" s="9">
        <v>11.6745</v>
      </c>
      <c r="N651" s="9">
        <v>4.7850000000000001</v>
      </c>
      <c r="O651" s="9">
        <v>0.36249999999999999</v>
      </c>
      <c r="P651" s="9">
        <v>1.2522</v>
      </c>
      <c r="Q651" s="9">
        <v>19.053000000000001</v>
      </c>
      <c r="R651" s="9"/>
      <c r="S651" s="11"/>
    </row>
    <row r="652" spans="1:19" ht="15.75">
      <c r="A652" s="13">
        <v>61728</v>
      </c>
      <c r="B652" s="8">
        <f>19.2995 * CHOOSE(CONTROL!$C$12, $D$11, 100%, $F$11)</f>
        <v>15.516798</v>
      </c>
      <c r="C652" s="8">
        <f>19.3099 * CHOOSE(CONTROL!$C$12, $D$11, 100%, $F$11)</f>
        <v>15.5251596</v>
      </c>
      <c r="D652" s="8">
        <f>19.2921 * CHOOSE( CONTROL!$C$12, $D$11, 100%, $F$11)</f>
        <v>15.510848400000002</v>
      </c>
      <c r="E652" s="12">
        <f>19.2975 * CHOOSE( CONTROL!$C$12, $D$11, 100%, $F$11)</f>
        <v>15.51519</v>
      </c>
      <c r="F652" s="4">
        <f>20.2911 * CHOOSE(CONTROL!$C$12, $D$11, 100%, $F$11)</f>
        <v>16.3140444</v>
      </c>
      <c r="G652" s="8">
        <f>18.821 * CHOOSE( CONTROL!$C$12, $D$11, 100%, $F$11)</f>
        <v>15.132084000000003</v>
      </c>
      <c r="H652" s="4">
        <f>19.7029 * CHOOSE(CONTROL!$C$12, $D$11, 100%, $F$11)</f>
        <v>15.841131600000001</v>
      </c>
      <c r="I652" s="8">
        <f>18.5939 * CHOOSE(CONTROL!$C$12, $D$11, 100%, $F$11)</f>
        <v>14.949495600000002</v>
      </c>
      <c r="J652" s="4">
        <f>18.488 * CHOOSE(CONTROL!$C$12, $D$11, 100%, $F$11)</f>
        <v>14.864352</v>
      </c>
      <c r="K652" s="4"/>
      <c r="L652" s="9">
        <v>27.3993</v>
      </c>
      <c r="M652" s="9">
        <v>12.063700000000001</v>
      </c>
      <c r="N652" s="9">
        <v>4.9444999999999997</v>
      </c>
      <c r="O652" s="9">
        <v>0.37459999999999999</v>
      </c>
      <c r="P652" s="9">
        <v>1.2939000000000001</v>
      </c>
      <c r="Q652" s="9">
        <v>19.688099999999999</v>
      </c>
      <c r="R652" s="9"/>
      <c r="S652" s="11"/>
    </row>
    <row r="653" spans="1:19" ht="15.75">
      <c r="A653" s="13">
        <v>61759</v>
      </c>
      <c r="B653" s="8">
        <f>20.0369 * CHOOSE(CONTROL!$C$12, $D$11, 100%, $F$11)</f>
        <v>16.109667600000002</v>
      </c>
      <c r="C653" s="8">
        <f>20.0473 * CHOOSE(CONTROL!$C$12, $D$11, 100%, $F$11)</f>
        <v>16.118029200000002</v>
      </c>
      <c r="D653" s="8">
        <f>20.045 * CHOOSE( CONTROL!$C$12, $D$11, 100%, $F$11)</f>
        <v>16.116180000000004</v>
      </c>
      <c r="E653" s="12">
        <f>20.0447 * CHOOSE( CONTROL!$C$12, $D$11, 100%, $F$11)</f>
        <v>16.115938799999999</v>
      </c>
      <c r="F653" s="4">
        <f>21.0598 * CHOOSE(CONTROL!$C$12, $D$11, 100%, $F$11)</f>
        <v>16.9320792</v>
      </c>
      <c r="G653" s="8">
        <f>19.5589 * CHOOSE( CONTROL!$C$12, $D$11, 100%, $F$11)</f>
        <v>15.725355600000002</v>
      </c>
      <c r="H653" s="4">
        <f>20.4522 * CHOOSE(CONTROL!$C$12, $D$11, 100%, $F$11)</f>
        <v>16.443568800000001</v>
      </c>
      <c r="I653" s="8">
        <f>19.3128 * CHOOSE(CONTROL!$C$12, $D$11, 100%, $F$11)</f>
        <v>15.5274912</v>
      </c>
      <c r="J653" s="4">
        <f>19.1946 * CHOOSE(CONTROL!$C$12, $D$11, 100%, $F$11)</f>
        <v>15.432458400000002</v>
      </c>
      <c r="K653" s="4"/>
      <c r="L653" s="9">
        <v>27.3993</v>
      </c>
      <c r="M653" s="9">
        <v>12.063700000000001</v>
      </c>
      <c r="N653" s="9">
        <v>4.9444999999999997</v>
      </c>
      <c r="O653" s="9">
        <v>0.37459999999999999</v>
      </c>
      <c r="P653" s="9">
        <v>1.2939000000000001</v>
      </c>
      <c r="Q653" s="9">
        <v>19.688099999999999</v>
      </c>
      <c r="R653" s="9"/>
      <c r="S653" s="11"/>
    </row>
    <row r="654" spans="1:19" ht="15.75">
      <c r="A654" s="13">
        <v>61787</v>
      </c>
      <c r="B654" s="8">
        <f>18.7419 * CHOOSE(CONTROL!$C$12, $D$11, 100%, $F$11)</f>
        <v>15.068487600000001</v>
      </c>
      <c r="C654" s="8">
        <f>18.7523 * CHOOSE(CONTROL!$C$12, $D$11, 100%, $F$11)</f>
        <v>15.076849200000002</v>
      </c>
      <c r="D654" s="8">
        <f>18.7523 * CHOOSE( CONTROL!$C$12, $D$11, 100%, $F$11)</f>
        <v>15.076849200000002</v>
      </c>
      <c r="E654" s="12">
        <f>18.7512 * CHOOSE( CONTROL!$C$12, $D$11, 100%, $F$11)</f>
        <v>15.075964800000001</v>
      </c>
      <c r="F654" s="4">
        <f>19.7569 * CHOOSE(CONTROL!$C$12, $D$11, 100%, $F$11)</f>
        <v>15.884547600000003</v>
      </c>
      <c r="G654" s="8">
        <f>18.2964 * CHOOSE( CONTROL!$C$12, $D$11, 100%, $F$11)</f>
        <v>14.7103056</v>
      </c>
      <c r="H654" s="4">
        <f>19.1823 * CHOOSE(CONTROL!$C$12, $D$11, 100%, $F$11)</f>
        <v>15.422569200000002</v>
      </c>
      <c r="I654" s="8">
        <f>18.0603 * CHOOSE(CONTROL!$C$12, $D$11, 100%, $F$11)</f>
        <v>14.520481200000003</v>
      </c>
      <c r="J654" s="4">
        <f>17.9537 * CHOOSE(CONTROL!$C$12, $D$11, 100%, $F$11)</f>
        <v>14.434774800000001</v>
      </c>
      <c r="K654" s="4"/>
      <c r="L654" s="9">
        <v>24.747800000000002</v>
      </c>
      <c r="M654" s="9">
        <v>10.8962</v>
      </c>
      <c r="N654" s="9">
        <v>4.4660000000000002</v>
      </c>
      <c r="O654" s="9">
        <v>0.33829999999999999</v>
      </c>
      <c r="P654" s="9">
        <v>1.1687000000000001</v>
      </c>
      <c r="Q654" s="9">
        <v>17.782800000000002</v>
      </c>
      <c r="R654" s="9"/>
      <c r="S654" s="11"/>
    </row>
    <row r="655" spans="1:19" ht="15.75">
      <c r="A655" s="13">
        <v>61818</v>
      </c>
      <c r="B655" s="8">
        <f>18.343 * CHOOSE(CONTROL!$C$12, $D$11, 100%, $F$11)</f>
        <v>14.747772000000001</v>
      </c>
      <c r="C655" s="8">
        <f>18.3534 * CHOOSE(CONTROL!$C$12, $D$11, 100%, $F$11)</f>
        <v>14.756133600000002</v>
      </c>
      <c r="D655" s="8">
        <f>18.3333 * CHOOSE( CONTROL!$C$12, $D$11, 100%, $F$11)</f>
        <v>14.739973200000001</v>
      </c>
      <c r="E655" s="12">
        <f>18.3395 * CHOOSE( CONTROL!$C$12, $D$11, 100%, $F$11)</f>
        <v>14.744958000000002</v>
      </c>
      <c r="F655" s="4">
        <f>19.3419 * CHOOSE(CONTROL!$C$12, $D$11, 100%, $F$11)</f>
        <v>15.550887599999999</v>
      </c>
      <c r="G655" s="8">
        <f>17.8871 * CHOOSE( CONTROL!$C$12, $D$11, 100%, $F$11)</f>
        <v>14.381228400000001</v>
      </c>
      <c r="H655" s="4">
        <f>18.7777 * CHOOSE(CONTROL!$C$12, $D$11, 100%, $F$11)</f>
        <v>15.0972708</v>
      </c>
      <c r="I655" s="8">
        <f>17.6384 * CHOOSE(CONTROL!$C$12, $D$11, 100%, $F$11)</f>
        <v>14.181273600000001</v>
      </c>
      <c r="J655" s="4">
        <f>17.5715 * CHOOSE(CONTROL!$C$12, $D$11, 100%, $F$11)</f>
        <v>14.127486000000001</v>
      </c>
      <c r="K655" s="4"/>
      <c r="L655" s="9">
        <v>27.3993</v>
      </c>
      <c r="M655" s="9">
        <v>12.063700000000001</v>
      </c>
      <c r="N655" s="9">
        <v>4.9444999999999997</v>
      </c>
      <c r="O655" s="9">
        <v>0.37459999999999999</v>
      </c>
      <c r="P655" s="9">
        <v>1.2939000000000001</v>
      </c>
      <c r="Q655" s="9">
        <v>19.688099999999999</v>
      </c>
      <c r="R655" s="9"/>
      <c r="S655" s="11"/>
    </row>
    <row r="656" spans="1:19" ht="15.75">
      <c r="A656" s="13">
        <v>61848</v>
      </c>
      <c r="B656" s="8">
        <f>18.6217 * CHOOSE(CONTROL!$C$12, $D$11, 100%, $F$11)</f>
        <v>14.971846800000002</v>
      </c>
      <c r="C656" s="8">
        <f>18.6322 * CHOOSE(CONTROL!$C$12, $D$11, 100%, $F$11)</f>
        <v>14.980288800000002</v>
      </c>
      <c r="D656" s="8">
        <f>18.6354 * CHOOSE( CONTROL!$C$12, $D$11, 100%, $F$11)</f>
        <v>14.982861600000001</v>
      </c>
      <c r="E656" s="12">
        <f>18.6331 * CHOOSE( CONTROL!$C$12, $D$11, 100%, $F$11)</f>
        <v>14.981012399999999</v>
      </c>
      <c r="F656" s="4">
        <f>19.629 * CHOOSE(CONTROL!$C$12, $D$11, 100%, $F$11)</f>
        <v>15.781716000000001</v>
      </c>
      <c r="G656" s="8">
        <f>18.1466 * CHOOSE( CONTROL!$C$12, $D$11, 100%, $F$11)</f>
        <v>14.5898664</v>
      </c>
      <c r="H656" s="4">
        <f>19.0575 * CHOOSE(CONTROL!$C$12, $D$11, 100%, $F$11)</f>
        <v>15.322230000000001</v>
      </c>
      <c r="I656" s="8">
        <f>17.8957 * CHOOSE(CONTROL!$C$12, $D$11, 100%, $F$11)</f>
        <v>14.388142800000002</v>
      </c>
      <c r="J656" s="4">
        <f>17.8386 * CHOOSE(CONTROL!$C$12, $D$11, 100%, $F$11)</f>
        <v>14.342234400000001</v>
      </c>
      <c r="K656" s="4"/>
      <c r="L656" s="9">
        <v>27.988800000000001</v>
      </c>
      <c r="M656" s="9">
        <v>11.6745</v>
      </c>
      <c r="N656" s="9">
        <v>4.7850000000000001</v>
      </c>
      <c r="O656" s="9">
        <v>0.36249999999999999</v>
      </c>
      <c r="P656" s="9">
        <v>1.1798</v>
      </c>
      <c r="Q656" s="9">
        <v>19.053000000000001</v>
      </c>
      <c r="R656" s="9"/>
      <c r="S656" s="11"/>
    </row>
    <row r="657" spans="1:19" ht="15.75">
      <c r="A657" s="13">
        <v>61879</v>
      </c>
      <c r="B657" s="8">
        <f>CHOOSE( CONTROL!$C$29, 19.1225, 19.1178) * CHOOSE(CONTROL!$C$12, $D$11, 100%, $F$11)</f>
        <v>15.37449</v>
      </c>
      <c r="C657" s="8">
        <f>CHOOSE( CONTROL!$C$29, 19.1329, 19.1282) * CHOOSE(CONTROL!$C$12, $D$11, 100%, $F$11)</f>
        <v>15.3828516</v>
      </c>
      <c r="D657" s="8">
        <f>CHOOSE( CONTROL!$C$29, 19.1109, 19.1062) * CHOOSE( CONTROL!$C$12, $D$11, 100%, $F$11)</f>
        <v>15.365163600000002</v>
      </c>
      <c r="E657" s="12">
        <f>CHOOSE( CONTROL!$C$29, 19.1173, 19.1126) * CHOOSE( CONTROL!$C$12, $D$11, 100%, $F$11)</f>
        <v>15.370309200000001</v>
      </c>
      <c r="F657" s="4">
        <f>CHOOSE( CONTROL!$C$29, 20.0974, 20.0927) * CHOOSE(CONTROL!$C$12, $D$11, 100%, $F$11)</f>
        <v>16.158309600000003</v>
      </c>
      <c r="G657" s="8">
        <f>CHOOSE( CONTROL!$C$29, 18.6161, 18.6115) * CHOOSE( CONTROL!$C$12, $D$11, 100%, $F$11)</f>
        <v>14.9673444</v>
      </c>
      <c r="H657" s="4">
        <f>CHOOSE( CONTROL!$C$29, 19.5141, 19.5095) * CHOOSE(CONTROL!$C$12, $D$11, 100%, $F$11)</f>
        <v>15.6893364</v>
      </c>
      <c r="I657" s="8">
        <f>CHOOSE( CONTROL!$C$29, 18.3543, 18.3498) * CHOOSE(CONTROL!$C$12, $D$11, 100%, $F$11)</f>
        <v>14.756857199999999</v>
      </c>
      <c r="J657" s="4">
        <f>CHOOSE( CONTROL!$C$29, 18.3184, 18.3139) * CHOOSE(CONTROL!$C$12, $D$11, 100%, $F$11)</f>
        <v>14.727993600000001</v>
      </c>
      <c r="K657" s="4"/>
      <c r="L657" s="9">
        <v>29.520499999999998</v>
      </c>
      <c r="M657" s="9">
        <v>12.063700000000001</v>
      </c>
      <c r="N657" s="9">
        <v>4.9444999999999997</v>
      </c>
      <c r="O657" s="9">
        <v>0.37459999999999999</v>
      </c>
      <c r="P657" s="9">
        <v>1.2192000000000001</v>
      </c>
      <c r="Q657" s="9">
        <v>19.688099999999999</v>
      </c>
      <c r="R657" s="9"/>
      <c r="S657" s="11"/>
    </row>
    <row r="658" spans="1:19" ht="15.75">
      <c r="A658" s="13">
        <v>61909</v>
      </c>
      <c r="B658" s="8">
        <f>CHOOSE( CONTROL!$C$29, 18.8152, 18.8105) * CHOOSE(CONTROL!$C$12, $D$11, 100%, $F$11)</f>
        <v>15.127420800000001</v>
      </c>
      <c r="C658" s="8">
        <f>CHOOSE( CONTROL!$C$29, 18.8256, 18.8209) * CHOOSE(CONTROL!$C$12, $D$11, 100%, $F$11)</f>
        <v>15.135782400000002</v>
      </c>
      <c r="D658" s="8">
        <f>CHOOSE( CONTROL!$C$29, 18.798, 18.7933) * CHOOSE( CONTROL!$C$12, $D$11, 100%, $F$11)</f>
        <v>15.113591999999999</v>
      </c>
      <c r="E658" s="12">
        <f>CHOOSE( CONTROL!$C$29, 18.8064, 18.8017) * CHOOSE( CONTROL!$C$12, $D$11, 100%, $F$11)</f>
        <v>15.1203456</v>
      </c>
      <c r="F658" s="4">
        <f>CHOOSE( CONTROL!$C$29, 19.7797, 19.7749) * CHOOSE(CONTROL!$C$12, $D$11, 100%, $F$11)</f>
        <v>15.9028788</v>
      </c>
      <c r="G658" s="8">
        <f>CHOOSE( CONTROL!$C$29, 18.3153, 18.3107) * CHOOSE( CONTROL!$C$12, $D$11, 100%, $F$11)</f>
        <v>14.725501200000002</v>
      </c>
      <c r="H658" s="4">
        <f>CHOOSE( CONTROL!$C$29, 19.2044, 19.1998) * CHOOSE(CONTROL!$C$12, $D$11, 100%, $F$11)</f>
        <v>15.440337600000001</v>
      </c>
      <c r="I658" s="8">
        <f>CHOOSE( CONTROL!$C$29, 18.0618, 18.0573) * CHOOSE(CONTROL!$C$12, $D$11, 100%, $F$11)</f>
        <v>14.521687200000002</v>
      </c>
      <c r="J658" s="4">
        <f>CHOOSE( CONTROL!$C$29, 18.024, 18.0194) * CHOOSE(CONTROL!$C$12, $D$11, 100%, $F$11)</f>
        <v>14.491296000000002</v>
      </c>
      <c r="K658" s="4"/>
      <c r="L658" s="9">
        <v>28.568200000000001</v>
      </c>
      <c r="M658" s="9">
        <v>11.6745</v>
      </c>
      <c r="N658" s="9">
        <v>4.7850000000000001</v>
      </c>
      <c r="O658" s="9">
        <v>0.36249999999999999</v>
      </c>
      <c r="P658" s="9">
        <v>1.1798</v>
      </c>
      <c r="Q658" s="9">
        <v>19.053000000000001</v>
      </c>
      <c r="R658" s="9"/>
      <c r="S658" s="11"/>
    </row>
    <row r="659" spans="1:19" ht="15.75">
      <c r="A659" s="13">
        <v>61940</v>
      </c>
      <c r="B659" s="8">
        <f>CHOOSE( CONTROL!$C$29, 19.6244, 19.6197) * CHOOSE(CONTROL!$C$12, $D$11, 100%, $F$11)</f>
        <v>15.778017600000002</v>
      </c>
      <c r="C659" s="8">
        <f>CHOOSE( CONTROL!$C$29, 19.6348, 19.6301) * CHOOSE(CONTROL!$C$12, $D$11, 100%, $F$11)</f>
        <v>15.786379199999999</v>
      </c>
      <c r="D659" s="8">
        <f>CHOOSE( CONTROL!$C$29, 19.6264, 19.6217) * CHOOSE( CONTROL!$C$12, $D$11, 100%, $F$11)</f>
        <v>15.779625600000001</v>
      </c>
      <c r="E659" s="12">
        <f>CHOOSE( CONTROL!$C$29, 19.6279, 19.6232) * CHOOSE( CONTROL!$C$12, $D$11, 100%, $F$11)</f>
        <v>15.780831600000001</v>
      </c>
      <c r="F659" s="4">
        <f>CHOOSE( CONTROL!$C$29, 20.616, 20.6113) * CHOOSE(CONTROL!$C$12, $D$11, 100%, $F$11)</f>
        <v>16.575264000000001</v>
      </c>
      <c r="G659" s="8">
        <f>CHOOSE( CONTROL!$C$29, 19.1168, 19.1122) * CHOOSE( CONTROL!$C$12, $D$11, 100%, $F$11)</f>
        <v>15.369907200000002</v>
      </c>
      <c r="H659" s="4">
        <f>CHOOSE( CONTROL!$C$29, 20.0196, 20.015) * CHOOSE(CONTROL!$C$12, $D$11, 100%, $F$11)</f>
        <v>16.095758400000001</v>
      </c>
      <c r="I659" s="8">
        <f>CHOOSE( CONTROL!$C$29, 18.8603, 18.8558) * CHOOSE(CONTROL!$C$12, $D$11, 100%, $F$11)</f>
        <v>15.163681199999999</v>
      </c>
      <c r="J659" s="4">
        <f>CHOOSE( CONTROL!$C$29, 18.7993, 18.7948) * CHOOSE(CONTROL!$C$12, $D$11, 100%, $F$11)</f>
        <v>15.114637200000001</v>
      </c>
      <c r="K659" s="4"/>
      <c r="L659" s="9">
        <v>29.520499999999998</v>
      </c>
      <c r="M659" s="9">
        <v>12.063700000000001</v>
      </c>
      <c r="N659" s="9">
        <v>4.9444999999999997</v>
      </c>
      <c r="O659" s="9">
        <v>0.37459999999999999</v>
      </c>
      <c r="P659" s="9">
        <v>1.2192000000000001</v>
      </c>
      <c r="Q659" s="9">
        <v>19.688099999999999</v>
      </c>
      <c r="R659" s="9"/>
      <c r="S659" s="11"/>
    </row>
    <row r="660" spans="1:19" ht="15.75">
      <c r="A660" s="13">
        <v>61971</v>
      </c>
      <c r="B660" s="8">
        <f>CHOOSE( CONTROL!$C$29, 18.1103, 18.1056) * CHOOSE(CONTROL!$C$12, $D$11, 100%, $F$11)</f>
        <v>14.560681199999999</v>
      </c>
      <c r="C660" s="8">
        <f>CHOOSE( CONTROL!$C$29, 18.1207, 18.116) * CHOOSE(CONTROL!$C$12, $D$11, 100%, $F$11)</f>
        <v>14.5690428</v>
      </c>
      <c r="D660" s="8">
        <f>CHOOSE( CONTROL!$C$29, 18.1156, 18.1109) * CHOOSE( CONTROL!$C$12, $D$11, 100%, $F$11)</f>
        <v>14.564942400000001</v>
      </c>
      <c r="E660" s="12">
        <f>CHOOSE( CONTROL!$C$29, 18.1159, 18.1112) * CHOOSE( CONTROL!$C$12, $D$11, 100%, $F$11)</f>
        <v>14.565183600000001</v>
      </c>
      <c r="F660" s="4">
        <f>CHOOSE( CONTROL!$C$29, 19.1071, 19.1024) * CHOOSE(CONTROL!$C$12, $D$11, 100%, $F$11)</f>
        <v>15.3621084</v>
      </c>
      <c r="G660" s="8">
        <f>CHOOSE( CONTROL!$C$29, 17.643, 17.6384) * CHOOSE( CONTROL!$C$12, $D$11, 100%, $F$11)</f>
        <v>14.184972000000002</v>
      </c>
      <c r="H660" s="4">
        <f>CHOOSE( CONTROL!$C$29, 18.5488, 18.5442) * CHOOSE(CONTROL!$C$12, $D$11, 100%, $F$11)</f>
        <v>14.913235200000001</v>
      </c>
      <c r="I660" s="8">
        <f>CHOOSE( CONTROL!$C$29, 17.4134, 17.4089) * CHOOSE(CONTROL!$C$12, $D$11, 100%, $F$11)</f>
        <v>14.0003736</v>
      </c>
      <c r="J660" s="4">
        <f>CHOOSE( CONTROL!$C$29, 17.3485, 17.344) * CHOOSE(CONTROL!$C$12, $D$11, 100%, $F$11)</f>
        <v>13.948194000000003</v>
      </c>
      <c r="K660" s="4"/>
      <c r="L660" s="9">
        <v>29.520499999999998</v>
      </c>
      <c r="M660" s="9">
        <v>12.063700000000001</v>
      </c>
      <c r="N660" s="9">
        <v>4.9444999999999997</v>
      </c>
      <c r="O660" s="9">
        <v>0.37459999999999999</v>
      </c>
      <c r="P660" s="9">
        <v>1.2192000000000001</v>
      </c>
      <c r="Q660" s="9">
        <v>19.688099999999999</v>
      </c>
      <c r="R660" s="9"/>
      <c r="S660" s="11"/>
    </row>
    <row r="661" spans="1:19" ht="15.75">
      <c r="A661" s="13">
        <v>62001</v>
      </c>
      <c r="B661" s="8">
        <f>CHOOSE( CONTROL!$C$29, 17.7311, 17.7264) * CHOOSE(CONTROL!$C$12, $D$11, 100%, $F$11)</f>
        <v>14.255804400000002</v>
      </c>
      <c r="C661" s="8">
        <f>CHOOSE( CONTROL!$C$29, 17.7416, 17.7369) * CHOOSE(CONTROL!$C$12, $D$11, 100%, $F$11)</f>
        <v>14.264246399999999</v>
      </c>
      <c r="D661" s="8">
        <f>CHOOSE( CONTROL!$C$29, 17.7322, 17.7275) * CHOOSE( CONTROL!$C$12, $D$11, 100%, $F$11)</f>
        <v>14.256688799999999</v>
      </c>
      <c r="E661" s="12">
        <f>CHOOSE( CONTROL!$C$29, 17.734, 17.7293) * CHOOSE( CONTROL!$C$12, $D$11, 100%, $F$11)</f>
        <v>14.258136000000002</v>
      </c>
      <c r="F661" s="4">
        <f>CHOOSE( CONTROL!$C$29, 18.7201, 18.7154) * CHOOSE(CONTROL!$C$12, $D$11, 100%, $F$11)</f>
        <v>15.050960399999999</v>
      </c>
      <c r="G661" s="8">
        <f>CHOOSE( CONTROL!$C$29, 17.2721, 17.2675) * CHOOSE( CONTROL!$C$12, $D$11, 100%, $F$11)</f>
        <v>13.886768399999999</v>
      </c>
      <c r="H661" s="4">
        <f>CHOOSE( CONTROL!$C$29, 18.1716, 18.167) * CHOOSE(CONTROL!$C$12, $D$11, 100%, $F$11)</f>
        <v>14.609966400000003</v>
      </c>
      <c r="I661" s="8">
        <f>CHOOSE( CONTROL!$C$29, 17.0512, 17.0467) * CHOOSE(CONTROL!$C$12, $D$11, 100%, $F$11)</f>
        <v>13.709164800000002</v>
      </c>
      <c r="J661" s="4">
        <f>CHOOSE( CONTROL!$C$29, 16.9852, 16.9807) * CHOOSE(CONTROL!$C$12, $D$11, 100%, $F$11)</f>
        <v>13.656100800000001</v>
      </c>
      <c r="K661" s="4"/>
      <c r="L661" s="9">
        <v>28.568200000000001</v>
      </c>
      <c r="M661" s="9">
        <v>11.6745</v>
      </c>
      <c r="N661" s="9">
        <v>4.7850000000000001</v>
      </c>
      <c r="O661" s="9">
        <v>0.36249999999999999</v>
      </c>
      <c r="P661" s="9">
        <v>1.1798</v>
      </c>
      <c r="Q661" s="9">
        <v>19.053000000000001</v>
      </c>
      <c r="R661" s="9"/>
      <c r="S661" s="11"/>
    </row>
    <row r="662" spans="1:19" ht="15.75">
      <c r="A662" s="13">
        <v>62032</v>
      </c>
      <c r="B662" s="8">
        <f>18.5137 * CHOOSE(CONTROL!$C$12, $D$11, 100%, $F$11)</f>
        <v>14.8850148</v>
      </c>
      <c r="C662" s="8">
        <f>18.5241 * CHOOSE(CONTROL!$C$12, $D$11, 100%, $F$11)</f>
        <v>14.893376400000001</v>
      </c>
      <c r="D662" s="8">
        <f>18.5157 * CHOOSE( CONTROL!$C$12, $D$11, 100%, $F$11)</f>
        <v>14.8866228</v>
      </c>
      <c r="E662" s="12">
        <f>18.5174 * CHOOSE( CONTROL!$C$12, $D$11, 100%, $F$11)</f>
        <v>14.887989599999999</v>
      </c>
      <c r="F662" s="4">
        <f>19.5027 * CHOOSE(CONTROL!$C$12, $D$11, 100%, $F$11)</f>
        <v>15.680170800000001</v>
      </c>
      <c r="G662" s="8">
        <f>18.0345 * CHOOSE( CONTROL!$C$12, $D$11, 100%, $F$11)</f>
        <v>14.499738000000002</v>
      </c>
      <c r="H662" s="4">
        <f>18.9344 * CHOOSE(CONTROL!$C$12, $D$11, 100%, $F$11)</f>
        <v>15.2232576</v>
      </c>
      <c r="I662" s="8">
        <f>17.8035 * CHOOSE(CONTROL!$C$12, $D$11, 100%, $F$11)</f>
        <v>14.314014</v>
      </c>
      <c r="J662" s="4">
        <f>17.735 * CHOOSE(CONTROL!$C$12, $D$11, 100%, $F$11)</f>
        <v>14.258940000000001</v>
      </c>
      <c r="K662" s="4"/>
      <c r="L662" s="9">
        <v>28.921800000000001</v>
      </c>
      <c r="M662" s="9">
        <v>12.063700000000001</v>
      </c>
      <c r="N662" s="9">
        <v>4.9444999999999997</v>
      </c>
      <c r="O662" s="9">
        <v>0.37459999999999999</v>
      </c>
      <c r="P662" s="9">
        <v>1.2192000000000001</v>
      </c>
      <c r="Q662" s="9">
        <v>19.688099999999999</v>
      </c>
      <c r="R662" s="9"/>
      <c r="S662" s="11"/>
    </row>
    <row r="663" spans="1:19" ht="15.75">
      <c r="A663" s="13">
        <v>62062</v>
      </c>
      <c r="B663" s="8">
        <f>19.9668 * CHOOSE(CONTROL!$C$12, $D$11, 100%, $F$11)</f>
        <v>16.053307199999999</v>
      </c>
      <c r="C663" s="8">
        <f>19.9772 * CHOOSE(CONTROL!$C$12, $D$11, 100%, $F$11)</f>
        <v>16.0616688</v>
      </c>
      <c r="D663" s="8">
        <f>19.9575 * CHOOSE( CONTROL!$C$12, $D$11, 100%, $F$11)</f>
        <v>16.045830000000002</v>
      </c>
      <c r="E663" s="12">
        <f>19.9636 * CHOOSE( CONTROL!$C$12, $D$11, 100%, $F$11)</f>
        <v>16.0507344</v>
      </c>
      <c r="F663" s="4">
        <f>20.9584 * CHOOSE(CONTROL!$C$12, $D$11, 100%, $F$11)</f>
        <v>16.850553600000001</v>
      </c>
      <c r="G663" s="8">
        <f>19.47 * CHOOSE( CONTROL!$C$12, $D$11, 100%, $F$11)</f>
        <v>15.653880000000001</v>
      </c>
      <c r="H663" s="4">
        <f>20.3534 * CHOOSE(CONTROL!$C$12, $D$11, 100%, $F$11)</f>
        <v>16.364133600000002</v>
      </c>
      <c r="I663" s="8">
        <f>19.2268 * CHOOSE(CONTROL!$C$12, $D$11, 100%, $F$11)</f>
        <v>15.458347200000002</v>
      </c>
      <c r="J663" s="4">
        <f>19.1274 * CHOOSE(CONTROL!$C$12, $D$11, 100%, $F$11)</f>
        <v>15.378429600000002</v>
      </c>
      <c r="K663" s="4"/>
      <c r="L663" s="9">
        <v>26.515499999999999</v>
      </c>
      <c r="M663" s="9">
        <v>11.6745</v>
      </c>
      <c r="N663" s="9">
        <v>4.7850000000000001</v>
      </c>
      <c r="O663" s="9">
        <v>0.36249999999999999</v>
      </c>
      <c r="P663" s="9">
        <v>1.2522</v>
      </c>
      <c r="Q663" s="9">
        <v>19.053000000000001</v>
      </c>
      <c r="R663" s="9"/>
      <c r="S663" s="11"/>
    </row>
    <row r="664" spans="1:19" ht="15.75">
      <c r="A664" s="13">
        <v>62093</v>
      </c>
      <c r="B664" s="8">
        <f>19.9305 * CHOOSE(CONTROL!$C$12, $D$11, 100%, $F$11)</f>
        <v>16.024121999999998</v>
      </c>
      <c r="C664" s="8">
        <f>19.9409 * CHOOSE(CONTROL!$C$12, $D$11, 100%, $F$11)</f>
        <v>16.032483599999999</v>
      </c>
      <c r="D664" s="8">
        <f>19.9231 * CHOOSE( CONTROL!$C$12, $D$11, 100%, $F$11)</f>
        <v>16.018172400000001</v>
      </c>
      <c r="E664" s="12">
        <f>19.9285 * CHOOSE( CONTROL!$C$12, $D$11, 100%, $F$11)</f>
        <v>16.022514000000001</v>
      </c>
      <c r="F664" s="4">
        <f>20.9221 * CHOOSE(CONTROL!$C$12, $D$11, 100%, $F$11)</f>
        <v>16.821368400000001</v>
      </c>
      <c r="G664" s="8">
        <f>19.4361 * CHOOSE( CONTROL!$C$12, $D$11, 100%, $F$11)</f>
        <v>15.626624400000001</v>
      </c>
      <c r="H664" s="4">
        <f>20.318 * CHOOSE(CONTROL!$C$12, $D$11, 100%, $F$11)</f>
        <v>16.335672000000002</v>
      </c>
      <c r="I664" s="8">
        <f>19.1988 * CHOOSE(CONTROL!$C$12, $D$11, 100%, $F$11)</f>
        <v>15.4358352</v>
      </c>
      <c r="J664" s="4">
        <f>19.0926 * CHOOSE(CONTROL!$C$12, $D$11, 100%, $F$11)</f>
        <v>15.350450400000001</v>
      </c>
      <c r="K664" s="4"/>
      <c r="L664" s="9">
        <v>27.3993</v>
      </c>
      <c r="M664" s="9">
        <v>12.063700000000001</v>
      </c>
      <c r="N664" s="9">
        <v>4.9444999999999997</v>
      </c>
      <c r="O664" s="9">
        <v>0.37459999999999999</v>
      </c>
      <c r="P664" s="9">
        <v>1.2939000000000001</v>
      </c>
      <c r="Q664" s="9">
        <v>19.688099999999999</v>
      </c>
      <c r="R664" s="9"/>
      <c r="S664" s="11"/>
    </row>
    <row r="665" spans="1:19" ht="15.75">
      <c r="A665" s="13">
        <v>62124</v>
      </c>
      <c r="B665" s="8">
        <f>20.692 * CHOOSE(CONTROL!$C$12, $D$11, 100%, $F$11)</f>
        <v>16.636368000000001</v>
      </c>
      <c r="C665" s="8">
        <f>20.7025 * CHOOSE(CONTROL!$C$12, $D$11, 100%, $F$11)</f>
        <v>16.644810000000003</v>
      </c>
      <c r="D665" s="8">
        <f>20.7001 * CHOOSE( CONTROL!$C$12, $D$11, 100%, $F$11)</f>
        <v>16.642880399999999</v>
      </c>
      <c r="E665" s="12">
        <f>20.6999 * CHOOSE( CONTROL!$C$12, $D$11, 100%, $F$11)</f>
        <v>16.6427196</v>
      </c>
      <c r="F665" s="4">
        <f>21.7149 * CHOOSE(CONTROL!$C$12, $D$11, 100%, $F$11)</f>
        <v>17.4587796</v>
      </c>
      <c r="G665" s="8">
        <f>20.1975 * CHOOSE( CONTROL!$C$12, $D$11, 100%, $F$11)</f>
        <v>16.238790000000002</v>
      </c>
      <c r="H665" s="4">
        <f>21.0908 * CHOOSE(CONTROL!$C$12, $D$11, 100%, $F$11)</f>
        <v>16.957003200000003</v>
      </c>
      <c r="I665" s="8">
        <f>19.9408 * CHOOSE(CONTROL!$C$12, $D$11, 100%, $F$11)</f>
        <v>16.032403200000001</v>
      </c>
      <c r="J665" s="4">
        <f>19.8223 * CHOOSE(CONTROL!$C$12, $D$11, 100%, $F$11)</f>
        <v>15.937129199999999</v>
      </c>
      <c r="K665" s="4"/>
      <c r="L665" s="9">
        <v>27.3993</v>
      </c>
      <c r="M665" s="9">
        <v>12.063700000000001</v>
      </c>
      <c r="N665" s="9">
        <v>4.9444999999999997</v>
      </c>
      <c r="O665" s="9">
        <v>0.37459999999999999</v>
      </c>
      <c r="P665" s="9">
        <v>1.2939000000000001</v>
      </c>
      <c r="Q665" s="9">
        <v>19.688099999999999</v>
      </c>
      <c r="R665" s="9"/>
      <c r="S665" s="11"/>
    </row>
    <row r="666" spans="1:19" ht="15.75">
      <c r="A666" s="13">
        <v>62152</v>
      </c>
      <c r="B666" s="8">
        <f>19.3546 * CHOOSE(CONTROL!$C$12, $D$11, 100%, $F$11)</f>
        <v>15.561098400000002</v>
      </c>
      <c r="C666" s="8">
        <f>19.3651 * CHOOSE(CONTROL!$C$12, $D$11, 100%, $F$11)</f>
        <v>15.569540400000003</v>
      </c>
      <c r="D666" s="8">
        <f>19.365 * CHOOSE( CONTROL!$C$12, $D$11, 100%, $F$11)</f>
        <v>15.569459999999999</v>
      </c>
      <c r="E666" s="12">
        <f>19.3639 * CHOOSE( CONTROL!$C$12, $D$11, 100%, $F$11)</f>
        <v>15.568575600000001</v>
      </c>
      <c r="F666" s="4">
        <f>20.3697 * CHOOSE(CONTROL!$C$12, $D$11, 100%, $F$11)</f>
        <v>16.377238800000001</v>
      </c>
      <c r="G666" s="8">
        <f>18.8937 * CHOOSE( CONTROL!$C$12, $D$11, 100%, $F$11)</f>
        <v>15.1905348</v>
      </c>
      <c r="H666" s="4">
        <f>19.7796 * CHOOSE(CONTROL!$C$12, $D$11, 100%, $F$11)</f>
        <v>15.9027984</v>
      </c>
      <c r="I666" s="8">
        <f>18.6478 * CHOOSE(CONTROL!$C$12, $D$11, 100%, $F$11)</f>
        <v>14.992831200000001</v>
      </c>
      <c r="J666" s="4">
        <f>18.5409 * CHOOSE(CONTROL!$C$12, $D$11, 100%, $F$11)</f>
        <v>14.906883600000002</v>
      </c>
      <c r="K666" s="4"/>
      <c r="L666" s="9">
        <v>24.747800000000002</v>
      </c>
      <c r="M666" s="9">
        <v>10.8962</v>
      </c>
      <c r="N666" s="9">
        <v>4.4660000000000002</v>
      </c>
      <c r="O666" s="9">
        <v>0.33829999999999999</v>
      </c>
      <c r="P666" s="9">
        <v>1.1687000000000001</v>
      </c>
      <c r="Q666" s="9">
        <v>17.782800000000002</v>
      </c>
      <c r="R666" s="9"/>
      <c r="S666" s="11"/>
    </row>
    <row r="667" spans="1:19" ht="15.75">
      <c r="A667" s="13">
        <v>62183</v>
      </c>
      <c r="B667" s="8">
        <f>18.9427 * CHOOSE(CONTROL!$C$12, $D$11, 100%, $F$11)</f>
        <v>15.2299308</v>
      </c>
      <c r="C667" s="8">
        <f>18.9532 * CHOOSE(CONTROL!$C$12, $D$11, 100%, $F$11)</f>
        <v>15.2383728</v>
      </c>
      <c r="D667" s="8">
        <f>18.933 * CHOOSE( CONTROL!$C$12, $D$11, 100%, $F$11)</f>
        <v>15.222132</v>
      </c>
      <c r="E667" s="12">
        <f>18.9393 * CHOOSE( CONTROL!$C$12, $D$11, 100%, $F$11)</f>
        <v>15.227197200000001</v>
      </c>
      <c r="F667" s="4">
        <f>19.9416 * CHOOSE(CONTROL!$C$12, $D$11, 100%, $F$11)</f>
        <v>16.033046400000003</v>
      </c>
      <c r="G667" s="8">
        <f>18.4717 * CHOOSE( CONTROL!$C$12, $D$11, 100%, $F$11)</f>
        <v>14.8512468</v>
      </c>
      <c r="H667" s="4">
        <f>19.3623 * CHOOSE(CONTROL!$C$12, $D$11, 100%, $F$11)</f>
        <v>15.567289200000001</v>
      </c>
      <c r="I667" s="8">
        <f>18.2134 * CHOOSE(CONTROL!$C$12, $D$11, 100%, $F$11)</f>
        <v>14.643573600000002</v>
      </c>
      <c r="J667" s="4">
        <f>18.1462 * CHOOSE(CONTROL!$C$12, $D$11, 100%, $F$11)</f>
        <v>14.589544800000001</v>
      </c>
      <c r="K667" s="4"/>
      <c r="L667" s="9">
        <v>27.3993</v>
      </c>
      <c r="M667" s="9">
        <v>12.063700000000001</v>
      </c>
      <c r="N667" s="9">
        <v>4.9444999999999997</v>
      </c>
      <c r="O667" s="9">
        <v>0.37459999999999999</v>
      </c>
      <c r="P667" s="9">
        <v>1.2939000000000001</v>
      </c>
      <c r="Q667" s="9">
        <v>19.688099999999999</v>
      </c>
      <c r="R667" s="9"/>
      <c r="S667" s="11"/>
    </row>
    <row r="668" spans="1:19" ht="15.75">
      <c r="A668" s="13">
        <v>62213</v>
      </c>
      <c r="B668" s="8">
        <f>19.2306 * CHOOSE(CONTROL!$C$12, $D$11, 100%, $F$11)</f>
        <v>15.461402400000001</v>
      </c>
      <c r="C668" s="8">
        <f>19.241 * CHOOSE(CONTROL!$C$12, $D$11, 100%, $F$11)</f>
        <v>15.469764000000001</v>
      </c>
      <c r="D668" s="8">
        <f>19.2442 * CHOOSE( CONTROL!$C$12, $D$11, 100%, $F$11)</f>
        <v>15.472336800000001</v>
      </c>
      <c r="E668" s="12">
        <f>19.242 * CHOOSE( CONTROL!$C$12, $D$11, 100%, $F$11)</f>
        <v>15.470568000000002</v>
      </c>
      <c r="F668" s="4">
        <f>20.2378 * CHOOSE(CONTROL!$C$12, $D$11, 100%, $F$11)</f>
        <v>16.271191200000001</v>
      </c>
      <c r="G668" s="8">
        <f>18.7401 * CHOOSE( CONTROL!$C$12, $D$11, 100%, $F$11)</f>
        <v>15.067040400000002</v>
      </c>
      <c r="H668" s="4">
        <f>19.651 * CHOOSE(CONTROL!$C$12, $D$11, 100%, $F$11)</f>
        <v>15.799404000000001</v>
      </c>
      <c r="I668" s="8">
        <f>18.4794 * CHOOSE(CONTROL!$C$12, $D$11, 100%, $F$11)</f>
        <v>14.857437599999999</v>
      </c>
      <c r="J668" s="4">
        <f>18.422 * CHOOSE(CONTROL!$C$12, $D$11, 100%, $F$11)</f>
        <v>14.811288000000001</v>
      </c>
      <c r="K668" s="4"/>
      <c r="L668" s="9">
        <v>27.988800000000001</v>
      </c>
      <c r="M668" s="9">
        <v>11.6745</v>
      </c>
      <c r="N668" s="9">
        <v>4.7850000000000001</v>
      </c>
      <c r="O668" s="9">
        <v>0.36249999999999999</v>
      </c>
      <c r="P668" s="9">
        <v>1.1798</v>
      </c>
      <c r="Q668" s="9">
        <v>19.053000000000001</v>
      </c>
      <c r="R668" s="9"/>
      <c r="S668" s="11"/>
    </row>
    <row r="669" spans="1:19" ht="15.75">
      <c r="A669" s="13">
        <v>62244</v>
      </c>
      <c r="B669" s="8">
        <f>CHOOSE( CONTROL!$C$29, 19.7475, 19.7428) * CHOOSE(CONTROL!$C$12, $D$11, 100%, $F$11)</f>
        <v>15.876989999999999</v>
      </c>
      <c r="C669" s="8">
        <f>CHOOSE( CONTROL!$C$29, 19.758, 19.7533) * CHOOSE(CONTROL!$C$12, $D$11, 100%, $F$11)</f>
        <v>15.885432</v>
      </c>
      <c r="D669" s="8">
        <f>CHOOSE( CONTROL!$C$29, 19.7359, 19.7312) * CHOOSE( CONTROL!$C$12, $D$11, 100%, $F$11)</f>
        <v>15.867663600000002</v>
      </c>
      <c r="E669" s="12">
        <f>CHOOSE( CONTROL!$C$29, 19.7423, 19.7376) * CHOOSE( CONTROL!$C$12, $D$11, 100%, $F$11)</f>
        <v>15.872809200000001</v>
      </c>
      <c r="F669" s="4">
        <f>CHOOSE( CONTROL!$C$29, 20.7224, 20.7177) * CHOOSE(CONTROL!$C$12, $D$11, 100%, $F$11)</f>
        <v>16.6608096</v>
      </c>
      <c r="G669" s="8">
        <f>CHOOSE( CONTROL!$C$29, 19.2254, 19.2208) * CHOOSE( CONTROL!$C$12, $D$11, 100%, $F$11)</f>
        <v>15.4572216</v>
      </c>
      <c r="H669" s="4">
        <f>CHOOSE( CONTROL!$C$29, 20.1234, 20.1188) * CHOOSE(CONTROL!$C$12, $D$11, 100%, $F$11)</f>
        <v>16.179213600000001</v>
      </c>
      <c r="I669" s="8">
        <f>CHOOSE( CONTROL!$C$29, 18.9535, 18.949) * CHOOSE(CONTROL!$C$12, $D$11, 100%, $F$11)</f>
        <v>15.238614</v>
      </c>
      <c r="J669" s="4">
        <f>CHOOSE( CONTROL!$C$29, 18.9173, 18.9128) * CHOOSE(CONTROL!$C$12, $D$11, 100%, $F$11)</f>
        <v>15.209509200000001</v>
      </c>
      <c r="K669" s="4"/>
      <c r="L669" s="9">
        <v>29.520499999999998</v>
      </c>
      <c r="M669" s="9">
        <v>12.063700000000001</v>
      </c>
      <c r="N669" s="9">
        <v>4.9444999999999997</v>
      </c>
      <c r="O669" s="9">
        <v>0.37459999999999999</v>
      </c>
      <c r="P669" s="9">
        <v>1.2192000000000001</v>
      </c>
      <c r="Q669" s="9">
        <v>19.688099999999999</v>
      </c>
      <c r="R669" s="9"/>
      <c r="S669" s="11"/>
    </row>
    <row r="670" spans="1:19" ht="15.75">
      <c r="A670" s="13">
        <v>62274</v>
      </c>
      <c r="B670" s="8">
        <f>CHOOSE( CONTROL!$C$29, 19.4302, 19.4255) * CHOOSE(CONTROL!$C$12, $D$11, 100%, $F$11)</f>
        <v>15.6218808</v>
      </c>
      <c r="C670" s="8">
        <f>CHOOSE( CONTROL!$C$29, 19.4406, 19.4359) * CHOOSE(CONTROL!$C$12, $D$11, 100%, $F$11)</f>
        <v>15.6302424</v>
      </c>
      <c r="D670" s="8">
        <f>CHOOSE( CONTROL!$C$29, 19.413, 19.4083) * CHOOSE( CONTROL!$C$12, $D$11, 100%, $F$11)</f>
        <v>15.608052000000001</v>
      </c>
      <c r="E670" s="12">
        <f>CHOOSE( CONTROL!$C$29, 19.4214, 19.4167) * CHOOSE( CONTROL!$C$12, $D$11, 100%, $F$11)</f>
        <v>15.6148056</v>
      </c>
      <c r="F670" s="4">
        <f>CHOOSE( CONTROL!$C$29, 20.3947, 20.39) * CHOOSE(CONTROL!$C$12, $D$11, 100%, $F$11)</f>
        <v>16.3973388</v>
      </c>
      <c r="G670" s="8">
        <f>CHOOSE( CONTROL!$C$29, 18.9148, 18.9102) * CHOOSE( CONTROL!$C$12, $D$11, 100%, $F$11)</f>
        <v>15.207499200000001</v>
      </c>
      <c r="H670" s="4">
        <f>CHOOSE( CONTROL!$C$29, 19.8039, 19.7993) * CHOOSE(CONTROL!$C$12, $D$11, 100%, $F$11)</f>
        <v>15.9223356</v>
      </c>
      <c r="I670" s="8">
        <f>CHOOSE( CONTROL!$C$29, 18.6514, 18.6469) * CHOOSE(CONTROL!$C$12, $D$11, 100%, $F$11)</f>
        <v>14.9957256</v>
      </c>
      <c r="J670" s="4">
        <f>CHOOSE( CONTROL!$C$29, 18.6133, 18.6088) * CHOOSE(CONTROL!$C$12, $D$11, 100%, $F$11)</f>
        <v>14.9650932</v>
      </c>
      <c r="K670" s="4"/>
      <c r="L670" s="9">
        <v>28.568200000000001</v>
      </c>
      <c r="M670" s="9">
        <v>11.6745</v>
      </c>
      <c r="N670" s="9">
        <v>4.7850000000000001</v>
      </c>
      <c r="O670" s="9">
        <v>0.36249999999999999</v>
      </c>
      <c r="P670" s="9">
        <v>1.1798</v>
      </c>
      <c r="Q670" s="9">
        <v>19.053000000000001</v>
      </c>
      <c r="R670" s="9"/>
      <c r="S670" s="11"/>
    </row>
    <row r="671" spans="1:19" ht="15.75">
      <c r="A671" s="13">
        <v>62305</v>
      </c>
      <c r="B671" s="8">
        <f>CHOOSE( CONTROL!$C$29, 20.2659, 20.2612) * CHOOSE(CONTROL!$C$12, $D$11, 100%, $F$11)</f>
        <v>16.293783600000001</v>
      </c>
      <c r="C671" s="8">
        <f>CHOOSE( CONTROL!$C$29, 20.2763, 20.2716) * CHOOSE(CONTROL!$C$12, $D$11, 100%, $F$11)</f>
        <v>16.302145200000002</v>
      </c>
      <c r="D671" s="8">
        <f>CHOOSE( CONTROL!$C$29, 20.2679, 20.2632) * CHOOSE( CONTROL!$C$12, $D$11, 100%, $F$11)</f>
        <v>16.295391600000002</v>
      </c>
      <c r="E671" s="12">
        <f>CHOOSE( CONTROL!$C$29, 20.2694, 20.2647) * CHOOSE( CONTROL!$C$12, $D$11, 100%, $F$11)</f>
        <v>16.296597600000002</v>
      </c>
      <c r="F671" s="4">
        <f>CHOOSE( CONTROL!$C$29, 21.2575, 21.2528) * CHOOSE(CONTROL!$C$12, $D$11, 100%, $F$11)</f>
        <v>17.09103</v>
      </c>
      <c r="G671" s="8">
        <f>CHOOSE( CONTROL!$C$29, 19.7421, 19.7375) * CHOOSE( CONTROL!$C$12, $D$11, 100%, $F$11)</f>
        <v>15.872648400000001</v>
      </c>
      <c r="H671" s="4">
        <f>CHOOSE( CONTROL!$C$29, 20.6449, 20.6403) * CHOOSE(CONTROL!$C$12, $D$11, 100%, $F$11)</f>
        <v>16.5984996</v>
      </c>
      <c r="I671" s="8">
        <f>CHOOSE( CONTROL!$C$29, 19.4753, 19.4708) * CHOOSE(CONTROL!$C$12, $D$11, 100%, $F$11)</f>
        <v>15.658141200000001</v>
      </c>
      <c r="J671" s="4">
        <f>CHOOSE( CONTROL!$C$29, 19.414, 19.4095) * CHOOSE(CONTROL!$C$12, $D$11, 100%, $F$11)</f>
        <v>15.608856000000003</v>
      </c>
      <c r="K671" s="4"/>
      <c r="L671" s="9">
        <v>29.520499999999998</v>
      </c>
      <c r="M671" s="9">
        <v>12.063700000000001</v>
      </c>
      <c r="N671" s="9">
        <v>4.9444999999999997</v>
      </c>
      <c r="O671" s="9">
        <v>0.37459999999999999</v>
      </c>
      <c r="P671" s="9">
        <v>1.2192000000000001</v>
      </c>
      <c r="Q671" s="9">
        <v>19.688099999999999</v>
      </c>
      <c r="R671" s="9"/>
      <c r="S671" s="11"/>
    </row>
    <row r="672" spans="1:19" ht="15.75">
      <c r="A672" s="13">
        <v>62336</v>
      </c>
      <c r="B672" s="8">
        <f>CHOOSE( CONTROL!$C$29, 18.7022, 18.6975) * CHOOSE(CONTROL!$C$12, $D$11, 100%, $F$11)</f>
        <v>15.036568800000001</v>
      </c>
      <c r="C672" s="8">
        <f>CHOOSE( CONTROL!$C$29, 18.7127, 18.708) * CHOOSE(CONTROL!$C$12, $D$11, 100%, $F$11)</f>
        <v>15.045010800000002</v>
      </c>
      <c r="D672" s="8">
        <f>CHOOSE( CONTROL!$C$29, 18.7076, 18.7029) * CHOOSE( CONTROL!$C$12, $D$11, 100%, $F$11)</f>
        <v>15.0409104</v>
      </c>
      <c r="E672" s="12">
        <f>CHOOSE( CONTROL!$C$29, 18.7078, 18.7031) * CHOOSE( CONTROL!$C$12, $D$11, 100%, $F$11)</f>
        <v>15.041071199999999</v>
      </c>
      <c r="F672" s="4">
        <f>CHOOSE( CONTROL!$C$29, 19.6991, 19.6944) * CHOOSE(CONTROL!$C$12, $D$11, 100%, $F$11)</f>
        <v>15.838076400000002</v>
      </c>
      <c r="G672" s="8">
        <f>CHOOSE( CONTROL!$C$29, 18.22, 18.2154) * CHOOSE( CONTROL!$C$12, $D$11, 100%, $F$11)</f>
        <v>14.64888</v>
      </c>
      <c r="H672" s="4">
        <f>CHOOSE( CONTROL!$C$29, 19.1258, 19.1212) * CHOOSE(CONTROL!$C$12, $D$11, 100%, $F$11)</f>
        <v>15.377143200000003</v>
      </c>
      <c r="I672" s="8">
        <f>CHOOSE( CONTROL!$C$29, 17.9809, 17.9764) * CHOOSE(CONTROL!$C$12, $D$11, 100%, $F$11)</f>
        <v>14.4566436</v>
      </c>
      <c r="J672" s="4">
        <f>CHOOSE( CONTROL!$C$29, 17.9157, 17.9112) * CHOOSE(CONTROL!$C$12, $D$11, 100%, $F$11)</f>
        <v>14.404222800000001</v>
      </c>
      <c r="K672" s="4"/>
      <c r="L672" s="9">
        <v>29.520499999999998</v>
      </c>
      <c r="M672" s="9">
        <v>12.063700000000001</v>
      </c>
      <c r="N672" s="9">
        <v>4.9444999999999997</v>
      </c>
      <c r="O672" s="9">
        <v>0.37459999999999999</v>
      </c>
      <c r="P672" s="9">
        <v>1.2192000000000001</v>
      </c>
      <c r="Q672" s="9">
        <v>19.688099999999999</v>
      </c>
      <c r="R672" s="9"/>
      <c r="S672" s="11"/>
    </row>
    <row r="673" spans="1:19" ht="15.75">
      <c r="A673" s="13">
        <v>62366</v>
      </c>
      <c r="B673" s="8">
        <f>CHOOSE( CONTROL!$C$29, 18.3107, 18.306) * CHOOSE(CONTROL!$C$12, $D$11, 100%, $F$11)</f>
        <v>14.721802800000001</v>
      </c>
      <c r="C673" s="8">
        <f>CHOOSE( CONTROL!$C$29, 18.3211, 18.3164) * CHOOSE(CONTROL!$C$12, $D$11, 100%, $F$11)</f>
        <v>14.730164400000001</v>
      </c>
      <c r="D673" s="8">
        <f>CHOOSE( CONTROL!$C$29, 18.3118, 18.3071) * CHOOSE( CONTROL!$C$12, $D$11, 100%, $F$11)</f>
        <v>14.722687200000003</v>
      </c>
      <c r="E673" s="12">
        <f>CHOOSE( CONTROL!$C$29, 18.3136, 18.3089) * CHOOSE( CONTROL!$C$12, $D$11, 100%, $F$11)</f>
        <v>14.724134400000002</v>
      </c>
      <c r="F673" s="4">
        <f>CHOOSE( CONTROL!$C$29, 19.2997, 19.295) * CHOOSE(CONTROL!$C$12, $D$11, 100%, $F$11)</f>
        <v>15.516958800000003</v>
      </c>
      <c r="G673" s="8">
        <f>CHOOSE( CONTROL!$C$29, 17.837, 17.8325) * CHOOSE( CONTROL!$C$12, $D$11, 100%, $F$11)</f>
        <v>14.340948000000001</v>
      </c>
      <c r="H673" s="4">
        <f>CHOOSE( CONTROL!$C$29, 18.7365, 18.7319) * CHOOSE(CONTROL!$C$12, $D$11, 100%, $F$11)</f>
        <v>15.064146000000001</v>
      </c>
      <c r="I673" s="8">
        <f>CHOOSE( CONTROL!$C$29, 17.6069, 17.6023) * CHOOSE(CONTROL!$C$12, $D$11, 100%, $F$11)</f>
        <v>14.155947600000001</v>
      </c>
      <c r="J673" s="4">
        <f>CHOOSE( CONTROL!$C$29, 17.5405, 17.536) * CHOOSE(CONTROL!$C$12, $D$11, 100%, $F$11)</f>
        <v>14.102562000000002</v>
      </c>
      <c r="K673" s="4"/>
      <c r="L673" s="9">
        <v>28.568200000000001</v>
      </c>
      <c r="M673" s="9">
        <v>11.6745</v>
      </c>
      <c r="N673" s="9">
        <v>4.7850000000000001</v>
      </c>
      <c r="O673" s="9">
        <v>0.36249999999999999</v>
      </c>
      <c r="P673" s="9">
        <v>1.1798</v>
      </c>
      <c r="Q673" s="9">
        <v>19.053000000000001</v>
      </c>
      <c r="R673" s="9"/>
      <c r="S673" s="11"/>
    </row>
    <row r="674" spans="1:19" ht="15.75">
      <c r="A674" s="13">
        <v>62397</v>
      </c>
      <c r="B674" s="8">
        <f>19.119 * CHOOSE(CONTROL!$C$12, $D$11, 100%, $F$11)</f>
        <v>15.371676000000001</v>
      </c>
      <c r="C674" s="8">
        <f>19.1294 * CHOOSE(CONTROL!$C$12, $D$11, 100%, $F$11)</f>
        <v>15.380037600000001</v>
      </c>
      <c r="D674" s="8">
        <f>19.121 * CHOOSE( CONTROL!$C$12, $D$11, 100%, $F$11)</f>
        <v>15.373284</v>
      </c>
      <c r="E674" s="12">
        <f>19.1227 * CHOOSE( CONTROL!$C$12, $D$11, 100%, $F$11)</f>
        <v>15.3746508</v>
      </c>
      <c r="F674" s="4">
        <f>20.108 * CHOOSE(CONTROL!$C$12, $D$11, 100%, $F$11)</f>
        <v>16.166832000000003</v>
      </c>
      <c r="G674" s="8">
        <f>18.6246 * CHOOSE( CONTROL!$C$12, $D$11, 100%, $F$11)</f>
        <v>14.974178400000001</v>
      </c>
      <c r="H674" s="4">
        <f>19.5244 * CHOOSE(CONTROL!$C$12, $D$11, 100%, $F$11)</f>
        <v>15.697617600000001</v>
      </c>
      <c r="I674" s="8">
        <f>18.3838 * CHOOSE(CONTROL!$C$12, $D$11, 100%, $F$11)</f>
        <v>14.780575200000001</v>
      </c>
      <c r="J674" s="4">
        <f>18.315 * CHOOSE(CONTROL!$C$12, $D$11, 100%, $F$11)</f>
        <v>14.725260000000002</v>
      </c>
      <c r="K674" s="4"/>
      <c r="L674" s="9">
        <v>28.921800000000001</v>
      </c>
      <c r="M674" s="9">
        <v>12.063700000000001</v>
      </c>
      <c r="N674" s="9">
        <v>4.9444999999999997</v>
      </c>
      <c r="O674" s="9">
        <v>0.37459999999999999</v>
      </c>
      <c r="P674" s="9">
        <v>1.2192000000000001</v>
      </c>
      <c r="Q674" s="9">
        <v>19.688099999999999</v>
      </c>
      <c r="R674" s="9"/>
      <c r="S674" s="11"/>
    </row>
    <row r="675" spans="1:19" ht="15.75">
      <c r="A675" s="13">
        <v>62427</v>
      </c>
      <c r="B675" s="8">
        <f>20.6196 * CHOOSE(CONTROL!$C$12, $D$11, 100%, $F$11)</f>
        <v>16.5781584</v>
      </c>
      <c r="C675" s="8">
        <f>20.63 * CHOOSE(CONTROL!$C$12, $D$11, 100%, $F$11)</f>
        <v>16.58652</v>
      </c>
      <c r="D675" s="8">
        <f>20.6103 * CHOOSE( CONTROL!$C$12, $D$11, 100%, $F$11)</f>
        <v>16.570681199999999</v>
      </c>
      <c r="E675" s="12">
        <f>20.6164 * CHOOSE( CONTROL!$C$12, $D$11, 100%, $F$11)</f>
        <v>16.5755856</v>
      </c>
      <c r="F675" s="4">
        <f>21.6112 * CHOOSE(CONTROL!$C$12, $D$11, 100%, $F$11)</f>
        <v>17.375404800000002</v>
      </c>
      <c r="G675" s="8">
        <f>20.1064 * CHOOSE( CONTROL!$C$12, $D$11, 100%, $F$11)</f>
        <v>16.165545600000002</v>
      </c>
      <c r="H675" s="4">
        <f>20.9897 * CHOOSE(CONTROL!$C$12, $D$11, 100%, $F$11)</f>
        <v>16.875718800000001</v>
      </c>
      <c r="I675" s="8">
        <f>19.8526 * CHOOSE(CONTROL!$C$12, $D$11, 100%, $F$11)</f>
        <v>15.961490400000001</v>
      </c>
      <c r="J675" s="4">
        <f>19.7529 * CHOOSE(CONTROL!$C$12, $D$11, 100%, $F$11)</f>
        <v>15.881331600000001</v>
      </c>
      <c r="K675" s="4"/>
      <c r="L675" s="9">
        <v>26.515499999999999</v>
      </c>
      <c r="M675" s="9">
        <v>11.6745</v>
      </c>
      <c r="N675" s="9">
        <v>4.7850000000000001</v>
      </c>
      <c r="O675" s="9">
        <v>0.36249999999999999</v>
      </c>
      <c r="P675" s="9">
        <v>1.2522</v>
      </c>
      <c r="Q675" s="9">
        <v>19.053000000000001</v>
      </c>
      <c r="R675" s="9"/>
      <c r="S675" s="11"/>
    </row>
    <row r="676" spans="1:19" ht="15.75">
      <c r="A676" s="13">
        <v>62458</v>
      </c>
      <c r="B676" s="8">
        <f>20.5821 * CHOOSE(CONTROL!$C$12, $D$11, 100%, $F$11)</f>
        <v>16.548008400000001</v>
      </c>
      <c r="C676" s="8">
        <f>20.5925 * CHOOSE(CONTROL!$C$12, $D$11, 100%, $F$11)</f>
        <v>16.556370000000001</v>
      </c>
      <c r="D676" s="8">
        <f>20.5747 * CHOOSE( CONTROL!$C$12, $D$11, 100%, $F$11)</f>
        <v>16.5420588</v>
      </c>
      <c r="E676" s="12">
        <f>20.5801 * CHOOSE( CONTROL!$C$12, $D$11, 100%, $F$11)</f>
        <v>16.546400400000003</v>
      </c>
      <c r="F676" s="4">
        <f>21.5737 * CHOOSE(CONTROL!$C$12, $D$11, 100%, $F$11)</f>
        <v>17.345254799999999</v>
      </c>
      <c r="G676" s="8">
        <f>20.0713 * CHOOSE( CONTROL!$C$12, $D$11, 100%, $F$11)</f>
        <v>16.137325200000003</v>
      </c>
      <c r="H676" s="4">
        <f>20.9532 * CHOOSE(CONTROL!$C$12, $D$11, 100%, $F$11)</f>
        <v>16.846372800000001</v>
      </c>
      <c r="I676" s="8">
        <f>19.8235 * CHOOSE(CONTROL!$C$12, $D$11, 100%, $F$11)</f>
        <v>15.938094</v>
      </c>
      <c r="J676" s="4">
        <f>19.717 * CHOOSE(CONTROL!$C$12, $D$11, 100%, $F$11)</f>
        <v>15.852468</v>
      </c>
      <c r="K676" s="4"/>
      <c r="L676" s="9">
        <v>27.3993</v>
      </c>
      <c r="M676" s="9">
        <v>12.063700000000001</v>
      </c>
      <c r="N676" s="9">
        <v>4.9444999999999997</v>
      </c>
      <c r="O676" s="9">
        <v>0.37459999999999999</v>
      </c>
      <c r="P676" s="9">
        <v>1.2939000000000001</v>
      </c>
      <c r="Q676" s="9">
        <v>19.688099999999999</v>
      </c>
      <c r="R676" s="9"/>
      <c r="S676" s="11"/>
    </row>
    <row r="677" spans="1:19" ht="15.75">
      <c r="A677" s="13">
        <v>62489</v>
      </c>
      <c r="B677" s="8">
        <f>21.3686 * CHOOSE(CONTROL!$C$12, $D$11, 100%, $F$11)</f>
        <v>17.180354400000002</v>
      </c>
      <c r="C677" s="8">
        <f>21.379 * CHOOSE(CONTROL!$C$12, $D$11, 100%, $F$11)</f>
        <v>17.188716000000003</v>
      </c>
      <c r="D677" s="8">
        <f>21.3767 * CHOOSE( CONTROL!$C$12, $D$11, 100%, $F$11)</f>
        <v>17.186866800000001</v>
      </c>
      <c r="E677" s="12">
        <f>21.3764 * CHOOSE( CONTROL!$C$12, $D$11, 100%, $F$11)</f>
        <v>17.186625600000003</v>
      </c>
      <c r="F677" s="4">
        <f>22.3915 * CHOOSE(CONTROL!$C$12, $D$11, 100%, $F$11)</f>
        <v>18.002766000000001</v>
      </c>
      <c r="G677" s="8">
        <f>20.8569 * CHOOSE( CONTROL!$C$12, $D$11, 100%, $F$11)</f>
        <v>16.768947600000001</v>
      </c>
      <c r="H677" s="4">
        <f>21.7503 * CHOOSE(CONTROL!$C$12, $D$11, 100%, $F$11)</f>
        <v>17.4872412</v>
      </c>
      <c r="I677" s="8">
        <f>20.5894 * CHOOSE(CONTROL!$C$12, $D$11, 100%, $F$11)</f>
        <v>16.553877600000003</v>
      </c>
      <c r="J677" s="4">
        <f>20.4706 * CHOOSE(CONTROL!$C$12, $D$11, 100%, $F$11)</f>
        <v>16.458362400000002</v>
      </c>
      <c r="K677" s="4"/>
      <c r="L677" s="9">
        <v>27.3993</v>
      </c>
      <c r="M677" s="9">
        <v>12.063700000000001</v>
      </c>
      <c r="N677" s="9">
        <v>4.9444999999999997</v>
      </c>
      <c r="O677" s="9">
        <v>0.37459999999999999</v>
      </c>
      <c r="P677" s="9">
        <v>1.2939000000000001</v>
      </c>
      <c r="Q677" s="9">
        <v>19.688099999999999</v>
      </c>
      <c r="R677" s="9"/>
      <c r="S677" s="11"/>
    </row>
    <row r="678" spans="1:19" ht="15.75">
      <c r="A678" s="13">
        <v>62517</v>
      </c>
      <c r="B678" s="8">
        <f>19.9874 * CHOOSE(CONTROL!$C$12, $D$11, 100%, $F$11)</f>
        <v>16.069869600000001</v>
      </c>
      <c r="C678" s="8">
        <f>19.9979 * CHOOSE(CONTROL!$C$12, $D$11, 100%, $F$11)</f>
        <v>16.078311600000003</v>
      </c>
      <c r="D678" s="8">
        <f>19.9978 * CHOOSE( CONTROL!$C$12, $D$11, 100%, $F$11)</f>
        <v>16.078231200000001</v>
      </c>
      <c r="E678" s="12">
        <f>19.9967 * CHOOSE( CONTROL!$C$12, $D$11, 100%, $F$11)</f>
        <v>16.077346800000001</v>
      </c>
      <c r="F678" s="4">
        <f>21.0025 * CHOOSE(CONTROL!$C$12, $D$11, 100%, $F$11)</f>
        <v>16.886010000000002</v>
      </c>
      <c r="G678" s="8">
        <f>19.5105 * CHOOSE( CONTROL!$C$12, $D$11, 100%, $F$11)</f>
        <v>15.686442000000001</v>
      </c>
      <c r="H678" s="4">
        <f>20.3964 * CHOOSE(CONTROL!$C$12, $D$11, 100%, $F$11)</f>
        <v>16.3987056</v>
      </c>
      <c r="I678" s="8">
        <f>19.2544 * CHOOSE(CONTROL!$C$12, $D$11, 100%, $F$11)</f>
        <v>15.480537600000002</v>
      </c>
      <c r="J678" s="4">
        <f>19.1472 * CHOOSE(CONTROL!$C$12, $D$11, 100%, $F$11)</f>
        <v>15.394348800000003</v>
      </c>
      <c r="K678" s="4"/>
      <c r="L678" s="9">
        <v>24.747800000000002</v>
      </c>
      <c r="M678" s="9">
        <v>10.8962</v>
      </c>
      <c r="N678" s="9">
        <v>4.4660000000000002</v>
      </c>
      <c r="O678" s="9">
        <v>0.33829999999999999</v>
      </c>
      <c r="P678" s="9">
        <v>1.1687000000000001</v>
      </c>
      <c r="Q678" s="9">
        <v>17.782800000000002</v>
      </c>
      <c r="R678" s="9"/>
      <c r="S678" s="11"/>
    </row>
    <row r="679" spans="1:19" ht="15.75">
      <c r="A679" s="13">
        <v>62548</v>
      </c>
      <c r="B679" s="8">
        <f>19.5621 * CHOOSE(CONTROL!$C$12, $D$11, 100%, $F$11)</f>
        <v>15.727928400000001</v>
      </c>
      <c r="C679" s="8">
        <f>19.5725 * CHOOSE(CONTROL!$C$12, $D$11, 100%, $F$11)</f>
        <v>15.736290000000002</v>
      </c>
      <c r="D679" s="8">
        <f>19.5523 * CHOOSE( CONTROL!$C$12, $D$11, 100%, $F$11)</f>
        <v>15.7200492</v>
      </c>
      <c r="E679" s="12">
        <f>19.5586 * CHOOSE( CONTROL!$C$12, $D$11, 100%, $F$11)</f>
        <v>15.725114399999999</v>
      </c>
      <c r="F679" s="4">
        <f>20.561 * CHOOSE(CONTROL!$C$12, $D$11, 100%, $F$11)</f>
        <v>16.531044000000001</v>
      </c>
      <c r="G679" s="8">
        <f>19.0754 * CHOOSE( CONTROL!$C$12, $D$11, 100%, $F$11)</f>
        <v>15.336621599999999</v>
      </c>
      <c r="H679" s="4">
        <f>19.966 * CHOOSE(CONTROL!$C$12, $D$11, 100%, $F$11)</f>
        <v>16.052664000000004</v>
      </c>
      <c r="I679" s="8">
        <f>18.8071 * CHOOSE(CONTROL!$C$12, $D$11, 100%, $F$11)</f>
        <v>15.120908399999999</v>
      </c>
      <c r="J679" s="4">
        <f>18.7396 * CHOOSE(CONTROL!$C$12, $D$11, 100%, $F$11)</f>
        <v>15.0666384</v>
      </c>
      <c r="K679" s="4"/>
      <c r="L679" s="9">
        <v>27.3993</v>
      </c>
      <c r="M679" s="9">
        <v>12.063700000000001</v>
      </c>
      <c r="N679" s="9">
        <v>4.9444999999999997</v>
      </c>
      <c r="O679" s="9">
        <v>0.37459999999999999</v>
      </c>
      <c r="P679" s="9">
        <v>1.2939000000000001</v>
      </c>
      <c r="Q679" s="9">
        <v>19.688099999999999</v>
      </c>
      <c r="R679" s="9"/>
      <c r="S679" s="11"/>
    </row>
    <row r="680" spans="1:19" ht="15.75">
      <c r="A680" s="13">
        <v>62578</v>
      </c>
      <c r="B680" s="8">
        <f>19.8593 * CHOOSE(CONTROL!$C$12, $D$11, 100%, $F$11)</f>
        <v>15.966877200000003</v>
      </c>
      <c r="C680" s="8">
        <f>19.8697 * CHOOSE(CONTROL!$C$12, $D$11, 100%, $F$11)</f>
        <v>15.975238800000003</v>
      </c>
      <c r="D680" s="8">
        <f>19.8729 * CHOOSE( CONTROL!$C$12, $D$11, 100%, $F$11)</f>
        <v>15.977811600000003</v>
      </c>
      <c r="E680" s="12">
        <f>19.8707 * CHOOSE( CONTROL!$C$12, $D$11, 100%, $F$11)</f>
        <v>15.9760428</v>
      </c>
      <c r="F680" s="4">
        <f>20.8666 * CHOOSE(CONTROL!$C$12, $D$11, 100%, $F$11)</f>
        <v>16.7767464</v>
      </c>
      <c r="G680" s="8">
        <f>19.353 * CHOOSE( CONTROL!$C$12, $D$11, 100%, $F$11)</f>
        <v>15.559812000000003</v>
      </c>
      <c r="H680" s="4">
        <f>20.2639 * CHOOSE(CONTROL!$C$12, $D$11, 100%, $F$11)</f>
        <v>16.2921756</v>
      </c>
      <c r="I680" s="8">
        <f>19.0822 * CHOOSE(CONTROL!$C$12, $D$11, 100%, $F$11)</f>
        <v>15.342088800000001</v>
      </c>
      <c r="J680" s="4">
        <f>19.0244 * CHOOSE(CONTROL!$C$12, $D$11, 100%, $F$11)</f>
        <v>15.295617600000002</v>
      </c>
      <c r="K680" s="4"/>
      <c r="L680" s="9">
        <v>27.988800000000001</v>
      </c>
      <c r="M680" s="9">
        <v>11.6745</v>
      </c>
      <c r="N680" s="9">
        <v>4.7850000000000001</v>
      </c>
      <c r="O680" s="9">
        <v>0.36249999999999999</v>
      </c>
      <c r="P680" s="9">
        <v>1.1798</v>
      </c>
      <c r="Q680" s="9">
        <v>19.053000000000001</v>
      </c>
      <c r="R680" s="9"/>
      <c r="S680" s="11"/>
    </row>
    <row r="681" spans="1:19" ht="15.75">
      <c r="A681" s="13">
        <v>62609</v>
      </c>
      <c r="B681" s="8">
        <f>CHOOSE( CONTROL!$C$29, 20.393, 20.3883) * CHOOSE(CONTROL!$C$12, $D$11, 100%, $F$11)</f>
        <v>16.395972</v>
      </c>
      <c r="C681" s="8">
        <f>CHOOSE( CONTROL!$C$29, 20.4035, 20.3988) * CHOOSE(CONTROL!$C$12, $D$11, 100%, $F$11)</f>
        <v>16.404414000000003</v>
      </c>
      <c r="D681" s="8">
        <f>CHOOSE( CONTROL!$C$29, 20.3814, 20.3767) * CHOOSE( CONTROL!$C$12, $D$11, 100%, $F$11)</f>
        <v>16.386645600000001</v>
      </c>
      <c r="E681" s="12">
        <f>CHOOSE( CONTROL!$C$29, 20.3878, 20.3831) * CHOOSE( CONTROL!$C$12, $D$11, 100%, $F$11)</f>
        <v>16.3917912</v>
      </c>
      <c r="F681" s="4">
        <f>CHOOSE( CONTROL!$C$29, 21.3679, 21.3632) * CHOOSE(CONTROL!$C$12, $D$11, 100%, $F$11)</f>
        <v>17.179791600000001</v>
      </c>
      <c r="G681" s="8">
        <f>CHOOSE( CONTROL!$C$29, 19.8546, 19.85) * CHOOSE( CONTROL!$C$12, $D$11, 100%, $F$11)</f>
        <v>15.963098400000002</v>
      </c>
      <c r="H681" s="4">
        <f>CHOOSE( CONTROL!$C$29, 20.7526, 20.748) * CHOOSE(CONTROL!$C$12, $D$11, 100%, $F$11)</f>
        <v>16.685090400000004</v>
      </c>
      <c r="I681" s="8">
        <f>CHOOSE( CONTROL!$C$29, 19.5723, 19.5678) * CHOOSE(CONTROL!$C$12, $D$11, 100%, $F$11)</f>
        <v>15.736129200000001</v>
      </c>
      <c r="J681" s="4">
        <f>CHOOSE( CONTROL!$C$29, 19.5359, 19.5313) * CHOOSE(CONTROL!$C$12, $D$11, 100%, $F$11)</f>
        <v>15.706863600000002</v>
      </c>
      <c r="K681" s="4"/>
      <c r="L681" s="9">
        <v>29.520499999999998</v>
      </c>
      <c r="M681" s="9">
        <v>12.063700000000001</v>
      </c>
      <c r="N681" s="9">
        <v>4.9444999999999997</v>
      </c>
      <c r="O681" s="9">
        <v>0.37459999999999999</v>
      </c>
      <c r="P681" s="9">
        <v>1.2192000000000001</v>
      </c>
      <c r="Q681" s="9">
        <v>19.688099999999999</v>
      </c>
      <c r="R681" s="9"/>
      <c r="S681" s="11"/>
    </row>
    <row r="682" spans="1:19" ht="15.75">
      <c r="A682" s="13">
        <v>62639</v>
      </c>
      <c r="B682" s="8">
        <f>CHOOSE( CONTROL!$C$29, 20.0653, 20.0606) * CHOOSE(CONTROL!$C$12, $D$11, 100%, $F$11)</f>
        <v>16.1325012</v>
      </c>
      <c r="C682" s="8">
        <f>CHOOSE( CONTROL!$C$29, 20.0758, 20.0711) * CHOOSE(CONTROL!$C$12, $D$11, 100%, $F$11)</f>
        <v>16.140943200000002</v>
      </c>
      <c r="D682" s="8">
        <f>CHOOSE( CONTROL!$C$29, 20.0481, 20.0434) * CHOOSE( CONTROL!$C$12, $D$11, 100%, $F$11)</f>
        <v>16.118672400000001</v>
      </c>
      <c r="E682" s="12">
        <f>CHOOSE( CONTROL!$C$29, 20.0565, 20.0518) * CHOOSE( CONTROL!$C$12, $D$11, 100%, $F$11)</f>
        <v>16.125426000000001</v>
      </c>
      <c r="F682" s="4">
        <f>CHOOSE( CONTROL!$C$29, 21.0298, 21.0251) * CHOOSE(CONTROL!$C$12, $D$11, 100%, $F$11)</f>
        <v>16.907959200000001</v>
      </c>
      <c r="G682" s="8">
        <f>CHOOSE( CONTROL!$C$29, 19.5339, 19.5293) * CHOOSE( CONTROL!$C$12, $D$11, 100%, $F$11)</f>
        <v>15.705255600000001</v>
      </c>
      <c r="H682" s="4">
        <f>CHOOSE( CONTROL!$C$29, 20.423, 20.4184) * CHOOSE(CONTROL!$C$12, $D$11, 100%, $F$11)</f>
        <v>16.420092</v>
      </c>
      <c r="I682" s="8">
        <f>CHOOSE( CONTROL!$C$29, 19.2603, 19.2558) * CHOOSE(CONTROL!$C$12, $D$11, 100%, $F$11)</f>
        <v>15.485281200000001</v>
      </c>
      <c r="J682" s="4">
        <f>CHOOSE( CONTROL!$C$29, 19.2218, 19.2173) * CHOOSE(CONTROL!$C$12, $D$11, 100%, $F$11)</f>
        <v>15.454327200000002</v>
      </c>
      <c r="K682" s="4"/>
      <c r="L682" s="9">
        <v>28.568200000000001</v>
      </c>
      <c r="M682" s="9">
        <v>11.6745</v>
      </c>
      <c r="N682" s="9">
        <v>4.7850000000000001</v>
      </c>
      <c r="O682" s="9">
        <v>0.36249999999999999</v>
      </c>
      <c r="P682" s="9">
        <v>1.1798</v>
      </c>
      <c r="Q682" s="9">
        <v>19.053000000000001</v>
      </c>
      <c r="R682" s="9"/>
      <c r="S682" s="11"/>
    </row>
    <row r="683" spans="1:19" ht="15.75">
      <c r="A683" s="13">
        <v>62670</v>
      </c>
      <c r="B683" s="8">
        <f>CHOOSE( CONTROL!$C$29, 20.9283, 20.9236) * CHOOSE(CONTROL!$C$12, $D$11, 100%, $F$11)</f>
        <v>16.8263532</v>
      </c>
      <c r="C683" s="8">
        <f>CHOOSE( CONTROL!$C$29, 20.9388, 20.9341) * CHOOSE(CONTROL!$C$12, $D$11, 100%, $F$11)</f>
        <v>16.834795200000002</v>
      </c>
      <c r="D683" s="8">
        <f>CHOOSE( CONTROL!$C$29, 20.9303, 20.9256) * CHOOSE( CONTROL!$C$12, $D$11, 100%, $F$11)</f>
        <v>16.827961200000001</v>
      </c>
      <c r="E683" s="12">
        <f>CHOOSE( CONTROL!$C$29, 20.9318, 20.9271) * CHOOSE( CONTROL!$C$12, $D$11, 100%, $F$11)</f>
        <v>16.829167200000001</v>
      </c>
      <c r="F683" s="4">
        <f>CHOOSE( CONTROL!$C$29, 21.9199, 21.9152) * CHOOSE(CONTROL!$C$12, $D$11, 100%, $F$11)</f>
        <v>17.623599599999999</v>
      </c>
      <c r="G683" s="8">
        <f>CHOOSE( CONTROL!$C$29, 20.3878, 20.3832) * CHOOSE( CONTROL!$C$12, $D$11, 100%, $F$11)</f>
        <v>16.3917912</v>
      </c>
      <c r="H683" s="4">
        <f>CHOOSE( CONTROL!$C$29, 21.2907, 21.2861) * CHOOSE(CONTROL!$C$12, $D$11, 100%, $F$11)</f>
        <v>17.117722800000003</v>
      </c>
      <c r="I683" s="8">
        <f>CHOOSE( CONTROL!$C$29, 20.1104, 20.1059) * CHOOSE(CONTROL!$C$12, $D$11, 100%, $F$11)</f>
        <v>16.1687616</v>
      </c>
      <c r="J683" s="4">
        <f>CHOOSE( CONTROL!$C$29, 20.0488, 20.0443) * CHOOSE(CONTROL!$C$12, $D$11, 100%, $F$11)</f>
        <v>16.119235200000002</v>
      </c>
      <c r="K683" s="4"/>
      <c r="L683" s="9">
        <v>29.520499999999998</v>
      </c>
      <c r="M683" s="9">
        <v>12.063700000000001</v>
      </c>
      <c r="N683" s="9">
        <v>4.9444999999999997</v>
      </c>
      <c r="O683" s="9">
        <v>0.37459999999999999</v>
      </c>
      <c r="P683" s="9">
        <v>1.2192000000000001</v>
      </c>
      <c r="Q683" s="9">
        <v>19.688099999999999</v>
      </c>
      <c r="R683" s="9"/>
      <c r="S683" s="11"/>
    </row>
    <row r="684" spans="1:19" ht="15.75">
      <c r="A684" s="13">
        <v>62701</v>
      </c>
      <c r="B684" s="8">
        <f>CHOOSE( CONTROL!$C$29, 19.3136, 19.3089) * CHOOSE(CONTROL!$C$12, $D$11, 100%, $F$11)</f>
        <v>15.528134400000003</v>
      </c>
      <c r="C684" s="8">
        <f>CHOOSE( CONTROL!$C$29, 19.324, 19.3193) * CHOOSE(CONTROL!$C$12, $D$11, 100%, $F$11)</f>
        <v>15.536496000000001</v>
      </c>
      <c r="D684" s="8">
        <f>CHOOSE( CONTROL!$C$29, 19.3189, 19.3142) * CHOOSE( CONTROL!$C$12, $D$11, 100%, $F$11)</f>
        <v>15.532395600000001</v>
      </c>
      <c r="E684" s="12">
        <f>CHOOSE( CONTROL!$C$29, 19.3192, 19.3145) * CHOOSE( CONTROL!$C$12, $D$11, 100%, $F$11)</f>
        <v>15.532636800000001</v>
      </c>
      <c r="F684" s="4">
        <f>CHOOSE( CONTROL!$C$29, 20.3104, 20.3057) * CHOOSE(CONTROL!$C$12, $D$11, 100%, $F$11)</f>
        <v>16.329561600000002</v>
      </c>
      <c r="G684" s="8">
        <f>CHOOSE( CONTROL!$C$29, 18.8159, 18.8113) * CHOOSE( CONTROL!$C$12, $D$11, 100%, $F$11)</f>
        <v>15.1279836</v>
      </c>
      <c r="H684" s="4">
        <f>CHOOSE( CONTROL!$C$29, 19.7217, 19.7171) * CHOOSE(CONTROL!$C$12, $D$11, 100%, $F$11)</f>
        <v>15.856246799999999</v>
      </c>
      <c r="I684" s="8">
        <f>CHOOSE( CONTROL!$C$29, 18.567, 18.5625) * CHOOSE(CONTROL!$C$12, $D$11, 100%, $F$11)</f>
        <v>14.927868000000002</v>
      </c>
      <c r="J684" s="4">
        <f>CHOOSE( CONTROL!$C$29, 18.5015, 18.497) * CHOOSE(CONTROL!$C$12, $D$11, 100%, $F$11)</f>
        <v>14.875206</v>
      </c>
      <c r="K684" s="4"/>
      <c r="L684" s="9">
        <v>29.520499999999998</v>
      </c>
      <c r="M684" s="9">
        <v>12.063700000000001</v>
      </c>
      <c r="N684" s="9">
        <v>4.9444999999999997</v>
      </c>
      <c r="O684" s="9">
        <v>0.37459999999999999</v>
      </c>
      <c r="P684" s="9">
        <v>1.2192000000000001</v>
      </c>
      <c r="Q684" s="9">
        <v>19.688099999999999</v>
      </c>
      <c r="R684" s="9"/>
      <c r="S684" s="11"/>
    </row>
    <row r="685" spans="1:19" ht="15.75">
      <c r="A685" s="13">
        <v>62731</v>
      </c>
      <c r="B685" s="8">
        <f>CHOOSE( CONTROL!$C$29, 18.9092, 18.9045) * CHOOSE(CONTROL!$C$12, $D$11, 100%, $F$11)</f>
        <v>15.202996799999999</v>
      </c>
      <c r="C685" s="8">
        <f>CHOOSE( CONTROL!$C$29, 18.9196, 18.9149) * CHOOSE(CONTROL!$C$12, $D$11, 100%, $F$11)</f>
        <v>15.2113584</v>
      </c>
      <c r="D685" s="8">
        <f>CHOOSE( CONTROL!$C$29, 18.9103, 18.9056) * CHOOSE( CONTROL!$C$12, $D$11, 100%, $F$11)</f>
        <v>15.2038812</v>
      </c>
      <c r="E685" s="12">
        <f>CHOOSE( CONTROL!$C$29, 18.9121, 18.9074) * CHOOSE( CONTROL!$C$12, $D$11, 100%, $F$11)</f>
        <v>15.205328399999999</v>
      </c>
      <c r="F685" s="4">
        <f>CHOOSE( CONTROL!$C$29, 19.8982, 19.8935) * CHOOSE(CONTROL!$C$12, $D$11, 100%, $F$11)</f>
        <v>15.9981528</v>
      </c>
      <c r="G685" s="8">
        <f>CHOOSE( CONTROL!$C$29, 18.4205, 18.4159) * CHOOSE( CONTROL!$C$12, $D$11, 100%, $F$11)</f>
        <v>14.810082000000001</v>
      </c>
      <c r="H685" s="4">
        <f>CHOOSE( CONTROL!$C$29, 19.3199, 19.3154) * CHOOSE(CONTROL!$C$12, $D$11, 100%, $F$11)</f>
        <v>15.533199600000001</v>
      </c>
      <c r="I685" s="8">
        <f>CHOOSE( CONTROL!$C$29, 18.1806, 18.1761) * CHOOSE(CONTROL!$C$12, $D$11, 100%, $F$11)</f>
        <v>14.6172024</v>
      </c>
      <c r="J685" s="4">
        <f>CHOOSE( CONTROL!$C$29, 18.114, 18.1095) * CHOOSE(CONTROL!$C$12, $D$11, 100%, $F$11)</f>
        <v>14.563656000000002</v>
      </c>
      <c r="K685" s="4"/>
      <c r="L685" s="9">
        <v>28.568200000000001</v>
      </c>
      <c r="M685" s="9">
        <v>11.6745</v>
      </c>
      <c r="N685" s="9">
        <v>4.7850000000000001</v>
      </c>
      <c r="O685" s="9">
        <v>0.36249999999999999</v>
      </c>
      <c r="P685" s="9">
        <v>1.1798</v>
      </c>
      <c r="Q685" s="9">
        <v>19.053000000000001</v>
      </c>
      <c r="R685" s="9"/>
      <c r="S685" s="11"/>
    </row>
    <row r="686" spans="1:19" ht="15.75">
      <c r="A686" s="13">
        <v>62762</v>
      </c>
      <c r="B686" s="8">
        <f>19.7441 * CHOOSE(CONTROL!$C$12, $D$11, 100%, $F$11)</f>
        <v>15.8742564</v>
      </c>
      <c r="C686" s="8">
        <f>19.7545 * CHOOSE(CONTROL!$C$12, $D$11, 100%, $F$11)</f>
        <v>15.882618000000001</v>
      </c>
      <c r="D686" s="8">
        <f>19.7461 * CHOOSE( CONTROL!$C$12, $D$11, 100%, $F$11)</f>
        <v>15.875864399999999</v>
      </c>
      <c r="E686" s="12">
        <f>19.7478 * CHOOSE( CONTROL!$C$12, $D$11, 100%, $F$11)</f>
        <v>15.877231200000002</v>
      </c>
      <c r="F686" s="4">
        <f>20.7331 * CHOOSE(CONTROL!$C$12, $D$11, 100%, $F$11)</f>
        <v>16.669412400000002</v>
      </c>
      <c r="G686" s="8">
        <f>19.2339 * CHOOSE( CONTROL!$C$12, $D$11, 100%, $F$11)</f>
        <v>15.4640556</v>
      </c>
      <c r="H686" s="4">
        <f>20.1338 * CHOOSE(CONTROL!$C$12, $D$11, 100%, $F$11)</f>
        <v>16.187575200000001</v>
      </c>
      <c r="I686" s="8">
        <f>18.9831 * CHOOSE(CONTROL!$C$12, $D$11, 100%, $F$11)</f>
        <v>15.262412400000001</v>
      </c>
      <c r="J686" s="4">
        <f>18.914 * CHOOSE(CONTROL!$C$12, $D$11, 100%, $F$11)</f>
        <v>15.206856000000002</v>
      </c>
      <c r="K686" s="4"/>
      <c r="L686" s="9">
        <v>28.921800000000001</v>
      </c>
      <c r="M686" s="9">
        <v>12.063700000000001</v>
      </c>
      <c r="N686" s="9">
        <v>4.9444999999999997</v>
      </c>
      <c r="O686" s="9">
        <v>0.37459999999999999</v>
      </c>
      <c r="P686" s="9">
        <v>1.2192000000000001</v>
      </c>
      <c r="Q686" s="9">
        <v>19.688099999999999</v>
      </c>
      <c r="R686" s="9"/>
      <c r="S686" s="11"/>
    </row>
    <row r="687" spans="1:19" ht="15.75">
      <c r="A687" s="13">
        <v>62792</v>
      </c>
      <c r="B687" s="8">
        <f>21.2938 * CHOOSE(CONTROL!$C$12, $D$11, 100%, $F$11)</f>
        <v>17.120215200000001</v>
      </c>
      <c r="C687" s="8">
        <f>21.3042 * CHOOSE(CONTROL!$C$12, $D$11, 100%, $F$11)</f>
        <v>17.128576800000001</v>
      </c>
      <c r="D687" s="8">
        <f>21.2845 * CHOOSE( CONTROL!$C$12, $D$11, 100%, $F$11)</f>
        <v>17.112738000000004</v>
      </c>
      <c r="E687" s="12">
        <f>21.2906 * CHOOSE( CONTROL!$C$12, $D$11, 100%, $F$11)</f>
        <v>17.117642400000001</v>
      </c>
      <c r="F687" s="4">
        <f>22.2854 * CHOOSE(CONTROL!$C$12, $D$11, 100%, $F$11)</f>
        <v>17.917461599999999</v>
      </c>
      <c r="G687" s="8">
        <f>20.7635 * CHOOSE( CONTROL!$C$12, $D$11, 100%, $F$11)</f>
        <v>16.693854000000002</v>
      </c>
      <c r="H687" s="4">
        <f>21.6469 * CHOOSE(CONTROL!$C$12, $D$11, 100%, $F$11)</f>
        <v>17.4041076</v>
      </c>
      <c r="I687" s="8">
        <f>20.4989 * CHOOSE(CONTROL!$C$12, $D$11, 100%, $F$11)</f>
        <v>16.481115599999999</v>
      </c>
      <c r="J687" s="4">
        <f>20.3989 * CHOOSE(CONTROL!$C$12, $D$11, 100%, $F$11)</f>
        <v>16.400715600000002</v>
      </c>
      <c r="K687" s="4"/>
      <c r="L687" s="9">
        <v>26.515499999999999</v>
      </c>
      <c r="M687" s="9">
        <v>11.6745</v>
      </c>
      <c r="N687" s="9">
        <v>4.7850000000000001</v>
      </c>
      <c r="O687" s="9">
        <v>0.36249999999999999</v>
      </c>
      <c r="P687" s="9">
        <v>1.2522</v>
      </c>
      <c r="Q687" s="9">
        <v>19.053000000000001</v>
      </c>
      <c r="R687" s="9"/>
      <c r="S687" s="11"/>
    </row>
    <row r="688" spans="1:19" ht="15.75">
      <c r="A688" s="13">
        <v>62823</v>
      </c>
      <c r="B688" s="8">
        <f>21.2551 * CHOOSE(CONTROL!$C$12, $D$11, 100%, $F$11)</f>
        <v>17.0891004</v>
      </c>
      <c r="C688" s="8">
        <f>21.2655 * CHOOSE(CONTROL!$C$12, $D$11, 100%, $F$11)</f>
        <v>17.097462</v>
      </c>
      <c r="D688" s="8">
        <f>21.2477 * CHOOSE( CONTROL!$C$12, $D$11, 100%, $F$11)</f>
        <v>17.083150799999999</v>
      </c>
      <c r="E688" s="12">
        <f>21.2531 * CHOOSE( CONTROL!$C$12, $D$11, 100%, $F$11)</f>
        <v>17.087492400000002</v>
      </c>
      <c r="F688" s="4">
        <f>22.2467 * CHOOSE(CONTROL!$C$12, $D$11, 100%, $F$11)</f>
        <v>17.886346800000002</v>
      </c>
      <c r="G688" s="8">
        <f>20.7272 * CHOOSE( CONTROL!$C$12, $D$11, 100%, $F$11)</f>
        <v>16.664668800000001</v>
      </c>
      <c r="H688" s="4">
        <f>21.6092 * CHOOSE(CONTROL!$C$12, $D$11, 100%, $F$11)</f>
        <v>17.373796800000001</v>
      </c>
      <c r="I688" s="8">
        <f>20.4687 * CHOOSE(CONTROL!$C$12, $D$11, 100%, $F$11)</f>
        <v>16.456834799999999</v>
      </c>
      <c r="J688" s="4">
        <f>20.3618 * CHOOSE(CONTROL!$C$12, $D$11, 100%, $F$11)</f>
        <v>16.370887199999999</v>
      </c>
      <c r="K688" s="4"/>
      <c r="L688" s="9">
        <v>27.3993</v>
      </c>
      <c r="M688" s="9">
        <v>12.063700000000001</v>
      </c>
      <c r="N688" s="9">
        <v>4.9444999999999997</v>
      </c>
      <c r="O688" s="9">
        <v>0.37459999999999999</v>
      </c>
      <c r="P688" s="9">
        <v>1.2939000000000001</v>
      </c>
      <c r="Q688" s="9">
        <v>19.688099999999999</v>
      </c>
      <c r="R688" s="9"/>
      <c r="S688" s="11"/>
    </row>
    <row r="689" spans="1:19" ht="15.75">
      <c r="A689" s="13">
        <v>62854</v>
      </c>
      <c r="B689" s="8">
        <f>22.0672 * CHOOSE(CONTROL!$C$12, $D$11, 100%, $F$11)</f>
        <v>17.7420288</v>
      </c>
      <c r="C689" s="8">
        <f>22.0777 * CHOOSE(CONTROL!$C$12, $D$11, 100%, $F$11)</f>
        <v>17.750470800000002</v>
      </c>
      <c r="D689" s="8">
        <f>22.0753 * CHOOSE( CONTROL!$C$12, $D$11, 100%, $F$11)</f>
        <v>17.748541199999998</v>
      </c>
      <c r="E689" s="12">
        <f>22.0751 * CHOOSE( CONTROL!$C$12, $D$11, 100%, $F$11)</f>
        <v>17.748380400000002</v>
      </c>
      <c r="F689" s="4">
        <f>23.0901 * CHOOSE(CONTROL!$C$12, $D$11, 100%, $F$11)</f>
        <v>18.564440400000002</v>
      </c>
      <c r="G689" s="8">
        <f>21.538 * CHOOSE( CONTROL!$C$12, $D$11, 100%, $F$11)</f>
        <v>17.316552000000001</v>
      </c>
      <c r="H689" s="4">
        <f>22.4314 * CHOOSE(CONTROL!$C$12, $D$11, 100%, $F$11)</f>
        <v>18.034845600000001</v>
      </c>
      <c r="I689" s="8">
        <f>21.2592 * CHOOSE(CONTROL!$C$12, $D$11, 100%, $F$11)</f>
        <v>17.0923968</v>
      </c>
      <c r="J689" s="4">
        <f>21.1401 * CHOOSE(CONTROL!$C$12, $D$11, 100%, $F$11)</f>
        <v>16.9966404</v>
      </c>
      <c r="K689" s="4"/>
      <c r="L689" s="9">
        <v>27.3993</v>
      </c>
      <c r="M689" s="9">
        <v>12.063700000000001</v>
      </c>
      <c r="N689" s="9">
        <v>4.9444999999999997</v>
      </c>
      <c r="O689" s="9">
        <v>0.37459999999999999</v>
      </c>
      <c r="P689" s="9">
        <v>1.2939000000000001</v>
      </c>
      <c r="Q689" s="9">
        <v>19.688099999999999</v>
      </c>
      <c r="R689" s="9"/>
      <c r="S689" s="11"/>
    </row>
    <row r="690" spans="1:19" ht="15.75">
      <c r="A690" s="13">
        <v>62883</v>
      </c>
      <c r="B690" s="8">
        <f>20.6409 * CHOOSE(CONTROL!$C$12, $D$11, 100%, $F$11)</f>
        <v>16.595283599999998</v>
      </c>
      <c r="C690" s="8">
        <f>20.6514 * CHOOSE(CONTROL!$C$12, $D$11, 100%, $F$11)</f>
        <v>16.603725600000001</v>
      </c>
      <c r="D690" s="8">
        <f>20.6513 * CHOOSE( CONTROL!$C$12, $D$11, 100%, $F$11)</f>
        <v>16.603645199999999</v>
      </c>
      <c r="E690" s="12">
        <f>20.6502 * CHOOSE( CONTROL!$C$12, $D$11, 100%, $F$11)</f>
        <v>16.602760800000002</v>
      </c>
      <c r="F690" s="4">
        <f>21.656 * CHOOSE(CONTROL!$C$12, $D$11, 100%, $F$11)</f>
        <v>17.411424</v>
      </c>
      <c r="G690" s="8">
        <f>20.1475 * CHOOSE( CONTROL!$C$12, $D$11, 100%, $F$11)</f>
        <v>16.198590000000003</v>
      </c>
      <c r="H690" s="4">
        <f>21.0334 * CHOOSE(CONTROL!$C$12, $D$11, 100%, $F$11)</f>
        <v>16.910853600000003</v>
      </c>
      <c r="I690" s="8">
        <f>19.8809 * CHOOSE(CONTROL!$C$12, $D$11, 100%, $F$11)</f>
        <v>15.984243600000001</v>
      </c>
      <c r="J690" s="4">
        <f>19.7734 * CHOOSE(CONTROL!$C$12, $D$11, 100%, $F$11)</f>
        <v>15.897813599999999</v>
      </c>
      <c r="K690" s="4"/>
      <c r="L690" s="9">
        <v>25.631599999999999</v>
      </c>
      <c r="M690" s="9">
        <v>11.285299999999999</v>
      </c>
      <c r="N690" s="9">
        <v>4.6254999999999997</v>
      </c>
      <c r="O690" s="9">
        <v>0.35039999999999999</v>
      </c>
      <c r="P690" s="9">
        <v>1.2104999999999999</v>
      </c>
      <c r="Q690" s="9">
        <v>18.417899999999999</v>
      </c>
      <c r="R690" s="9"/>
      <c r="S690" s="11"/>
    </row>
    <row r="691" spans="1:19" ht="15.75">
      <c r="A691" s="13">
        <v>62914</v>
      </c>
      <c r="B691" s="8">
        <f>20.2016 * CHOOSE(CONTROL!$C$12, $D$11, 100%, $F$11)</f>
        <v>16.242086400000002</v>
      </c>
      <c r="C691" s="8">
        <f>20.2121 * CHOOSE(CONTROL!$C$12, $D$11, 100%, $F$11)</f>
        <v>16.2505284</v>
      </c>
      <c r="D691" s="8">
        <f>20.1919 * CHOOSE( CONTROL!$C$12, $D$11, 100%, $F$11)</f>
        <v>16.234287600000002</v>
      </c>
      <c r="E691" s="12">
        <f>20.1982 * CHOOSE( CONTROL!$C$12, $D$11, 100%, $F$11)</f>
        <v>16.239352800000002</v>
      </c>
      <c r="F691" s="4">
        <f>21.2006 * CHOOSE(CONTROL!$C$12, $D$11, 100%, $F$11)</f>
        <v>17.045282400000001</v>
      </c>
      <c r="G691" s="8">
        <f>19.6988 * CHOOSE( CONTROL!$C$12, $D$11, 100%, $F$11)</f>
        <v>15.837835199999999</v>
      </c>
      <c r="H691" s="4">
        <f>20.5894 * CHOOSE(CONTROL!$C$12, $D$11, 100%, $F$11)</f>
        <v>16.553877600000003</v>
      </c>
      <c r="I691" s="8">
        <f>19.4203 * CHOOSE(CONTROL!$C$12, $D$11, 100%, $F$11)</f>
        <v>15.613921200000002</v>
      </c>
      <c r="J691" s="4">
        <f>19.3525 * CHOOSE(CONTROL!$C$12, $D$11, 100%, $F$11)</f>
        <v>15.55941</v>
      </c>
      <c r="K691" s="4"/>
      <c r="L691" s="9">
        <v>27.3993</v>
      </c>
      <c r="M691" s="9">
        <v>12.063700000000001</v>
      </c>
      <c r="N691" s="9">
        <v>4.9444999999999997</v>
      </c>
      <c r="O691" s="9">
        <v>0.37459999999999999</v>
      </c>
      <c r="P691" s="9">
        <v>1.2939000000000001</v>
      </c>
      <c r="Q691" s="9">
        <v>19.688099999999999</v>
      </c>
      <c r="R691" s="9"/>
      <c r="S691" s="11"/>
    </row>
    <row r="692" spans="1:19" ht="15.75">
      <c r="A692" s="13">
        <v>62944</v>
      </c>
      <c r="B692" s="8">
        <f>20.5086 * CHOOSE(CONTROL!$C$12, $D$11, 100%, $F$11)</f>
        <v>16.488914400000002</v>
      </c>
      <c r="C692" s="8">
        <f>20.5191 * CHOOSE(CONTROL!$C$12, $D$11, 100%, $F$11)</f>
        <v>16.497356400000001</v>
      </c>
      <c r="D692" s="8">
        <f>20.5223 * CHOOSE( CONTROL!$C$12, $D$11, 100%, $F$11)</f>
        <v>16.4999292</v>
      </c>
      <c r="E692" s="12">
        <f>20.52 * CHOOSE( CONTROL!$C$12, $D$11, 100%, $F$11)</f>
        <v>16.498080000000002</v>
      </c>
      <c r="F692" s="4">
        <f>21.5159 * CHOOSE(CONTROL!$C$12, $D$11, 100%, $F$11)</f>
        <v>17.2987836</v>
      </c>
      <c r="G692" s="8">
        <f>19.9859 * CHOOSE( CONTROL!$C$12, $D$11, 100%, $F$11)</f>
        <v>16.068663600000001</v>
      </c>
      <c r="H692" s="4">
        <f>20.8968 * CHOOSE(CONTROL!$C$12, $D$11, 100%, $F$11)</f>
        <v>16.8010272</v>
      </c>
      <c r="I692" s="8">
        <f>19.7047 * CHOOSE(CONTROL!$C$12, $D$11, 100%, $F$11)</f>
        <v>15.8425788</v>
      </c>
      <c r="J692" s="4">
        <f>19.6466 * CHOOSE(CONTROL!$C$12, $D$11, 100%, $F$11)</f>
        <v>15.795866400000001</v>
      </c>
      <c r="K692" s="4"/>
      <c r="L692" s="9">
        <v>27.988800000000001</v>
      </c>
      <c r="M692" s="9">
        <v>11.6745</v>
      </c>
      <c r="N692" s="9">
        <v>4.7850000000000001</v>
      </c>
      <c r="O692" s="9">
        <v>0.36249999999999999</v>
      </c>
      <c r="P692" s="9">
        <v>1.1798</v>
      </c>
      <c r="Q692" s="9">
        <v>19.053000000000001</v>
      </c>
      <c r="R692" s="9"/>
      <c r="S692" s="11"/>
    </row>
    <row r="693" spans="1:19" ht="15.75">
      <c r="A693" s="13">
        <v>62975</v>
      </c>
      <c r="B693" s="8">
        <f>CHOOSE( CONTROL!$C$29, 21.0597, 21.0549) * CHOOSE(CONTROL!$C$12, $D$11, 100%, $F$11)</f>
        <v>16.931998799999999</v>
      </c>
      <c r="C693" s="8">
        <f>CHOOSE( CONTROL!$C$29, 21.0701, 21.0654) * CHOOSE(CONTROL!$C$12, $D$11, 100%, $F$11)</f>
        <v>16.940360399999999</v>
      </c>
      <c r="D693" s="8">
        <f>CHOOSE( CONTROL!$C$29, 21.048, 21.0433) * CHOOSE( CONTROL!$C$12, $D$11, 100%, $F$11)</f>
        <v>16.922591999999998</v>
      </c>
      <c r="E693" s="12">
        <f>CHOOSE( CONTROL!$C$29, 21.0544, 21.0497) * CHOOSE( CONTROL!$C$12, $D$11, 100%, $F$11)</f>
        <v>16.9277376</v>
      </c>
      <c r="F693" s="4">
        <f>CHOOSE( CONTROL!$C$29, 22.0346, 22.0298) * CHOOSE(CONTROL!$C$12, $D$11, 100%, $F$11)</f>
        <v>17.715818400000003</v>
      </c>
      <c r="G693" s="8">
        <f>CHOOSE( CONTROL!$C$29, 20.5044, 20.4998) * CHOOSE( CONTROL!$C$12, $D$11, 100%, $F$11)</f>
        <v>16.485537600000001</v>
      </c>
      <c r="H693" s="4">
        <f>CHOOSE( CONTROL!$C$29, 21.4024, 21.3978) * CHOOSE(CONTROL!$C$12, $D$11, 100%, $F$11)</f>
        <v>17.207529600000001</v>
      </c>
      <c r="I693" s="8">
        <f>CHOOSE( CONTROL!$C$29, 20.2114, 20.2069) * CHOOSE(CONTROL!$C$12, $D$11, 100%, $F$11)</f>
        <v>16.249965600000003</v>
      </c>
      <c r="J693" s="4">
        <f>CHOOSE( CONTROL!$C$29, 20.1746, 20.1701) * CHOOSE(CONTROL!$C$12, $D$11, 100%, $F$11)</f>
        <v>16.220378400000001</v>
      </c>
      <c r="K693" s="4"/>
      <c r="L693" s="9">
        <v>29.520499999999998</v>
      </c>
      <c r="M693" s="9">
        <v>12.063700000000001</v>
      </c>
      <c r="N693" s="9">
        <v>4.9444999999999997</v>
      </c>
      <c r="O693" s="9">
        <v>0.37459999999999999</v>
      </c>
      <c r="P693" s="9">
        <v>1.2192000000000001</v>
      </c>
      <c r="Q693" s="9">
        <v>19.688099999999999</v>
      </c>
      <c r="R693" s="9"/>
      <c r="S693" s="11"/>
    </row>
    <row r="694" spans="1:19" ht="15.75">
      <c r="A694" s="13">
        <v>63005</v>
      </c>
      <c r="B694" s="8">
        <f>CHOOSE( CONTROL!$C$29, 20.7212, 20.7165) * CHOOSE(CONTROL!$C$12, $D$11, 100%, $F$11)</f>
        <v>16.659844800000002</v>
      </c>
      <c r="C694" s="8">
        <f>CHOOSE( CONTROL!$C$29, 20.7317, 20.7269) * CHOOSE(CONTROL!$C$12, $D$11, 100%, $F$11)</f>
        <v>16.668286800000001</v>
      </c>
      <c r="D694" s="8">
        <f>CHOOSE( CONTROL!$C$29, 20.704, 20.6993) * CHOOSE( CONTROL!$C$12, $D$11, 100%, $F$11)</f>
        <v>16.646016000000003</v>
      </c>
      <c r="E694" s="12">
        <f>CHOOSE( CONTROL!$C$29, 20.7124, 20.7077) * CHOOSE( CONTROL!$C$12, $D$11, 100%, $F$11)</f>
        <v>16.652769599999999</v>
      </c>
      <c r="F694" s="4">
        <f>CHOOSE( CONTROL!$C$29, 21.6857, 21.681) * CHOOSE(CONTROL!$C$12, $D$11, 100%, $F$11)</f>
        <v>17.435302800000002</v>
      </c>
      <c r="G694" s="8">
        <f>CHOOSE( CONTROL!$C$29, 20.1732, 20.1686) * CHOOSE( CONTROL!$C$12, $D$11, 100%, $F$11)</f>
        <v>16.219252800000003</v>
      </c>
      <c r="H694" s="4">
        <f>CHOOSE( CONTROL!$C$29, 21.0623, 21.0577) * CHOOSE(CONTROL!$C$12, $D$11, 100%, $F$11)</f>
        <v>16.934089200000003</v>
      </c>
      <c r="I694" s="8">
        <f>CHOOSE( CONTROL!$C$29, 19.8891, 19.8846) * CHOOSE(CONTROL!$C$12, $D$11, 100%, $F$11)</f>
        <v>15.990836400000001</v>
      </c>
      <c r="J694" s="4">
        <f>CHOOSE( CONTROL!$C$29, 19.8503, 19.8458) * CHOOSE(CONTROL!$C$12, $D$11, 100%, $F$11)</f>
        <v>15.959641200000002</v>
      </c>
      <c r="K694" s="4"/>
      <c r="L694" s="9">
        <v>28.568200000000001</v>
      </c>
      <c r="M694" s="9">
        <v>11.6745</v>
      </c>
      <c r="N694" s="9">
        <v>4.7850000000000001</v>
      </c>
      <c r="O694" s="9">
        <v>0.36249999999999999</v>
      </c>
      <c r="P694" s="9">
        <v>1.1798</v>
      </c>
      <c r="Q694" s="9">
        <v>19.053000000000001</v>
      </c>
      <c r="R694" s="9"/>
      <c r="S694" s="11"/>
    </row>
    <row r="695" spans="1:19" ht="15.75">
      <c r="A695" s="13">
        <v>63036</v>
      </c>
      <c r="B695" s="8">
        <f>CHOOSE( CONTROL!$C$29, 21.6124, 21.6077) * CHOOSE(CONTROL!$C$12, $D$11, 100%, $F$11)</f>
        <v>17.3763696</v>
      </c>
      <c r="C695" s="8">
        <f>CHOOSE( CONTROL!$C$29, 21.6229, 21.6182) * CHOOSE(CONTROL!$C$12, $D$11, 100%, $F$11)</f>
        <v>17.384811600000003</v>
      </c>
      <c r="D695" s="8">
        <f>CHOOSE( CONTROL!$C$29, 21.6144, 21.6097) * CHOOSE( CONTROL!$C$12, $D$11, 100%, $F$11)</f>
        <v>17.377977600000001</v>
      </c>
      <c r="E695" s="12">
        <f>CHOOSE( CONTROL!$C$29, 21.6159, 21.6112) * CHOOSE( CONTROL!$C$12, $D$11, 100%, $F$11)</f>
        <v>17.379183600000001</v>
      </c>
      <c r="F695" s="4">
        <f>CHOOSE( CONTROL!$C$29, 22.604, 22.5993) * CHOOSE(CONTROL!$C$12, $D$11, 100%, $F$11)</f>
        <v>18.173615999999999</v>
      </c>
      <c r="G695" s="8">
        <f>CHOOSE( CONTROL!$C$29, 21.0547, 21.0501) * CHOOSE( CONTROL!$C$12, $D$11, 100%, $F$11)</f>
        <v>16.927978800000002</v>
      </c>
      <c r="H695" s="4">
        <f>CHOOSE( CONTROL!$C$29, 21.9575, 21.9529) * CHOOSE(CONTROL!$C$12, $D$11, 100%, $F$11)</f>
        <v>17.653829999999999</v>
      </c>
      <c r="I695" s="8">
        <f>CHOOSE( CONTROL!$C$29, 20.7662, 20.7617) * CHOOSE(CONTROL!$C$12, $D$11, 100%, $F$11)</f>
        <v>16.696024800000004</v>
      </c>
      <c r="J695" s="4">
        <f>CHOOSE( CONTROL!$C$29, 20.7043, 20.6998) * CHOOSE(CONTROL!$C$12, $D$11, 100%, $F$11)</f>
        <v>16.646257200000001</v>
      </c>
      <c r="K695" s="4"/>
      <c r="L695" s="9">
        <v>29.520499999999998</v>
      </c>
      <c r="M695" s="9">
        <v>12.063700000000001</v>
      </c>
      <c r="N695" s="9">
        <v>4.9444999999999997</v>
      </c>
      <c r="O695" s="9">
        <v>0.37459999999999999</v>
      </c>
      <c r="P695" s="9">
        <v>1.2192000000000001</v>
      </c>
      <c r="Q695" s="9">
        <v>19.688099999999999</v>
      </c>
      <c r="R695" s="9"/>
      <c r="S695" s="11"/>
    </row>
    <row r="696" spans="1:19" ht="15.75">
      <c r="A696" s="13">
        <v>63067</v>
      </c>
      <c r="B696" s="8">
        <f>CHOOSE( CONTROL!$C$29, 19.9449, 19.9402) * CHOOSE(CONTROL!$C$12, $D$11, 100%, $F$11)</f>
        <v>16.035699600000001</v>
      </c>
      <c r="C696" s="8">
        <f>CHOOSE( CONTROL!$C$29, 19.9553, 19.9506) * CHOOSE(CONTROL!$C$12, $D$11, 100%, $F$11)</f>
        <v>16.044061200000002</v>
      </c>
      <c r="D696" s="8">
        <f>CHOOSE( CONTROL!$C$29, 19.9502, 19.9455) * CHOOSE( CONTROL!$C$12, $D$11, 100%, $F$11)</f>
        <v>16.039960799999999</v>
      </c>
      <c r="E696" s="12">
        <f>CHOOSE( CONTROL!$C$29, 19.9505, 19.9458) * CHOOSE( CONTROL!$C$12, $D$11, 100%, $F$11)</f>
        <v>16.040202000000001</v>
      </c>
      <c r="F696" s="4">
        <f>CHOOSE( CONTROL!$C$29, 20.9417, 20.937) * CHOOSE(CONTROL!$C$12, $D$11, 100%, $F$11)</f>
        <v>16.8371268</v>
      </c>
      <c r="G696" s="8">
        <f>CHOOSE( CONTROL!$C$29, 19.4313, 19.4267) * CHOOSE( CONTROL!$C$12, $D$11, 100%, $F$11)</f>
        <v>15.622765200000002</v>
      </c>
      <c r="H696" s="4">
        <f>CHOOSE( CONTROL!$C$29, 20.3371, 20.3325) * CHOOSE(CONTROL!$C$12, $D$11, 100%, $F$11)</f>
        <v>16.351028400000001</v>
      </c>
      <c r="I696" s="8">
        <f>CHOOSE( CONTROL!$C$29, 19.1722, 19.1677) * CHOOSE(CONTROL!$C$12, $D$11, 100%, $F$11)</f>
        <v>15.414448800000001</v>
      </c>
      <c r="J696" s="4">
        <f>CHOOSE( CONTROL!$C$29, 19.1064, 19.1019) * CHOOSE(CONTROL!$C$12, $D$11, 100%, $F$11)</f>
        <v>15.361545600000001</v>
      </c>
      <c r="K696" s="4"/>
      <c r="L696" s="9">
        <v>29.520499999999998</v>
      </c>
      <c r="M696" s="9">
        <v>12.063700000000001</v>
      </c>
      <c r="N696" s="9">
        <v>4.9444999999999997</v>
      </c>
      <c r="O696" s="9">
        <v>0.37459999999999999</v>
      </c>
      <c r="P696" s="9">
        <v>1.2192000000000001</v>
      </c>
      <c r="Q696" s="9">
        <v>19.688099999999999</v>
      </c>
      <c r="R696" s="9"/>
      <c r="S696" s="11"/>
    </row>
    <row r="697" spans="1:19" ht="15.75">
      <c r="A697" s="13">
        <v>63097</v>
      </c>
      <c r="B697" s="8">
        <f>CHOOSE( CONTROL!$C$29, 19.5273, 19.5226) * CHOOSE(CONTROL!$C$12, $D$11, 100%, $F$11)</f>
        <v>15.699949200000001</v>
      </c>
      <c r="C697" s="8">
        <f>CHOOSE( CONTROL!$C$29, 19.5377, 19.533) * CHOOSE(CONTROL!$C$12, $D$11, 100%, $F$11)</f>
        <v>15.708310800000001</v>
      </c>
      <c r="D697" s="8">
        <f>CHOOSE( CONTROL!$C$29, 19.5284, 19.5237) * CHOOSE( CONTROL!$C$12, $D$11, 100%, $F$11)</f>
        <v>15.700833600000003</v>
      </c>
      <c r="E697" s="12">
        <f>CHOOSE( CONTROL!$C$29, 19.5302, 19.5255) * CHOOSE( CONTROL!$C$12, $D$11, 100%, $F$11)</f>
        <v>15.702280800000002</v>
      </c>
      <c r="F697" s="4">
        <f>CHOOSE( CONTROL!$C$29, 20.5163, 20.5116) * CHOOSE(CONTROL!$C$12, $D$11, 100%, $F$11)</f>
        <v>16.495105200000001</v>
      </c>
      <c r="G697" s="8">
        <f>CHOOSE( CONTROL!$C$29, 19.0229, 19.0184) * CHOOSE( CONTROL!$C$12, $D$11, 100%, $F$11)</f>
        <v>15.2944116</v>
      </c>
      <c r="H697" s="4">
        <f>CHOOSE( CONTROL!$C$29, 19.9224, 19.9178) * CHOOSE(CONTROL!$C$12, $D$11, 100%, $F$11)</f>
        <v>16.0176096</v>
      </c>
      <c r="I697" s="8">
        <f>CHOOSE( CONTROL!$C$29, 18.7732, 18.7687) * CHOOSE(CONTROL!$C$12, $D$11, 100%, $F$11)</f>
        <v>15.093652800000001</v>
      </c>
      <c r="J697" s="4">
        <f>CHOOSE( CONTROL!$C$29, 18.7063, 18.7018) * CHOOSE(CONTROL!$C$12, $D$11, 100%, $F$11)</f>
        <v>15.039865199999999</v>
      </c>
      <c r="K697" s="4"/>
      <c r="L697" s="9">
        <v>28.568200000000001</v>
      </c>
      <c r="M697" s="9">
        <v>11.6745</v>
      </c>
      <c r="N697" s="9">
        <v>4.7850000000000001</v>
      </c>
      <c r="O697" s="9">
        <v>0.36249999999999999</v>
      </c>
      <c r="P697" s="9">
        <v>1.1798</v>
      </c>
      <c r="Q697" s="9">
        <v>19.053000000000001</v>
      </c>
      <c r="R697" s="9"/>
      <c r="S697" s="11"/>
    </row>
    <row r="698" spans="1:19" ht="15.75">
      <c r="A698" s="13">
        <v>63128</v>
      </c>
      <c r="B698" s="8">
        <f>20.3896 * CHOOSE(CONTROL!$C$12, $D$11, 100%, $F$11)</f>
        <v>16.393238400000001</v>
      </c>
      <c r="C698" s="8">
        <f>20.4001 * CHOOSE(CONTROL!$C$12, $D$11, 100%, $F$11)</f>
        <v>16.4016804</v>
      </c>
      <c r="D698" s="8">
        <f>20.3916 * CHOOSE( CONTROL!$C$12, $D$11, 100%, $F$11)</f>
        <v>16.394846400000002</v>
      </c>
      <c r="E698" s="12">
        <f>20.3933 * CHOOSE( CONTROL!$C$12, $D$11, 100%, $F$11)</f>
        <v>16.396213200000002</v>
      </c>
      <c r="F698" s="4">
        <f>21.3786 * CHOOSE(CONTROL!$C$12, $D$11, 100%, $F$11)</f>
        <v>17.1883944</v>
      </c>
      <c r="G698" s="8">
        <f>19.8631 * CHOOSE( CONTROL!$C$12, $D$11, 100%, $F$11)</f>
        <v>15.969932400000001</v>
      </c>
      <c r="H698" s="4">
        <f>20.763 * CHOOSE(CONTROL!$C$12, $D$11, 100%, $F$11)</f>
        <v>16.693452000000001</v>
      </c>
      <c r="I698" s="8">
        <f>19.6019 * CHOOSE(CONTROL!$C$12, $D$11, 100%, $F$11)</f>
        <v>15.759927600000001</v>
      </c>
      <c r="J698" s="4">
        <f>19.5326 * CHOOSE(CONTROL!$C$12, $D$11, 100%, $F$11)</f>
        <v>15.704210399999999</v>
      </c>
      <c r="K698" s="4"/>
      <c r="L698" s="9">
        <v>28.921800000000001</v>
      </c>
      <c r="M698" s="9">
        <v>12.063700000000001</v>
      </c>
      <c r="N698" s="9">
        <v>4.9444999999999997</v>
      </c>
      <c r="O698" s="9">
        <v>0.37459999999999999</v>
      </c>
      <c r="P698" s="9">
        <v>1.2192000000000001</v>
      </c>
      <c r="Q698" s="9">
        <v>19.688099999999999</v>
      </c>
      <c r="R698" s="9"/>
      <c r="S698" s="11"/>
    </row>
    <row r="699" spans="1:19" ht="15.75">
      <c r="A699" s="13">
        <v>63158</v>
      </c>
      <c r="B699" s="8">
        <f>21.99 * CHOOSE(CONTROL!$C$12, $D$11, 100%, $F$11)</f>
        <v>17.679960000000001</v>
      </c>
      <c r="C699" s="8">
        <f>22.0004 * CHOOSE(CONTROL!$C$12, $D$11, 100%, $F$11)</f>
        <v>17.688321600000002</v>
      </c>
      <c r="D699" s="8">
        <f>21.9807 * CHOOSE( CONTROL!$C$12, $D$11, 100%, $F$11)</f>
        <v>17.672482800000001</v>
      </c>
      <c r="E699" s="12">
        <f>21.9868 * CHOOSE( CONTROL!$C$12, $D$11, 100%, $F$11)</f>
        <v>17.677387200000002</v>
      </c>
      <c r="F699" s="4">
        <f>22.9816 * CHOOSE(CONTROL!$C$12, $D$11, 100%, $F$11)</f>
        <v>18.4772064</v>
      </c>
      <c r="G699" s="8">
        <f>21.4422 * CHOOSE( CONTROL!$C$12, $D$11, 100%, $F$11)</f>
        <v>17.239528800000002</v>
      </c>
      <c r="H699" s="4">
        <f>22.3256 * CHOOSE(CONTROL!$C$12, $D$11, 100%, $F$11)</f>
        <v>17.949782400000004</v>
      </c>
      <c r="I699" s="8">
        <f>21.1664 * CHOOSE(CONTROL!$C$12, $D$11, 100%, $F$11)</f>
        <v>17.0177856</v>
      </c>
      <c r="J699" s="4">
        <f>21.0661 * CHOOSE(CONTROL!$C$12, $D$11, 100%, $F$11)</f>
        <v>16.937144400000001</v>
      </c>
      <c r="K699" s="4"/>
      <c r="L699" s="9">
        <v>26.515499999999999</v>
      </c>
      <c r="M699" s="9">
        <v>11.6745</v>
      </c>
      <c r="N699" s="9">
        <v>4.7850000000000001</v>
      </c>
      <c r="O699" s="9">
        <v>0.36249999999999999</v>
      </c>
      <c r="P699" s="9">
        <v>1.2522</v>
      </c>
      <c r="Q699" s="9">
        <v>19.053000000000001</v>
      </c>
      <c r="R699" s="9"/>
      <c r="S699" s="11"/>
    </row>
    <row r="700" spans="1:19" ht="15.75">
      <c r="A700" s="13">
        <v>63189</v>
      </c>
      <c r="B700" s="8">
        <f>21.95 * CHOOSE(CONTROL!$C$12, $D$11, 100%, $F$11)</f>
        <v>17.6478</v>
      </c>
      <c r="C700" s="8">
        <f>21.9605 * CHOOSE(CONTROL!$C$12, $D$11, 100%, $F$11)</f>
        <v>17.656242000000002</v>
      </c>
      <c r="D700" s="8">
        <f>21.9426 * CHOOSE( CONTROL!$C$12, $D$11, 100%, $F$11)</f>
        <v>17.641850399999999</v>
      </c>
      <c r="E700" s="12">
        <f>21.948 * CHOOSE( CONTROL!$C$12, $D$11, 100%, $F$11)</f>
        <v>17.646192000000003</v>
      </c>
      <c r="F700" s="4">
        <f>22.9416 * CHOOSE(CONTROL!$C$12, $D$11, 100%, $F$11)</f>
        <v>18.445046400000003</v>
      </c>
      <c r="G700" s="8">
        <f>21.4047 * CHOOSE( CONTROL!$C$12, $D$11, 100%, $F$11)</f>
        <v>17.2093788</v>
      </c>
      <c r="H700" s="4">
        <f>22.2866 * CHOOSE(CONTROL!$C$12, $D$11, 100%, $F$11)</f>
        <v>17.918426400000001</v>
      </c>
      <c r="I700" s="8">
        <f>21.1349 * CHOOSE(CONTROL!$C$12, $D$11, 100%, $F$11)</f>
        <v>16.9924596</v>
      </c>
      <c r="J700" s="4">
        <f>21.0278 * CHOOSE(CONTROL!$C$12, $D$11, 100%, $F$11)</f>
        <v>16.9063512</v>
      </c>
      <c r="K700" s="4"/>
      <c r="L700" s="9">
        <v>27.3993</v>
      </c>
      <c r="M700" s="9">
        <v>12.063700000000001</v>
      </c>
      <c r="N700" s="9">
        <v>4.9444999999999997</v>
      </c>
      <c r="O700" s="9">
        <v>0.37459999999999999</v>
      </c>
      <c r="P700" s="9">
        <v>1.2939000000000001</v>
      </c>
      <c r="Q700" s="9">
        <v>19.688099999999999</v>
      </c>
      <c r="R700" s="9"/>
      <c r="S700" s="11"/>
    </row>
    <row r="701" spans="1:19" ht="15.75">
      <c r="A701" s="13">
        <v>63220</v>
      </c>
      <c r="B701" s="8">
        <f>22.7887 * CHOOSE(CONTROL!$C$12, $D$11, 100%, $F$11)</f>
        <v>18.322114800000001</v>
      </c>
      <c r="C701" s="8">
        <f>22.7992 * CHOOSE(CONTROL!$C$12, $D$11, 100%, $F$11)</f>
        <v>18.3305568</v>
      </c>
      <c r="D701" s="8">
        <f>22.7968 * CHOOSE( CONTROL!$C$12, $D$11, 100%, $F$11)</f>
        <v>18.328627200000003</v>
      </c>
      <c r="E701" s="12">
        <f>22.7966 * CHOOSE( CONTROL!$C$12, $D$11, 100%, $F$11)</f>
        <v>18.328466400000003</v>
      </c>
      <c r="F701" s="4">
        <f>23.8117 * CHOOSE(CONTROL!$C$12, $D$11, 100%, $F$11)</f>
        <v>19.144606799999998</v>
      </c>
      <c r="G701" s="8">
        <f>22.2413 * CHOOSE( CONTROL!$C$12, $D$11, 100%, $F$11)</f>
        <v>17.882005200000002</v>
      </c>
      <c r="H701" s="4">
        <f>23.1347 * CHOOSE(CONTROL!$C$12, $D$11, 100%, $F$11)</f>
        <v>18.600298800000001</v>
      </c>
      <c r="I701" s="8">
        <f>21.9509 * CHOOSE(CONTROL!$C$12, $D$11, 100%, $F$11)</f>
        <v>17.648523600000001</v>
      </c>
      <c r="J701" s="4">
        <f>21.8314 * CHOOSE(CONTROL!$C$12, $D$11, 100%, $F$11)</f>
        <v>17.552445599999999</v>
      </c>
      <c r="K701" s="4"/>
      <c r="L701" s="9">
        <v>27.3993</v>
      </c>
      <c r="M701" s="9">
        <v>12.063700000000001</v>
      </c>
      <c r="N701" s="9">
        <v>4.9444999999999997</v>
      </c>
      <c r="O701" s="9">
        <v>0.37459999999999999</v>
      </c>
      <c r="P701" s="9">
        <v>1.2939000000000001</v>
      </c>
      <c r="Q701" s="9">
        <v>19.688099999999999</v>
      </c>
      <c r="R701" s="9"/>
      <c r="S701" s="11"/>
    </row>
    <row r="702" spans="1:19" ht="15.75">
      <c r="A702" s="13">
        <v>63248</v>
      </c>
      <c r="B702" s="8">
        <f>21.3158 * CHOOSE(CONTROL!$C$12, $D$11, 100%, $F$11)</f>
        <v>17.1379032</v>
      </c>
      <c r="C702" s="8">
        <f>21.3262 * CHOOSE(CONTROL!$C$12, $D$11, 100%, $F$11)</f>
        <v>17.146264800000001</v>
      </c>
      <c r="D702" s="8">
        <f>21.3262 * CHOOSE( CONTROL!$C$12, $D$11, 100%, $F$11)</f>
        <v>17.146264800000001</v>
      </c>
      <c r="E702" s="12">
        <f>21.3251 * CHOOSE( CONTROL!$C$12, $D$11, 100%, $F$11)</f>
        <v>17.145380400000001</v>
      </c>
      <c r="F702" s="4">
        <f>22.3309 * CHOOSE(CONTROL!$C$12, $D$11, 100%, $F$11)</f>
        <v>17.954043600000002</v>
      </c>
      <c r="G702" s="8">
        <f>20.8054 * CHOOSE( CONTROL!$C$12, $D$11, 100%, $F$11)</f>
        <v>16.727541599999999</v>
      </c>
      <c r="H702" s="4">
        <f>21.6913 * CHOOSE(CONTROL!$C$12, $D$11, 100%, $F$11)</f>
        <v>17.439805199999999</v>
      </c>
      <c r="I702" s="8">
        <f>20.5279 * CHOOSE(CONTROL!$C$12, $D$11, 100%, $F$11)</f>
        <v>16.5044316</v>
      </c>
      <c r="J702" s="4">
        <f>20.4201 * CHOOSE(CONTROL!$C$12, $D$11, 100%, $F$11)</f>
        <v>16.417760400000002</v>
      </c>
      <c r="K702" s="4"/>
      <c r="L702" s="9">
        <v>24.747800000000002</v>
      </c>
      <c r="M702" s="9">
        <v>10.8962</v>
      </c>
      <c r="N702" s="9">
        <v>4.4660000000000002</v>
      </c>
      <c r="O702" s="9">
        <v>0.33829999999999999</v>
      </c>
      <c r="P702" s="9">
        <v>1.1687000000000001</v>
      </c>
      <c r="Q702" s="9">
        <v>17.782800000000002</v>
      </c>
      <c r="R702" s="9"/>
      <c r="S702" s="11"/>
    </row>
    <row r="703" spans="1:19" ht="15.75">
      <c r="A703" s="13">
        <v>63279</v>
      </c>
      <c r="B703" s="8">
        <f>20.8622 * CHOOSE(CONTROL!$C$12, $D$11, 100%, $F$11)</f>
        <v>16.773208800000003</v>
      </c>
      <c r="C703" s="8">
        <f>20.8726 * CHOOSE(CONTROL!$C$12, $D$11, 100%, $F$11)</f>
        <v>16.7815704</v>
      </c>
      <c r="D703" s="8">
        <f>20.8524 * CHOOSE( CONTROL!$C$12, $D$11, 100%, $F$11)</f>
        <v>16.765329600000001</v>
      </c>
      <c r="E703" s="12">
        <f>20.8587 * CHOOSE( CONTROL!$C$12, $D$11, 100%, $F$11)</f>
        <v>16.770394800000002</v>
      </c>
      <c r="F703" s="4">
        <f>21.8611 * CHOOSE(CONTROL!$C$12, $D$11, 100%, $F$11)</f>
        <v>17.576324400000001</v>
      </c>
      <c r="G703" s="8">
        <f>20.3427 * CHOOSE( CONTROL!$C$12, $D$11, 100%, $F$11)</f>
        <v>16.3555308</v>
      </c>
      <c r="H703" s="4">
        <f>21.2333 * CHOOSE(CONTROL!$C$12, $D$11, 100%, $F$11)</f>
        <v>17.0715732</v>
      </c>
      <c r="I703" s="8">
        <f>20.0535 * CHOOSE(CONTROL!$C$12, $D$11, 100%, $F$11)</f>
        <v>16.123014000000001</v>
      </c>
      <c r="J703" s="4">
        <f>19.9854 * CHOOSE(CONTROL!$C$12, $D$11, 100%, $F$11)</f>
        <v>16.0682616</v>
      </c>
      <c r="K703" s="4"/>
      <c r="L703" s="9">
        <v>27.3993</v>
      </c>
      <c r="M703" s="9">
        <v>12.063700000000001</v>
      </c>
      <c r="N703" s="9">
        <v>4.9444999999999997</v>
      </c>
      <c r="O703" s="9">
        <v>0.37459999999999999</v>
      </c>
      <c r="P703" s="9">
        <v>1.2939000000000001</v>
      </c>
      <c r="Q703" s="9">
        <v>19.688099999999999</v>
      </c>
      <c r="R703" s="9"/>
      <c r="S703" s="11"/>
    </row>
    <row r="704" spans="1:19" ht="15.75">
      <c r="A704" s="13">
        <v>63309</v>
      </c>
      <c r="B704" s="8">
        <f>21.1792 * CHOOSE(CONTROL!$C$12, $D$11, 100%, $F$11)</f>
        <v>17.028076800000001</v>
      </c>
      <c r="C704" s="8">
        <f>21.1896 * CHOOSE(CONTROL!$C$12, $D$11, 100%, $F$11)</f>
        <v>17.036438400000002</v>
      </c>
      <c r="D704" s="8">
        <f>21.1928 * CHOOSE( CONTROL!$C$12, $D$11, 100%, $F$11)</f>
        <v>17.039011200000001</v>
      </c>
      <c r="E704" s="12">
        <f>21.1906 * CHOOSE( CONTROL!$C$12, $D$11, 100%, $F$11)</f>
        <v>17.0372424</v>
      </c>
      <c r="F704" s="4">
        <f>22.1864 * CHOOSE(CONTROL!$C$12, $D$11, 100%, $F$11)</f>
        <v>17.837865600000001</v>
      </c>
      <c r="G704" s="8">
        <f>20.6396 * CHOOSE( CONTROL!$C$12, $D$11, 100%, $F$11)</f>
        <v>16.594238400000002</v>
      </c>
      <c r="H704" s="4">
        <f>21.5504 * CHOOSE(CONTROL!$C$12, $D$11, 100%, $F$11)</f>
        <v>17.3265216</v>
      </c>
      <c r="I704" s="8">
        <f>20.3475 * CHOOSE(CONTROL!$C$12, $D$11, 100%, $F$11)</f>
        <v>16.359390000000001</v>
      </c>
      <c r="J704" s="4">
        <f>20.2891 * CHOOSE(CONTROL!$C$12, $D$11, 100%, $F$11)</f>
        <v>16.312436400000003</v>
      </c>
      <c r="K704" s="4"/>
      <c r="L704" s="9">
        <v>27.988800000000001</v>
      </c>
      <c r="M704" s="9">
        <v>11.6745</v>
      </c>
      <c r="N704" s="9">
        <v>4.7850000000000001</v>
      </c>
      <c r="O704" s="9">
        <v>0.36249999999999999</v>
      </c>
      <c r="P704" s="9">
        <v>1.1798</v>
      </c>
      <c r="Q704" s="9">
        <v>19.053000000000001</v>
      </c>
      <c r="R704" s="9"/>
      <c r="S704" s="11"/>
    </row>
    <row r="705" spans="1:19" ht="15.75">
      <c r="A705" s="13">
        <v>63340</v>
      </c>
      <c r="B705" s="8">
        <f>CHOOSE( CONTROL!$C$29, 21.7481, 21.7434) * CHOOSE(CONTROL!$C$12, $D$11, 100%, $F$11)</f>
        <v>17.485472400000003</v>
      </c>
      <c r="C705" s="8">
        <f>CHOOSE( CONTROL!$C$29, 21.7585, 21.7538) * CHOOSE(CONTROL!$C$12, $D$11, 100%, $F$11)</f>
        <v>17.493834000000003</v>
      </c>
      <c r="D705" s="8">
        <f>CHOOSE( CONTROL!$C$29, 21.7364, 21.7317) * CHOOSE( CONTROL!$C$12, $D$11, 100%, $F$11)</f>
        <v>17.476065600000002</v>
      </c>
      <c r="E705" s="12">
        <f>CHOOSE( CONTROL!$C$29, 21.7428, 21.7381) * CHOOSE( CONTROL!$C$12, $D$11, 100%, $F$11)</f>
        <v>17.481211200000001</v>
      </c>
      <c r="F705" s="4">
        <f>CHOOSE( CONTROL!$C$29, 22.723, 22.7183) * CHOOSE(CONTROL!$C$12, $D$11, 100%, $F$11)</f>
        <v>18.269292</v>
      </c>
      <c r="G705" s="8">
        <f>CHOOSE( CONTROL!$C$29, 21.1754, 21.1709) * CHOOSE( CONTROL!$C$12, $D$11, 100%, $F$11)</f>
        <v>17.025021600000002</v>
      </c>
      <c r="H705" s="4">
        <f>CHOOSE( CONTROL!$C$29, 22.0734, 22.0689) * CHOOSE(CONTROL!$C$12, $D$11, 100%, $F$11)</f>
        <v>17.747013599999999</v>
      </c>
      <c r="I705" s="8">
        <f>CHOOSE( CONTROL!$C$29, 20.8714, 20.8668) * CHOOSE(CONTROL!$C$12, $D$11, 100%, $F$11)</f>
        <v>16.780605600000001</v>
      </c>
      <c r="J705" s="4">
        <f>CHOOSE( CONTROL!$C$29, 20.8342, 20.8297) * CHOOSE(CONTROL!$C$12, $D$11, 100%, $F$11)</f>
        <v>16.7506968</v>
      </c>
      <c r="K705" s="4"/>
      <c r="L705" s="9">
        <v>29.520499999999998</v>
      </c>
      <c r="M705" s="9">
        <v>12.063700000000001</v>
      </c>
      <c r="N705" s="9">
        <v>4.9444999999999997</v>
      </c>
      <c r="O705" s="9">
        <v>0.37459999999999999</v>
      </c>
      <c r="P705" s="9">
        <v>1.2192000000000001</v>
      </c>
      <c r="Q705" s="9">
        <v>19.688099999999999</v>
      </c>
      <c r="R705" s="9"/>
      <c r="S705" s="11"/>
    </row>
    <row r="706" spans="1:19" ht="15.75">
      <c r="A706" s="13">
        <v>63370</v>
      </c>
      <c r="B706" s="8">
        <f>CHOOSE( CONTROL!$C$29, 21.3986, 21.3939) * CHOOSE(CONTROL!$C$12, $D$11, 100%, $F$11)</f>
        <v>17.204474399999999</v>
      </c>
      <c r="C706" s="8">
        <f>CHOOSE( CONTROL!$C$29, 21.409, 21.4043) * CHOOSE(CONTROL!$C$12, $D$11, 100%, $F$11)</f>
        <v>17.212835999999999</v>
      </c>
      <c r="D706" s="8">
        <f>CHOOSE( CONTROL!$C$29, 21.3814, 21.3767) * CHOOSE( CONTROL!$C$12, $D$11, 100%, $F$11)</f>
        <v>17.1906456</v>
      </c>
      <c r="E706" s="12">
        <f>CHOOSE( CONTROL!$C$29, 21.3898, 21.3851) * CHOOSE( CONTROL!$C$12, $D$11, 100%, $F$11)</f>
        <v>17.197399200000003</v>
      </c>
      <c r="F706" s="4">
        <f>CHOOSE( CONTROL!$C$29, 22.363, 22.3583) * CHOOSE(CONTROL!$C$12, $D$11, 100%, $F$11)</f>
        <v>17.979852000000001</v>
      </c>
      <c r="G706" s="8">
        <f>CHOOSE( CONTROL!$C$29, 20.8335, 20.8289) * CHOOSE( CONTROL!$C$12, $D$11, 100%, $F$11)</f>
        <v>16.750134000000003</v>
      </c>
      <c r="H706" s="4">
        <f>CHOOSE( CONTROL!$C$29, 21.7226, 21.718) * CHOOSE(CONTROL!$C$12, $D$11, 100%, $F$11)</f>
        <v>17.464970400000002</v>
      </c>
      <c r="I706" s="8">
        <f>CHOOSE( CONTROL!$C$29, 20.5385, 20.534) * CHOOSE(CONTROL!$C$12, $D$11, 100%, $F$11)</f>
        <v>16.512954000000001</v>
      </c>
      <c r="J706" s="4">
        <f>CHOOSE( CONTROL!$C$29, 20.4993, 20.4948) * CHOOSE(CONTROL!$C$12, $D$11, 100%, $F$11)</f>
        <v>16.481437200000002</v>
      </c>
      <c r="K706" s="4"/>
      <c r="L706" s="9">
        <v>28.568200000000001</v>
      </c>
      <c r="M706" s="9">
        <v>11.6745</v>
      </c>
      <c r="N706" s="9">
        <v>4.7850000000000001</v>
      </c>
      <c r="O706" s="9">
        <v>0.36249999999999999</v>
      </c>
      <c r="P706" s="9">
        <v>1.1798</v>
      </c>
      <c r="Q706" s="9">
        <v>19.053000000000001</v>
      </c>
      <c r="R706" s="9"/>
      <c r="S706" s="11"/>
    </row>
    <row r="707" spans="1:19" ht="15.75">
      <c r="A707" s="13">
        <v>63401</v>
      </c>
      <c r="B707" s="8">
        <f>CHOOSE( CONTROL!$C$29, 22.3189, 22.3142) * CHOOSE(CONTROL!$C$12, $D$11, 100%, $F$11)</f>
        <v>17.9443956</v>
      </c>
      <c r="C707" s="8">
        <f>CHOOSE( CONTROL!$C$29, 22.3294, 22.3247) * CHOOSE(CONTROL!$C$12, $D$11, 100%, $F$11)</f>
        <v>17.952837600000002</v>
      </c>
      <c r="D707" s="8">
        <f>CHOOSE( CONTROL!$C$29, 22.3209, 22.3162) * CHOOSE( CONTROL!$C$12, $D$11, 100%, $F$11)</f>
        <v>17.946003600000001</v>
      </c>
      <c r="E707" s="12">
        <f>CHOOSE( CONTROL!$C$29, 22.3224, 22.3177) * CHOOSE( CONTROL!$C$12, $D$11, 100%, $F$11)</f>
        <v>17.947209600000001</v>
      </c>
      <c r="F707" s="4">
        <f>CHOOSE( CONTROL!$C$29, 23.3105, 23.3058) * CHOOSE(CONTROL!$C$12, $D$11, 100%, $F$11)</f>
        <v>18.741642000000002</v>
      </c>
      <c r="G707" s="8">
        <f>CHOOSE( CONTROL!$C$29, 21.7433, 21.7388) * CHOOSE( CONTROL!$C$12, $D$11, 100%, $F$11)</f>
        <v>17.481613200000002</v>
      </c>
      <c r="H707" s="4">
        <f>CHOOSE( CONTROL!$C$29, 22.6462, 22.6416) * CHOOSE(CONTROL!$C$12, $D$11, 100%, $F$11)</f>
        <v>18.207544800000001</v>
      </c>
      <c r="I707" s="8">
        <f>CHOOSE( CONTROL!$C$29, 21.4435, 21.439) * CHOOSE(CONTROL!$C$12, $D$11, 100%, $F$11)</f>
        <v>17.240574000000002</v>
      </c>
      <c r="J707" s="4">
        <f>CHOOSE( CONTROL!$C$29, 21.3812, 21.3767) * CHOOSE(CONTROL!$C$12, $D$11, 100%, $F$11)</f>
        <v>17.1904848</v>
      </c>
      <c r="K707" s="4"/>
      <c r="L707" s="9">
        <v>29.520499999999998</v>
      </c>
      <c r="M707" s="9">
        <v>12.063700000000001</v>
      </c>
      <c r="N707" s="9">
        <v>4.9444999999999997</v>
      </c>
      <c r="O707" s="9">
        <v>0.37459999999999999</v>
      </c>
      <c r="P707" s="9">
        <v>1.2192000000000001</v>
      </c>
      <c r="Q707" s="9">
        <v>19.688099999999999</v>
      </c>
      <c r="R707" s="9"/>
      <c r="S707" s="11"/>
    </row>
    <row r="708" spans="1:19" ht="15.75">
      <c r="A708" s="13">
        <v>63432</v>
      </c>
      <c r="B708" s="8">
        <f>CHOOSE( CONTROL!$C$29, 20.5968, 20.5921) * CHOOSE(CONTROL!$C$12, $D$11, 100%, $F$11)</f>
        <v>16.559827200000001</v>
      </c>
      <c r="C708" s="8">
        <f>CHOOSE( CONTROL!$C$29, 20.6073, 20.6026) * CHOOSE(CONTROL!$C$12, $D$11, 100%, $F$11)</f>
        <v>16.5682692</v>
      </c>
      <c r="D708" s="8">
        <f>CHOOSE( CONTROL!$C$29, 20.6021, 20.5974) * CHOOSE( CONTROL!$C$12, $D$11, 100%, $F$11)</f>
        <v>16.564088400000003</v>
      </c>
      <c r="E708" s="12">
        <f>CHOOSE( CONTROL!$C$29, 20.6024, 20.5977) * CHOOSE( CONTROL!$C$12, $D$11, 100%, $F$11)</f>
        <v>16.564329600000001</v>
      </c>
      <c r="F708" s="4">
        <f>CHOOSE( CONTROL!$C$29, 21.5936, 21.5889) * CHOOSE(CONTROL!$C$12, $D$11, 100%, $F$11)</f>
        <v>17.3612544</v>
      </c>
      <c r="G708" s="8">
        <f>CHOOSE( CONTROL!$C$29, 20.0668, 20.0622) * CHOOSE( CONTROL!$C$12, $D$11, 100%, $F$11)</f>
        <v>16.1337072</v>
      </c>
      <c r="H708" s="4">
        <f>CHOOSE( CONTROL!$C$29, 20.9726, 20.968) * CHOOSE(CONTROL!$C$12, $D$11, 100%, $F$11)</f>
        <v>16.861970400000001</v>
      </c>
      <c r="I708" s="8">
        <f>CHOOSE( CONTROL!$C$29, 19.7972, 19.7927) * CHOOSE(CONTROL!$C$12, $D$11, 100%, $F$11)</f>
        <v>15.916948800000002</v>
      </c>
      <c r="J708" s="4">
        <f>CHOOSE( CONTROL!$C$29, 19.7311, 19.7266) * CHOOSE(CONTROL!$C$12, $D$11, 100%, $F$11)</f>
        <v>15.863804400000003</v>
      </c>
      <c r="K708" s="4"/>
      <c r="L708" s="9">
        <v>29.520499999999998</v>
      </c>
      <c r="M708" s="9">
        <v>12.063700000000001</v>
      </c>
      <c r="N708" s="9">
        <v>4.9444999999999997</v>
      </c>
      <c r="O708" s="9">
        <v>0.37459999999999999</v>
      </c>
      <c r="P708" s="9">
        <v>1.2192000000000001</v>
      </c>
      <c r="Q708" s="9">
        <v>19.688099999999999</v>
      </c>
      <c r="R708" s="9"/>
      <c r="S708" s="11"/>
    </row>
    <row r="709" spans="1:19" ht="15.75">
      <c r="A709" s="13">
        <v>63462</v>
      </c>
      <c r="B709" s="8">
        <f>CHOOSE( CONTROL!$C$29, 20.1656, 20.1609) * CHOOSE(CONTROL!$C$12, $D$11, 100%, $F$11)</f>
        <v>16.213142400000002</v>
      </c>
      <c r="C709" s="8">
        <f>CHOOSE( CONTROL!$C$29, 20.176, 20.1713) * CHOOSE(CONTROL!$C$12, $D$11, 100%, $F$11)</f>
        <v>16.221503999999999</v>
      </c>
      <c r="D709" s="8">
        <f>CHOOSE( CONTROL!$C$29, 20.1667, 20.162) * CHOOSE( CONTROL!$C$12, $D$11, 100%, $F$11)</f>
        <v>16.214026799999999</v>
      </c>
      <c r="E709" s="12">
        <f>CHOOSE( CONTROL!$C$29, 20.1685, 20.1638) * CHOOSE( CONTROL!$C$12, $D$11, 100%, $F$11)</f>
        <v>16.215474000000004</v>
      </c>
      <c r="F709" s="4">
        <f>CHOOSE( CONTROL!$C$29, 21.1546, 21.1499) * CHOOSE(CONTROL!$C$12, $D$11, 100%, $F$11)</f>
        <v>17.008298400000001</v>
      </c>
      <c r="G709" s="8">
        <f>CHOOSE( CONTROL!$C$29, 19.6451, 19.6406) * CHOOSE( CONTROL!$C$12, $D$11, 100%, $F$11)</f>
        <v>15.7946604</v>
      </c>
      <c r="H709" s="4">
        <f>CHOOSE( CONTROL!$C$29, 20.5446, 20.54) * CHOOSE(CONTROL!$C$12, $D$11, 100%, $F$11)</f>
        <v>16.517858400000001</v>
      </c>
      <c r="I709" s="8">
        <f>CHOOSE( CONTROL!$C$29, 19.3851, 19.3806) * CHOOSE(CONTROL!$C$12, $D$11, 100%, $F$11)</f>
        <v>15.585620400000002</v>
      </c>
      <c r="J709" s="4">
        <f>CHOOSE( CONTROL!$C$29, 19.3179, 19.3134) * CHOOSE(CONTROL!$C$12, $D$11, 100%, $F$11)</f>
        <v>15.531591600000002</v>
      </c>
      <c r="K709" s="4"/>
      <c r="L709" s="9">
        <v>28.568200000000001</v>
      </c>
      <c r="M709" s="9">
        <v>11.6745</v>
      </c>
      <c r="N709" s="9">
        <v>4.7850000000000001</v>
      </c>
      <c r="O709" s="9">
        <v>0.36249999999999999</v>
      </c>
      <c r="P709" s="9">
        <v>1.1798</v>
      </c>
      <c r="Q709" s="9">
        <v>19.053000000000001</v>
      </c>
      <c r="R709" s="9"/>
      <c r="S709" s="11"/>
    </row>
    <row r="710" spans="1:19" ht="15.75">
      <c r="A710" s="13">
        <v>63493</v>
      </c>
      <c r="B710" s="8">
        <f>21.0563 * CHOOSE(CONTROL!$C$12, $D$11, 100%, $F$11)</f>
        <v>16.9292652</v>
      </c>
      <c r="C710" s="8">
        <f>21.0667 * CHOOSE(CONTROL!$C$12, $D$11, 100%, $F$11)</f>
        <v>16.9376268</v>
      </c>
      <c r="D710" s="8">
        <f>21.0583 * CHOOSE( CONTROL!$C$12, $D$11, 100%, $F$11)</f>
        <v>16.930873200000001</v>
      </c>
      <c r="E710" s="12">
        <f>21.06 * CHOOSE( CONTROL!$C$12, $D$11, 100%, $F$11)</f>
        <v>16.93224</v>
      </c>
      <c r="F710" s="4">
        <f>22.0453 * CHOOSE(CONTROL!$C$12, $D$11, 100%, $F$11)</f>
        <v>17.724421200000002</v>
      </c>
      <c r="G710" s="8">
        <f>20.513 * CHOOSE( CONTROL!$C$12, $D$11, 100%, $F$11)</f>
        <v>16.492452000000004</v>
      </c>
      <c r="H710" s="4">
        <f>21.4128 * CHOOSE(CONTROL!$C$12, $D$11, 100%, $F$11)</f>
        <v>17.215891200000002</v>
      </c>
      <c r="I710" s="8">
        <f>20.241 * CHOOSE(CONTROL!$C$12, $D$11, 100%, $F$11)</f>
        <v>16.273764</v>
      </c>
      <c r="J710" s="4">
        <f>20.1714 * CHOOSE(CONTROL!$C$12, $D$11, 100%, $F$11)</f>
        <v>16.217805599999998</v>
      </c>
      <c r="K710" s="4"/>
      <c r="L710" s="9">
        <v>28.921800000000001</v>
      </c>
      <c r="M710" s="9">
        <v>12.063700000000001</v>
      </c>
      <c r="N710" s="9">
        <v>4.9444999999999997</v>
      </c>
      <c r="O710" s="9">
        <v>0.37459999999999999</v>
      </c>
      <c r="P710" s="9">
        <v>1.2192000000000001</v>
      </c>
      <c r="Q710" s="9">
        <v>19.688099999999999</v>
      </c>
      <c r="R710" s="9"/>
      <c r="S710" s="11"/>
    </row>
    <row r="711" spans="1:19" ht="15.75">
      <c r="A711" s="13">
        <v>63523</v>
      </c>
      <c r="B711" s="8">
        <f>22.709 * CHOOSE(CONTROL!$C$12, $D$11, 100%, $F$11)</f>
        <v>18.258036000000001</v>
      </c>
      <c r="C711" s="8">
        <f>22.7194 * CHOOSE(CONTROL!$C$12, $D$11, 100%, $F$11)</f>
        <v>18.266397600000001</v>
      </c>
      <c r="D711" s="8">
        <f>22.6997 * CHOOSE( CONTROL!$C$12, $D$11, 100%, $F$11)</f>
        <v>18.2505588</v>
      </c>
      <c r="E711" s="12">
        <f>22.7058 * CHOOSE( CONTROL!$C$12, $D$11, 100%, $F$11)</f>
        <v>18.255463200000001</v>
      </c>
      <c r="F711" s="4">
        <f>23.7006 * CHOOSE(CONTROL!$C$12, $D$11, 100%, $F$11)</f>
        <v>19.055282400000003</v>
      </c>
      <c r="G711" s="8">
        <f>22.143 * CHOOSE( CONTROL!$C$12, $D$11, 100%, $F$11)</f>
        <v>17.802972</v>
      </c>
      <c r="H711" s="4">
        <f>23.0264 * CHOOSE(CONTROL!$C$12, $D$11, 100%, $F$11)</f>
        <v>18.513225600000002</v>
      </c>
      <c r="I711" s="8">
        <f>21.8557 * CHOOSE(CONTROL!$C$12, $D$11, 100%, $F$11)</f>
        <v>17.571982800000001</v>
      </c>
      <c r="J711" s="4">
        <f>21.755 * CHOOSE(CONTROL!$C$12, $D$11, 100%, $F$11)</f>
        <v>17.491019999999999</v>
      </c>
      <c r="K711" s="4"/>
      <c r="L711" s="9">
        <v>26.515499999999999</v>
      </c>
      <c r="M711" s="9">
        <v>11.6745</v>
      </c>
      <c r="N711" s="9">
        <v>4.7850000000000001</v>
      </c>
      <c r="O711" s="9">
        <v>0.36249999999999999</v>
      </c>
      <c r="P711" s="9">
        <v>1.2522</v>
      </c>
      <c r="Q711" s="9">
        <v>19.053000000000001</v>
      </c>
      <c r="R711" s="9"/>
      <c r="S711" s="11"/>
    </row>
    <row r="712" spans="1:19" ht="15.75">
      <c r="A712" s="13">
        <v>63554</v>
      </c>
      <c r="B712" s="8">
        <f>22.6677 * CHOOSE(CONTROL!$C$12, $D$11, 100%, $F$11)</f>
        <v>18.224830799999999</v>
      </c>
      <c r="C712" s="8">
        <f>22.6781 * CHOOSE(CONTROL!$C$12, $D$11, 100%, $F$11)</f>
        <v>18.2331924</v>
      </c>
      <c r="D712" s="8">
        <f>22.6603 * CHOOSE( CONTROL!$C$12, $D$11, 100%, $F$11)</f>
        <v>18.218881200000002</v>
      </c>
      <c r="E712" s="12">
        <f>22.6657 * CHOOSE( CONTROL!$C$12, $D$11, 100%, $F$11)</f>
        <v>18.223222800000002</v>
      </c>
      <c r="F712" s="4">
        <f>23.6593 * CHOOSE(CONTROL!$C$12, $D$11, 100%, $F$11)</f>
        <v>19.022077200000002</v>
      </c>
      <c r="G712" s="8">
        <f>22.1042 * CHOOSE( CONTROL!$C$12, $D$11, 100%, $F$11)</f>
        <v>17.771776800000001</v>
      </c>
      <c r="H712" s="4">
        <f>22.9862 * CHOOSE(CONTROL!$C$12, $D$11, 100%, $F$11)</f>
        <v>18.480904800000001</v>
      </c>
      <c r="I712" s="8">
        <f>21.8229 * CHOOSE(CONTROL!$C$12, $D$11, 100%, $F$11)</f>
        <v>17.545611600000001</v>
      </c>
      <c r="J712" s="4">
        <f>21.7154 * CHOOSE(CONTROL!$C$12, $D$11, 100%, $F$11)</f>
        <v>17.459181600000001</v>
      </c>
      <c r="K712" s="4"/>
      <c r="L712" s="9">
        <v>27.3993</v>
      </c>
      <c r="M712" s="9">
        <v>12.063700000000001</v>
      </c>
      <c r="N712" s="9">
        <v>4.9444999999999997</v>
      </c>
      <c r="O712" s="9">
        <v>0.37459999999999999</v>
      </c>
      <c r="P712" s="9">
        <v>1.2939000000000001</v>
      </c>
      <c r="Q712" s="9">
        <v>19.688099999999999</v>
      </c>
      <c r="R712" s="9"/>
      <c r="S712" s="11"/>
    </row>
    <row r="713" spans="1:19" ht="15.75">
      <c r="A713" s="13">
        <v>63585</v>
      </c>
      <c r="B713" s="8">
        <f>23.5339 * CHOOSE(CONTROL!$C$12, $D$11, 100%, $F$11)</f>
        <v>18.921255600000002</v>
      </c>
      <c r="C713" s="8">
        <f>23.5443 * CHOOSE(CONTROL!$C$12, $D$11, 100%, $F$11)</f>
        <v>18.929617200000003</v>
      </c>
      <c r="D713" s="8">
        <f>23.542 * CHOOSE( CONTROL!$C$12, $D$11, 100%, $F$11)</f>
        <v>18.927768000000004</v>
      </c>
      <c r="E713" s="12">
        <f>23.5417 * CHOOSE( CONTROL!$C$12, $D$11, 100%, $F$11)</f>
        <v>18.927526799999999</v>
      </c>
      <c r="F713" s="4">
        <f>24.5568 * CHOOSE(CONTROL!$C$12, $D$11, 100%, $F$11)</f>
        <v>19.743667200000001</v>
      </c>
      <c r="G713" s="8">
        <f>22.9676 * CHOOSE( CONTROL!$C$12, $D$11, 100%, $F$11)</f>
        <v>18.465950400000001</v>
      </c>
      <c r="H713" s="4">
        <f>23.861 * CHOOSE(CONTROL!$C$12, $D$11, 100%, $F$11)</f>
        <v>19.184244000000003</v>
      </c>
      <c r="I713" s="8">
        <f>22.6653 * CHOOSE(CONTROL!$C$12, $D$11, 100%, $F$11)</f>
        <v>18.222901199999999</v>
      </c>
      <c r="J713" s="4">
        <f>22.5454 * CHOOSE(CONTROL!$C$12, $D$11, 100%, $F$11)</f>
        <v>18.126501600000001</v>
      </c>
      <c r="K713" s="4"/>
      <c r="L713" s="9">
        <v>27.3993</v>
      </c>
      <c r="M713" s="9">
        <v>12.063700000000001</v>
      </c>
      <c r="N713" s="9">
        <v>4.9444999999999997</v>
      </c>
      <c r="O713" s="9">
        <v>0.37459999999999999</v>
      </c>
      <c r="P713" s="9">
        <v>1.2939000000000001</v>
      </c>
      <c r="Q713" s="9">
        <v>19.688099999999999</v>
      </c>
      <c r="R713" s="9"/>
      <c r="S713" s="11"/>
    </row>
    <row r="714" spans="1:19" ht="15.75">
      <c r="A714" s="13">
        <v>63613</v>
      </c>
      <c r="B714" s="8">
        <f>22.0128 * CHOOSE(CONTROL!$C$12, $D$11, 100%, $F$11)</f>
        <v>17.6982912</v>
      </c>
      <c r="C714" s="8">
        <f>22.0232 * CHOOSE(CONTROL!$C$12, $D$11, 100%, $F$11)</f>
        <v>17.706652800000001</v>
      </c>
      <c r="D714" s="8">
        <f>22.0232 * CHOOSE( CONTROL!$C$12, $D$11, 100%, $F$11)</f>
        <v>17.706652800000001</v>
      </c>
      <c r="E714" s="12">
        <f>22.0221 * CHOOSE( CONTROL!$C$12, $D$11, 100%, $F$11)</f>
        <v>17.7057684</v>
      </c>
      <c r="F714" s="4">
        <f>23.0278 * CHOOSE(CONTROL!$C$12, $D$11, 100%, $F$11)</f>
        <v>18.5143512</v>
      </c>
      <c r="G714" s="8">
        <f>21.4847 * CHOOSE( CONTROL!$C$12, $D$11, 100%, $F$11)</f>
        <v>17.273698800000002</v>
      </c>
      <c r="H714" s="4">
        <f>22.3706 * CHOOSE(CONTROL!$C$12, $D$11, 100%, $F$11)</f>
        <v>17.985962400000002</v>
      </c>
      <c r="I714" s="8">
        <f>21.1961 * CHOOSE(CONTROL!$C$12, $D$11, 100%, $F$11)</f>
        <v>17.041664400000002</v>
      </c>
      <c r="J714" s="4">
        <f>21.0879 * CHOOSE(CONTROL!$C$12, $D$11, 100%, $F$11)</f>
        <v>16.954671600000001</v>
      </c>
      <c r="K714" s="4"/>
      <c r="L714" s="9">
        <v>24.747800000000002</v>
      </c>
      <c r="M714" s="9">
        <v>10.8962</v>
      </c>
      <c r="N714" s="9">
        <v>4.4660000000000002</v>
      </c>
      <c r="O714" s="9">
        <v>0.33829999999999999</v>
      </c>
      <c r="P714" s="9">
        <v>1.1687000000000001</v>
      </c>
      <c r="Q714" s="9">
        <v>17.782800000000002</v>
      </c>
      <c r="R714" s="9"/>
      <c r="S714" s="11"/>
    </row>
    <row r="715" spans="1:19" ht="15.75">
      <c r="A715" s="13">
        <v>63644</v>
      </c>
      <c r="B715" s="8">
        <f>21.5443 * CHOOSE(CONTROL!$C$12, $D$11, 100%, $F$11)</f>
        <v>17.321617200000002</v>
      </c>
      <c r="C715" s="8">
        <f>21.5547 * CHOOSE(CONTROL!$C$12, $D$11, 100%, $F$11)</f>
        <v>17.329978800000003</v>
      </c>
      <c r="D715" s="8">
        <f>21.5345 * CHOOSE( CONTROL!$C$12, $D$11, 100%, $F$11)</f>
        <v>17.313738000000001</v>
      </c>
      <c r="E715" s="12">
        <f>21.5408 * CHOOSE( CONTROL!$C$12, $D$11, 100%, $F$11)</f>
        <v>17.318803200000001</v>
      </c>
      <c r="F715" s="4">
        <f>22.5432 * CHOOSE(CONTROL!$C$12, $D$11, 100%, $F$11)</f>
        <v>18.1247328</v>
      </c>
      <c r="G715" s="8">
        <f>21.0076 * CHOOSE( CONTROL!$C$12, $D$11, 100%, $F$11)</f>
        <v>16.890110400000001</v>
      </c>
      <c r="H715" s="4">
        <f>21.8982 * CHOOSE(CONTROL!$C$12, $D$11, 100%, $F$11)</f>
        <v>17.6061528</v>
      </c>
      <c r="I715" s="8">
        <f>20.7074 * CHOOSE(CONTROL!$C$12, $D$11, 100%, $F$11)</f>
        <v>16.648749600000002</v>
      </c>
      <c r="J715" s="4">
        <f>20.639 * CHOOSE(CONTROL!$C$12, $D$11, 100%, $F$11)</f>
        <v>16.593755999999999</v>
      </c>
      <c r="K715" s="4"/>
      <c r="L715" s="9">
        <v>27.3993</v>
      </c>
      <c r="M715" s="9">
        <v>12.063700000000001</v>
      </c>
      <c r="N715" s="9">
        <v>4.9444999999999997</v>
      </c>
      <c r="O715" s="9">
        <v>0.37459999999999999</v>
      </c>
      <c r="P715" s="9">
        <v>1.2939000000000001</v>
      </c>
      <c r="Q715" s="9">
        <v>19.688099999999999</v>
      </c>
      <c r="R715" s="9"/>
      <c r="S715" s="11"/>
    </row>
    <row r="716" spans="1:19" ht="15.75">
      <c r="A716" s="13">
        <v>63674</v>
      </c>
      <c r="B716" s="8">
        <f>21.8716 * CHOOSE(CONTROL!$C$12, $D$11, 100%, $F$11)</f>
        <v>17.584766400000003</v>
      </c>
      <c r="C716" s="8">
        <f>21.8821 * CHOOSE(CONTROL!$C$12, $D$11, 100%, $F$11)</f>
        <v>17.593208400000002</v>
      </c>
      <c r="D716" s="8">
        <f>21.8853 * CHOOSE( CONTROL!$C$12, $D$11, 100%, $F$11)</f>
        <v>17.595781200000001</v>
      </c>
      <c r="E716" s="12">
        <f>21.883 * CHOOSE( CONTROL!$C$12, $D$11, 100%, $F$11)</f>
        <v>17.593931999999999</v>
      </c>
      <c r="F716" s="4">
        <f>22.8789 * CHOOSE(CONTROL!$C$12, $D$11, 100%, $F$11)</f>
        <v>18.394635600000001</v>
      </c>
      <c r="G716" s="8">
        <f>21.3146 * CHOOSE( CONTROL!$C$12, $D$11, 100%, $F$11)</f>
        <v>17.136938399999998</v>
      </c>
      <c r="H716" s="4">
        <f>22.2254 * CHOOSE(CONTROL!$C$12, $D$11, 100%, $F$11)</f>
        <v>17.869221600000003</v>
      </c>
      <c r="I716" s="8">
        <f>21.0114 * CHOOSE(CONTROL!$C$12, $D$11, 100%, $F$11)</f>
        <v>16.8931656</v>
      </c>
      <c r="J716" s="4">
        <f>20.9526 * CHOOSE(CONTROL!$C$12, $D$11, 100%, $F$11)</f>
        <v>16.845890400000002</v>
      </c>
      <c r="K716" s="4"/>
      <c r="L716" s="9">
        <v>27.988800000000001</v>
      </c>
      <c r="M716" s="9">
        <v>11.6745</v>
      </c>
      <c r="N716" s="9">
        <v>4.7850000000000001</v>
      </c>
      <c r="O716" s="9">
        <v>0.36249999999999999</v>
      </c>
      <c r="P716" s="9">
        <v>1.1798</v>
      </c>
      <c r="Q716" s="9">
        <v>19.053000000000001</v>
      </c>
      <c r="R716" s="9"/>
      <c r="S716" s="11"/>
    </row>
    <row r="717" spans="1:19" ht="15.75">
      <c r="A717" s="13">
        <v>63705</v>
      </c>
      <c r="B717" s="8">
        <f>CHOOSE( CONTROL!$C$29, 22.459, 22.4543) * CHOOSE(CONTROL!$C$12, $D$11, 100%, $F$11)</f>
        <v>18.057036</v>
      </c>
      <c r="C717" s="8">
        <f>CHOOSE( CONTROL!$C$29, 22.4694, 22.4647) * CHOOSE(CONTROL!$C$12, $D$11, 100%, $F$11)</f>
        <v>18.065397600000001</v>
      </c>
      <c r="D717" s="8">
        <f>CHOOSE( CONTROL!$C$29, 22.4474, 22.4427) * CHOOSE( CONTROL!$C$12, $D$11, 100%, $F$11)</f>
        <v>18.047709600000001</v>
      </c>
      <c r="E717" s="12">
        <f>CHOOSE( CONTROL!$C$29, 22.4538, 22.4491) * CHOOSE( CONTROL!$C$12, $D$11, 100%, $F$11)</f>
        <v>18.052855200000003</v>
      </c>
      <c r="F717" s="4">
        <f>CHOOSE( CONTROL!$C$29, 23.4339, 23.4292) * CHOOSE(CONTROL!$C$12, $D$11, 100%, $F$11)</f>
        <v>18.840855600000001</v>
      </c>
      <c r="G717" s="8">
        <f>CHOOSE( CONTROL!$C$29, 21.8684, 21.8638) * CHOOSE( CONTROL!$C$12, $D$11, 100%, $F$11)</f>
        <v>17.582193600000004</v>
      </c>
      <c r="H717" s="4">
        <f>CHOOSE( CONTROL!$C$29, 22.7664, 22.7619) * CHOOSE(CONTROL!$C$12, $D$11, 100%, $F$11)</f>
        <v>18.3041856</v>
      </c>
      <c r="I717" s="8">
        <f>CHOOSE( CONTROL!$C$29, 21.5529, 21.5484) * CHOOSE(CONTROL!$C$12, $D$11, 100%, $F$11)</f>
        <v>17.328531600000002</v>
      </c>
      <c r="J717" s="4">
        <f>CHOOSE( CONTROL!$C$29, 21.5154, 21.5109) * CHOOSE(CONTROL!$C$12, $D$11, 100%, $F$11)</f>
        <v>17.298381599999999</v>
      </c>
      <c r="K717" s="4"/>
      <c r="L717" s="9">
        <v>29.520499999999998</v>
      </c>
      <c r="M717" s="9">
        <v>12.063700000000001</v>
      </c>
      <c r="N717" s="9">
        <v>4.9444999999999997</v>
      </c>
      <c r="O717" s="9">
        <v>0.37459999999999999</v>
      </c>
      <c r="P717" s="9">
        <v>1.2192000000000001</v>
      </c>
      <c r="Q717" s="9">
        <v>19.688099999999999</v>
      </c>
      <c r="R717" s="9"/>
      <c r="S717" s="11"/>
    </row>
    <row r="718" spans="1:19" ht="15.75">
      <c r="A718" s="13">
        <v>63735</v>
      </c>
      <c r="B718" s="8">
        <f>CHOOSE( CONTROL!$C$29, 22.0981, 22.0934) * CHOOSE(CONTROL!$C$12, $D$11, 100%, $F$11)</f>
        <v>17.7668724</v>
      </c>
      <c r="C718" s="8">
        <f>CHOOSE( CONTROL!$C$29, 22.1085, 22.1038) * CHOOSE(CONTROL!$C$12, $D$11, 100%, $F$11)</f>
        <v>17.775234000000001</v>
      </c>
      <c r="D718" s="8">
        <f>CHOOSE( CONTROL!$C$29, 22.0809, 22.0762) * CHOOSE( CONTROL!$C$12, $D$11, 100%, $F$11)</f>
        <v>17.753043600000002</v>
      </c>
      <c r="E718" s="12">
        <f>CHOOSE( CONTROL!$C$29, 22.0893, 22.0846) * CHOOSE( CONTROL!$C$12, $D$11, 100%, $F$11)</f>
        <v>17.759797200000001</v>
      </c>
      <c r="F718" s="4">
        <f>CHOOSE( CONTROL!$C$29, 23.0625, 23.0578) * CHOOSE(CONTROL!$C$12, $D$11, 100%, $F$11)</f>
        <v>18.542250000000003</v>
      </c>
      <c r="G718" s="8">
        <f>CHOOSE( CONTROL!$C$29, 21.5153, 21.5108) * CHOOSE( CONTROL!$C$12, $D$11, 100%, $F$11)</f>
        <v>17.298301200000001</v>
      </c>
      <c r="H718" s="4">
        <f>CHOOSE( CONTROL!$C$29, 22.4044, 22.3999) * CHOOSE(CONTROL!$C$12, $D$11, 100%, $F$11)</f>
        <v>18.0131376</v>
      </c>
      <c r="I718" s="8">
        <f>CHOOSE( CONTROL!$C$29, 21.2091, 21.2045) * CHOOSE(CONTROL!$C$12, $D$11, 100%, $F$11)</f>
        <v>17.052116399999999</v>
      </c>
      <c r="J718" s="4">
        <f>CHOOSE( CONTROL!$C$29, 21.1696, 21.1651) * CHOOSE(CONTROL!$C$12, $D$11, 100%, $F$11)</f>
        <v>17.020358399999999</v>
      </c>
      <c r="K718" s="4"/>
      <c r="L718" s="9">
        <v>28.568200000000001</v>
      </c>
      <c r="M718" s="9">
        <v>11.6745</v>
      </c>
      <c r="N718" s="9">
        <v>4.7850000000000001</v>
      </c>
      <c r="O718" s="9">
        <v>0.36249999999999999</v>
      </c>
      <c r="P718" s="9">
        <v>1.1798</v>
      </c>
      <c r="Q718" s="9">
        <v>19.053000000000001</v>
      </c>
      <c r="R718" s="9"/>
      <c r="S718" s="11"/>
    </row>
    <row r="719" spans="1:19" ht="15.75">
      <c r="A719" s="13">
        <v>63766</v>
      </c>
      <c r="B719" s="8">
        <f>CHOOSE( CONTROL!$C$29, 23.0485, 23.0438) * CHOOSE(CONTROL!$C$12, $D$11, 100%, $F$11)</f>
        <v>18.530994000000003</v>
      </c>
      <c r="C719" s="8">
        <f>CHOOSE( CONTROL!$C$29, 23.059, 23.0543) * CHOOSE(CONTROL!$C$12, $D$11, 100%, $F$11)</f>
        <v>18.539436000000002</v>
      </c>
      <c r="D719" s="8">
        <f>CHOOSE( CONTROL!$C$29, 23.0505, 23.0458) * CHOOSE( CONTROL!$C$12, $D$11, 100%, $F$11)</f>
        <v>18.532602000000001</v>
      </c>
      <c r="E719" s="12">
        <f>CHOOSE( CONTROL!$C$29, 23.052, 23.0473) * CHOOSE( CONTROL!$C$12, $D$11, 100%, $F$11)</f>
        <v>18.533808000000001</v>
      </c>
      <c r="F719" s="4">
        <f>CHOOSE( CONTROL!$C$29, 24.0401, 24.0354) * CHOOSE(CONTROL!$C$12, $D$11, 100%, $F$11)</f>
        <v>19.328240399999999</v>
      </c>
      <c r="G719" s="8">
        <f>CHOOSE( CONTROL!$C$29, 22.4545, 22.45) * CHOOSE( CONTROL!$C$12, $D$11, 100%, $F$11)</f>
        <v>18.053418000000001</v>
      </c>
      <c r="H719" s="4">
        <f>CHOOSE( CONTROL!$C$29, 23.3574, 23.3528) * CHOOSE(CONTROL!$C$12, $D$11, 100%, $F$11)</f>
        <v>18.7793496</v>
      </c>
      <c r="I719" s="8">
        <f>CHOOSE( CONTROL!$C$29, 22.143, 22.1385) * CHOOSE(CONTROL!$C$12, $D$11, 100%, $F$11)</f>
        <v>17.802972</v>
      </c>
      <c r="J719" s="4">
        <f>CHOOSE( CONTROL!$C$29, 22.0803, 22.0758) * CHOOSE(CONTROL!$C$12, $D$11, 100%, $F$11)</f>
        <v>17.752561200000002</v>
      </c>
      <c r="K719" s="4"/>
      <c r="L719" s="9">
        <v>29.520499999999998</v>
      </c>
      <c r="M719" s="9">
        <v>12.063700000000001</v>
      </c>
      <c r="N719" s="9">
        <v>4.9444999999999997</v>
      </c>
      <c r="O719" s="9">
        <v>0.37459999999999999</v>
      </c>
      <c r="P719" s="9">
        <v>1.2192000000000001</v>
      </c>
      <c r="Q719" s="9">
        <v>19.688099999999999</v>
      </c>
      <c r="R719" s="9"/>
      <c r="S719" s="11"/>
    </row>
    <row r="720" spans="1:19" ht="15.75">
      <c r="A720" s="13">
        <v>63797</v>
      </c>
      <c r="B720" s="8">
        <f>CHOOSE( CONTROL!$C$29, 21.2701, 21.2654) * CHOOSE(CONTROL!$C$12, $D$11, 100%, $F$11)</f>
        <v>17.101160400000001</v>
      </c>
      <c r="C720" s="8">
        <f>CHOOSE( CONTROL!$C$29, 21.2805, 21.2758) * CHOOSE(CONTROL!$C$12, $D$11, 100%, $F$11)</f>
        <v>17.109522000000002</v>
      </c>
      <c r="D720" s="8">
        <f>CHOOSE( CONTROL!$C$29, 21.2754, 21.2707) * CHOOSE( CONTROL!$C$12, $D$11, 100%, $F$11)</f>
        <v>17.105421600000003</v>
      </c>
      <c r="E720" s="12">
        <f>CHOOSE( CONTROL!$C$29, 21.2757, 21.271) * CHOOSE( CONTROL!$C$12, $D$11, 100%, $F$11)</f>
        <v>17.105662800000001</v>
      </c>
      <c r="F720" s="4">
        <f>CHOOSE( CONTROL!$C$29, 22.2669, 22.2622) * CHOOSE(CONTROL!$C$12, $D$11, 100%, $F$11)</f>
        <v>17.9025876</v>
      </c>
      <c r="G720" s="8">
        <f>CHOOSE( CONTROL!$C$29, 20.7231, 20.7185) * CHOOSE( CONTROL!$C$12, $D$11, 100%, $F$11)</f>
        <v>16.661372400000001</v>
      </c>
      <c r="H720" s="4">
        <f>CHOOSE( CONTROL!$C$29, 21.6289, 21.6243) * CHOOSE(CONTROL!$C$12, $D$11, 100%, $F$11)</f>
        <v>17.389635600000002</v>
      </c>
      <c r="I720" s="8">
        <f>CHOOSE( CONTROL!$C$29, 20.4427, 20.4381) * CHOOSE(CONTROL!$C$12, $D$11, 100%, $F$11)</f>
        <v>16.435930800000001</v>
      </c>
      <c r="J720" s="4">
        <f>CHOOSE( CONTROL!$C$29, 20.3762, 20.3717) * CHOOSE(CONTROL!$C$12, $D$11, 100%, $F$11)</f>
        <v>16.382464800000001</v>
      </c>
      <c r="K720" s="4"/>
      <c r="L720" s="9">
        <v>29.520499999999998</v>
      </c>
      <c r="M720" s="9">
        <v>12.063700000000001</v>
      </c>
      <c r="N720" s="9">
        <v>4.9444999999999997</v>
      </c>
      <c r="O720" s="9">
        <v>0.37459999999999999</v>
      </c>
      <c r="P720" s="9">
        <v>1.2192000000000001</v>
      </c>
      <c r="Q720" s="9">
        <v>19.688099999999999</v>
      </c>
      <c r="R720" s="9"/>
      <c r="S720" s="11"/>
    </row>
    <row r="721" spans="1:19" ht="15.75">
      <c r="A721" s="13">
        <v>63827</v>
      </c>
      <c r="B721" s="8">
        <f>CHOOSE( CONTROL!$C$29, 20.8248, 20.8201) * CHOOSE(CONTROL!$C$12, $D$11, 100%, $F$11)</f>
        <v>16.743139200000002</v>
      </c>
      <c r="C721" s="8">
        <f>CHOOSE( CONTROL!$C$29, 20.8352, 20.8305) * CHOOSE(CONTROL!$C$12, $D$11, 100%, $F$11)</f>
        <v>16.751500800000002</v>
      </c>
      <c r="D721" s="8">
        <f>CHOOSE( CONTROL!$C$29, 20.8259, 20.8212) * CHOOSE( CONTROL!$C$12, $D$11, 100%, $F$11)</f>
        <v>16.744023600000002</v>
      </c>
      <c r="E721" s="12">
        <f>CHOOSE( CONTROL!$C$29, 20.8277, 20.823) * CHOOSE( CONTROL!$C$12, $D$11, 100%, $F$11)</f>
        <v>16.7454708</v>
      </c>
      <c r="F721" s="4">
        <f>CHOOSE( CONTROL!$C$29, 21.8137, 21.809) * CHOOSE(CONTROL!$C$12, $D$11, 100%, $F$11)</f>
        <v>17.538214800000002</v>
      </c>
      <c r="G721" s="8">
        <f>CHOOSE( CONTROL!$C$29, 20.2877, 20.2831) * CHOOSE( CONTROL!$C$12, $D$11, 100%, $F$11)</f>
        <v>16.311310800000001</v>
      </c>
      <c r="H721" s="4">
        <f>CHOOSE( CONTROL!$C$29, 21.1872, 21.1826) * CHOOSE(CONTROL!$C$12, $D$11, 100%, $F$11)</f>
        <v>17.034508800000001</v>
      </c>
      <c r="I721" s="8">
        <f>CHOOSE( CONTROL!$C$29, 20.017, 20.0125) * CHOOSE(CONTROL!$C$12, $D$11, 100%, $F$11)</f>
        <v>16.093668000000001</v>
      </c>
      <c r="J721" s="4">
        <f>CHOOSE( CONTROL!$C$29, 19.9495, 19.945) * CHOOSE(CONTROL!$C$12, $D$11, 100%, $F$11)</f>
        <v>16.039398000000002</v>
      </c>
      <c r="K721" s="4"/>
      <c r="L721" s="9">
        <v>28.568200000000001</v>
      </c>
      <c r="M721" s="9">
        <v>11.6745</v>
      </c>
      <c r="N721" s="9">
        <v>4.7850000000000001</v>
      </c>
      <c r="O721" s="9">
        <v>0.36249999999999999</v>
      </c>
      <c r="P721" s="9">
        <v>1.1798</v>
      </c>
      <c r="Q721" s="9">
        <v>19.053000000000001</v>
      </c>
      <c r="R721" s="9"/>
      <c r="S721" s="11"/>
    </row>
    <row r="722" spans="1:19" ht="15.75">
      <c r="A722" s="13">
        <v>63858</v>
      </c>
      <c r="B722" s="8">
        <f>21.7447 * CHOOSE(CONTROL!$C$12, $D$11, 100%, $F$11)</f>
        <v>17.482738800000003</v>
      </c>
      <c r="C722" s="8">
        <f>21.7552 * CHOOSE(CONTROL!$C$12, $D$11, 100%, $F$11)</f>
        <v>17.491180799999999</v>
      </c>
      <c r="D722" s="8">
        <f>21.7467 * CHOOSE( CONTROL!$C$12, $D$11, 100%, $F$11)</f>
        <v>17.484346800000001</v>
      </c>
      <c r="E722" s="12">
        <f>21.7484 * CHOOSE( CONTROL!$C$12, $D$11, 100%, $F$11)</f>
        <v>17.4857136</v>
      </c>
      <c r="F722" s="4">
        <f>22.7337 * CHOOSE(CONTROL!$C$12, $D$11, 100%, $F$11)</f>
        <v>18.277894799999999</v>
      </c>
      <c r="G722" s="8">
        <f>21.1841 * CHOOSE( CONTROL!$C$12, $D$11, 100%, $F$11)</f>
        <v>17.032016400000003</v>
      </c>
      <c r="H722" s="4">
        <f>22.0839 * CHOOSE(CONTROL!$C$12, $D$11, 100%, $F$11)</f>
        <v>17.755455600000001</v>
      </c>
      <c r="I722" s="8">
        <f>20.901 * CHOOSE(CONTROL!$C$12, $D$11, 100%, $F$11)</f>
        <v>16.804404000000002</v>
      </c>
      <c r="J722" s="4">
        <f>20.831 * CHOOSE(CONTROL!$C$12, $D$11, 100%, $F$11)</f>
        <v>16.748124000000001</v>
      </c>
      <c r="K722" s="4"/>
      <c r="L722" s="9">
        <v>28.921800000000001</v>
      </c>
      <c r="M722" s="9">
        <v>12.063700000000001</v>
      </c>
      <c r="N722" s="9">
        <v>4.9444999999999997</v>
      </c>
      <c r="O722" s="9">
        <v>0.37459999999999999</v>
      </c>
      <c r="P722" s="9">
        <v>1.2192000000000001</v>
      </c>
      <c r="Q722" s="9">
        <v>19.688099999999999</v>
      </c>
      <c r="R722" s="9"/>
      <c r="S722" s="11"/>
    </row>
    <row r="723" spans="1:19" ht="15.75">
      <c r="A723" s="13">
        <v>63888</v>
      </c>
      <c r="B723" s="8">
        <f>23.4515 * CHOOSE(CONTROL!$C$12, $D$11, 100%, $F$11)</f>
        <v>18.855005999999999</v>
      </c>
      <c r="C723" s="8">
        <f>23.4619 * CHOOSE(CONTROL!$C$12, $D$11, 100%, $F$11)</f>
        <v>18.8633676</v>
      </c>
      <c r="D723" s="8">
        <f>23.4422 * CHOOSE( CONTROL!$C$12, $D$11, 100%, $F$11)</f>
        <v>18.847528799999999</v>
      </c>
      <c r="E723" s="12">
        <f>23.4483 * CHOOSE( CONTROL!$C$12, $D$11, 100%, $F$11)</f>
        <v>18.8524332</v>
      </c>
      <c r="F723" s="4">
        <f>24.4431 * CHOOSE(CONTROL!$C$12, $D$11, 100%, $F$11)</f>
        <v>19.652252400000002</v>
      </c>
      <c r="G723" s="8">
        <f>22.8668 * CHOOSE( CONTROL!$C$12, $D$11, 100%, $F$11)</f>
        <v>18.384907200000001</v>
      </c>
      <c r="H723" s="4">
        <f>23.7502 * CHOOSE(CONTROL!$C$12, $D$11, 100%, $F$11)</f>
        <v>19.095160800000002</v>
      </c>
      <c r="I723" s="8">
        <f>22.5675 * CHOOSE(CONTROL!$C$12, $D$11, 100%, $F$11)</f>
        <v>18.144269999999999</v>
      </c>
      <c r="J723" s="4">
        <f>22.4665 * CHOOSE(CONTROL!$C$12, $D$11, 100%, $F$11)</f>
        <v>18.063066000000003</v>
      </c>
      <c r="K723" s="4"/>
      <c r="L723" s="9">
        <v>26.515499999999999</v>
      </c>
      <c r="M723" s="9">
        <v>11.6745</v>
      </c>
      <c r="N723" s="9">
        <v>4.7850000000000001</v>
      </c>
      <c r="O723" s="9">
        <v>0.36249999999999999</v>
      </c>
      <c r="P723" s="9">
        <v>1.2522</v>
      </c>
      <c r="Q723" s="9">
        <v>19.053000000000001</v>
      </c>
      <c r="R723" s="9"/>
      <c r="S723" s="11"/>
    </row>
    <row r="724" spans="1:19" ht="15.75">
      <c r="A724" s="13">
        <v>63919</v>
      </c>
      <c r="B724" s="8">
        <f>23.4089 * CHOOSE(CONTROL!$C$12, $D$11, 100%, $F$11)</f>
        <v>18.820755600000002</v>
      </c>
      <c r="C724" s="8">
        <f>23.4193 * CHOOSE(CONTROL!$C$12, $D$11, 100%, $F$11)</f>
        <v>18.829117200000002</v>
      </c>
      <c r="D724" s="8">
        <f>23.4015 * CHOOSE( CONTROL!$C$12, $D$11, 100%, $F$11)</f>
        <v>18.814806000000001</v>
      </c>
      <c r="E724" s="12">
        <f>23.4069 * CHOOSE( CONTROL!$C$12, $D$11, 100%, $F$11)</f>
        <v>18.819147600000001</v>
      </c>
      <c r="F724" s="4">
        <f>24.4005 * CHOOSE(CONTROL!$C$12, $D$11, 100%, $F$11)</f>
        <v>19.618002000000001</v>
      </c>
      <c r="G724" s="8">
        <f>22.8267 * CHOOSE( CONTROL!$C$12, $D$11, 100%, $F$11)</f>
        <v>18.352666800000002</v>
      </c>
      <c r="H724" s="4">
        <f>23.7086 * CHOOSE(CONTROL!$C$12, $D$11, 100%, $F$11)</f>
        <v>19.061714400000003</v>
      </c>
      <c r="I724" s="8">
        <f>22.5335 * CHOOSE(CONTROL!$C$12, $D$11, 100%, $F$11)</f>
        <v>18.116934000000001</v>
      </c>
      <c r="J724" s="4">
        <f>22.4256 * CHOOSE(CONTROL!$C$12, $D$11, 100%, $F$11)</f>
        <v>18.030182400000001</v>
      </c>
      <c r="K724" s="4"/>
      <c r="L724" s="9">
        <v>27.3993</v>
      </c>
      <c r="M724" s="9">
        <v>12.063700000000001</v>
      </c>
      <c r="N724" s="9">
        <v>4.9444999999999997</v>
      </c>
      <c r="O724" s="9">
        <v>0.37459999999999999</v>
      </c>
      <c r="P724" s="9">
        <v>1.2939000000000001</v>
      </c>
      <c r="Q724" s="9">
        <v>19.688099999999999</v>
      </c>
      <c r="R724" s="9"/>
      <c r="S724" s="11"/>
    </row>
    <row r="725" spans="1:19" ht="15.75">
      <c r="A725" s="13">
        <v>63950</v>
      </c>
      <c r="B725" s="8">
        <f>24.3033 * CHOOSE(CONTROL!$C$12, $D$11, 100%, $F$11)</f>
        <v>19.5398532</v>
      </c>
      <c r="C725" s="8">
        <f>24.3138 * CHOOSE(CONTROL!$C$12, $D$11, 100%, $F$11)</f>
        <v>19.548295200000002</v>
      </c>
      <c r="D725" s="8">
        <f>24.3114 * CHOOSE( CONTROL!$C$12, $D$11, 100%, $F$11)</f>
        <v>19.546365600000001</v>
      </c>
      <c r="E725" s="12">
        <f>24.3112 * CHOOSE( CONTROL!$C$12, $D$11, 100%, $F$11)</f>
        <v>19.546204800000002</v>
      </c>
      <c r="F725" s="4">
        <f>25.3262 * CHOOSE(CONTROL!$C$12, $D$11, 100%, $F$11)</f>
        <v>20.362264800000002</v>
      </c>
      <c r="G725" s="8">
        <f>23.7177 * CHOOSE( CONTROL!$C$12, $D$11, 100%, $F$11)</f>
        <v>19.0690308</v>
      </c>
      <c r="H725" s="4">
        <f>24.6111 * CHOOSE(CONTROL!$C$12, $D$11, 100%, $F$11)</f>
        <v>19.787324400000003</v>
      </c>
      <c r="I725" s="8">
        <f>23.4029 * CHOOSE(CONTROL!$C$12, $D$11, 100%, $F$11)</f>
        <v>18.815931599999999</v>
      </c>
      <c r="J725" s="4">
        <f>23.2827 * CHOOSE(CONTROL!$C$12, $D$11, 100%, $F$11)</f>
        <v>18.7192908</v>
      </c>
      <c r="K725" s="4"/>
      <c r="L725" s="9">
        <v>27.3993</v>
      </c>
      <c r="M725" s="9">
        <v>12.063700000000001</v>
      </c>
      <c r="N725" s="9">
        <v>4.9444999999999997</v>
      </c>
      <c r="O725" s="9">
        <v>0.37459999999999999</v>
      </c>
      <c r="P725" s="9">
        <v>1.2939000000000001</v>
      </c>
      <c r="Q725" s="9">
        <v>19.688099999999999</v>
      </c>
      <c r="R725" s="9"/>
      <c r="S725" s="11"/>
    </row>
    <row r="726" spans="1:19" ht="15.75">
      <c r="A726" s="13">
        <v>63978</v>
      </c>
      <c r="B726" s="8">
        <f>22.7325 * CHOOSE(CONTROL!$C$12, $D$11, 100%, $F$11)</f>
        <v>18.276930000000004</v>
      </c>
      <c r="C726" s="8">
        <f>22.7429 * CHOOSE(CONTROL!$C$12, $D$11, 100%, $F$11)</f>
        <v>18.285291600000001</v>
      </c>
      <c r="D726" s="8">
        <f>22.7429 * CHOOSE( CONTROL!$C$12, $D$11, 100%, $F$11)</f>
        <v>18.285291600000001</v>
      </c>
      <c r="E726" s="12">
        <f>22.7418 * CHOOSE( CONTROL!$C$12, $D$11, 100%, $F$11)</f>
        <v>18.2844072</v>
      </c>
      <c r="F726" s="4">
        <f>23.7476 * CHOOSE(CONTROL!$C$12, $D$11, 100%, $F$11)</f>
        <v>19.093070399999998</v>
      </c>
      <c r="G726" s="8">
        <f>22.1863 * CHOOSE( CONTROL!$C$12, $D$11, 100%, $F$11)</f>
        <v>17.837785199999999</v>
      </c>
      <c r="H726" s="4">
        <f>23.0722 * CHOOSE(CONTROL!$C$12, $D$11, 100%, $F$11)</f>
        <v>18.550048799999999</v>
      </c>
      <c r="I726" s="8">
        <f>21.8861 * CHOOSE(CONTROL!$C$12, $D$11, 100%, $F$11)</f>
        <v>17.5964244</v>
      </c>
      <c r="J726" s="4">
        <f>21.7775 * CHOOSE(CONTROL!$C$12, $D$11, 100%, $F$11)</f>
        <v>17.50911</v>
      </c>
      <c r="K726" s="4"/>
      <c r="L726" s="9">
        <v>24.747800000000002</v>
      </c>
      <c r="M726" s="9">
        <v>10.8962</v>
      </c>
      <c r="N726" s="9">
        <v>4.4660000000000002</v>
      </c>
      <c r="O726" s="9">
        <v>0.33829999999999999</v>
      </c>
      <c r="P726" s="9">
        <v>1.1687000000000001</v>
      </c>
      <c r="Q726" s="9">
        <v>17.782800000000002</v>
      </c>
      <c r="R726" s="9"/>
      <c r="S726" s="11"/>
    </row>
    <row r="727" spans="1:19" ht="15.75">
      <c r="A727" s="13">
        <v>64009</v>
      </c>
      <c r="B727" s="8">
        <f>22.2487 * CHOOSE(CONTROL!$C$12, $D$11, 100%, $F$11)</f>
        <v>17.887954799999999</v>
      </c>
      <c r="C727" s="8">
        <f>22.2591 * CHOOSE(CONTROL!$C$12, $D$11, 100%, $F$11)</f>
        <v>17.8963164</v>
      </c>
      <c r="D727" s="8">
        <f>22.239 * CHOOSE( CONTROL!$C$12, $D$11, 100%, $F$11)</f>
        <v>17.880156000000003</v>
      </c>
      <c r="E727" s="12">
        <f>22.2452 * CHOOSE( CONTROL!$C$12, $D$11, 100%, $F$11)</f>
        <v>17.885140800000002</v>
      </c>
      <c r="F727" s="4">
        <f>23.2476 * CHOOSE(CONTROL!$C$12, $D$11, 100%, $F$11)</f>
        <v>18.691070400000001</v>
      </c>
      <c r="G727" s="8">
        <f>21.6942 * CHOOSE( CONTROL!$C$12, $D$11, 100%, $F$11)</f>
        <v>17.4421368</v>
      </c>
      <c r="H727" s="4">
        <f>22.5848 * CHOOSE(CONTROL!$C$12, $D$11, 100%, $F$11)</f>
        <v>18.158179200000003</v>
      </c>
      <c r="I727" s="8">
        <f>21.3827 * CHOOSE(CONTROL!$C$12, $D$11, 100%, $F$11)</f>
        <v>17.1916908</v>
      </c>
      <c r="J727" s="4">
        <f>21.3139 * CHOOSE(CONTROL!$C$12, $D$11, 100%, $F$11)</f>
        <v>17.136375600000001</v>
      </c>
      <c r="K727" s="4"/>
      <c r="L727" s="9">
        <v>27.3993</v>
      </c>
      <c r="M727" s="9">
        <v>12.063700000000001</v>
      </c>
      <c r="N727" s="9">
        <v>4.9444999999999997</v>
      </c>
      <c r="O727" s="9">
        <v>0.37459999999999999</v>
      </c>
      <c r="P727" s="9">
        <v>1.2939000000000001</v>
      </c>
      <c r="Q727" s="9">
        <v>19.688099999999999</v>
      </c>
      <c r="R727" s="9"/>
      <c r="S727" s="11"/>
    </row>
    <row r="728" spans="1:19" ht="15.75">
      <c r="A728" s="13">
        <v>64039</v>
      </c>
      <c r="B728" s="8">
        <f>22.5868 * CHOOSE(CONTROL!$C$12, $D$11, 100%, $F$11)</f>
        <v>18.1597872</v>
      </c>
      <c r="C728" s="8">
        <f>22.5972 * CHOOSE(CONTROL!$C$12, $D$11, 100%, $F$11)</f>
        <v>18.168148800000001</v>
      </c>
      <c r="D728" s="8">
        <f>22.6004 * CHOOSE( CONTROL!$C$12, $D$11, 100%, $F$11)</f>
        <v>18.1707216</v>
      </c>
      <c r="E728" s="12">
        <f>22.5982 * CHOOSE( CONTROL!$C$12, $D$11, 100%, $F$11)</f>
        <v>18.1689528</v>
      </c>
      <c r="F728" s="4">
        <f>23.594 * CHOOSE(CONTROL!$C$12, $D$11, 100%, $F$11)</f>
        <v>18.969576000000004</v>
      </c>
      <c r="G728" s="8">
        <f>22.0117 * CHOOSE( CONTROL!$C$12, $D$11, 100%, $F$11)</f>
        <v>17.697406800000003</v>
      </c>
      <c r="H728" s="4">
        <f>22.9225 * CHOOSE(CONTROL!$C$12, $D$11, 100%, $F$11)</f>
        <v>18.429690000000001</v>
      </c>
      <c r="I728" s="8">
        <f>21.6969 * CHOOSE(CONTROL!$C$12, $D$11, 100%, $F$11)</f>
        <v>17.444307600000002</v>
      </c>
      <c r="J728" s="4">
        <f>21.6379 * CHOOSE(CONTROL!$C$12, $D$11, 100%, $F$11)</f>
        <v>17.396871600000001</v>
      </c>
      <c r="K728" s="4"/>
      <c r="L728" s="9">
        <v>27.988800000000001</v>
      </c>
      <c r="M728" s="9">
        <v>11.6745</v>
      </c>
      <c r="N728" s="9">
        <v>4.7850000000000001</v>
      </c>
      <c r="O728" s="9">
        <v>0.36249999999999999</v>
      </c>
      <c r="P728" s="9">
        <v>1.1798</v>
      </c>
      <c r="Q728" s="9">
        <v>19.053000000000001</v>
      </c>
      <c r="R728" s="9"/>
      <c r="S728" s="11"/>
    </row>
    <row r="729" spans="1:19" ht="15.75">
      <c r="A729" s="13">
        <v>64070</v>
      </c>
      <c r="B729" s="8">
        <f>CHOOSE( CONTROL!$C$29, 23.1932, 23.1885) * CHOOSE(CONTROL!$C$12, $D$11, 100%, $F$11)</f>
        <v>18.647332800000001</v>
      </c>
      <c r="C729" s="8">
        <f>CHOOSE( CONTROL!$C$29, 23.2036, 23.1989) * CHOOSE(CONTROL!$C$12, $D$11, 100%, $F$11)</f>
        <v>18.655694400000002</v>
      </c>
      <c r="D729" s="8">
        <f>CHOOSE( CONTROL!$C$29, 23.1816, 23.1768) * CHOOSE( CONTROL!$C$12, $D$11, 100%, $F$11)</f>
        <v>18.638006400000002</v>
      </c>
      <c r="E729" s="12">
        <f>CHOOSE( CONTROL!$C$29, 23.188, 23.1832) * CHOOSE( CONTROL!$C$12, $D$11, 100%, $F$11)</f>
        <v>18.643152000000001</v>
      </c>
      <c r="F729" s="4">
        <f>CHOOSE( CONTROL!$C$29, 24.1681, 24.1634) * CHOOSE(CONTROL!$C$12, $D$11, 100%, $F$11)</f>
        <v>19.431152400000002</v>
      </c>
      <c r="G729" s="8">
        <f>CHOOSE( CONTROL!$C$29, 22.5841, 22.5795) * CHOOSE( CONTROL!$C$12, $D$11, 100%, $F$11)</f>
        <v>18.157616400000002</v>
      </c>
      <c r="H729" s="4">
        <f>CHOOSE( CONTROL!$C$29, 23.4821, 23.4775) * CHOOSE(CONTROL!$C$12, $D$11, 100%, $F$11)</f>
        <v>18.879608399999999</v>
      </c>
      <c r="I729" s="8">
        <f>CHOOSE( CONTROL!$C$29, 22.2567, 22.2522) * CHOOSE(CONTROL!$C$12, $D$11, 100%, $F$11)</f>
        <v>17.894386799999999</v>
      </c>
      <c r="J729" s="4">
        <f>CHOOSE( CONTROL!$C$29, 22.2189, 22.2144) * CHOOSE(CONTROL!$C$12, $D$11, 100%, $F$11)</f>
        <v>17.863995600000003</v>
      </c>
      <c r="K729" s="4"/>
      <c r="L729" s="9">
        <v>29.520499999999998</v>
      </c>
      <c r="M729" s="9">
        <v>12.063700000000001</v>
      </c>
      <c r="N729" s="9">
        <v>4.9444999999999997</v>
      </c>
      <c r="O729" s="9">
        <v>0.37459999999999999</v>
      </c>
      <c r="P729" s="9">
        <v>1.2192000000000001</v>
      </c>
      <c r="Q729" s="9">
        <v>19.688099999999999</v>
      </c>
      <c r="R729" s="9"/>
      <c r="S729" s="11"/>
    </row>
    <row r="730" spans="1:19" ht="15.75">
      <c r="A730" s="13">
        <v>64100</v>
      </c>
      <c r="B730" s="8">
        <f>CHOOSE( CONTROL!$C$29, 22.8204, 22.8157) * CHOOSE(CONTROL!$C$12, $D$11, 100%, $F$11)</f>
        <v>18.347601600000001</v>
      </c>
      <c r="C730" s="8">
        <f>CHOOSE( CONTROL!$C$29, 22.8309, 22.8262) * CHOOSE(CONTROL!$C$12, $D$11, 100%, $F$11)</f>
        <v>18.3560436</v>
      </c>
      <c r="D730" s="8">
        <f>CHOOSE( CONTROL!$C$29, 22.8032, 22.7985) * CHOOSE( CONTROL!$C$12, $D$11, 100%, $F$11)</f>
        <v>18.333772800000002</v>
      </c>
      <c r="E730" s="12">
        <f>CHOOSE( CONTROL!$C$29, 22.8116, 22.8069) * CHOOSE( CONTROL!$C$12, $D$11, 100%, $F$11)</f>
        <v>18.340526400000002</v>
      </c>
      <c r="F730" s="4">
        <f>CHOOSE( CONTROL!$C$29, 23.7849, 23.7802) * CHOOSE(CONTROL!$C$12, $D$11, 100%, $F$11)</f>
        <v>19.123059600000001</v>
      </c>
      <c r="G730" s="8">
        <f>CHOOSE( CONTROL!$C$29, 22.2195, 22.2149) * CHOOSE( CONTROL!$C$12, $D$11, 100%, $F$11)</f>
        <v>17.864478000000002</v>
      </c>
      <c r="H730" s="4">
        <f>CHOOSE( CONTROL!$C$29, 23.1086, 23.104) * CHOOSE(CONTROL!$C$12, $D$11, 100%, $F$11)</f>
        <v>18.579314400000001</v>
      </c>
      <c r="I730" s="8">
        <f>CHOOSE( CONTROL!$C$29, 21.9016, 21.8971) * CHOOSE(CONTROL!$C$12, $D$11, 100%, $F$11)</f>
        <v>17.608886399999999</v>
      </c>
      <c r="J730" s="4">
        <f>CHOOSE( CONTROL!$C$29, 21.8618, 21.8573) * CHOOSE(CONTROL!$C$12, $D$11, 100%, $F$11)</f>
        <v>17.576887200000002</v>
      </c>
      <c r="K730" s="4"/>
      <c r="L730" s="9">
        <v>28.568200000000001</v>
      </c>
      <c r="M730" s="9">
        <v>11.6745</v>
      </c>
      <c r="N730" s="9">
        <v>4.7850000000000001</v>
      </c>
      <c r="O730" s="9">
        <v>0.36249999999999999</v>
      </c>
      <c r="P730" s="9">
        <v>1.1798</v>
      </c>
      <c r="Q730" s="9">
        <v>19.053000000000001</v>
      </c>
      <c r="R730" s="9"/>
      <c r="S730" s="11"/>
    </row>
    <row r="731" spans="1:19" ht="15.75">
      <c r="A731" s="13">
        <v>64131</v>
      </c>
      <c r="B731" s="8">
        <f>CHOOSE( CONTROL!$C$29, 23.802, 23.7973) * CHOOSE(CONTROL!$C$12, $D$11, 100%, $F$11)</f>
        <v>19.136808000000002</v>
      </c>
      <c r="C731" s="8">
        <f>CHOOSE( CONTROL!$C$29, 23.8124, 23.8077) * CHOOSE(CONTROL!$C$12, $D$11, 100%, $F$11)</f>
        <v>19.145169600000003</v>
      </c>
      <c r="D731" s="8">
        <f>CHOOSE( CONTROL!$C$29, 23.804, 23.7993) * CHOOSE( CONTROL!$C$12, $D$11, 100%, $F$11)</f>
        <v>19.138415999999999</v>
      </c>
      <c r="E731" s="12">
        <f>CHOOSE( CONTROL!$C$29, 23.8055, 23.8008) * CHOOSE( CONTROL!$C$12, $D$11, 100%, $F$11)</f>
        <v>19.139621999999999</v>
      </c>
      <c r="F731" s="4">
        <f>CHOOSE( CONTROL!$C$29, 24.7936, 24.7889) * CHOOSE(CONTROL!$C$12, $D$11, 100%, $F$11)</f>
        <v>19.934054400000001</v>
      </c>
      <c r="G731" s="8">
        <f>CHOOSE( CONTROL!$C$29, 23.189, 23.1844) * CHOOSE( CONTROL!$C$12, $D$11, 100%, $F$11)</f>
        <v>18.643956000000003</v>
      </c>
      <c r="H731" s="4">
        <f>CHOOSE( CONTROL!$C$29, 24.0918, 24.0872) * CHOOSE(CONTROL!$C$12, $D$11, 100%, $F$11)</f>
        <v>19.3698072</v>
      </c>
      <c r="I731" s="8">
        <f>CHOOSE( CONTROL!$C$29, 22.8653, 22.8608) * CHOOSE(CONTROL!$C$12, $D$11, 100%, $F$11)</f>
        <v>18.383701200000001</v>
      </c>
      <c r="J731" s="4">
        <f>CHOOSE( CONTROL!$C$29, 22.8023, 22.7978) * CHOOSE(CONTROL!$C$12, $D$11, 100%, $F$11)</f>
        <v>18.333049200000001</v>
      </c>
      <c r="K731" s="4"/>
      <c r="L731" s="9">
        <v>29.520499999999998</v>
      </c>
      <c r="M731" s="9">
        <v>12.063700000000001</v>
      </c>
      <c r="N731" s="9">
        <v>4.9444999999999997</v>
      </c>
      <c r="O731" s="9">
        <v>0.37459999999999999</v>
      </c>
      <c r="P731" s="9">
        <v>1.2192000000000001</v>
      </c>
      <c r="Q731" s="9">
        <v>19.688099999999999</v>
      </c>
      <c r="R731" s="9"/>
      <c r="S731" s="11"/>
    </row>
    <row r="732" spans="1:19" ht="15.75">
      <c r="A732" s="13">
        <v>64162</v>
      </c>
      <c r="B732" s="8">
        <f>CHOOSE( CONTROL!$C$29, 21.9654, 21.9607) * CHOOSE(CONTROL!$C$12, $D$11, 100%, $F$11)</f>
        <v>17.660181600000001</v>
      </c>
      <c r="C732" s="8">
        <f>CHOOSE( CONTROL!$C$29, 21.9758, 21.9711) * CHOOSE(CONTROL!$C$12, $D$11, 100%, $F$11)</f>
        <v>17.668543200000002</v>
      </c>
      <c r="D732" s="8">
        <f>CHOOSE( CONTROL!$C$29, 21.9707, 21.966) * CHOOSE( CONTROL!$C$12, $D$11, 100%, $F$11)</f>
        <v>17.664442800000003</v>
      </c>
      <c r="E732" s="12">
        <f>CHOOSE( CONTROL!$C$29, 21.971, 21.9663) * CHOOSE( CONTROL!$C$12, $D$11, 100%, $F$11)</f>
        <v>17.664684000000001</v>
      </c>
      <c r="F732" s="4">
        <f>CHOOSE( CONTROL!$C$29, 22.9622, 22.9575) * CHOOSE(CONTROL!$C$12, $D$11, 100%, $F$11)</f>
        <v>18.4616088</v>
      </c>
      <c r="G732" s="8">
        <f>CHOOSE( CONTROL!$C$29, 21.4008, 21.3962) * CHOOSE( CONTROL!$C$12, $D$11, 100%, $F$11)</f>
        <v>17.206243200000003</v>
      </c>
      <c r="H732" s="4">
        <f>CHOOSE( CONTROL!$C$29, 22.3067, 22.3021) * CHOOSE(CONTROL!$C$12, $D$11, 100%, $F$11)</f>
        <v>17.934586800000002</v>
      </c>
      <c r="I732" s="8">
        <f>CHOOSE( CONTROL!$C$29, 21.1092, 21.1047) * CHOOSE(CONTROL!$C$12, $D$11, 100%, $F$11)</f>
        <v>16.971796800000003</v>
      </c>
      <c r="J732" s="4">
        <f>CHOOSE( CONTROL!$C$29, 21.0425, 21.038) * CHOOSE(CONTROL!$C$12, $D$11, 100%, $F$11)</f>
        <v>16.91817</v>
      </c>
      <c r="K732" s="4"/>
      <c r="L732" s="9">
        <v>29.520499999999998</v>
      </c>
      <c r="M732" s="9">
        <v>12.063700000000001</v>
      </c>
      <c r="N732" s="9">
        <v>4.9444999999999997</v>
      </c>
      <c r="O732" s="9">
        <v>0.37459999999999999</v>
      </c>
      <c r="P732" s="9">
        <v>1.2192000000000001</v>
      </c>
      <c r="Q732" s="9">
        <v>19.688099999999999</v>
      </c>
      <c r="R732" s="9"/>
      <c r="S732" s="11"/>
    </row>
    <row r="733" spans="1:19" ht="15.75">
      <c r="A733" s="13">
        <v>64192</v>
      </c>
      <c r="B733" s="8">
        <f>CHOOSE( CONTROL!$C$29, 21.5055, 21.5008) * CHOOSE(CONTROL!$C$12, $D$11, 100%, $F$11)</f>
        <v>17.290422000000003</v>
      </c>
      <c r="C733" s="8">
        <f>CHOOSE( CONTROL!$C$29, 21.5159, 21.5112) * CHOOSE(CONTROL!$C$12, $D$11, 100%, $F$11)</f>
        <v>17.2987836</v>
      </c>
      <c r="D733" s="8">
        <f>CHOOSE( CONTROL!$C$29, 21.5066, 21.5019) * CHOOSE( CONTROL!$C$12, $D$11, 100%, $F$11)</f>
        <v>17.2913064</v>
      </c>
      <c r="E733" s="12">
        <f>CHOOSE( CONTROL!$C$29, 21.5084, 21.5037) * CHOOSE( CONTROL!$C$12, $D$11, 100%, $F$11)</f>
        <v>17.292753600000001</v>
      </c>
      <c r="F733" s="4">
        <f>CHOOSE( CONTROL!$C$29, 22.4945, 22.4898) * CHOOSE(CONTROL!$C$12, $D$11, 100%, $F$11)</f>
        <v>18.085578000000002</v>
      </c>
      <c r="G733" s="8">
        <f>CHOOSE( CONTROL!$C$29, 20.9512, 20.9467) * CHOOSE( CONTROL!$C$12, $D$11, 100%, $F$11)</f>
        <v>16.8447648</v>
      </c>
      <c r="H733" s="4">
        <f>CHOOSE( CONTROL!$C$29, 21.8507, 21.8461) * CHOOSE(CONTROL!$C$12, $D$11, 100%, $F$11)</f>
        <v>17.5679628</v>
      </c>
      <c r="I733" s="8">
        <f>CHOOSE( CONTROL!$C$29, 20.6696, 20.6651) * CHOOSE(CONTROL!$C$12, $D$11, 100%, $F$11)</f>
        <v>16.618358400000002</v>
      </c>
      <c r="J733" s="4">
        <f>CHOOSE( CONTROL!$C$29, 20.6018, 20.5973) * CHOOSE(CONTROL!$C$12, $D$11, 100%, $F$11)</f>
        <v>16.563847200000001</v>
      </c>
      <c r="K733" s="4"/>
      <c r="L733" s="9">
        <v>28.568200000000001</v>
      </c>
      <c r="M733" s="9">
        <v>11.6745</v>
      </c>
      <c r="N733" s="9">
        <v>4.7850000000000001</v>
      </c>
      <c r="O733" s="9">
        <v>0.36249999999999999</v>
      </c>
      <c r="P733" s="9">
        <v>1.1798</v>
      </c>
      <c r="Q733" s="9">
        <v>19.053000000000001</v>
      </c>
      <c r="R733" s="9"/>
      <c r="S733" s="11"/>
    </row>
    <row r="734" spans="1:19" ht="15.75">
      <c r="A734" s="13">
        <v>64223</v>
      </c>
      <c r="B734" s="8">
        <f>22.4557 * CHOOSE(CONTROL!$C$12, $D$11, 100%, $F$11)</f>
        <v>18.054382800000003</v>
      </c>
      <c r="C734" s="8">
        <f>22.4661 * CHOOSE(CONTROL!$C$12, $D$11, 100%, $F$11)</f>
        <v>18.062744400000003</v>
      </c>
      <c r="D734" s="8">
        <f>22.4577 * CHOOSE( CONTROL!$C$12, $D$11, 100%, $F$11)</f>
        <v>18.0559908</v>
      </c>
      <c r="E734" s="12">
        <f>22.4594 * CHOOSE( CONTROL!$C$12, $D$11, 100%, $F$11)</f>
        <v>18.0573576</v>
      </c>
      <c r="F734" s="4">
        <f>23.4447 * CHOOSE(CONTROL!$C$12, $D$11, 100%, $F$11)</f>
        <v>18.849538800000001</v>
      </c>
      <c r="G734" s="8">
        <f>21.8771 * CHOOSE( CONTROL!$C$12, $D$11, 100%, $F$11)</f>
        <v>17.589188400000001</v>
      </c>
      <c r="H734" s="4">
        <f>22.777 * CHOOSE(CONTROL!$C$12, $D$11, 100%, $F$11)</f>
        <v>18.312708000000001</v>
      </c>
      <c r="I734" s="8">
        <f>21.5826 * CHOOSE(CONTROL!$C$12, $D$11, 100%, $F$11)</f>
        <v>17.3524104</v>
      </c>
      <c r="J734" s="4">
        <f>21.5123 * CHOOSE(CONTROL!$C$12, $D$11, 100%, $F$11)</f>
        <v>17.295889200000001</v>
      </c>
      <c r="K734" s="4"/>
      <c r="L734" s="9">
        <v>28.921800000000001</v>
      </c>
      <c r="M734" s="9">
        <v>12.063700000000001</v>
      </c>
      <c r="N734" s="9">
        <v>4.9444999999999997</v>
      </c>
      <c r="O734" s="9">
        <v>0.37459999999999999</v>
      </c>
      <c r="P734" s="9">
        <v>1.2192000000000001</v>
      </c>
      <c r="Q734" s="9">
        <v>19.688099999999999</v>
      </c>
      <c r="R734" s="9"/>
      <c r="S734" s="11"/>
    </row>
    <row r="735" spans="1:19" ht="15.75">
      <c r="A735" s="13">
        <v>64253</v>
      </c>
      <c r="B735" s="8">
        <f>24.2183 * CHOOSE(CONTROL!$C$12, $D$11, 100%, $F$11)</f>
        <v>19.4715132</v>
      </c>
      <c r="C735" s="8">
        <f>24.2287 * CHOOSE(CONTROL!$C$12, $D$11, 100%, $F$11)</f>
        <v>19.479874800000001</v>
      </c>
      <c r="D735" s="8">
        <f>24.209 * CHOOSE( CONTROL!$C$12, $D$11, 100%, $F$11)</f>
        <v>19.464036</v>
      </c>
      <c r="E735" s="12">
        <f>24.2151 * CHOOSE( CONTROL!$C$12, $D$11, 100%, $F$11)</f>
        <v>19.468940400000001</v>
      </c>
      <c r="F735" s="4">
        <f>25.2099 * CHOOSE(CONTROL!$C$12, $D$11, 100%, $F$11)</f>
        <v>20.268759600000003</v>
      </c>
      <c r="G735" s="8">
        <f>23.6143 * CHOOSE( CONTROL!$C$12, $D$11, 100%, $F$11)</f>
        <v>18.9858972</v>
      </c>
      <c r="H735" s="4">
        <f>24.4976 * CHOOSE(CONTROL!$C$12, $D$11, 100%, $F$11)</f>
        <v>19.6960704</v>
      </c>
      <c r="I735" s="8">
        <f>23.3026 * CHOOSE(CONTROL!$C$12, $D$11, 100%, $F$11)</f>
        <v>18.735290400000004</v>
      </c>
      <c r="J735" s="4">
        <f>23.2012 * CHOOSE(CONTROL!$C$12, $D$11, 100%, $F$11)</f>
        <v>18.653764800000001</v>
      </c>
      <c r="K735" s="4"/>
      <c r="L735" s="9">
        <v>26.515499999999999</v>
      </c>
      <c r="M735" s="9">
        <v>11.6745</v>
      </c>
      <c r="N735" s="9">
        <v>4.7850000000000001</v>
      </c>
      <c r="O735" s="9">
        <v>0.36249999999999999</v>
      </c>
      <c r="P735" s="9">
        <v>1.2522</v>
      </c>
      <c r="Q735" s="9">
        <v>19.053000000000001</v>
      </c>
      <c r="R735" s="9"/>
      <c r="S735" s="11"/>
    </row>
    <row r="736" spans="1:19" ht="15.75">
      <c r="A736" s="13">
        <v>64284</v>
      </c>
      <c r="B736" s="8">
        <f>24.1743 * CHOOSE(CONTROL!$C$12, $D$11, 100%, $F$11)</f>
        <v>19.436137200000001</v>
      </c>
      <c r="C736" s="8">
        <f>24.1847 * CHOOSE(CONTROL!$C$12, $D$11, 100%, $F$11)</f>
        <v>19.444498800000002</v>
      </c>
      <c r="D736" s="8">
        <f>24.1669 * CHOOSE( CONTROL!$C$12, $D$11, 100%, $F$11)</f>
        <v>19.4301876</v>
      </c>
      <c r="E736" s="12">
        <f>24.1723 * CHOOSE( CONTROL!$C$12, $D$11, 100%, $F$11)</f>
        <v>19.4345292</v>
      </c>
      <c r="F736" s="4">
        <f>25.1659 * CHOOSE(CONTROL!$C$12, $D$11, 100%, $F$11)</f>
        <v>20.233383600000003</v>
      </c>
      <c r="G736" s="8">
        <f>23.5728 * CHOOSE( CONTROL!$C$12, $D$11, 100%, $F$11)</f>
        <v>18.952531200000003</v>
      </c>
      <c r="H736" s="4">
        <f>24.4547 * CHOOSE(CONTROL!$C$12, $D$11, 100%, $F$11)</f>
        <v>19.661578800000001</v>
      </c>
      <c r="I736" s="8">
        <f>23.2672 * CHOOSE(CONTROL!$C$12, $D$11, 100%, $F$11)</f>
        <v>18.7068288</v>
      </c>
      <c r="J736" s="4">
        <f>23.159 * CHOOSE(CONTROL!$C$12, $D$11, 100%, $F$11)</f>
        <v>18.619835999999999</v>
      </c>
      <c r="K736" s="4"/>
      <c r="L736" s="9">
        <v>27.3993</v>
      </c>
      <c r="M736" s="9">
        <v>12.063700000000001</v>
      </c>
      <c r="N736" s="9">
        <v>4.9444999999999997</v>
      </c>
      <c r="O736" s="9">
        <v>0.37459999999999999</v>
      </c>
      <c r="P736" s="9">
        <v>1.2939000000000001</v>
      </c>
      <c r="Q736" s="9">
        <v>19.688099999999999</v>
      </c>
      <c r="R736" s="9"/>
      <c r="S736" s="11"/>
    </row>
    <row r="737" spans="1:19" ht="15.75">
      <c r="A737" s="13">
        <v>64315</v>
      </c>
      <c r="B737" s="8">
        <f>25.098 * CHOOSE(CONTROL!$C$12, $D$11, 100%, $F$11)</f>
        <v>20.178792000000001</v>
      </c>
      <c r="C737" s="8">
        <f>25.1084 * CHOOSE(CONTROL!$C$12, $D$11, 100%, $F$11)</f>
        <v>20.187153600000002</v>
      </c>
      <c r="D737" s="8">
        <f>25.1061 * CHOOSE( CONTROL!$C$12, $D$11, 100%, $F$11)</f>
        <v>20.185304400000003</v>
      </c>
      <c r="E737" s="12">
        <f>25.1058 * CHOOSE( CONTROL!$C$12, $D$11, 100%, $F$11)</f>
        <v>20.185063199999998</v>
      </c>
      <c r="F737" s="4">
        <f>26.1209 * CHOOSE(CONTROL!$C$12, $D$11, 100%, $F$11)</f>
        <v>21.0012036</v>
      </c>
      <c r="G737" s="8">
        <f>24.4923 * CHOOSE( CONTROL!$C$12, $D$11, 100%, $F$11)</f>
        <v>19.691809200000002</v>
      </c>
      <c r="H737" s="4">
        <f>25.3857 * CHOOSE(CONTROL!$C$12, $D$11, 100%, $F$11)</f>
        <v>20.410102800000001</v>
      </c>
      <c r="I737" s="8">
        <f>24.1647 * CHOOSE(CONTROL!$C$12, $D$11, 100%, $F$11)</f>
        <v>19.428418799999999</v>
      </c>
      <c r="J737" s="4">
        <f>24.0441 * CHOOSE(CONTROL!$C$12, $D$11, 100%, $F$11)</f>
        <v>19.3314564</v>
      </c>
      <c r="K737" s="4"/>
      <c r="L737" s="9">
        <v>27.3993</v>
      </c>
      <c r="M737" s="9">
        <v>12.063700000000001</v>
      </c>
      <c r="N737" s="9">
        <v>4.9444999999999997</v>
      </c>
      <c r="O737" s="9">
        <v>0.37459999999999999</v>
      </c>
      <c r="P737" s="9">
        <v>1.2939000000000001</v>
      </c>
      <c r="Q737" s="9">
        <v>19.688099999999999</v>
      </c>
      <c r="R737" s="9"/>
      <c r="S737" s="11"/>
    </row>
    <row r="738" spans="1:19" ht="15.75">
      <c r="A738" s="13">
        <v>64344</v>
      </c>
      <c r="B738" s="8">
        <f>23.4758 * CHOOSE(CONTROL!$C$12, $D$11, 100%, $F$11)</f>
        <v>18.874543200000002</v>
      </c>
      <c r="C738" s="8">
        <f>23.4862 * CHOOSE(CONTROL!$C$12, $D$11, 100%, $F$11)</f>
        <v>18.882904800000002</v>
      </c>
      <c r="D738" s="8">
        <f>23.4862 * CHOOSE( CONTROL!$C$12, $D$11, 100%, $F$11)</f>
        <v>18.882904800000002</v>
      </c>
      <c r="E738" s="12">
        <f>23.4851 * CHOOSE( CONTROL!$C$12, $D$11, 100%, $F$11)</f>
        <v>18.882020400000002</v>
      </c>
      <c r="F738" s="4">
        <f>24.4908 * CHOOSE(CONTROL!$C$12, $D$11, 100%, $F$11)</f>
        <v>19.690603200000002</v>
      </c>
      <c r="G738" s="8">
        <f>22.9108 * CHOOSE( CONTROL!$C$12, $D$11, 100%, $F$11)</f>
        <v>18.4202832</v>
      </c>
      <c r="H738" s="4">
        <f>23.7967 * CHOOSE(CONTROL!$C$12, $D$11, 100%, $F$11)</f>
        <v>19.132546800000004</v>
      </c>
      <c r="I738" s="8">
        <f>22.5986 * CHOOSE(CONTROL!$C$12, $D$11, 100%, $F$11)</f>
        <v>18.169274400000003</v>
      </c>
      <c r="J738" s="4">
        <f>22.4897 * CHOOSE(CONTROL!$C$12, $D$11, 100%, $F$11)</f>
        <v>18.081718800000001</v>
      </c>
      <c r="K738" s="4"/>
      <c r="L738" s="9">
        <v>25.631599999999999</v>
      </c>
      <c r="M738" s="9">
        <v>11.285299999999999</v>
      </c>
      <c r="N738" s="9">
        <v>4.6254999999999997</v>
      </c>
      <c r="O738" s="9">
        <v>0.35039999999999999</v>
      </c>
      <c r="P738" s="9">
        <v>1.2104999999999999</v>
      </c>
      <c r="Q738" s="9">
        <v>18.417899999999999</v>
      </c>
      <c r="R738" s="9"/>
      <c r="S738" s="11"/>
    </row>
    <row r="739" spans="1:19" ht="15.75">
      <c r="A739" s="13">
        <v>64375</v>
      </c>
      <c r="B739" s="8">
        <f>22.9761 * CHOOSE(CONTROL!$C$12, $D$11, 100%, $F$11)</f>
        <v>18.472784400000002</v>
      </c>
      <c r="C739" s="8">
        <f>22.9866 * CHOOSE(CONTROL!$C$12, $D$11, 100%, $F$11)</f>
        <v>18.481226400000001</v>
      </c>
      <c r="D739" s="8">
        <f>22.9664 * CHOOSE( CONTROL!$C$12, $D$11, 100%, $F$11)</f>
        <v>18.464985600000002</v>
      </c>
      <c r="E739" s="12">
        <f>22.9727 * CHOOSE( CONTROL!$C$12, $D$11, 100%, $F$11)</f>
        <v>18.470050799999999</v>
      </c>
      <c r="F739" s="4">
        <f>23.975 * CHOOSE(CONTROL!$C$12, $D$11, 100%, $F$11)</f>
        <v>19.275900000000004</v>
      </c>
      <c r="G739" s="8">
        <f>22.4033 * CHOOSE( CONTROL!$C$12, $D$11, 100%, $F$11)</f>
        <v>18.012253200000004</v>
      </c>
      <c r="H739" s="4">
        <f>23.2939 * CHOOSE(CONTROL!$C$12, $D$11, 100%, $F$11)</f>
        <v>18.728295600000003</v>
      </c>
      <c r="I739" s="8">
        <f>22.0801 * CHOOSE(CONTROL!$C$12, $D$11, 100%, $F$11)</f>
        <v>17.752400400000003</v>
      </c>
      <c r="J739" s="4">
        <f>22.011 * CHOOSE(CONTROL!$C$12, $D$11, 100%, $F$11)</f>
        <v>17.696843999999999</v>
      </c>
      <c r="K739" s="4"/>
      <c r="L739" s="9">
        <v>27.3993</v>
      </c>
      <c r="M739" s="9">
        <v>12.063700000000001</v>
      </c>
      <c r="N739" s="9">
        <v>4.9444999999999997</v>
      </c>
      <c r="O739" s="9">
        <v>0.37459999999999999</v>
      </c>
      <c r="P739" s="9">
        <v>1.2939000000000001</v>
      </c>
      <c r="Q739" s="9">
        <v>19.688099999999999</v>
      </c>
      <c r="R739" s="9"/>
      <c r="S739" s="11"/>
    </row>
    <row r="740" spans="1:19" ht="15.75">
      <c r="A740" s="13">
        <v>64405</v>
      </c>
      <c r="B740" s="8">
        <f>23.3253 * CHOOSE(CONTROL!$C$12, $D$11, 100%, $F$11)</f>
        <v>18.753541200000001</v>
      </c>
      <c r="C740" s="8">
        <f>23.3357 * CHOOSE(CONTROL!$C$12, $D$11, 100%, $F$11)</f>
        <v>18.761902800000001</v>
      </c>
      <c r="D740" s="8">
        <f>23.3389 * CHOOSE( CONTROL!$C$12, $D$11, 100%, $F$11)</f>
        <v>18.764475600000001</v>
      </c>
      <c r="E740" s="12">
        <f>23.3367 * CHOOSE( CONTROL!$C$12, $D$11, 100%, $F$11)</f>
        <v>18.7627068</v>
      </c>
      <c r="F740" s="4">
        <f>24.3325 * CHOOSE(CONTROL!$C$12, $D$11, 100%, $F$11)</f>
        <v>19.563330000000001</v>
      </c>
      <c r="G740" s="8">
        <f>22.7315 * CHOOSE( CONTROL!$C$12, $D$11, 100%, $F$11)</f>
        <v>18.276126000000001</v>
      </c>
      <c r="H740" s="4">
        <f>23.6424 * CHOOSE(CONTROL!$C$12, $D$11, 100%, $F$11)</f>
        <v>19.008489600000001</v>
      </c>
      <c r="I740" s="8">
        <f>22.4049 * CHOOSE(CONTROL!$C$12, $D$11, 100%, $F$11)</f>
        <v>18.013539600000001</v>
      </c>
      <c r="J740" s="4">
        <f>22.3455 * CHOOSE(CONTROL!$C$12, $D$11, 100%, $F$11)</f>
        <v>17.965782000000001</v>
      </c>
      <c r="K740" s="4"/>
      <c r="L740" s="9">
        <v>27.988800000000001</v>
      </c>
      <c r="M740" s="9">
        <v>11.6745</v>
      </c>
      <c r="N740" s="9">
        <v>4.7850000000000001</v>
      </c>
      <c r="O740" s="9">
        <v>0.36249999999999999</v>
      </c>
      <c r="P740" s="9">
        <v>1.1798</v>
      </c>
      <c r="Q740" s="9">
        <v>19.053000000000001</v>
      </c>
      <c r="R740" s="9"/>
      <c r="S740" s="11"/>
    </row>
    <row r="741" spans="1:19" ht="15.75">
      <c r="A741" s="13">
        <v>64436</v>
      </c>
      <c r="B741" s="8">
        <f>CHOOSE( CONTROL!$C$29, 23.9514, 23.9466) * CHOOSE(CONTROL!$C$12, $D$11, 100%, $F$11)</f>
        <v>19.256925600000002</v>
      </c>
      <c r="C741" s="8">
        <f>CHOOSE( CONTROL!$C$29, 23.9618, 23.9571) * CHOOSE(CONTROL!$C$12, $D$11, 100%, $F$11)</f>
        <v>19.265287200000003</v>
      </c>
      <c r="D741" s="8">
        <f>CHOOSE( CONTROL!$C$29, 23.9397, 23.935) * CHOOSE( CONTROL!$C$12, $D$11, 100%, $F$11)</f>
        <v>19.247518799999998</v>
      </c>
      <c r="E741" s="12">
        <f>CHOOSE( CONTROL!$C$29, 23.9461, 23.9414) * CHOOSE( CONTROL!$C$12, $D$11, 100%, $F$11)</f>
        <v>19.2526644</v>
      </c>
      <c r="F741" s="4">
        <f>CHOOSE( CONTROL!$C$29, 24.9263, 24.9216) * CHOOSE(CONTROL!$C$12, $D$11, 100%, $F$11)</f>
        <v>20.040745200000003</v>
      </c>
      <c r="G741" s="8">
        <f>CHOOSE( CONTROL!$C$29, 23.3231, 23.3186) * CHOOSE( CONTROL!$C$12, $D$11, 100%, $F$11)</f>
        <v>18.7517724</v>
      </c>
      <c r="H741" s="4">
        <f>CHOOSE( CONTROL!$C$29, 24.2211, 24.2166) * CHOOSE(CONTROL!$C$12, $D$11, 100%, $F$11)</f>
        <v>19.4737644</v>
      </c>
      <c r="I741" s="8">
        <f>CHOOSE( CONTROL!$C$29, 22.9836, 22.9791) * CHOOSE(CONTROL!$C$12, $D$11, 100%, $F$11)</f>
        <v>18.478814400000001</v>
      </c>
      <c r="J741" s="4">
        <f>CHOOSE( CONTROL!$C$29, 22.9454, 22.9409) * CHOOSE(CONTROL!$C$12, $D$11, 100%, $F$11)</f>
        <v>18.448101600000001</v>
      </c>
      <c r="K741" s="4"/>
      <c r="L741" s="9">
        <v>29.520499999999998</v>
      </c>
      <c r="M741" s="9">
        <v>12.063700000000001</v>
      </c>
      <c r="N741" s="9">
        <v>4.9444999999999997</v>
      </c>
      <c r="O741" s="9">
        <v>0.37459999999999999</v>
      </c>
      <c r="P741" s="9">
        <v>1.2192000000000001</v>
      </c>
      <c r="Q741" s="9">
        <v>19.688099999999999</v>
      </c>
      <c r="R741" s="9"/>
      <c r="S741" s="11"/>
    </row>
    <row r="742" spans="1:19" ht="15.75">
      <c r="A742" s="13">
        <v>64466</v>
      </c>
      <c r="B742" s="8">
        <f>CHOOSE( CONTROL!$C$29, 23.5664, 23.5617) * CHOOSE(CONTROL!$C$12, $D$11, 100%, $F$11)</f>
        <v>18.947385600000004</v>
      </c>
      <c r="C742" s="8">
        <f>CHOOSE( CONTROL!$C$29, 23.5769, 23.5722) * CHOOSE(CONTROL!$C$12, $D$11, 100%, $F$11)</f>
        <v>18.955827599999999</v>
      </c>
      <c r="D742" s="8">
        <f>CHOOSE( CONTROL!$C$29, 23.5492, 23.5445) * CHOOSE( CONTROL!$C$12, $D$11, 100%, $F$11)</f>
        <v>18.933556800000002</v>
      </c>
      <c r="E742" s="12">
        <f>CHOOSE( CONTROL!$C$29, 23.5576, 23.5529) * CHOOSE( CONTROL!$C$12, $D$11, 100%, $F$11)</f>
        <v>18.940310400000001</v>
      </c>
      <c r="F742" s="4">
        <f>CHOOSE( CONTROL!$C$29, 24.5309, 24.5262) * CHOOSE(CONTROL!$C$12, $D$11, 100%, $F$11)</f>
        <v>19.722843600000001</v>
      </c>
      <c r="G742" s="8">
        <f>CHOOSE( CONTROL!$C$29, 22.9467, 22.9421) * CHOOSE( CONTROL!$C$12, $D$11, 100%, $F$11)</f>
        <v>18.449146800000001</v>
      </c>
      <c r="H742" s="4">
        <f>CHOOSE( CONTROL!$C$29, 23.8358, 23.8312) * CHOOSE(CONTROL!$C$12, $D$11, 100%, $F$11)</f>
        <v>19.163983200000001</v>
      </c>
      <c r="I742" s="8">
        <f>CHOOSE( CONTROL!$C$29, 22.6167, 22.6122) * CHOOSE(CONTROL!$C$12, $D$11, 100%, $F$11)</f>
        <v>18.183826800000002</v>
      </c>
      <c r="J742" s="4">
        <f>CHOOSE( CONTROL!$C$29, 22.5766, 22.5721) * CHOOSE(CONTROL!$C$12, $D$11, 100%, $F$11)</f>
        <v>18.151586399999999</v>
      </c>
      <c r="K742" s="4"/>
      <c r="L742" s="9">
        <v>28.568200000000001</v>
      </c>
      <c r="M742" s="9">
        <v>11.6745</v>
      </c>
      <c r="N742" s="9">
        <v>4.7850000000000001</v>
      </c>
      <c r="O742" s="9">
        <v>0.36249999999999999</v>
      </c>
      <c r="P742" s="9">
        <v>1.1798</v>
      </c>
      <c r="Q742" s="9">
        <v>19.053000000000001</v>
      </c>
      <c r="R742" s="9"/>
      <c r="S742" s="11"/>
    </row>
    <row r="743" spans="1:19" ht="15.75">
      <c r="A743" s="13">
        <v>64497</v>
      </c>
      <c r="B743" s="8">
        <f>CHOOSE( CONTROL!$C$29, 24.5801, 24.5754) * CHOOSE(CONTROL!$C$12, $D$11, 100%, $F$11)</f>
        <v>19.762400400000004</v>
      </c>
      <c r="C743" s="8">
        <f>CHOOSE( CONTROL!$C$29, 24.5905, 24.5858) * CHOOSE(CONTROL!$C$12, $D$11, 100%, $F$11)</f>
        <v>19.770762000000001</v>
      </c>
      <c r="D743" s="8">
        <f>CHOOSE( CONTROL!$C$29, 24.5821, 24.5774) * CHOOSE( CONTROL!$C$12, $D$11, 100%, $F$11)</f>
        <v>19.764008400000002</v>
      </c>
      <c r="E743" s="12">
        <f>CHOOSE( CONTROL!$C$29, 24.5836, 24.5789) * CHOOSE( CONTROL!$C$12, $D$11, 100%, $F$11)</f>
        <v>19.765214400000001</v>
      </c>
      <c r="F743" s="4">
        <f>CHOOSE( CONTROL!$C$29, 25.5717, 25.567) * CHOOSE(CONTROL!$C$12, $D$11, 100%, $F$11)</f>
        <v>20.559646799999999</v>
      </c>
      <c r="G743" s="8">
        <f>CHOOSE( CONTROL!$C$29, 23.9474, 23.9429) * CHOOSE( CONTROL!$C$12, $D$11, 100%, $F$11)</f>
        <v>19.253709600000001</v>
      </c>
      <c r="H743" s="4">
        <f>CHOOSE( CONTROL!$C$29, 24.8503, 24.8457) * CHOOSE(CONTROL!$C$12, $D$11, 100%, $F$11)</f>
        <v>19.979641200000003</v>
      </c>
      <c r="I743" s="8">
        <f>CHOOSE( CONTROL!$C$29, 23.6113, 23.6067) * CHOOSE(CONTROL!$C$12, $D$11, 100%, $F$11)</f>
        <v>18.983485200000001</v>
      </c>
      <c r="J743" s="4">
        <f>CHOOSE( CONTROL!$C$29, 23.5479, 23.5434) * CHOOSE(CONTROL!$C$12, $D$11, 100%, $F$11)</f>
        <v>18.932511600000002</v>
      </c>
      <c r="K743" s="4"/>
      <c r="L743" s="9">
        <v>29.520499999999998</v>
      </c>
      <c r="M743" s="9">
        <v>12.063700000000001</v>
      </c>
      <c r="N743" s="9">
        <v>4.9444999999999997</v>
      </c>
      <c r="O743" s="9">
        <v>0.37459999999999999</v>
      </c>
      <c r="P743" s="9">
        <v>1.2192000000000001</v>
      </c>
      <c r="Q743" s="9">
        <v>19.688099999999999</v>
      </c>
      <c r="R743" s="9"/>
      <c r="S743" s="11"/>
    </row>
    <row r="744" spans="1:19" ht="15.75">
      <c r="A744" s="13">
        <v>64528</v>
      </c>
      <c r="B744" s="8">
        <f>CHOOSE( CONTROL!$C$29, 22.6834, 22.6787) * CHOOSE(CONTROL!$C$12, $D$11, 100%, $F$11)</f>
        <v>18.237453599999998</v>
      </c>
      <c r="C744" s="8">
        <f>CHOOSE( CONTROL!$C$29, 22.6939, 22.6892) * CHOOSE(CONTROL!$C$12, $D$11, 100%, $F$11)</f>
        <v>18.245895600000001</v>
      </c>
      <c r="D744" s="8">
        <f>CHOOSE( CONTROL!$C$29, 22.6887, 22.684) * CHOOSE( CONTROL!$C$12, $D$11, 100%, $F$11)</f>
        <v>18.2417148</v>
      </c>
      <c r="E744" s="12">
        <f>CHOOSE( CONTROL!$C$29, 22.689, 22.6843) * CHOOSE( CONTROL!$C$12, $D$11, 100%, $F$11)</f>
        <v>18.241956000000002</v>
      </c>
      <c r="F744" s="4">
        <f>CHOOSE( CONTROL!$C$29, 23.6802, 23.6755) * CHOOSE(CONTROL!$C$12, $D$11, 100%, $F$11)</f>
        <v>19.038880800000001</v>
      </c>
      <c r="G744" s="8">
        <f>CHOOSE( CONTROL!$C$29, 22.1007, 22.0962) * CHOOSE( CONTROL!$C$12, $D$11, 100%, $F$11)</f>
        <v>17.768962800000001</v>
      </c>
      <c r="H744" s="4">
        <f>CHOOSE( CONTROL!$C$29, 23.0066, 23.002) * CHOOSE(CONTROL!$C$12, $D$11, 100%, $F$11)</f>
        <v>18.497306399999999</v>
      </c>
      <c r="I744" s="8">
        <f>CHOOSE( CONTROL!$C$29, 21.7976, 21.7931) * CHOOSE(CONTROL!$C$12, $D$11, 100%, $F$11)</f>
        <v>17.5252704</v>
      </c>
      <c r="J744" s="4">
        <f>CHOOSE( CONTROL!$C$29, 21.7305, 21.726) * CHOOSE(CONTROL!$C$12, $D$11, 100%, $F$11)</f>
        <v>17.471322000000001</v>
      </c>
      <c r="K744" s="4"/>
      <c r="L744" s="9">
        <v>29.520499999999998</v>
      </c>
      <c r="M744" s="9">
        <v>12.063700000000001</v>
      </c>
      <c r="N744" s="9">
        <v>4.9444999999999997</v>
      </c>
      <c r="O744" s="9">
        <v>0.37459999999999999</v>
      </c>
      <c r="P744" s="9">
        <v>1.2192000000000001</v>
      </c>
      <c r="Q744" s="9">
        <v>19.688099999999999</v>
      </c>
      <c r="R744" s="9"/>
      <c r="S744" s="11"/>
    </row>
    <row r="745" spans="1:19" ht="15.75">
      <c r="A745" s="13">
        <v>64558</v>
      </c>
      <c r="B745" s="8">
        <f>CHOOSE( CONTROL!$C$29, 22.2085, 22.2038) * CHOOSE(CONTROL!$C$12, $D$11, 100%, $F$11)</f>
        <v>17.855634000000002</v>
      </c>
      <c r="C745" s="8">
        <f>CHOOSE( CONTROL!$C$29, 22.2189, 22.2142) * CHOOSE(CONTROL!$C$12, $D$11, 100%, $F$11)</f>
        <v>17.863995600000003</v>
      </c>
      <c r="D745" s="8">
        <f>CHOOSE( CONTROL!$C$29, 22.2096, 22.2049) * CHOOSE( CONTROL!$C$12, $D$11, 100%, $F$11)</f>
        <v>17.856518399999999</v>
      </c>
      <c r="E745" s="12">
        <f>CHOOSE( CONTROL!$C$29, 22.2114, 22.2067) * CHOOSE( CONTROL!$C$12, $D$11, 100%, $F$11)</f>
        <v>17.857965600000004</v>
      </c>
      <c r="F745" s="4">
        <f>CHOOSE( CONTROL!$C$29, 23.1975, 23.1928) * CHOOSE(CONTROL!$C$12, $D$11, 100%, $F$11)</f>
        <v>18.650790000000001</v>
      </c>
      <c r="G745" s="8">
        <f>CHOOSE( CONTROL!$C$29, 21.6365, 21.6319) * CHOOSE( CONTROL!$C$12, $D$11, 100%, $F$11)</f>
        <v>17.395746000000003</v>
      </c>
      <c r="H745" s="4">
        <f>CHOOSE( CONTROL!$C$29, 22.536, 22.5314) * CHOOSE(CONTROL!$C$12, $D$11, 100%, $F$11)</f>
        <v>18.118944000000003</v>
      </c>
      <c r="I745" s="8">
        <f>CHOOSE( CONTROL!$C$29, 21.3436, 21.3391) * CHOOSE(CONTROL!$C$12, $D$11, 100%, $F$11)</f>
        <v>17.160254399999999</v>
      </c>
      <c r="J745" s="4">
        <f>CHOOSE( CONTROL!$C$29, 21.2754, 21.2709) * CHOOSE(CONTROL!$C$12, $D$11, 100%, $F$11)</f>
        <v>17.105421600000003</v>
      </c>
      <c r="K745" s="4"/>
      <c r="L745" s="9">
        <v>28.568200000000001</v>
      </c>
      <c r="M745" s="9">
        <v>11.6745</v>
      </c>
      <c r="N745" s="9">
        <v>4.7850000000000001</v>
      </c>
      <c r="O745" s="9">
        <v>0.36249999999999999</v>
      </c>
      <c r="P745" s="9">
        <v>1.1798</v>
      </c>
      <c r="Q745" s="9">
        <v>19.053000000000001</v>
      </c>
      <c r="R745" s="9"/>
      <c r="S745" s="11"/>
    </row>
    <row r="746" spans="1:19" ht="15.75">
      <c r="A746" s="13">
        <v>64589</v>
      </c>
      <c r="B746" s="8">
        <f>23.1899 * CHOOSE(CONTROL!$C$12, $D$11, 100%, $F$11)</f>
        <v>18.644679600000003</v>
      </c>
      <c r="C746" s="8">
        <f>23.2004 * CHOOSE(CONTROL!$C$12, $D$11, 100%, $F$11)</f>
        <v>18.653121599999999</v>
      </c>
      <c r="D746" s="8">
        <f>23.1919 * CHOOSE( CONTROL!$C$12, $D$11, 100%, $F$11)</f>
        <v>18.646287600000001</v>
      </c>
      <c r="E746" s="12">
        <f>23.1936 * CHOOSE( CONTROL!$C$12, $D$11, 100%, $F$11)</f>
        <v>18.6476544</v>
      </c>
      <c r="F746" s="4">
        <f>24.1789 * CHOOSE(CONTROL!$C$12, $D$11, 100%, $F$11)</f>
        <v>19.439835599999999</v>
      </c>
      <c r="G746" s="8">
        <f>22.5928 * CHOOSE( CONTROL!$C$12, $D$11, 100%, $F$11)</f>
        <v>18.164611200000003</v>
      </c>
      <c r="H746" s="4">
        <f>23.4927 * CHOOSE(CONTROL!$C$12, $D$11, 100%, $F$11)</f>
        <v>18.888130799999999</v>
      </c>
      <c r="I746" s="8">
        <f>22.2865 * CHOOSE(CONTROL!$C$12, $D$11, 100%, $F$11)</f>
        <v>17.918346</v>
      </c>
      <c r="J746" s="4">
        <f>22.2158 * CHOOSE(CONTROL!$C$12, $D$11, 100%, $F$11)</f>
        <v>17.861503200000001</v>
      </c>
      <c r="K746" s="4"/>
      <c r="L746" s="9">
        <v>28.921800000000001</v>
      </c>
      <c r="M746" s="9">
        <v>12.063700000000001</v>
      </c>
      <c r="N746" s="9">
        <v>4.9444999999999997</v>
      </c>
      <c r="O746" s="9">
        <v>0.37459999999999999</v>
      </c>
      <c r="P746" s="9">
        <v>1.2192000000000001</v>
      </c>
      <c r="Q746" s="9">
        <v>19.688099999999999</v>
      </c>
      <c r="R746" s="9"/>
      <c r="S746" s="11"/>
    </row>
    <row r="747" spans="1:19" ht="15.75">
      <c r="A747" s="13">
        <v>64619</v>
      </c>
      <c r="B747" s="8">
        <f>25.0102 * CHOOSE(CONTROL!$C$12, $D$11, 100%, $F$11)</f>
        <v>20.108200800000002</v>
      </c>
      <c r="C747" s="8">
        <f>25.0206 * CHOOSE(CONTROL!$C$12, $D$11, 100%, $F$11)</f>
        <v>20.116562400000003</v>
      </c>
      <c r="D747" s="8">
        <f>25.0009 * CHOOSE( CONTROL!$C$12, $D$11, 100%, $F$11)</f>
        <v>20.100723600000002</v>
      </c>
      <c r="E747" s="12">
        <f>25.007 * CHOOSE( CONTROL!$C$12, $D$11, 100%, $F$11)</f>
        <v>20.105628000000003</v>
      </c>
      <c r="F747" s="4">
        <f>26.0018 * CHOOSE(CONTROL!$C$12, $D$11, 100%, $F$11)</f>
        <v>20.905447200000001</v>
      </c>
      <c r="G747" s="8">
        <f>24.3861 * CHOOSE( CONTROL!$C$12, $D$11, 100%, $F$11)</f>
        <v>19.606424400000002</v>
      </c>
      <c r="H747" s="4">
        <f>25.2695 * CHOOSE(CONTROL!$C$12, $D$11, 100%, $F$11)</f>
        <v>20.316678000000003</v>
      </c>
      <c r="I747" s="8">
        <f>24.0617 * CHOOSE(CONTROL!$C$12, $D$11, 100%, $F$11)</f>
        <v>19.345606799999999</v>
      </c>
      <c r="J747" s="4">
        <f>23.96 * CHOOSE(CONTROL!$C$12, $D$11, 100%, $F$11)</f>
        <v>19.263840000000002</v>
      </c>
      <c r="K747" s="4"/>
      <c r="L747" s="9">
        <v>26.515499999999999</v>
      </c>
      <c r="M747" s="9">
        <v>11.6745</v>
      </c>
      <c r="N747" s="9">
        <v>4.7850000000000001</v>
      </c>
      <c r="O747" s="9">
        <v>0.36249999999999999</v>
      </c>
      <c r="P747" s="9">
        <v>1.2522</v>
      </c>
      <c r="Q747" s="9">
        <v>19.053000000000001</v>
      </c>
      <c r="R747" s="9"/>
      <c r="S747" s="11"/>
    </row>
    <row r="748" spans="1:19" ht="15.75">
      <c r="A748" s="13">
        <v>64650</v>
      </c>
      <c r="B748" s="8">
        <f>24.9647 * CHOOSE(CONTROL!$C$12, $D$11, 100%, $F$11)</f>
        <v>20.071618800000003</v>
      </c>
      <c r="C748" s="8">
        <f>24.9751 * CHOOSE(CONTROL!$C$12, $D$11, 100%, $F$11)</f>
        <v>20.079980400000004</v>
      </c>
      <c r="D748" s="8">
        <f>24.9573 * CHOOSE( CONTROL!$C$12, $D$11, 100%, $F$11)</f>
        <v>20.065669200000002</v>
      </c>
      <c r="E748" s="12">
        <f>24.9627 * CHOOSE( CONTROL!$C$12, $D$11, 100%, $F$11)</f>
        <v>20.070010800000002</v>
      </c>
      <c r="F748" s="4">
        <f>25.9563 * CHOOSE(CONTROL!$C$12, $D$11, 100%, $F$11)</f>
        <v>20.868865200000002</v>
      </c>
      <c r="G748" s="8">
        <f>24.3433 * CHOOSE( CONTROL!$C$12, $D$11, 100%, $F$11)</f>
        <v>19.572013200000001</v>
      </c>
      <c r="H748" s="4">
        <f>25.2252 * CHOOSE(CONTROL!$C$12, $D$11, 100%, $F$11)</f>
        <v>20.281060800000002</v>
      </c>
      <c r="I748" s="8">
        <f>24.025 * CHOOSE(CONTROL!$C$12, $D$11, 100%, $F$11)</f>
        <v>19.316099999999999</v>
      </c>
      <c r="J748" s="4">
        <f>23.9164 * CHOOSE(CONTROL!$C$12, $D$11, 100%, $F$11)</f>
        <v>19.228785600000002</v>
      </c>
      <c r="K748" s="4"/>
      <c r="L748" s="9">
        <v>27.3993</v>
      </c>
      <c r="M748" s="9">
        <v>12.063700000000001</v>
      </c>
      <c r="N748" s="9">
        <v>4.9444999999999997</v>
      </c>
      <c r="O748" s="9">
        <v>0.37459999999999999</v>
      </c>
      <c r="P748" s="9">
        <v>1.2939000000000001</v>
      </c>
      <c r="Q748" s="9">
        <v>19.688099999999999</v>
      </c>
      <c r="R748" s="9"/>
      <c r="S748" s="11"/>
    </row>
    <row r="749" spans="1:19" ht="15.75">
      <c r="A749" s="13">
        <v>64681</v>
      </c>
      <c r="B749" s="8">
        <f>25.9186 * CHOOSE(CONTROL!$C$12, $D$11, 100%, $F$11)</f>
        <v>20.838554400000003</v>
      </c>
      <c r="C749" s="8">
        <f>25.9291 * CHOOSE(CONTROL!$C$12, $D$11, 100%, $F$11)</f>
        <v>20.846996399999998</v>
      </c>
      <c r="D749" s="8">
        <f>25.9267 * CHOOSE( CONTROL!$C$12, $D$11, 100%, $F$11)</f>
        <v>20.845066800000001</v>
      </c>
      <c r="E749" s="12">
        <f>25.9265 * CHOOSE( CONTROL!$C$12, $D$11, 100%, $F$11)</f>
        <v>20.844906000000002</v>
      </c>
      <c r="F749" s="4">
        <f>26.9415 * CHOOSE(CONTROL!$C$12, $D$11, 100%, $F$11)</f>
        <v>21.660966000000002</v>
      </c>
      <c r="G749" s="8">
        <f>25.2922 * CHOOSE( CONTROL!$C$12, $D$11, 100%, $F$11)</f>
        <v>20.334928800000004</v>
      </c>
      <c r="H749" s="4">
        <f>26.1856 * CHOOSE(CONTROL!$C$12, $D$11, 100%, $F$11)</f>
        <v>21.053222400000003</v>
      </c>
      <c r="I749" s="8">
        <f>24.9515 * CHOOSE(CONTROL!$C$12, $D$11, 100%, $F$11)</f>
        <v>20.061005999999999</v>
      </c>
      <c r="J749" s="4">
        <f>24.8305 * CHOOSE(CONTROL!$C$12, $D$11, 100%, $F$11)</f>
        <v>19.963722000000001</v>
      </c>
      <c r="K749" s="4"/>
      <c r="L749" s="9">
        <v>27.3993</v>
      </c>
      <c r="M749" s="9">
        <v>12.063700000000001</v>
      </c>
      <c r="N749" s="9">
        <v>4.9444999999999997</v>
      </c>
      <c r="O749" s="9">
        <v>0.37459999999999999</v>
      </c>
      <c r="P749" s="9">
        <v>1.2939000000000001</v>
      </c>
      <c r="Q749" s="9">
        <v>19.688099999999999</v>
      </c>
      <c r="R749" s="9"/>
      <c r="S749" s="11"/>
    </row>
    <row r="750" spans="1:19" ht="15.75">
      <c r="A750" s="13">
        <v>64709</v>
      </c>
      <c r="B750" s="8">
        <f>24.2433 * CHOOSE(CONTROL!$C$12, $D$11, 100%, $F$11)</f>
        <v>19.491613200000003</v>
      </c>
      <c r="C750" s="8">
        <f>24.2538 * CHOOSE(CONTROL!$C$12, $D$11, 100%, $F$11)</f>
        <v>19.500055199999998</v>
      </c>
      <c r="D750" s="8">
        <f>24.2537 * CHOOSE( CONTROL!$C$12, $D$11, 100%, $F$11)</f>
        <v>19.4999748</v>
      </c>
      <c r="E750" s="12">
        <f>24.2526 * CHOOSE( CONTROL!$C$12, $D$11, 100%, $F$11)</f>
        <v>19.499090400000004</v>
      </c>
      <c r="F750" s="4">
        <f>25.2584 * CHOOSE(CONTROL!$C$12, $D$11, 100%, $F$11)</f>
        <v>20.307753600000002</v>
      </c>
      <c r="G750" s="8">
        <f>23.6591 * CHOOSE( CONTROL!$C$12, $D$11, 100%, $F$11)</f>
        <v>19.021916399999999</v>
      </c>
      <c r="H750" s="4">
        <f>24.5449 * CHOOSE(CONTROL!$C$12, $D$11, 100%, $F$11)</f>
        <v>19.7340996</v>
      </c>
      <c r="I750" s="8">
        <f>23.3345 * CHOOSE(CONTROL!$C$12, $D$11, 100%, $F$11)</f>
        <v>18.760937999999999</v>
      </c>
      <c r="J750" s="4">
        <f>23.2252 * CHOOSE(CONTROL!$C$12, $D$11, 100%, $F$11)</f>
        <v>18.673060800000002</v>
      </c>
      <c r="K750" s="4"/>
      <c r="L750" s="9">
        <v>24.747800000000002</v>
      </c>
      <c r="M750" s="9">
        <v>10.8962</v>
      </c>
      <c r="N750" s="9">
        <v>4.4660000000000002</v>
      </c>
      <c r="O750" s="9">
        <v>0.33829999999999999</v>
      </c>
      <c r="P750" s="9">
        <v>1.1687000000000001</v>
      </c>
      <c r="Q750" s="9">
        <v>17.782800000000002</v>
      </c>
      <c r="R750" s="9"/>
      <c r="S750" s="11"/>
    </row>
    <row r="751" spans="1:19" ht="15.75">
      <c r="A751" s="13">
        <v>64740</v>
      </c>
      <c r="B751" s="8">
        <f>23.7274 * CHOOSE(CONTROL!$C$12, $D$11, 100%, $F$11)</f>
        <v>19.0768296</v>
      </c>
      <c r="C751" s="8">
        <f>23.7378 * CHOOSE(CONTROL!$C$12, $D$11, 100%, $F$11)</f>
        <v>19.085191200000001</v>
      </c>
      <c r="D751" s="8">
        <f>23.7176 * CHOOSE( CONTROL!$C$12, $D$11, 100%, $F$11)</f>
        <v>19.068950400000002</v>
      </c>
      <c r="E751" s="12">
        <f>23.7239 * CHOOSE( CONTROL!$C$12, $D$11, 100%, $F$11)</f>
        <v>19.074015600000003</v>
      </c>
      <c r="F751" s="4">
        <f>24.7263 * CHOOSE(CONTROL!$C$12, $D$11, 100%, $F$11)</f>
        <v>19.879945200000002</v>
      </c>
      <c r="G751" s="8">
        <f>23.1356 * CHOOSE( CONTROL!$C$12, $D$11, 100%, $F$11)</f>
        <v>18.601022400000002</v>
      </c>
      <c r="H751" s="4">
        <f>24.0262 * CHOOSE(CONTROL!$C$12, $D$11, 100%, $F$11)</f>
        <v>19.317064800000001</v>
      </c>
      <c r="I751" s="8">
        <f>22.8003 * CHOOSE(CONTROL!$C$12, $D$11, 100%, $F$11)</f>
        <v>18.3314412</v>
      </c>
      <c r="J751" s="4">
        <f>22.7308 * CHOOSE(CONTROL!$C$12, $D$11, 100%, $F$11)</f>
        <v>18.275563200000001</v>
      </c>
      <c r="K751" s="4"/>
      <c r="L751" s="9">
        <v>27.3993</v>
      </c>
      <c r="M751" s="9">
        <v>12.063700000000001</v>
      </c>
      <c r="N751" s="9">
        <v>4.9444999999999997</v>
      </c>
      <c r="O751" s="9">
        <v>0.37459999999999999</v>
      </c>
      <c r="P751" s="9">
        <v>1.2939000000000001</v>
      </c>
      <c r="Q751" s="9">
        <v>19.688099999999999</v>
      </c>
      <c r="R751" s="9"/>
      <c r="S751" s="11"/>
    </row>
    <row r="752" spans="1:19" ht="15.75">
      <c r="A752" s="13">
        <v>64770</v>
      </c>
      <c r="B752" s="8">
        <f>24.0879 * CHOOSE(CONTROL!$C$12, $D$11, 100%, $F$11)</f>
        <v>19.366671600000004</v>
      </c>
      <c r="C752" s="8">
        <f>24.0984 * CHOOSE(CONTROL!$C$12, $D$11, 100%, $F$11)</f>
        <v>19.375113600000002</v>
      </c>
      <c r="D752" s="8">
        <f>24.1016 * CHOOSE( CONTROL!$C$12, $D$11, 100%, $F$11)</f>
        <v>19.377686400000002</v>
      </c>
      <c r="E752" s="12">
        <f>24.0993 * CHOOSE( CONTROL!$C$12, $D$11, 100%, $F$11)</f>
        <v>19.375837199999999</v>
      </c>
      <c r="F752" s="4">
        <f>25.0952 * CHOOSE(CONTROL!$C$12, $D$11, 100%, $F$11)</f>
        <v>20.176540800000001</v>
      </c>
      <c r="G752" s="8">
        <f>23.4749 * CHOOSE( CONTROL!$C$12, $D$11, 100%, $F$11)</f>
        <v>18.873819600000001</v>
      </c>
      <c r="H752" s="4">
        <f>24.3858 * CHOOSE(CONTROL!$C$12, $D$11, 100%, $F$11)</f>
        <v>19.6061832</v>
      </c>
      <c r="I752" s="8">
        <f>23.1361 * CHOOSE(CONTROL!$C$12, $D$11, 100%, $F$11)</f>
        <v>18.601424399999999</v>
      </c>
      <c r="J752" s="4">
        <f>23.0763 * CHOOSE(CONTROL!$C$12, $D$11, 100%, $F$11)</f>
        <v>18.553345200000003</v>
      </c>
      <c r="K752" s="4"/>
      <c r="L752" s="9">
        <v>27.988800000000001</v>
      </c>
      <c r="M752" s="9">
        <v>11.6745</v>
      </c>
      <c r="N752" s="9">
        <v>4.7850000000000001</v>
      </c>
      <c r="O752" s="9">
        <v>0.36249999999999999</v>
      </c>
      <c r="P752" s="9">
        <v>1.1798</v>
      </c>
      <c r="Q752" s="9">
        <v>19.053000000000001</v>
      </c>
      <c r="R752" s="9"/>
      <c r="S752" s="11"/>
    </row>
    <row r="753" spans="1:19" ht="15.75">
      <c r="A753" s="13">
        <v>64801</v>
      </c>
      <c r="B753" s="8">
        <f>CHOOSE( CONTROL!$C$29, 24.7343, 24.7296) * CHOOSE(CONTROL!$C$12, $D$11, 100%, $F$11)</f>
        <v>19.886377200000002</v>
      </c>
      <c r="C753" s="8">
        <f>CHOOSE( CONTROL!$C$29, 24.7448, 24.7401) * CHOOSE(CONTROL!$C$12, $D$11, 100%, $F$11)</f>
        <v>19.894819200000001</v>
      </c>
      <c r="D753" s="8">
        <f>CHOOSE( CONTROL!$C$29, 24.7227, 24.718) * CHOOSE( CONTROL!$C$12, $D$11, 100%, $F$11)</f>
        <v>19.877050799999999</v>
      </c>
      <c r="E753" s="12">
        <f>CHOOSE( CONTROL!$C$29, 24.7291, 24.7244) * CHOOSE( CONTROL!$C$12, $D$11, 100%, $F$11)</f>
        <v>19.882196400000002</v>
      </c>
      <c r="F753" s="4">
        <f>CHOOSE( CONTROL!$C$29, 25.7092, 25.7045) * CHOOSE(CONTROL!$C$12, $D$11, 100%, $F$11)</f>
        <v>20.670196799999999</v>
      </c>
      <c r="G753" s="8">
        <f>CHOOSE( CONTROL!$C$29, 24.0864, 24.0818) * CHOOSE( CONTROL!$C$12, $D$11, 100%, $F$11)</f>
        <v>19.365465600000004</v>
      </c>
      <c r="H753" s="4">
        <f>CHOOSE( CONTROL!$C$29, 24.9844, 24.9798) * CHOOSE(CONTROL!$C$12, $D$11, 100%, $F$11)</f>
        <v>20.0874576</v>
      </c>
      <c r="I753" s="8">
        <f>CHOOSE( CONTROL!$C$29, 23.7342, 23.7297) * CHOOSE(CONTROL!$C$12, $D$11, 100%, $F$11)</f>
        <v>19.082296800000002</v>
      </c>
      <c r="J753" s="4">
        <f>CHOOSE( CONTROL!$C$29, 23.6957, 23.6912) * CHOOSE(CONTROL!$C$12, $D$11, 100%, $F$11)</f>
        <v>19.0513428</v>
      </c>
      <c r="K753" s="4"/>
      <c r="L753" s="9">
        <v>29.520499999999998</v>
      </c>
      <c r="M753" s="9">
        <v>12.063700000000001</v>
      </c>
      <c r="N753" s="9">
        <v>4.9444999999999997</v>
      </c>
      <c r="O753" s="9">
        <v>0.37459999999999999</v>
      </c>
      <c r="P753" s="9">
        <v>1.2192000000000001</v>
      </c>
      <c r="Q753" s="9">
        <v>19.688099999999999</v>
      </c>
      <c r="R753" s="9"/>
      <c r="S753" s="11"/>
    </row>
    <row r="754" spans="1:19" ht="15.75">
      <c r="A754" s="13">
        <v>64831</v>
      </c>
      <c r="B754" s="8">
        <f>CHOOSE( CONTROL!$C$29, 24.3368, 24.3321) * CHOOSE(CONTROL!$C$12, $D$11, 100%, $F$11)</f>
        <v>19.5667872</v>
      </c>
      <c r="C754" s="8">
        <f>CHOOSE( CONTROL!$C$29, 24.3473, 24.3426) * CHOOSE(CONTROL!$C$12, $D$11, 100%, $F$11)</f>
        <v>19.575229200000003</v>
      </c>
      <c r="D754" s="8">
        <f>CHOOSE( CONTROL!$C$29, 24.3196, 24.3149) * CHOOSE( CONTROL!$C$12, $D$11, 100%, $F$11)</f>
        <v>19.552958400000001</v>
      </c>
      <c r="E754" s="12">
        <f>CHOOSE( CONTROL!$C$29, 24.328, 24.3233) * CHOOSE( CONTROL!$C$12, $D$11, 100%, $F$11)</f>
        <v>19.559712000000001</v>
      </c>
      <c r="F754" s="4">
        <f>CHOOSE( CONTROL!$C$29, 25.3013, 25.2966) * CHOOSE(CONTROL!$C$12, $D$11, 100%, $F$11)</f>
        <v>20.342245200000001</v>
      </c>
      <c r="G754" s="8">
        <f>CHOOSE( CONTROL!$C$29, 23.6976, 23.693) * CHOOSE( CONTROL!$C$12, $D$11, 100%, $F$11)</f>
        <v>19.052870400000003</v>
      </c>
      <c r="H754" s="4">
        <f>CHOOSE( CONTROL!$C$29, 24.5867, 24.5821) * CHOOSE(CONTROL!$C$12, $D$11, 100%, $F$11)</f>
        <v>19.767706800000003</v>
      </c>
      <c r="I754" s="8">
        <f>CHOOSE( CONTROL!$C$29, 23.3553, 23.3508) * CHOOSE(CONTROL!$C$12, $D$11, 100%, $F$11)</f>
        <v>18.777661200000001</v>
      </c>
      <c r="J754" s="4">
        <f>CHOOSE( CONTROL!$C$29, 23.3148, 23.3103) * CHOOSE(CONTROL!$C$12, $D$11, 100%, $F$11)</f>
        <v>18.745099200000002</v>
      </c>
      <c r="K754" s="4"/>
      <c r="L754" s="9">
        <v>28.568200000000001</v>
      </c>
      <c r="M754" s="9">
        <v>11.6745</v>
      </c>
      <c r="N754" s="9">
        <v>4.7850000000000001</v>
      </c>
      <c r="O754" s="9">
        <v>0.36249999999999999</v>
      </c>
      <c r="P754" s="9">
        <v>1.1798</v>
      </c>
      <c r="Q754" s="9">
        <v>19.053000000000001</v>
      </c>
      <c r="R754" s="9"/>
      <c r="S754" s="11"/>
    </row>
    <row r="755" spans="1:19" ht="15.75">
      <c r="A755" s="13">
        <v>64862</v>
      </c>
      <c r="B755" s="8">
        <f>CHOOSE( CONTROL!$C$29, 25.3836, 25.3789) * CHOOSE(CONTROL!$C$12, $D$11, 100%, $F$11)</f>
        <v>20.408414400000002</v>
      </c>
      <c r="C755" s="8">
        <f>CHOOSE( CONTROL!$C$29, 25.3941, 25.3894) * CHOOSE(CONTROL!$C$12, $D$11, 100%, $F$11)</f>
        <v>20.416856400000004</v>
      </c>
      <c r="D755" s="8">
        <f>CHOOSE( CONTROL!$C$29, 25.3856, 25.3809) * CHOOSE( CONTROL!$C$12, $D$11, 100%, $F$11)</f>
        <v>20.410022400000003</v>
      </c>
      <c r="E755" s="12">
        <f>CHOOSE( CONTROL!$C$29, 25.3871, 25.3824) * CHOOSE( CONTROL!$C$12, $D$11, 100%, $F$11)</f>
        <v>20.411228400000002</v>
      </c>
      <c r="F755" s="4">
        <f>CHOOSE( CONTROL!$C$29, 26.3752, 26.3705) * CHOOSE(CONTROL!$C$12, $D$11, 100%, $F$11)</f>
        <v>21.2056608</v>
      </c>
      <c r="G755" s="8">
        <f>CHOOSE( CONTROL!$C$29, 24.7307, 24.7261) * CHOOSE( CONTROL!$C$12, $D$11, 100%, $F$11)</f>
        <v>19.883482799999999</v>
      </c>
      <c r="H755" s="4">
        <f>CHOOSE( CONTROL!$C$29, 25.6336, 25.629) * CHOOSE(CONTROL!$C$12, $D$11, 100%, $F$11)</f>
        <v>20.609414400000002</v>
      </c>
      <c r="I755" s="8">
        <f>CHOOSE( CONTROL!$C$29, 24.3816, 24.3771) * CHOOSE(CONTROL!$C$12, $D$11, 100%, $F$11)</f>
        <v>19.602806399999999</v>
      </c>
      <c r="J755" s="4">
        <f>CHOOSE( CONTROL!$C$29, 24.3178, 24.3133) * CHOOSE(CONTROL!$C$12, $D$11, 100%, $F$11)</f>
        <v>19.5515112</v>
      </c>
      <c r="K755" s="4"/>
      <c r="L755" s="9">
        <v>29.520499999999998</v>
      </c>
      <c r="M755" s="9">
        <v>12.063700000000001</v>
      </c>
      <c r="N755" s="9">
        <v>4.9444999999999997</v>
      </c>
      <c r="O755" s="9">
        <v>0.37459999999999999</v>
      </c>
      <c r="P755" s="9">
        <v>1.2192000000000001</v>
      </c>
      <c r="Q755" s="9">
        <v>19.688099999999999</v>
      </c>
      <c r="R755" s="9"/>
      <c r="S755" s="11"/>
    </row>
    <row r="756" spans="1:19" ht="15.75">
      <c r="A756" s="13">
        <v>64893</v>
      </c>
      <c r="B756" s="8">
        <f>CHOOSE( CONTROL!$C$29, 23.4249, 23.4202) * CHOOSE(CONTROL!$C$12, $D$11, 100%, $F$11)</f>
        <v>18.833619600000002</v>
      </c>
      <c r="C756" s="8">
        <f>CHOOSE( CONTROL!$C$29, 23.4354, 23.4307) * CHOOSE(CONTROL!$C$12, $D$11, 100%, $F$11)</f>
        <v>18.842061600000001</v>
      </c>
      <c r="D756" s="8">
        <f>CHOOSE( CONTROL!$C$29, 23.4303, 23.4256) * CHOOSE( CONTROL!$C$12, $D$11, 100%, $F$11)</f>
        <v>18.837961199999999</v>
      </c>
      <c r="E756" s="12">
        <f>CHOOSE( CONTROL!$C$29, 23.4305, 23.4258) * CHOOSE( CONTROL!$C$12, $D$11, 100%, $F$11)</f>
        <v>18.838121999999998</v>
      </c>
      <c r="F756" s="4">
        <f>CHOOSE( CONTROL!$C$29, 24.4218, 24.4171) * CHOOSE(CONTROL!$C$12, $D$11, 100%, $F$11)</f>
        <v>19.635127200000003</v>
      </c>
      <c r="G756" s="8">
        <f>CHOOSE( CONTROL!$C$29, 22.8236, 22.819) * CHOOSE( CONTROL!$C$12, $D$11, 100%, $F$11)</f>
        <v>18.3501744</v>
      </c>
      <c r="H756" s="4">
        <f>CHOOSE( CONTROL!$C$29, 23.7294, 23.7248) * CHOOSE(CONTROL!$C$12, $D$11, 100%, $F$11)</f>
        <v>19.078437600000001</v>
      </c>
      <c r="I756" s="8">
        <f>CHOOSE( CONTROL!$C$29, 22.5085, 22.504) * CHOOSE(CONTROL!$C$12, $D$11, 100%, $F$11)</f>
        <v>18.096834000000001</v>
      </c>
      <c r="J756" s="4">
        <f>CHOOSE( CONTROL!$C$29, 22.441, 22.4365) * CHOOSE(CONTROL!$C$12, $D$11, 100%, $F$11)</f>
        <v>18.042563999999999</v>
      </c>
      <c r="K756" s="4"/>
      <c r="L756" s="9">
        <v>29.520499999999998</v>
      </c>
      <c r="M756" s="9">
        <v>12.063700000000001</v>
      </c>
      <c r="N756" s="9">
        <v>4.9444999999999997</v>
      </c>
      <c r="O756" s="9">
        <v>0.37459999999999999</v>
      </c>
      <c r="P756" s="9">
        <v>1.2192000000000001</v>
      </c>
      <c r="Q756" s="9">
        <v>19.688099999999999</v>
      </c>
      <c r="R756" s="9"/>
      <c r="S756" s="11"/>
    </row>
    <row r="757" spans="1:19" ht="15.75">
      <c r="A757" s="13">
        <v>64923</v>
      </c>
      <c r="B757" s="8">
        <f>CHOOSE( CONTROL!$C$29, 22.9345, 22.9298) * CHOOSE(CONTROL!$C$12, $D$11, 100%, $F$11)</f>
        <v>18.439337999999999</v>
      </c>
      <c r="C757" s="8">
        <f>CHOOSE( CONTROL!$C$29, 22.9449, 22.9402) * CHOOSE(CONTROL!$C$12, $D$11, 100%, $F$11)</f>
        <v>18.4476996</v>
      </c>
      <c r="D757" s="8">
        <f>CHOOSE( CONTROL!$C$29, 22.9356, 22.9309) * CHOOSE( CONTROL!$C$12, $D$11, 100%, $F$11)</f>
        <v>18.440222400000003</v>
      </c>
      <c r="E757" s="12">
        <f>CHOOSE( CONTROL!$C$29, 22.9374, 22.9327) * CHOOSE( CONTROL!$C$12, $D$11, 100%, $F$11)</f>
        <v>18.441669600000001</v>
      </c>
      <c r="F757" s="4">
        <f>CHOOSE( CONTROL!$C$29, 23.9235, 23.9187) * CHOOSE(CONTROL!$C$12, $D$11, 100%, $F$11)</f>
        <v>19.234494000000002</v>
      </c>
      <c r="G757" s="8">
        <f>CHOOSE( CONTROL!$C$29, 22.3442, 22.3396) * CHOOSE( CONTROL!$C$12, $D$11, 100%, $F$11)</f>
        <v>17.964736800000001</v>
      </c>
      <c r="H757" s="4">
        <f>CHOOSE( CONTROL!$C$29, 23.2436, 23.2391) * CHOOSE(CONTROL!$C$12, $D$11, 100%, $F$11)</f>
        <v>18.687854400000003</v>
      </c>
      <c r="I757" s="8">
        <f>CHOOSE( CONTROL!$C$29, 22.0396, 22.0351) * CHOOSE(CONTROL!$C$12, $D$11, 100%, $F$11)</f>
        <v>17.7198384</v>
      </c>
      <c r="J757" s="4">
        <f>CHOOSE( CONTROL!$C$29, 21.971, 21.9665) * CHOOSE(CONTROL!$C$12, $D$11, 100%, $F$11)</f>
        <v>17.664684000000001</v>
      </c>
      <c r="K757" s="4"/>
      <c r="L757" s="9">
        <v>28.568200000000001</v>
      </c>
      <c r="M757" s="9">
        <v>11.6745</v>
      </c>
      <c r="N757" s="9">
        <v>4.7850000000000001</v>
      </c>
      <c r="O757" s="9">
        <v>0.36249999999999999</v>
      </c>
      <c r="P757" s="9">
        <v>1.1798</v>
      </c>
      <c r="Q757" s="9">
        <v>19.053000000000001</v>
      </c>
      <c r="R757" s="9"/>
      <c r="S757" s="11"/>
    </row>
    <row r="758" spans="1:19" ht="15.75">
      <c r="A758" s="13">
        <v>64954</v>
      </c>
      <c r="B758" s="8">
        <f>23.9482 * CHOOSE(CONTROL!$C$12, $D$11, 100%, $F$11)</f>
        <v>19.254352799999999</v>
      </c>
      <c r="C758" s="8">
        <f>23.9586 * CHOOSE(CONTROL!$C$12, $D$11, 100%, $F$11)</f>
        <v>19.2627144</v>
      </c>
      <c r="D758" s="8">
        <f>23.9501 * CHOOSE( CONTROL!$C$12, $D$11, 100%, $F$11)</f>
        <v>19.255880399999999</v>
      </c>
      <c r="E758" s="12">
        <f>23.9518 * CHOOSE( CONTROL!$C$12, $D$11, 100%, $F$11)</f>
        <v>19.257247199999998</v>
      </c>
      <c r="F758" s="4">
        <f>24.9371 * CHOOSE(CONTROL!$C$12, $D$11, 100%, $F$11)</f>
        <v>20.049428400000004</v>
      </c>
      <c r="G758" s="8">
        <f>23.3319 * CHOOSE( CONTROL!$C$12, $D$11, 100%, $F$11)</f>
        <v>18.758847600000003</v>
      </c>
      <c r="H758" s="4">
        <f>24.2318 * CHOOSE(CONTROL!$C$12, $D$11, 100%, $F$11)</f>
        <v>19.482367200000002</v>
      </c>
      <c r="I758" s="8">
        <f>23.0134 * CHOOSE(CONTROL!$C$12, $D$11, 100%, $F$11)</f>
        <v>18.502773600000001</v>
      </c>
      <c r="J758" s="4">
        <f>22.9424 * CHOOSE(CONTROL!$C$12, $D$11, 100%, $F$11)</f>
        <v>18.445689600000001</v>
      </c>
      <c r="K758" s="4"/>
      <c r="L758" s="9">
        <v>28.921800000000001</v>
      </c>
      <c r="M758" s="9">
        <v>12.063700000000001</v>
      </c>
      <c r="N758" s="9">
        <v>4.9444999999999997</v>
      </c>
      <c r="O758" s="9">
        <v>0.37459999999999999</v>
      </c>
      <c r="P758" s="9">
        <v>1.2192000000000001</v>
      </c>
      <c r="Q758" s="9">
        <v>19.688099999999999</v>
      </c>
      <c r="R758" s="9"/>
      <c r="S758" s="11"/>
    </row>
    <row r="759" spans="1:19" ht="15.75">
      <c r="A759" s="13">
        <v>64984</v>
      </c>
      <c r="B759" s="8">
        <f>25.8279 * CHOOSE(CONTROL!$C$12, $D$11, 100%, $F$11)</f>
        <v>20.765631600000003</v>
      </c>
      <c r="C759" s="8">
        <f>25.8384 * CHOOSE(CONTROL!$C$12, $D$11, 100%, $F$11)</f>
        <v>20.774073600000001</v>
      </c>
      <c r="D759" s="8">
        <f>25.8186 * CHOOSE( CONTROL!$C$12, $D$11, 100%, $F$11)</f>
        <v>20.758154400000002</v>
      </c>
      <c r="E759" s="12">
        <f>25.8247 * CHOOSE( CONTROL!$C$12, $D$11, 100%, $F$11)</f>
        <v>20.7630588</v>
      </c>
      <c r="F759" s="4">
        <f>26.8195 * CHOOSE(CONTROL!$C$12, $D$11, 100%, $F$11)</f>
        <v>21.562878000000001</v>
      </c>
      <c r="G759" s="8">
        <f>25.1833 * CHOOSE( CONTROL!$C$12, $D$11, 100%, $F$11)</f>
        <v>20.247373200000002</v>
      </c>
      <c r="H759" s="4">
        <f>26.0667 * CHOOSE(CONTROL!$C$12, $D$11, 100%, $F$11)</f>
        <v>20.957626800000003</v>
      </c>
      <c r="I759" s="8">
        <f>24.8457 * CHOOSE(CONTROL!$C$12, $D$11, 100%, $F$11)</f>
        <v>19.975942800000002</v>
      </c>
      <c r="J759" s="4">
        <f>24.7436 * CHOOSE(CONTROL!$C$12, $D$11, 100%, $F$11)</f>
        <v>19.893854400000002</v>
      </c>
      <c r="K759" s="4"/>
      <c r="L759" s="9">
        <v>26.515499999999999</v>
      </c>
      <c r="M759" s="9">
        <v>11.6745</v>
      </c>
      <c r="N759" s="9">
        <v>4.7850000000000001</v>
      </c>
      <c r="O759" s="9">
        <v>0.36249999999999999</v>
      </c>
      <c r="P759" s="9">
        <v>1.2522</v>
      </c>
      <c r="Q759" s="9">
        <v>19.053000000000001</v>
      </c>
      <c r="R759" s="9"/>
      <c r="S759" s="11"/>
    </row>
    <row r="760" spans="1:19" ht="15.75">
      <c r="A760" s="13">
        <v>65015</v>
      </c>
      <c r="B760" s="8">
        <f>25.781 * CHOOSE(CONTROL!$C$12, $D$11, 100%, $F$11)</f>
        <v>20.727924000000002</v>
      </c>
      <c r="C760" s="8">
        <f>25.7914 * CHOOSE(CONTROL!$C$12, $D$11, 100%, $F$11)</f>
        <v>20.736285600000002</v>
      </c>
      <c r="D760" s="8">
        <f>25.7736 * CHOOSE( CONTROL!$C$12, $D$11, 100%, $F$11)</f>
        <v>20.721974400000001</v>
      </c>
      <c r="E760" s="12">
        <f>25.779 * CHOOSE( CONTROL!$C$12, $D$11, 100%, $F$11)</f>
        <v>20.726316000000001</v>
      </c>
      <c r="F760" s="4">
        <f>26.7726 * CHOOSE(CONTROL!$C$12, $D$11, 100%, $F$11)</f>
        <v>21.5251704</v>
      </c>
      <c r="G760" s="8">
        <f>25.139 * CHOOSE( CONTROL!$C$12, $D$11, 100%, $F$11)</f>
        <v>20.211756000000001</v>
      </c>
      <c r="H760" s="4">
        <f>26.0209 * CHOOSE(CONTROL!$C$12, $D$11, 100%, $F$11)</f>
        <v>20.920803600000003</v>
      </c>
      <c r="I760" s="8">
        <f>24.8076 * CHOOSE(CONTROL!$C$12, $D$11, 100%, $F$11)</f>
        <v>19.9453104</v>
      </c>
      <c r="J760" s="4">
        <f>24.6986 * CHOOSE(CONTROL!$C$12, $D$11, 100%, $F$11)</f>
        <v>19.857674400000001</v>
      </c>
      <c r="K760" s="4"/>
      <c r="L760" s="9">
        <v>27.3993</v>
      </c>
      <c r="M760" s="9">
        <v>12.063700000000001</v>
      </c>
      <c r="N760" s="9">
        <v>4.9444999999999997</v>
      </c>
      <c r="O760" s="9">
        <v>0.37459999999999999</v>
      </c>
      <c r="P760" s="9">
        <v>1.2939000000000001</v>
      </c>
      <c r="Q760" s="9">
        <v>19.688099999999999</v>
      </c>
      <c r="R760" s="9"/>
      <c r="S760" s="11"/>
    </row>
    <row r="761" spans="1:19" ht="15.75">
      <c r="A761" s="13">
        <v>65046</v>
      </c>
      <c r="B761" s="8">
        <f>26.7661 * CHOOSE(CONTROL!$C$12, $D$11, 100%, $F$11)</f>
        <v>21.519944400000004</v>
      </c>
      <c r="C761" s="8">
        <f>26.7765 * CHOOSE(CONTROL!$C$12, $D$11, 100%, $F$11)</f>
        <v>21.528306000000001</v>
      </c>
      <c r="D761" s="8">
        <f>26.7742 * CHOOSE( CONTROL!$C$12, $D$11, 100%, $F$11)</f>
        <v>21.526456800000002</v>
      </c>
      <c r="E761" s="12">
        <f>26.7739 * CHOOSE( CONTROL!$C$12, $D$11, 100%, $F$11)</f>
        <v>21.5262156</v>
      </c>
      <c r="F761" s="4">
        <f>27.789 * CHOOSE(CONTROL!$C$12, $D$11, 100%, $F$11)</f>
        <v>22.342356000000002</v>
      </c>
      <c r="G761" s="8">
        <f>26.1183 * CHOOSE( CONTROL!$C$12, $D$11, 100%, $F$11)</f>
        <v>20.999113200000004</v>
      </c>
      <c r="H761" s="4">
        <f>27.0117 * CHOOSE(CONTROL!$C$12, $D$11, 100%, $F$11)</f>
        <v>21.717406800000003</v>
      </c>
      <c r="I761" s="8">
        <f>25.7639 * CHOOSE(CONTROL!$C$12, $D$11, 100%, $F$11)</f>
        <v>20.714175600000001</v>
      </c>
      <c r="J761" s="4">
        <f>25.6425 * CHOOSE(CONTROL!$C$12, $D$11, 100%, $F$11)</f>
        <v>20.616569999999999</v>
      </c>
      <c r="K761" s="4"/>
      <c r="L761" s="9">
        <v>27.3993</v>
      </c>
      <c r="M761" s="9">
        <v>12.063700000000001</v>
      </c>
      <c r="N761" s="9">
        <v>4.9444999999999997</v>
      </c>
      <c r="O761" s="9">
        <v>0.37459999999999999</v>
      </c>
      <c r="P761" s="9">
        <v>1.2939000000000001</v>
      </c>
      <c r="Q761" s="9">
        <v>19.688099999999999</v>
      </c>
      <c r="R761" s="9"/>
      <c r="S761" s="11"/>
    </row>
    <row r="762" spans="1:19" ht="15.75">
      <c r="A762" s="13">
        <v>65074</v>
      </c>
      <c r="B762" s="8">
        <f>25.036 * CHOOSE(CONTROL!$C$12, $D$11, 100%, $F$11)</f>
        <v>20.128944000000001</v>
      </c>
      <c r="C762" s="8">
        <f>25.0465 * CHOOSE(CONTROL!$C$12, $D$11, 100%, $F$11)</f>
        <v>20.137386000000003</v>
      </c>
      <c r="D762" s="8">
        <f>25.0464 * CHOOSE( CONTROL!$C$12, $D$11, 100%, $F$11)</f>
        <v>20.137305600000001</v>
      </c>
      <c r="E762" s="12">
        <f>25.0453 * CHOOSE( CONTROL!$C$12, $D$11, 100%, $F$11)</f>
        <v>20.136421200000001</v>
      </c>
      <c r="F762" s="4">
        <f>26.0511 * CHOOSE(CONTROL!$C$12, $D$11, 100%, $F$11)</f>
        <v>20.945084400000002</v>
      </c>
      <c r="G762" s="8">
        <f>24.4317 * CHOOSE( CONTROL!$C$12, $D$11, 100%, $F$11)</f>
        <v>19.643086799999999</v>
      </c>
      <c r="H762" s="4">
        <f>25.3176 * CHOOSE(CONTROL!$C$12, $D$11, 100%, $F$11)</f>
        <v>20.355350399999999</v>
      </c>
      <c r="I762" s="8">
        <f>24.0944 * CHOOSE(CONTROL!$C$12, $D$11, 100%, $F$11)</f>
        <v>19.3718976</v>
      </c>
      <c r="J762" s="4">
        <f>23.9848 * CHOOSE(CONTROL!$C$12, $D$11, 100%, $F$11)</f>
        <v>19.283779200000001</v>
      </c>
      <c r="K762" s="4"/>
      <c r="L762" s="9">
        <v>24.747800000000002</v>
      </c>
      <c r="M762" s="9">
        <v>10.8962</v>
      </c>
      <c r="N762" s="9">
        <v>4.4660000000000002</v>
      </c>
      <c r="O762" s="9">
        <v>0.33829999999999999</v>
      </c>
      <c r="P762" s="9">
        <v>1.1687000000000001</v>
      </c>
      <c r="Q762" s="9">
        <v>17.782800000000002</v>
      </c>
      <c r="R762" s="9"/>
      <c r="S762" s="11"/>
    </row>
    <row r="763" spans="1:19" ht="15.75">
      <c r="A763" s="13">
        <v>65105</v>
      </c>
      <c r="B763" s="8">
        <f>24.5032 * CHOOSE(CONTROL!$C$12, $D$11, 100%, $F$11)</f>
        <v>19.7005728</v>
      </c>
      <c r="C763" s="8">
        <f>24.5136 * CHOOSE(CONTROL!$C$12, $D$11, 100%, $F$11)</f>
        <v>19.7089344</v>
      </c>
      <c r="D763" s="8">
        <f>24.4935 * CHOOSE( CONTROL!$C$12, $D$11, 100%, $F$11)</f>
        <v>19.692774000000004</v>
      </c>
      <c r="E763" s="12">
        <f>24.4997 * CHOOSE( CONTROL!$C$12, $D$11, 100%, $F$11)</f>
        <v>19.697758800000003</v>
      </c>
      <c r="F763" s="4">
        <f>25.5021 * CHOOSE(CONTROL!$C$12, $D$11, 100%, $F$11)</f>
        <v>20.503688400000001</v>
      </c>
      <c r="G763" s="8">
        <f>23.8919 * CHOOSE( CONTROL!$C$12, $D$11, 100%, $F$11)</f>
        <v>19.2090876</v>
      </c>
      <c r="H763" s="4">
        <f>24.7825 * CHOOSE(CONTROL!$C$12, $D$11, 100%, $F$11)</f>
        <v>19.925129999999999</v>
      </c>
      <c r="I763" s="8">
        <f>23.5441 * CHOOSE(CONTROL!$C$12, $D$11, 100%, $F$11)</f>
        <v>18.929456400000003</v>
      </c>
      <c r="J763" s="4">
        <f>23.4742 * CHOOSE(CONTROL!$C$12, $D$11, 100%, $F$11)</f>
        <v>18.8732568</v>
      </c>
      <c r="K763" s="4"/>
      <c r="L763" s="9">
        <v>27.3993</v>
      </c>
      <c r="M763" s="9">
        <v>12.063700000000001</v>
      </c>
      <c r="N763" s="9">
        <v>4.9444999999999997</v>
      </c>
      <c r="O763" s="9">
        <v>0.37459999999999999</v>
      </c>
      <c r="P763" s="9">
        <v>1.2939000000000001</v>
      </c>
      <c r="Q763" s="9">
        <v>19.688099999999999</v>
      </c>
      <c r="R763" s="9"/>
      <c r="S763" s="11"/>
    </row>
    <row r="764" spans="1:19" ht="15.75">
      <c r="A764" s="13">
        <v>65135</v>
      </c>
      <c r="B764" s="8">
        <f>24.8755 * CHOOSE(CONTROL!$C$12, $D$11, 100%, $F$11)</f>
        <v>19.999901999999999</v>
      </c>
      <c r="C764" s="8">
        <f>24.886 * CHOOSE(CONTROL!$C$12, $D$11, 100%, $F$11)</f>
        <v>20.008344000000001</v>
      </c>
      <c r="D764" s="8">
        <f>24.8892 * CHOOSE( CONTROL!$C$12, $D$11, 100%, $F$11)</f>
        <v>20.0109168</v>
      </c>
      <c r="E764" s="12">
        <f>24.8869 * CHOOSE( CONTROL!$C$12, $D$11, 100%, $F$11)</f>
        <v>20.009067600000002</v>
      </c>
      <c r="F764" s="4">
        <f>25.8828 * CHOOSE(CONTROL!$C$12, $D$11, 100%, $F$11)</f>
        <v>20.8097712</v>
      </c>
      <c r="G764" s="8">
        <f>24.2427 * CHOOSE( CONTROL!$C$12, $D$11, 100%, $F$11)</f>
        <v>19.491130800000001</v>
      </c>
      <c r="H764" s="4">
        <f>25.1535 * CHOOSE(CONTROL!$C$12, $D$11, 100%, $F$11)</f>
        <v>20.223414000000002</v>
      </c>
      <c r="I764" s="8">
        <f>23.8911 * CHOOSE(CONTROL!$C$12, $D$11, 100%, $F$11)</f>
        <v>19.208444400000001</v>
      </c>
      <c r="J764" s="4">
        <f>23.831 * CHOOSE(CONTROL!$C$12, $D$11, 100%, $F$11)</f>
        <v>19.160124</v>
      </c>
      <c r="K764" s="4"/>
      <c r="L764" s="9">
        <v>27.988800000000001</v>
      </c>
      <c r="M764" s="9">
        <v>11.6745</v>
      </c>
      <c r="N764" s="9">
        <v>4.7850000000000001</v>
      </c>
      <c r="O764" s="9">
        <v>0.36249999999999999</v>
      </c>
      <c r="P764" s="9">
        <v>1.1798</v>
      </c>
      <c r="Q764" s="9">
        <v>19.053000000000001</v>
      </c>
      <c r="R764" s="9"/>
      <c r="S764" s="11"/>
    </row>
    <row r="765" spans="1:19" ht="15.75">
      <c r="A765" s="13">
        <v>65166</v>
      </c>
      <c r="B765" s="8">
        <f>CHOOSE( CONTROL!$C$29, 25.5429, 25.5382) * CHOOSE(CONTROL!$C$12, $D$11, 100%, $F$11)</f>
        <v>20.536491600000002</v>
      </c>
      <c r="C765" s="8">
        <f>CHOOSE( CONTROL!$C$29, 25.5534, 25.5487) * CHOOSE(CONTROL!$C$12, $D$11, 100%, $F$11)</f>
        <v>20.5449336</v>
      </c>
      <c r="D765" s="8">
        <f>CHOOSE( CONTROL!$C$29, 25.5313, 25.5266) * CHOOSE( CONTROL!$C$12, $D$11, 100%, $F$11)</f>
        <v>20.527165200000002</v>
      </c>
      <c r="E765" s="12">
        <f>CHOOSE( CONTROL!$C$29, 25.5377, 25.533) * CHOOSE( CONTROL!$C$12, $D$11, 100%, $F$11)</f>
        <v>20.532310800000001</v>
      </c>
      <c r="F765" s="4">
        <f>CHOOSE( CONTROL!$C$29, 26.5178, 26.5131) * CHOOSE(CONTROL!$C$12, $D$11, 100%, $F$11)</f>
        <v>21.320311200000003</v>
      </c>
      <c r="G765" s="8">
        <f>CHOOSE( CONTROL!$C$29, 24.8746, 24.87) * CHOOSE( CONTROL!$C$12, $D$11, 100%, $F$11)</f>
        <v>19.999178400000002</v>
      </c>
      <c r="H765" s="4">
        <f>CHOOSE( CONTROL!$C$29, 25.7726, 25.768) * CHOOSE(CONTROL!$C$12, $D$11, 100%, $F$11)</f>
        <v>20.721170400000002</v>
      </c>
      <c r="I765" s="8">
        <f>CHOOSE( CONTROL!$C$29, 24.5094, 24.5049) * CHOOSE(CONTROL!$C$12, $D$11, 100%, $F$11)</f>
        <v>19.705557600000002</v>
      </c>
      <c r="J765" s="4">
        <f>CHOOSE( CONTROL!$C$29, 24.4705, 24.466) * CHOOSE(CONTROL!$C$12, $D$11, 100%, $F$11)</f>
        <v>19.674282000000002</v>
      </c>
      <c r="K765" s="4"/>
      <c r="L765" s="9">
        <v>29.520499999999998</v>
      </c>
      <c r="M765" s="9">
        <v>12.063700000000001</v>
      </c>
      <c r="N765" s="9">
        <v>4.9444999999999997</v>
      </c>
      <c r="O765" s="9">
        <v>0.37459999999999999</v>
      </c>
      <c r="P765" s="9">
        <v>1.2192000000000001</v>
      </c>
      <c r="Q765" s="9">
        <v>19.688099999999999</v>
      </c>
      <c r="R765" s="9"/>
      <c r="S765" s="11"/>
    </row>
    <row r="766" spans="1:19" ht="15.75">
      <c r="A766" s="13">
        <v>65196</v>
      </c>
      <c r="B766" s="8">
        <f>CHOOSE( CONTROL!$C$29, 25.1324, 25.1277) * CHOOSE(CONTROL!$C$12, $D$11, 100%, $F$11)</f>
        <v>20.206449600000003</v>
      </c>
      <c r="C766" s="8">
        <f>CHOOSE( CONTROL!$C$29, 25.1428, 25.1381) * CHOOSE(CONTROL!$C$12, $D$11, 100%, $F$11)</f>
        <v>20.214811200000003</v>
      </c>
      <c r="D766" s="8">
        <f>CHOOSE( CONTROL!$C$29, 25.1152, 25.1105) * CHOOSE( CONTROL!$C$12, $D$11, 100%, $F$11)</f>
        <v>20.192620800000004</v>
      </c>
      <c r="E766" s="12">
        <f>CHOOSE( CONTROL!$C$29, 25.1236, 25.1189) * CHOOSE( CONTROL!$C$12, $D$11, 100%, $F$11)</f>
        <v>20.1993744</v>
      </c>
      <c r="F766" s="4">
        <f>CHOOSE( CONTROL!$C$29, 26.0969, 26.0922) * CHOOSE(CONTROL!$C$12, $D$11, 100%, $F$11)</f>
        <v>20.981907600000003</v>
      </c>
      <c r="G766" s="8">
        <f>CHOOSE( CONTROL!$C$29, 24.4731, 24.4686) * CHOOSE( CONTROL!$C$12, $D$11, 100%, $F$11)</f>
        <v>19.676372400000002</v>
      </c>
      <c r="H766" s="4">
        <f>CHOOSE( CONTROL!$C$29, 25.3622, 25.3577) * CHOOSE(CONTROL!$C$12, $D$11, 100%, $F$11)</f>
        <v>20.391208800000001</v>
      </c>
      <c r="I766" s="8">
        <f>CHOOSE( CONTROL!$C$29, 24.118, 24.1135) * CHOOSE(CONTROL!$C$12, $D$11, 100%, $F$11)</f>
        <v>19.390872000000002</v>
      </c>
      <c r="J766" s="4">
        <f>CHOOSE( CONTROL!$C$29, 24.0771, 24.0726) * CHOOSE(CONTROL!$C$12, $D$11, 100%, $F$11)</f>
        <v>19.357988400000004</v>
      </c>
      <c r="K766" s="4"/>
      <c r="L766" s="9">
        <v>28.568200000000001</v>
      </c>
      <c r="M766" s="9">
        <v>11.6745</v>
      </c>
      <c r="N766" s="9">
        <v>4.7850000000000001</v>
      </c>
      <c r="O766" s="9">
        <v>0.36249999999999999</v>
      </c>
      <c r="P766" s="9">
        <v>1.1798</v>
      </c>
      <c r="Q766" s="9">
        <v>19.053000000000001</v>
      </c>
      <c r="R766" s="9"/>
      <c r="S766" s="11"/>
    </row>
    <row r="767" spans="1:19" ht="15.75">
      <c r="A767" s="13">
        <v>65227</v>
      </c>
      <c r="B767" s="8">
        <f>CHOOSE( CONTROL!$C$29, 26.2134, 26.2087) * CHOOSE(CONTROL!$C$12, $D$11, 100%, $F$11)</f>
        <v>21.075573600000002</v>
      </c>
      <c r="C767" s="8">
        <f>CHOOSE( CONTROL!$C$29, 26.2239, 26.2192) * CHOOSE(CONTROL!$C$12, $D$11, 100%, $F$11)</f>
        <v>21.084015600000001</v>
      </c>
      <c r="D767" s="8">
        <f>CHOOSE( CONTROL!$C$29, 26.2154, 26.2107) * CHOOSE( CONTROL!$C$12, $D$11, 100%, $F$11)</f>
        <v>21.077181599999999</v>
      </c>
      <c r="E767" s="12">
        <f>CHOOSE( CONTROL!$C$29, 26.2169, 26.2122) * CHOOSE( CONTROL!$C$12, $D$11, 100%, $F$11)</f>
        <v>21.078387599999999</v>
      </c>
      <c r="F767" s="4">
        <f>CHOOSE( CONTROL!$C$29, 27.205, 27.2003) * CHOOSE(CONTROL!$C$12, $D$11, 100%, $F$11)</f>
        <v>21.872820000000001</v>
      </c>
      <c r="G767" s="8">
        <f>CHOOSE( CONTROL!$C$29, 25.5396, 25.535) * CHOOSE( CONTROL!$C$12, $D$11, 100%, $F$11)</f>
        <v>20.5338384</v>
      </c>
      <c r="H767" s="4">
        <f>CHOOSE( CONTROL!$C$29, 26.4425, 26.4379) * CHOOSE(CONTROL!$C$12, $D$11, 100%, $F$11)</f>
        <v>21.25977</v>
      </c>
      <c r="I767" s="8">
        <f>CHOOSE( CONTROL!$C$29, 25.1771, 25.1726) * CHOOSE(CONTROL!$C$12, $D$11, 100%, $F$11)</f>
        <v>20.242388399999999</v>
      </c>
      <c r="J767" s="4">
        <f>CHOOSE( CONTROL!$C$29, 25.113, 25.1085) * CHOOSE(CONTROL!$C$12, $D$11, 100%, $F$11)</f>
        <v>20.190852</v>
      </c>
      <c r="K767" s="4"/>
      <c r="L767" s="9">
        <v>29.520499999999998</v>
      </c>
      <c r="M767" s="9">
        <v>12.063700000000001</v>
      </c>
      <c r="N767" s="9">
        <v>4.9444999999999997</v>
      </c>
      <c r="O767" s="9">
        <v>0.37459999999999999</v>
      </c>
      <c r="P767" s="9">
        <v>1.2192000000000001</v>
      </c>
      <c r="Q767" s="9">
        <v>19.688099999999999</v>
      </c>
      <c r="R767" s="9"/>
      <c r="S767" s="11"/>
    </row>
    <row r="768" spans="1:19" ht="15.75">
      <c r="A768" s="13">
        <v>65258</v>
      </c>
      <c r="B768" s="8">
        <f>CHOOSE( CONTROL!$C$29, 24.1907, 24.186) * CHOOSE(CONTROL!$C$12, $D$11, 100%, $F$11)</f>
        <v>19.449322800000001</v>
      </c>
      <c r="C768" s="8">
        <f>CHOOSE( CONTROL!$C$29, 24.2011, 24.1964) * CHOOSE(CONTROL!$C$12, $D$11, 100%, $F$11)</f>
        <v>19.457684400000002</v>
      </c>
      <c r="D768" s="8">
        <f>CHOOSE( CONTROL!$C$29, 24.196, 24.1913) * CHOOSE( CONTROL!$C$12, $D$11, 100%, $F$11)</f>
        <v>19.453584000000003</v>
      </c>
      <c r="E768" s="12">
        <f>CHOOSE( CONTROL!$C$29, 24.1963, 24.1916) * CHOOSE( CONTROL!$C$12, $D$11, 100%, $F$11)</f>
        <v>19.453825200000001</v>
      </c>
      <c r="F768" s="4">
        <f>CHOOSE( CONTROL!$C$29, 25.1875, 25.1828) * CHOOSE(CONTROL!$C$12, $D$11, 100%, $F$11)</f>
        <v>20.25075</v>
      </c>
      <c r="G768" s="8">
        <f>CHOOSE( CONTROL!$C$29, 23.57, 23.5654) * CHOOSE( CONTROL!$C$12, $D$11, 100%, $F$11)</f>
        <v>18.950280000000003</v>
      </c>
      <c r="H768" s="4">
        <f>CHOOSE( CONTROL!$C$29, 24.4758, 24.4712) * CHOOSE(CONTROL!$C$12, $D$11, 100%, $F$11)</f>
        <v>19.6785432</v>
      </c>
      <c r="I768" s="8">
        <f>CHOOSE( CONTROL!$C$29, 23.2426, 23.2381) * CHOOSE(CONTROL!$C$12, $D$11, 100%, $F$11)</f>
        <v>18.6870504</v>
      </c>
      <c r="J768" s="4">
        <f>CHOOSE( CONTROL!$C$29, 23.1748, 23.1703) * CHOOSE(CONTROL!$C$12, $D$11, 100%, $F$11)</f>
        <v>18.632539200000004</v>
      </c>
      <c r="K768" s="4"/>
      <c r="L768" s="9">
        <v>29.520499999999998</v>
      </c>
      <c r="M768" s="9">
        <v>12.063700000000001</v>
      </c>
      <c r="N768" s="9">
        <v>4.9444999999999997</v>
      </c>
      <c r="O768" s="9">
        <v>0.37459999999999999</v>
      </c>
      <c r="P768" s="9">
        <v>1.2192000000000001</v>
      </c>
      <c r="Q768" s="9">
        <v>19.688099999999999</v>
      </c>
      <c r="R768" s="9"/>
      <c r="S768" s="11"/>
    </row>
    <row r="769" spans="1:19" ht="15.75">
      <c r="A769" s="13">
        <v>65288</v>
      </c>
      <c r="B769" s="8">
        <f>CHOOSE( CONTROL!$C$29, 23.6842, 23.6795) * CHOOSE(CONTROL!$C$12, $D$11, 100%, $F$11)</f>
        <v>19.042096800000003</v>
      </c>
      <c r="C769" s="8">
        <f>CHOOSE( CONTROL!$C$29, 23.6946, 23.6899) * CHOOSE(CONTROL!$C$12, $D$11, 100%, $F$11)</f>
        <v>19.050458400000004</v>
      </c>
      <c r="D769" s="8">
        <f>CHOOSE( CONTROL!$C$29, 23.6853, 23.6806) * CHOOSE( CONTROL!$C$12, $D$11, 100%, $F$11)</f>
        <v>19.042981200000003</v>
      </c>
      <c r="E769" s="12">
        <f>CHOOSE( CONTROL!$C$29, 23.6871, 23.6824) * CHOOSE( CONTROL!$C$12, $D$11, 100%, $F$11)</f>
        <v>19.044428400000001</v>
      </c>
      <c r="F769" s="4">
        <f>CHOOSE( CONTROL!$C$29, 24.6732, 24.6685) * CHOOSE(CONTROL!$C$12, $D$11, 100%, $F$11)</f>
        <v>19.837252800000002</v>
      </c>
      <c r="G769" s="8">
        <f>CHOOSE( CONTROL!$C$29, 23.075, 23.0704) * CHOOSE( CONTROL!$C$12, $D$11, 100%, $F$11)</f>
        <v>18.552299999999999</v>
      </c>
      <c r="H769" s="4">
        <f>CHOOSE( CONTROL!$C$29, 23.9745, 23.9699) * CHOOSE(CONTROL!$C$12, $D$11, 100%, $F$11)</f>
        <v>19.275497999999999</v>
      </c>
      <c r="I769" s="8">
        <f>CHOOSE( CONTROL!$C$29, 22.7583, 22.7538) * CHOOSE(CONTROL!$C$12, $D$11, 100%, $F$11)</f>
        <v>18.297673199999998</v>
      </c>
      <c r="J769" s="4">
        <f>CHOOSE( CONTROL!$C$29, 22.6894, 22.6849) * CHOOSE(CONTROL!$C$12, $D$11, 100%, $F$11)</f>
        <v>18.242277600000001</v>
      </c>
      <c r="K769" s="4"/>
      <c r="L769" s="9">
        <v>28.568200000000001</v>
      </c>
      <c r="M769" s="9">
        <v>11.6745</v>
      </c>
      <c r="N769" s="9">
        <v>4.7850000000000001</v>
      </c>
      <c r="O769" s="9">
        <v>0.36249999999999999</v>
      </c>
      <c r="P769" s="9">
        <v>1.1798</v>
      </c>
      <c r="Q769" s="9">
        <v>19.053000000000001</v>
      </c>
      <c r="R769" s="9"/>
      <c r="S769" s="11"/>
    </row>
    <row r="770" spans="1:19" ht="15.75">
      <c r="A770" s="13">
        <v>65319</v>
      </c>
      <c r="B770" s="8">
        <f>24.7312 * CHOOSE(CONTROL!$C$12, $D$11, 100%, $F$11)</f>
        <v>19.883884800000001</v>
      </c>
      <c r="C770" s="8">
        <f>24.7416 * CHOOSE(CONTROL!$C$12, $D$11, 100%, $F$11)</f>
        <v>19.892246400000001</v>
      </c>
      <c r="D770" s="8">
        <f>24.7332 * CHOOSE( CONTROL!$C$12, $D$11, 100%, $F$11)</f>
        <v>19.885492800000002</v>
      </c>
      <c r="E770" s="12">
        <f>24.7349 * CHOOSE( CONTROL!$C$12, $D$11, 100%, $F$11)</f>
        <v>19.886859600000001</v>
      </c>
      <c r="F770" s="4">
        <f>25.7202 * CHOOSE(CONTROL!$C$12, $D$11, 100%, $F$11)</f>
        <v>20.679040799999999</v>
      </c>
      <c r="G770" s="8">
        <f>24.0952 * CHOOSE( CONTROL!$C$12, $D$11, 100%, $F$11)</f>
        <v>19.372540799999999</v>
      </c>
      <c r="H770" s="4">
        <f>24.995 * CHOOSE(CONTROL!$C$12, $D$11, 100%, $F$11)</f>
        <v>20.095980000000001</v>
      </c>
      <c r="I770" s="8">
        <f>23.7641 * CHOOSE(CONTROL!$C$12, $D$11, 100%, $F$11)</f>
        <v>19.1063364</v>
      </c>
      <c r="J770" s="4">
        <f>23.6927 * CHOOSE(CONTROL!$C$12, $D$11, 100%, $F$11)</f>
        <v>19.048930800000001</v>
      </c>
      <c r="K770" s="4"/>
      <c r="L770" s="9">
        <v>28.921800000000001</v>
      </c>
      <c r="M770" s="9">
        <v>12.063700000000001</v>
      </c>
      <c r="N770" s="9">
        <v>4.9444999999999997</v>
      </c>
      <c r="O770" s="9">
        <v>0.37459999999999999</v>
      </c>
      <c r="P770" s="9">
        <v>1.2192000000000001</v>
      </c>
      <c r="Q770" s="9">
        <v>19.688099999999999</v>
      </c>
      <c r="R770" s="9"/>
      <c r="S770" s="11"/>
    </row>
    <row r="771" spans="1:19" ht="15.75">
      <c r="A771" s="13">
        <v>65349</v>
      </c>
      <c r="B771" s="8">
        <f>26.6724 * CHOOSE(CONTROL!$C$12, $D$11, 100%, $F$11)</f>
        <v>21.4446096</v>
      </c>
      <c r="C771" s="8">
        <f>26.6829 * CHOOSE(CONTROL!$C$12, $D$11, 100%, $F$11)</f>
        <v>21.453051600000002</v>
      </c>
      <c r="D771" s="8">
        <f>26.6631 * CHOOSE( CONTROL!$C$12, $D$11, 100%, $F$11)</f>
        <v>21.437132400000003</v>
      </c>
      <c r="E771" s="12">
        <f>26.6692 * CHOOSE( CONTROL!$C$12, $D$11, 100%, $F$11)</f>
        <v>21.4420368</v>
      </c>
      <c r="F771" s="4">
        <f>27.664 * CHOOSE(CONTROL!$C$12, $D$11, 100%, $F$11)</f>
        <v>22.241856000000002</v>
      </c>
      <c r="G771" s="8">
        <f>26.0065 * CHOOSE( CONTROL!$C$12, $D$11, 100%, $F$11)</f>
        <v>20.909226</v>
      </c>
      <c r="H771" s="4">
        <f>26.8899 * CHOOSE(CONTROL!$C$12, $D$11, 100%, $F$11)</f>
        <v>21.619479600000002</v>
      </c>
      <c r="I771" s="8">
        <f>25.6553 * CHOOSE(CONTROL!$C$12, $D$11, 100%, $F$11)</f>
        <v>20.6268612</v>
      </c>
      <c r="J771" s="4">
        <f>25.5528 * CHOOSE(CONTROL!$C$12, $D$11, 100%, $F$11)</f>
        <v>20.544451200000001</v>
      </c>
      <c r="K771" s="4"/>
      <c r="L771" s="9">
        <v>26.515499999999999</v>
      </c>
      <c r="M771" s="9">
        <v>11.6745</v>
      </c>
      <c r="N771" s="9">
        <v>4.7850000000000001</v>
      </c>
      <c r="O771" s="9">
        <v>0.36249999999999999</v>
      </c>
      <c r="P771" s="9">
        <v>1.2522</v>
      </c>
      <c r="Q771" s="9">
        <v>19.053000000000001</v>
      </c>
      <c r="R771" s="9"/>
      <c r="S771" s="11"/>
    </row>
    <row r="772" spans="1:19" ht="15.75">
      <c r="A772" s="13">
        <v>65380</v>
      </c>
      <c r="B772" s="8">
        <f>26.6239 * CHOOSE(CONTROL!$C$12, $D$11, 100%, $F$11)</f>
        <v>21.405615600000001</v>
      </c>
      <c r="C772" s="8">
        <f>26.6344 * CHOOSE(CONTROL!$C$12, $D$11, 100%, $F$11)</f>
        <v>21.4140576</v>
      </c>
      <c r="D772" s="8">
        <f>26.6165 * CHOOSE( CONTROL!$C$12, $D$11, 100%, $F$11)</f>
        <v>21.399666</v>
      </c>
      <c r="E772" s="12">
        <f>26.6219 * CHOOSE( CONTROL!$C$12, $D$11, 100%, $F$11)</f>
        <v>21.4040076</v>
      </c>
      <c r="F772" s="4">
        <f>27.6155 * CHOOSE(CONTROL!$C$12, $D$11, 100%, $F$11)</f>
        <v>22.202862000000003</v>
      </c>
      <c r="G772" s="8">
        <f>25.9607 * CHOOSE( CONTROL!$C$12, $D$11, 100%, $F$11)</f>
        <v>20.8724028</v>
      </c>
      <c r="H772" s="4">
        <f>26.8426 * CHOOSE(CONTROL!$C$12, $D$11, 100%, $F$11)</f>
        <v>21.581450400000001</v>
      </c>
      <c r="I772" s="8">
        <f>25.6157 * CHOOSE(CONTROL!$C$12, $D$11, 100%, $F$11)</f>
        <v>20.595022800000002</v>
      </c>
      <c r="J772" s="4">
        <f>25.5063 * CHOOSE(CONTROL!$C$12, $D$11, 100%, $F$11)</f>
        <v>20.5070652</v>
      </c>
      <c r="K772" s="4"/>
      <c r="L772" s="9">
        <v>27.3993</v>
      </c>
      <c r="M772" s="9">
        <v>12.063700000000001</v>
      </c>
      <c r="N772" s="9">
        <v>4.9444999999999997</v>
      </c>
      <c r="O772" s="9">
        <v>0.37459999999999999</v>
      </c>
      <c r="P772" s="9">
        <v>1.2939000000000001</v>
      </c>
      <c r="Q772" s="9">
        <v>19.688099999999999</v>
      </c>
      <c r="R772" s="9"/>
      <c r="S772" s="11"/>
    </row>
    <row r="773" spans="1:19" ht="15.75">
      <c r="A773" s="13">
        <v>65411</v>
      </c>
      <c r="B773" s="8">
        <f>27.6413 * CHOOSE(CONTROL!$C$12, $D$11, 100%, $F$11)</f>
        <v>22.223605200000002</v>
      </c>
      <c r="C773" s="8">
        <f>27.6517 * CHOOSE(CONTROL!$C$12, $D$11, 100%, $F$11)</f>
        <v>22.231966800000002</v>
      </c>
      <c r="D773" s="8">
        <f>27.6494 * CHOOSE( CONTROL!$C$12, $D$11, 100%, $F$11)</f>
        <v>22.2301176</v>
      </c>
      <c r="E773" s="12">
        <f>27.6491 * CHOOSE( CONTROL!$C$12, $D$11, 100%, $F$11)</f>
        <v>22.229876400000002</v>
      </c>
      <c r="F773" s="4">
        <f>28.6642 * CHOOSE(CONTROL!$C$12, $D$11, 100%, $F$11)</f>
        <v>23.046016800000004</v>
      </c>
      <c r="G773" s="8">
        <f>26.9714 * CHOOSE( CONTROL!$C$12, $D$11, 100%, $F$11)</f>
        <v>21.6850056</v>
      </c>
      <c r="H773" s="4">
        <f>27.8648 * CHOOSE(CONTROL!$C$12, $D$11, 100%, $F$11)</f>
        <v>22.403299199999999</v>
      </c>
      <c r="I773" s="8">
        <f>26.603 * CHOOSE(CONTROL!$C$12, $D$11, 100%, $F$11)</f>
        <v>21.388812000000001</v>
      </c>
      <c r="J773" s="4">
        <f>26.4811 * CHOOSE(CONTROL!$C$12, $D$11, 100%, $F$11)</f>
        <v>21.290804400000003</v>
      </c>
      <c r="K773" s="4"/>
      <c r="L773" s="9">
        <v>27.3993</v>
      </c>
      <c r="M773" s="9">
        <v>12.063700000000001</v>
      </c>
      <c r="N773" s="9">
        <v>4.9444999999999997</v>
      </c>
      <c r="O773" s="9">
        <v>0.37459999999999999</v>
      </c>
      <c r="P773" s="9">
        <v>1.2939000000000001</v>
      </c>
      <c r="Q773" s="9">
        <v>19.688099999999999</v>
      </c>
      <c r="R773" s="9"/>
      <c r="S773" s="11"/>
    </row>
    <row r="774" spans="1:19" ht="15.75">
      <c r="A774" s="13">
        <v>65439</v>
      </c>
      <c r="B774" s="8">
        <f>25.8546 * CHOOSE(CONTROL!$C$12, $D$11, 100%, $F$11)</f>
        <v>20.787098400000001</v>
      </c>
      <c r="C774" s="8">
        <f>25.8651 * CHOOSE(CONTROL!$C$12, $D$11, 100%, $F$11)</f>
        <v>20.795540400000004</v>
      </c>
      <c r="D774" s="8">
        <f>25.865 * CHOOSE( CONTROL!$C$12, $D$11, 100%, $F$11)</f>
        <v>20.795459999999999</v>
      </c>
      <c r="E774" s="12">
        <f>25.8639 * CHOOSE( CONTROL!$C$12, $D$11, 100%, $F$11)</f>
        <v>20.794575600000002</v>
      </c>
      <c r="F774" s="4">
        <f>26.8697 * CHOOSE(CONTROL!$C$12, $D$11, 100%, $F$11)</f>
        <v>21.603238800000003</v>
      </c>
      <c r="G774" s="8">
        <f>25.2297 * CHOOSE( CONTROL!$C$12, $D$11, 100%, $F$11)</f>
        <v>20.284678800000002</v>
      </c>
      <c r="H774" s="4">
        <f>26.1156 * CHOOSE(CONTROL!$C$12, $D$11, 100%, $F$11)</f>
        <v>20.996942400000002</v>
      </c>
      <c r="I774" s="8">
        <f>24.8792 * CHOOSE(CONTROL!$C$12, $D$11, 100%, $F$11)</f>
        <v>20.002876800000003</v>
      </c>
      <c r="J774" s="4">
        <f>24.7692 * CHOOSE(CONTROL!$C$12, $D$11, 100%, $F$11)</f>
        <v>19.914436800000001</v>
      </c>
      <c r="K774" s="4"/>
      <c r="L774" s="9">
        <v>24.747800000000002</v>
      </c>
      <c r="M774" s="9">
        <v>10.8962</v>
      </c>
      <c r="N774" s="9">
        <v>4.4660000000000002</v>
      </c>
      <c r="O774" s="9">
        <v>0.33829999999999999</v>
      </c>
      <c r="P774" s="9">
        <v>1.1687000000000001</v>
      </c>
      <c r="Q774" s="9">
        <v>17.782800000000002</v>
      </c>
      <c r="R774" s="9"/>
      <c r="S774" s="11"/>
    </row>
    <row r="775" spans="1:19" ht="15.75">
      <c r="A775" s="13">
        <v>65470</v>
      </c>
      <c r="B775" s="8">
        <f>25.3044 * CHOOSE(CONTROL!$C$12, $D$11, 100%, $F$11)</f>
        <v>20.344737600000002</v>
      </c>
      <c r="C775" s="8">
        <f>25.3148 * CHOOSE(CONTROL!$C$12, $D$11, 100%, $F$11)</f>
        <v>20.353099200000003</v>
      </c>
      <c r="D775" s="8">
        <f>25.2946 * CHOOSE( CONTROL!$C$12, $D$11, 100%, $F$11)</f>
        <v>20.336858400000001</v>
      </c>
      <c r="E775" s="12">
        <f>25.3009 * CHOOSE( CONTROL!$C$12, $D$11, 100%, $F$11)</f>
        <v>20.341923600000001</v>
      </c>
      <c r="F775" s="4">
        <f>26.3033 * CHOOSE(CONTROL!$C$12, $D$11, 100%, $F$11)</f>
        <v>21.1478532</v>
      </c>
      <c r="G775" s="8">
        <f>24.6728 * CHOOSE( CONTROL!$C$12, $D$11, 100%, $F$11)</f>
        <v>19.836931199999999</v>
      </c>
      <c r="H775" s="4">
        <f>25.5634 * CHOOSE(CONTROL!$C$12, $D$11, 100%, $F$11)</f>
        <v>20.552973600000001</v>
      </c>
      <c r="I775" s="8">
        <f>24.3122 * CHOOSE(CONTROL!$C$12, $D$11, 100%, $F$11)</f>
        <v>19.5470088</v>
      </c>
      <c r="J775" s="4">
        <f>24.2419 * CHOOSE(CONTROL!$C$12, $D$11, 100%, $F$11)</f>
        <v>19.490487600000002</v>
      </c>
      <c r="K775" s="4"/>
      <c r="L775" s="9">
        <v>27.3993</v>
      </c>
      <c r="M775" s="9">
        <v>12.063700000000001</v>
      </c>
      <c r="N775" s="9">
        <v>4.9444999999999997</v>
      </c>
      <c r="O775" s="9">
        <v>0.37459999999999999</v>
      </c>
      <c r="P775" s="9">
        <v>1.2939000000000001</v>
      </c>
      <c r="Q775" s="9">
        <v>19.688099999999999</v>
      </c>
      <c r="R775" s="9"/>
      <c r="S775" s="11"/>
    </row>
    <row r="776" spans="1:19" ht="15.75">
      <c r="A776" s="13">
        <v>65500</v>
      </c>
      <c r="B776" s="8">
        <f>25.6889 * CHOOSE(CONTROL!$C$12, $D$11, 100%, $F$11)</f>
        <v>20.653875600000003</v>
      </c>
      <c r="C776" s="8">
        <f>25.6993 * CHOOSE(CONTROL!$C$12, $D$11, 100%, $F$11)</f>
        <v>20.662237200000003</v>
      </c>
      <c r="D776" s="8">
        <f>25.7025 * CHOOSE( CONTROL!$C$12, $D$11, 100%, $F$11)</f>
        <v>20.664810000000003</v>
      </c>
      <c r="E776" s="12">
        <f>25.7003 * CHOOSE( CONTROL!$C$12, $D$11, 100%, $F$11)</f>
        <v>20.663041199999999</v>
      </c>
      <c r="F776" s="4">
        <f>26.6961 * CHOOSE(CONTROL!$C$12, $D$11, 100%, $F$11)</f>
        <v>21.463664400000003</v>
      </c>
      <c r="G776" s="8">
        <f>25.0355 * CHOOSE( CONTROL!$C$12, $D$11, 100%, $F$11)</f>
        <v>20.128541999999999</v>
      </c>
      <c r="H776" s="4">
        <f>25.9464 * CHOOSE(CONTROL!$C$12, $D$11, 100%, $F$11)</f>
        <v>20.860905600000002</v>
      </c>
      <c r="I776" s="8">
        <f>24.6709 * CHOOSE(CONTROL!$C$12, $D$11, 100%, $F$11)</f>
        <v>19.835403599999999</v>
      </c>
      <c r="J776" s="4">
        <f>24.6103 * CHOOSE(CONTROL!$C$12, $D$11, 100%, $F$11)</f>
        <v>19.7866812</v>
      </c>
      <c r="K776" s="4"/>
      <c r="L776" s="9">
        <v>27.988800000000001</v>
      </c>
      <c r="M776" s="9">
        <v>11.6745</v>
      </c>
      <c r="N776" s="9">
        <v>4.7850000000000001</v>
      </c>
      <c r="O776" s="9">
        <v>0.36249999999999999</v>
      </c>
      <c r="P776" s="9">
        <v>1.1798</v>
      </c>
      <c r="Q776" s="9">
        <v>19.053000000000001</v>
      </c>
      <c r="R776" s="9"/>
      <c r="S776" s="11"/>
    </row>
    <row r="777" spans="1:19" ht="15.75">
      <c r="A777" s="13">
        <v>65531</v>
      </c>
      <c r="B777" s="8">
        <f>CHOOSE( CONTROL!$C$29, 26.378, 26.3733) * CHOOSE(CONTROL!$C$12, $D$11, 100%, $F$11)</f>
        <v>21.207912</v>
      </c>
      <c r="C777" s="8">
        <f>CHOOSE( CONTROL!$C$29, 26.3884, 26.3837) * CHOOSE(CONTROL!$C$12, $D$11, 100%, $F$11)</f>
        <v>21.216273600000001</v>
      </c>
      <c r="D777" s="8">
        <f>CHOOSE( CONTROL!$C$29, 26.3663, 26.3616) * CHOOSE( CONTROL!$C$12, $D$11, 100%, $F$11)</f>
        <v>21.1985052</v>
      </c>
      <c r="E777" s="12">
        <f>CHOOSE( CONTROL!$C$29, 26.3727, 26.368) * CHOOSE( CONTROL!$C$12, $D$11, 100%, $F$11)</f>
        <v>21.203650799999998</v>
      </c>
      <c r="F777" s="4">
        <f>CHOOSE( CONTROL!$C$29, 27.3529, 27.3482) * CHOOSE(CONTROL!$C$12, $D$11, 100%, $F$11)</f>
        <v>21.991731600000001</v>
      </c>
      <c r="G777" s="8">
        <f>CHOOSE( CONTROL!$C$29, 25.6885, 25.6839) * CHOOSE( CONTROL!$C$12, $D$11, 100%, $F$11)</f>
        <v>20.653554000000003</v>
      </c>
      <c r="H777" s="4">
        <f>CHOOSE( CONTROL!$C$29, 26.5865, 26.5819) * CHOOSE(CONTROL!$C$12, $D$11, 100%, $F$11)</f>
        <v>21.375546000000003</v>
      </c>
      <c r="I777" s="8">
        <f>CHOOSE( CONTROL!$C$29, 25.3099, 25.3054) * CHOOSE(CONTROL!$C$12, $D$11, 100%, $F$11)</f>
        <v>20.3491596</v>
      </c>
      <c r="J777" s="4">
        <f>CHOOSE( CONTROL!$C$29, 25.2706, 25.2661) * CHOOSE(CONTROL!$C$12, $D$11, 100%, $F$11)</f>
        <v>20.317562400000003</v>
      </c>
      <c r="K777" s="4"/>
      <c r="L777" s="9">
        <v>29.520499999999998</v>
      </c>
      <c r="M777" s="9">
        <v>12.063700000000001</v>
      </c>
      <c r="N777" s="9">
        <v>4.9444999999999997</v>
      </c>
      <c r="O777" s="9">
        <v>0.37459999999999999</v>
      </c>
      <c r="P777" s="9">
        <v>1.2192000000000001</v>
      </c>
      <c r="Q777" s="9">
        <v>19.688099999999999</v>
      </c>
      <c r="R777" s="9"/>
      <c r="S777" s="11"/>
    </row>
    <row r="778" spans="1:19" ht="15.75">
      <c r="A778" s="13">
        <v>65561</v>
      </c>
      <c r="B778" s="8">
        <f>CHOOSE( CONTROL!$C$29, 25.954, 25.9493) * CHOOSE(CONTROL!$C$12, $D$11, 100%, $F$11)</f>
        <v>20.867016000000003</v>
      </c>
      <c r="C778" s="8">
        <f>CHOOSE( CONTROL!$C$29, 25.9645, 25.9597) * CHOOSE(CONTROL!$C$12, $D$11, 100%, $F$11)</f>
        <v>20.875458000000002</v>
      </c>
      <c r="D778" s="8">
        <f>CHOOSE( CONTROL!$C$29, 25.9368, 25.9321) * CHOOSE( CONTROL!$C$12, $D$11, 100%, $F$11)</f>
        <v>20.853187200000004</v>
      </c>
      <c r="E778" s="12">
        <f>CHOOSE( CONTROL!$C$29, 25.9452, 25.9405) * CHOOSE( CONTROL!$C$12, $D$11, 100%, $F$11)</f>
        <v>20.8599408</v>
      </c>
      <c r="F778" s="4">
        <f>CHOOSE( CONTROL!$C$29, 26.9185, 26.9138) * CHOOSE(CONTROL!$C$12, $D$11, 100%, $F$11)</f>
        <v>21.642474000000004</v>
      </c>
      <c r="G778" s="8">
        <f>CHOOSE( CONTROL!$C$29, 25.274, 25.2694) * CHOOSE( CONTROL!$C$12, $D$11, 100%, $F$11)</f>
        <v>20.320296000000003</v>
      </c>
      <c r="H778" s="4">
        <f>CHOOSE( CONTROL!$C$29, 26.1631, 26.1585) * CHOOSE(CONTROL!$C$12, $D$11, 100%, $F$11)</f>
        <v>21.035132400000002</v>
      </c>
      <c r="I778" s="8">
        <f>CHOOSE( CONTROL!$C$29, 24.9057, 24.9012) * CHOOSE(CONTROL!$C$12, $D$11, 100%, $F$11)</f>
        <v>20.024182800000002</v>
      </c>
      <c r="J778" s="4">
        <f>CHOOSE( CONTROL!$C$29, 24.8644, 24.8599) * CHOOSE(CONTROL!$C$12, $D$11, 100%, $F$11)</f>
        <v>19.990977600000001</v>
      </c>
      <c r="K778" s="4"/>
      <c r="L778" s="9">
        <v>28.568200000000001</v>
      </c>
      <c r="M778" s="9">
        <v>11.6745</v>
      </c>
      <c r="N778" s="9">
        <v>4.7850000000000001</v>
      </c>
      <c r="O778" s="9">
        <v>0.36249999999999999</v>
      </c>
      <c r="P778" s="9">
        <v>1.1798</v>
      </c>
      <c r="Q778" s="9">
        <v>19.053000000000001</v>
      </c>
      <c r="R778" s="9"/>
      <c r="S778" s="11"/>
    </row>
    <row r="779" spans="1:19" ht="15.75">
      <c r="A779" s="13">
        <v>65592</v>
      </c>
      <c r="B779" s="8">
        <f>CHOOSE( CONTROL!$C$29, 27.0704, 27.0657) * CHOOSE(CONTROL!$C$12, $D$11, 100%, $F$11)</f>
        <v>21.764601600000002</v>
      </c>
      <c r="C779" s="8">
        <f>CHOOSE( CONTROL!$C$29, 27.0808, 27.0761) * CHOOSE(CONTROL!$C$12, $D$11, 100%, $F$11)</f>
        <v>21.7729632</v>
      </c>
      <c r="D779" s="8">
        <f>CHOOSE( CONTROL!$C$29, 27.0724, 27.0677) * CHOOSE( CONTROL!$C$12, $D$11, 100%, $F$11)</f>
        <v>21.7662096</v>
      </c>
      <c r="E779" s="12">
        <f>CHOOSE( CONTROL!$C$29, 27.0739, 27.0692) * CHOOSE( CONTROL!$C$12, $D$11, 100%, $F$11)</f>
        <v>21.7674156</v>
      </c>
      <c r="F779" s="4">
        <f>CHOOSE( CONTROL!$C$29, 28.062, 28.0573) * CHOOSE(CONTROL!$C$12, $D$11, 100%, $F$11)</f>
        <v>22.561848000000001</v>
      </c>
      <c r="G779" s="8">
        <f>CHOOSE( CONTROL!$C$29, 26.3749, 26.3704) * CHOOSE( CONTROL!$C$12, $D$11, 100%, $F$11)</f>
        <v>21.205419600000003</v>
      </c>
      <c r="H779" s="4">
        <f>CHOOSE( CONTROL!$C$29, 27.2778, 27.2732) * CHOOSE(CONTROL!$C$12, $D$11, 100%, $F$11)</f>
        <v>21.931351200000002</v>
      </c>
      <c r="I779" s="8">
        <f>CHOOSE( CONTROL!$C$29, 25.9987, 25.9942) * CHOOSE(CONTROL!$C$12, $D$11, 100%, $F$11)</f>
        <v>20.9029548</v>
      </c>
      <c r="J779" s="4">
        <f>CHOOSE( CONTROL!$C$29, 25.9341, 25.9296) * CHOOSE(CONTROL!$C$12, $D$11, 100%, $F$11)</f>
        <v>20.851016400000002</v>
      </c>
      <c r="K779" s="4"/>
      <c r="L779" s="9">
        <v>29.520499999999998</v>
      </c>
      <c r="M779" s="9">
        <v>12.063700000000001</v>
      </c>
      <c r="N779" s="9">
        <v>4.9444999999999997</v>
      </c>
      <c r="O779" s="9">
        <v>0.37459999999999999</v>
      </c>
      <c r="P779" s="9">
        <v>1.2192000000000001</v>
      </c>
      <c r="Q779" s="9">
        <v>19.688099999999999</v>
      </c>
      <c r="R779" s="9"/>
      <c r="S779" s="11"/>
    </row>
    <row r="780" spans="1:19" ht="15.75">
      <c r="A780" s="13">
        <v>65623</v>
      </c>
      <c r="B780" s="8">
        <f>CHOOSE( CONTROL!$C$29, 24.9815, 24.9768) * CHOOSE(CONTROL!$C$12, $D$11, 100%, $F$11)</f>
        <v>20.085126000000002</v>
      </c>
      <c r="C780" s="8">
        <f>CHOOSE( CONTROL!$C$29, 24.992, 24.9872) * CHOOSE(CONTROL!$C$12, $D$11, 100%, $F$11)</f>
        <v>20.093568000000001</v>
      </c>
      <c r="D780" s="8">
        <f>CHOOSE( CONTROL!$C$29, 24.9868, 24.9821) * CHOOSE( CONTROL!$C$12, $D$11, 100%, $F$11)</f>
        <v>20.089387200000001</v>
      </c>
      <c r="E780" s="12">
        <f>CHOOSE( CONTROL!$C$29, 24.9871, 24.9824) * CHOOSE( CONTROL!$C$12, $D$11, 100%, $F$11)</f>
        <v>20.089628400000002</v>
      </c>
      <c r="F780" s="4">
        <f>CHOOSE( CONTROL!$C$29, 25.9783, 25.9736) * CHOOSE(CONTROL!$C$12, $D$11, 100%, $F$11)</f>
        <v>20.886553200000002</v>
      </c>
      <c r="G780" s="8">
        <f>CHOOSE( CONTROL!$C$29, 24.3409, 24.3363) * CHOOSE( CONTROL!$C$12, $D$11, 100%, $F$11)</f>
        <v>19.570083600000004</v>
      </c>
      <c r="H780" s="4">
        <f>CHOOSE( CONTROL!$C$29, 25.2467, 25.2421) * CHOOSE(CONTROL!$C$12, $D$11, 100%, $F$11)</f>
        <v>20.298346800000001</v>
      </c>
      <c r="I780" s="8">
        <f>CHOOSE( CONTROL!$C$29, 24.0007, 23.9962) * CHOOSE(CONTROL!$C$12, $D$11, 100%, $F$11)</f>
        <v>19.2965628</v>
      </c>
      <c r="J780" s="4">
        <f>CHOOSE( CONTROL!$C$29, 23.9325, 23.928) * CHOOSE(CONTROL!$C$12, $D$11, 100%, $F$11)</f>
        <v>19.24173</v>
      </c>
      <c r="K780" s="4"/>
      <c r="L780" s="9">
        <v>29.520499999999998</v>
      </c>
      <c r="M780" s="9">
        <v>12.063700000000001</v>
      </c>
      <c r="N780" s="9">
        <v>4.9444999999999997</v>
      </c>
      <c r="O780" s="9">
        <v>0.37459999999999999</v>
      </c>
      <c r="P780" s="9">
        <v>1.2192000000000001</v>
      </c>
      <c r="Q780" s="9">
        <v>19.688099999999999</v>
      </c>
      <c r="R780" s="9"/>
      <c r="S780" s="11"/>
    </row>
    <row r="781" spans="1:19" ht="15.75">
      <c r="A781" s="13">
        <v>65653</v>
      </c>
      <c r="B781" s="8">
        <f>CHOOSE( CONTROL!$C$29, 24.4584, 24.4537) * CHOOSE(CONTROL!$C$12, $D$11, 100%, $F$11)</f>
        <v>19.664553600000001</v>
      </c>
      <c r="C781" s="8">
        <f>CHOOSE( CONTROL!$C$29, 24.4689, 24.4642) * CHOOSE(CONTROL!$C$12, $D$11, 100%, $F$11)</f>
        <v>19.672995600000004</v>
      </c>
      <c r="D781" s="8">
        <f>CHOOSE( CONTROL!$C$29, 24.4595, 24.4548) * CHOOSE( CONTROL!$C$12, $D$11, 100%, $F$11)</f>
        <v>19.665437999999998</v>
      </c>
      <c r="E781" s="12">
        <f>CHOOSE( CONTROL!$C$29, 24.4613, 24.4566) * CHOOSE( CONTROL!$C$12, $D$11, 100%, $F$11)</f>
        <v>19.666885200000003</v>
      </c>
      <c r="F781" s="4">
        <f>CHOOSE( CONTROL!$C$29, 25.4474, 25.4427) * CHOOSE(CONTROL!$C$12, $D$11, 100%, $F$11)</f>
        <v>20.4597096</v>
      </c>
      <c r="G781" s="8">
        <f>CHOOSE( CONTROL!$C$29, 23.8297, 23.8251) * CHOOSE( CONTROL!$C$12, $D$11, 100%, $F$11)</f>
        <v>19.1590788</v>
      </c>
      <c r="H781" s="4">
        <f>CHOOSE( CONTROL!$C$29, 24.7292, 24.7246) * CHOOSE(CONTROL!$C$12, $D$11, 100%, $F$11)</f>
        <v>19.8822768</v>
      </c>
      <c r="I781" s="8">
        <f>CHOOSE( CONTROL!$C$29, 23.5006, 23.4961) * CHOOSE(CONTROL!$C$12, $D$11, 100%, $F$11)</f>
        <v>18.894482400000001</v>
      </c>
      <c r="J781" s="4">
        <f>CHOOSE( CONTROL!$C$29, 23.4313, 23.4268) * CHOOSE(CONTROL!$C$12, $D$11, 100%, $F$11)</f>
        <v>18.838765200000001</v>
      </c>
      <c r="K781" s="4"/>
      <c r="L781" s="9">
        <v>28.568200000000001</v>
      </c>
      <c r="M781" s="9">
        <v>11.6745</v>
      </c>
      <c r="N781" s="9">
        <v>4.7850000000000001</v>
      </c>
      <c r="O781" s="9">
        <v>0.36249999999999999</v>
      </c>
      <c r="P781" s="9">
        <v>1.1798</v>
      </c>
      <c r="Q781" s="9">
        <v>19.053000000000001</v>
      </c>
      <c r="R781" s="9"/>
      <c r="S781" s="11"/>
    </row>
    <row r="782" spans="1:19" ht="15.75">
      <c r="A782" s="13">
        <v>65684</v>
      </c>
      <c r="B782" s="8">
        <f>25.5398 * CHOOSE(CONTROL!$C$12, $D$11, 100%, $F$11)</f>
        <v>20.5339992</v>
      </c>
      <c r="C782" s="8">
        <f>25.5503 * CHOOSE(CONTROL!$C$12, $D$11, 100%, $F$11)</f>
        <v>20.542441200000003</v>
      </c>
      <c r="D782" s="8">
        <f>25.5418 * CHOOSE( CONTROL!$C$12, $D$11, 100%, $F$11)</f>
        <v>20.535607200000001</v>
      </c>
      <c r="E782" s="12">
        <f>25.5435 * CHOOSE( CONTROL!$C$12, $D$11, 100%, $F$11)</f>
        <v>20.536974000000004</v>
      </c>
      <c r="F782" s="4">
        <f>26.5288 * CHOOSE(CONTROL!$C$12, $D$11, 100%, $F$11)</f>
        <v>21.329155200000002</v>
      </c>
      <c r="G782" s="8">
        <f>24.8834 * CHOOSE( CONTROL!$C$12, $D$11, 100%, $F$11)</f>
        <v>20.006253600000001</v>
      </c>
      <c r="H782" s="4">
        <f>25.7833 * CHOOSE(CONTROL!$C$12, $D$11, 100%, $F$11)</f>
        <v>20.7297732</v>
      </c>
      <c r="I782" s="8">
        <f>24.5393 * CHOOSE(CONTROL!$C$12, $D$11, 100%, $F$11)</f>
        <v>19.729597200000001</v>
      </c>
      <c r="J782" s="4">
        <f>24.4675 * CHOOSE(CONTROL!$C$12, $D$11, 100%, $F$11)</f>
        <v>19.671870000000002</v>
      </c>
      <c r="K782" s="4"/>
      <c r="L782" s="9">
        <v>28.921800000000001</v>
      </c>
      <c r="M782" s="9">
        <v>12.063700000000001</v>
      </c>
      <c r="N782" s="9">
        <v>4.9444999999999997</v>
      </c>
      <c r="O782" s="9">
        <v>0.37459999999999999</v>
      </c>
      <c r="P782" s="9">
        <v>1.2192000000000001</v>
      </c>
      <c r="Q782" s="9">
        <v>19.688099999999999</v>
      </c>
      <c r="R782" s="9"/>
      <c r="S782" s="11"/>
    </row>
    <row r="783" spans="1:19" ht="15.75">
      <c r="A783" s="13">
        <v>65714</v>
      </c>
      <c r="B783" s="8">
        <f>27.5446 * CHOOSE(CONTROL!$C$12, $D$11, 100%, $F$11)</f>
        <v>22.145858400000002</v>
      </c>
      <c r="C783" s="8">
        <f>27.555 * CHOOSE(CONTROL!$C$12, $D$11, 100%, $F$11)</f>
        <v>22.154220000000002</v>
      </c>
      <c r="D783" s="8">
        <f>27.5352 * CHOOSE( CONTROL!$C$12, $D$11, 100%, $F$11)</f>
        <v>22.1383008</v>
      </c>
      <c r="E783" s="12">
        <f>27.5413 * CHOOSE( CONTROL!$C$12, $D$11, 100%, $F$11)</f>
        <v>22.143205200000001</v>
      </c>
      <c r="F783" s="4">
        <f>28.5362 * CHOOSE(CONTROL!$C$12, $D$11, 100%, $F$11)</f>
        <v>22.9431048</v>
      </c>
      <c r="G783" s="8">
        <f>26.8566 * CHOOSE( CONTROL!$C$12, $D$11, 100%, $F$11)</f>
        <v>21.592706400000001</v>
      </c>
      <c r="H783" s="4">
        <f>27.74 * CHOOSE(CONTROL!$C$12, $D$11, 100%, $F$11)</f>
        <v>22.302959999999999</v>
      </c>
      <c r="I783" s="8">
        <f>26.4914 * CHOOSE(CONTROL!$C$12, $D$11, 100%, $F$11)</f>
        <v>21.299085600000002</v>
      </c>
      <c r="J783" s="4">
        <f>26.3884 * CHOOSE(CONTROL!$C$12, $D$11, 100%, $F$11)</f>
        <v>21.216273600000001</v>
      </c>
      <c r="K783" s="4"/>
      <c r="L783" s="9">
        <v>26.515499999999999</v>
      </c>
      <c r="M783" s="9">
        <v>11.6745</v>
      </c>
      <c r="N783" s="9">
        <v>4.7850000000000001</v>
      </c>
      <c r="O783" s="9">
        <v>0.36249999999999999</v>
      </c>
      <c r="P783" s="9">
        <v>1.2522</v>
      </c>
      <c r="Q783" s="9">
        <v>19.053000000000001</v>
      </c>
      <c r="R783" s="9"/>
      <c r="S783" s="11"/>
    </row>
    <row r="784" spans="1:19" ht="15.75">
      <c r="A784" s="13">
        <v>65745</v>
      </c>
      <c r="B784" s="8">
        <f>27.4945 * CHOOSE(CONTROL!$C$12, $D$11, 100%, $F$11)</f>
        <v>22.105578000000001</v>
      </c>
      <c r="C784" s="8">
        <f>27.5049 * CHOOSE(CONTROL!$C$12, $D$11, 100%, $F$11)</f>
        <v>22.113939600000002</v>
      </c>
      <c r="D784" s="8">
        <f>27.4871 * CHOOSE( CONTROL!$C$12, $D$11, 100%, $F$11)</f>
        <v>22.099628400000004</v>
      </c>
      <c r="E784" s="12">
        <f>27.4925 * CHOOSE( CONTROL!$C$12, $D$11, 100%, $F$11)</f>
        <v>22.10397</v>
      </c>
      <c r="F784" s="4">
        <f>28.4861 * CHOOSE(CONTROL!$C$12, $D$11, 100%, $F$11)</f>
        <v>22.9028244</v>
      </c>
      <c r="G784" s="8">
        <f>26.8092 * CHOOSE( CONTROL!$C$12, $D$11, 100%, $F$11)</f>
        <v>21.554596800000002</v>
      </c>
      <c r="H784" s="4">
        <f>27.6911 * CHOOSE(CONTROL!$C$12, $D$11, 100%, $F$11)</f>
        <v>22.2636444</v>
      </c>
      <c r="I784" s="8">
        <f>26.4503 * CHOOSE(CONTROL!$C$12, $D$11, 100%, $F$11)</f>
        <v>21.2660412</v>
      </c>
      <c r="J784" s="4">
        <f>26.3404 * CHOOSE(CONTROL!$C$12, $D$11, 100%, $F$11)</f>
        <v>21.1776816</v>
      </c>
      <c r="K784" s="4"/>
      <c r="L784" s="9">
        <v>27.3993</v>
      </c>
      <c r="M784" s="9">
        <v>12.063700000000001</v>
      </c>
      <c r="N784" s="9">
        <v>4.9444999999999997</v>
      </c>
      <c r="O784" s="9">
        <v>0.37459999999999999</v>
      </c>
      <c r="P784" s="9">
        <v>1.2939000000000001</v>
      </c>
      <c r="Q784" s="9">
        <v>19.688099999999999</v>
      </c>
      <c r="R784" s="9"/>
      <c r="S784" s="11"/>
    </row>
    <row r="785" spans="1:19" ht="15.75">
      <c r="A785" s="13">
        <v>65776</v>
      </c>
      <c r="B785" s="8">
        <f>28.5451 * CHOOSE(CONTROL!$C$12, $D$11, 100%, $F$11)</f>
        <v>22.950260400000001</v>
      </c>
      <c r="C785" s="8">
        <f>28.5555 * CHOOSE(CONTROL!$C$12, $D$11, 100%, $F$11)</f>
        <v>22.958622000000002</v>
      </c>
      <c r="D785" s="8">
        <f>28.5532 * CHOOSE( CONTROL!$C$12, $D$11, 100%, $F$11)</f>
        <v>22.956772800000003</v>
      </c>
      <c r="E785" s="12">
        <f>28.5529 * CHOOSE( CONTROL!$C$12, $D$11, 100%, $F$11)</f>
        <v>22.956531600000002</v>
      </c>
      <c r="F785" s="4">
        <f>29.568 * CHOOSE(CONTROL!$C$12, $D$11, 100%, $F$11)</f>
        <v>23.772672000000004</v>
      </c>
      <c r="G785" s="8">
        <f>27.8524 * CHOOSE( CONTROL!$C$12, $D$11, 100%, $F$11)</f>
        <v>22.393329600000001</v>
      </c>
      <c r="H785" s="4">
        <f>28.7458 * CHOOSE(CONTROL!$C$12, $D$11, 100%, $F$11)</f>
        <v>23.1116232</v>
      </c>
      <c r="I785" s="8">
        <f>27.4694 * CHOOSE(CONTROL!$C$12, $D$11, 100%, $F$11)</f>
        <v>22.0853976</v>
      </c>
      <c r="J785" s="4">
        <f>27.3472 * CHOOSE(CONTROL!$C$12, $D$11, 100%, $F$11)</f>
        <v>21.987148800000003</v>
      </c>
      <c r="K785" s="4"/>
      <c r="L785" s="9">
        <v>27.3993</v>
      </c>
      <c r="M785" s="9">
        <v>12.063700000000001</v>
      </c>
      <c r="N785" s="9">
        <v>4.9444999999999997</v>
      </c>
      <c r="O785" s="9">
        <v>0.37459999999999999</v>
      </c>
      <c r="P785" s="9">
        <v>1.2939000000000001</v>
      </c>
      <c r="Q785" s="9">
        <v>19.688099999999999</v>
      </c>
      <c r="R785" s="9"/>
      <c r="S785" s="11"/>
    </row>
    <row r="786" spans="1:19" ht="15.75">
      <c r="A786" s="13">
        <v>65805</v>
      </c>
      <c r="B786" s="8">
        <f>26.7 * CHOOSE(CONTROL!$C$12, $D$11, 100%, $F$11)</f>
        <v>21.466799999999999</v>
      </c>
      <c r="C786" s="8">
        <f>26.7105 * CHOOSE(CONTROL!$C$12, $D$11, 100%, $F$11)</f>
        <v>21.475242000000001</v>
      </c>
      <c r="D786" s="8">
        <f>26.7104 * CHOOSE( CONTROL!$C$12, $D$11, 100%, $F$11)</f>
        <v>21.4751616</v>
      </c>
      <c r="E786" s="12">
        <f>26.7093 * CHOOSE( CONTROL!$C$12, $D$11, 100%, $F$11)</f>
        <v>21.4742772</v>
      </c>
      <c r="F786" s="4">
        <f>27.7151 * CHOOSE(CONTROL!$C$12, $D$11, 100%, $F$11)</f>
        <v>22.282940400000001</v>
      </c>
      <c r="G786" s="8">
        <f>26.0538 * CHOOSE( CONTROL!$C$12, $D$11, 100%, $F$11)</f>
        <v>20.947255200000001</v>
      </c>
      <c r="H786" s="4">
        <f>26.9396 * CHOOSE(CONTROL!$C$12, $D$11, 100%, $F$11)</f>
        <v>21.659438399999999</v>
      </c>
      <c r="I786" s="8">
        <f>25.6897 * CHOOSE(CONTROL!$C$12, $D$11, 100%, $F$11)</f>
        <v>20.654518800000002</v>
      </c>
      <c r="J786" s="4">
        <f>25.5792 * CHOOSE(CONTROL!$C$12, $D$11, 100%, $F$11)</f>
        <v>20.565676800000002</v>
      </c>
      <c r="K786" s="4"/>
      <c r="L786" s="9">
        <v>25.631599999999999</v>
      </c>
      <c r="M786" s="9">
        <v>11.285299999999999</v>
      </c>
      <c r="N786" s="9">
        <v>4.6254999999999997</v>
      </c>
      <c r="O786" s="9">
        <v>0.35039999999999999</v>
      </c>
      <c r="P786" s="9">
        <v>1.2104999999999999</v>
      </c>
      <c r="Q786" s="9">
        <v>18.417899999999999</v>
      </c>
      <c r="R786" s="9"/>
      <c r="S786" s="11"/>
    </row>
    <row r="787" spans="1:19" ht="15.75">
      <c r="A787" s="13">
        <v>65836</v>
      </c>
      <c r="B787" s="8">
        <f>26.1317 * CHOOSE(CONTROL!$C$12, $D$11, 100%, $F$11)</f>
        <v>21.0098868</v>
      </c>
      <c r="C787" s="8">
        <f>26.1422 * CHOOSE(CONTROL!$C$12, $D$11, 100%, $F$11)</f>
        <v>21.018328799999999</v>
      </c>
      <c r="D787" s="8">
        <f>26.122 * CHOOSE( CONTROL!$C$12, $D$11, 100%, $F$11)</f>
        <v>21.002088000000001</v>
      </c>
      <c r="E787" s="12">
        <f>26.1283 * CHOOSE( CONTROL!$C$12, $D$11, 100%, $F$11)</f>
        <v>21.007153200000001</v>
      </c>
      <c r="F787" s="4">
        <f>27.1307 * CHOOSE(CONTROL!$C$12, $D$11, 100%, $F$11)</f>
        <v>21.813082800000004</v>
      </c>
      <c r="G787" s="8">
        <f>25.4793 * CHOOSE( CONTROL!$C$12, $D$11, 100%, $F$11)</f>
        <v>20.485357199999999</v>
      </c>
      <c r="H787" s="4">
        <f>26.3699 * CHOOSE(CONTROL!$C$12, $D$11, 100%, $F$11)</f>
        <v>21.201399600000002</v>
      </c>
      <c r="I787" s="8">
        <f>25.1053 * CHOOSE(CONTROL!$C$12, $D$11, 100%, $F$11)</f>
        <v>20.184661200000001</v>
      </c>
      <c r="J787" s="4">
        <f>25.0347 * CHOOSE(CONTROL!$C$12, $D$11, 100%, $F$11)</f>
        <v>20.127898800000001</v>
      </c>
      <c r="K787" s="4"/>
      <c r="L787" s="9">
        <v>27.3993</v>
      </c>
      <c r="M787" s="9">
        <v>12.063700000000001</v>
      </c>
      <c r="N787" s="9">
        <v>4.9444999999999997</v>
      </c>
      <c r="O787" s="9">
        <v>0.37459999999999999</v>
      </c>
      <c r="P787" s="9">
        <v>1.2939000000000001</v>
      </c>
      <c r="Q787" s="9">
        <v>19.688099999999999</v>
      </c>
      <c r="R787" s="9"/>
      <c r="S787" s="11"/>
    </row>
    <row r="788" spans="1:19" ht="15.75">
      <c r="A788" s="13">
        <v>65866</v>
      </c>
      <c r="B788" s="8">
        <f>26.5288 * CHOOSE(CONTROL!$C$12, $D$11, 100%, $F$11)</f>
        <v>21.329155200000002</v>
      </c>
      <c r="C788" s="8">
        <f>26.5393 * CHOOSE(CONTROL!$C$12, $D$11, 100%, $F$11)</f>
        <v>21.337597200000001</v>
      </c>
      <c r="D788" s="8">
        <f>26.5425 * CHOOSE( CONTROL!$C$12, $D$11, 100%, $F$11)</f>
        <v>21.340170000000001</v>
      </c>
      <c r="E788" s="12">
        <f>26.5402 * CHOOSE( CONTROL!$C$12, $D$11, 100%, $F$11)</f>
        <v>21.338320800000002</v>
      </c>
      <c r="F788" s="4">
        <f>27.5361 * CHOOSE(CONTROL!$C$12, $D$11, 100%, $F$11)</f>
        <v>22.139024400000004</v>
      </c>
      <c r="G788" s="8">
        <f>25.8543 * CHOOSE( CONTROL!$C$12, $D$11, 100%, $F$11)</f>
        <v>20.7868572</v>
      </c>
      <c r="H788" s="4">
        <f>26.7652 * CHOOSE(CONTROL!$C$12, $D$11, 100%, $F$11)</f>
        <v>21.519220800000003</v>
      </c>
      <c r="I788" s="8">
        <f>25.4761 * CHOOSE(CONTROL!$C$12, $D$11, 100%, $F$11)</f>
        <v>20.4827844</v>
      </c>
      <c r="J788" s="4">
        <f>25.4152 * CHOOSE(CONTROL!$C$12, $D$11, 100%, $F$11)</f>
        <v>20.433820799999999</v>
      </c>
      <c r="K788" s="4"/>
      <c r="L788" s="9">
        <v>27.988800000000001</v>
      </c>
      <c r="M788" s="9">
        <v>11.6745</v>
      </c>
      <c r="N788" s="9">
        <v>4.7850000000000001</v>
      </c>
      <c r="O788" s="9">
        <v>0.36249999999999999</v>
      </c>
      <c r="P788" s="9">
        <v>1.1798</v>
      </c>
      <c r="Q788" s="9">
        <v>19.053000000000001</v>
      </c>
      <c r="R788" s="9"/>
      <c r="S788" s="11"/>
    </row>
    <row r="789" spans="1:19" ht="15.75">
      <c r="A789" s="13">
        <v>65897</v>
      </c>
      <c r="B789" s="8">
        <f>CHOOSE( CONTROL!$C$29, 27.2403, 27.2356) * CHOOSE(CONTROL!$C$12, $D$11, 100%, $F$11)</f>
        <v>21.901201200000003</v>
      </c>
      <c r="C789" s="8">
        <f>CHOOSE( CONTROL!$C$29, 27.2507, 27.246) * CHOOSE(CONTROL!$C$12, $D$11, 100%, $F$11)</f>
        <v>21.9095628</v>
      </c>
      <c r="D789" s="8">
        <f>CHOOSE( CONTROL!$C$29, 27.2287, 27.224) * CHOOSE( CONTROL!$C$12, $D$11, 100%, $F$11)</f>
        <v>21.8918748</v>
      </c>
      <c r="E789" s="12">
        <f>CHOOSE( CONTROL!$C$29, 27.2351, 27.2304) * CHOOSE( CONTROL!$C$12, $D$11, 100%, $F$11)</f>
        <v>21.897020400000002</v>
      </c>
      <c r="F789" s="4">
        <f>CHOOSE( CONTROL!$C$29, 28.2152, 28.2105) * CHOOSE(CONTROL!$C$12, $D$11, 100%, $F$11)</f>
        <v>22.6850208</v>
      </c>
      <c r="G789" s="8">
        <f>CHOOSE( CONTROL!$C$29, 26.5291, 26.5245) * CHOOSE( CONTROL!$C$12, $D$11, 100%, $F$11)</f>
        <v>21.3293964</v>
      </c>
      <c r="H789" s="4">
        <f>CHOOSE( CONTROL!$C$29, 27.4271, 27.4225) * CHOOSE(CONTROL!$C$12, $D$11, 100%, $F$11)</f>
        <v>22.0513884</v>
      </c>
      <c r="I789" s="8">
        <f>CHOOSE( CONTROL!$C$29, 26.1366, 26.1321) * CHOOSE(CONTROL!$C$12, $D$11, 100%, $F$11)</f>
        <v>21.013826400000003</v>
      </c>
      <c r="J789" s="4">
        <f>CHOOSE( CONTROL!$C$29, 26.0969, 26.0924) * CHOOSE(CONTROL!$C$12, $D$11, 100%, $F$11)</f>
        <v>20.981907600000003</v>
      </c>
      <c r="K789" s="4"/>
      <c r="L789" s="9">
        <v>29.520499999999998</v>
      </c>
      <c r="M789" s="9">
        <v>12.063700000000001</v>
      </c>
      <c r="N789" s="9">
        <v>4.9444999999999997</v>
      </c>
      <c r="O789" s="9">
        <v>0.37459999999999999</v>
      </c>
      <c r="P789" s="9">
        <v>1.2192000000000001</v>
      </c>
      <c r="Q789" s="9">
        <v>19.688099999999999</v>
      </c>
      <c r="R789" s="9"/>
      <c r="S789" s="11"/>
    </row>
    <row r="790" spans="1:19" ht="15.75">
      <c r="A790" s="13">
        <v>65927</v>
      </c>
      <c r="B790" s="8">
        <f>CHOOSE( CONTROL!$C$29, 26.8025, 26.7978) * CHOOSE(CONTROL!$C$12, $D$11, 100%, $F$11)</f>
        <v>21.549209999999999</v>
      </c>
      <c r="C790" s="8">
        <f>CHOOSE( CONTROL!$C$29, 26.8129, 26.8082) * CHOOSE(CONTROL!$C$12, $D$11, 100%, $F$11)</f>
        <v>21.557571599999999</v>
      </c>
      <c r="D790" s="8">
        <f>CHOOSE( CONTROL!$C$29, 26.7853, 26.7806) * CHOOSE( CONTROL!$C$12, $D$11, 100%, $F$11)</f>
        <v>21.5353812</v>
      </c>
      <c r="E790" s="12">
        <f>CHOOSE( CONTROL!$C$29, 26.7937, 26.789) * CHOOSE( CONTROL!$C$12, $D$11, 100%, $F$11)</f>
        <v>21.542134800000003</v>
      </c>
      <c r="F790" s="4">
        <f>CHOOSE( CONTROL!$C$29, 27.767, 27.7623) * CHOOSE(CONTROL!$C$12, $D$11, 100%, $F$11)</f>
        <v>22.324668000000003</v>
      </c>
      <c r="G790" s="8">
        <f>CHOOSE( CONTROL!$C$29, 26.1011, 26.0965) * CHOOSE( CONTROL!$C$12, $D$11, 100%, $F$11)</f>
        <v>20.985284400000001</v>
      </c>
      <c r="H790" s="4">
        <f>CHOOSE( CONTROL!$C$29, 26.9902, 26.9856) * CHOOSE(CONTROL!$C$12, $D$11, 100%, $F$11)</f>
        <v>21.700120800000004</v>
      </c>
      <c r="I790" s="8">
        <f>CHOOSE( CONTROL!$C$29, 25.7191, 25.7146) * CHOOSE(CONTROL!$C$12, $D$11, 100%, $F$11)</f>
        <v>20.678156400000002</v>
      </c>
      <c r="J790" s="4">
        <f>CHOOSE( CONTROL!$C$29, 25.6774, 25.6729) * CHOOSE(CONTROL!$C$12, $D$11, 100%, $F$11)</f>
        <v>20.644629600000002</v>
      </c>
      <c r="K790" s="4"/>
      <c r="L790" s="9">
        <v>28.568200000000001</v>
      </c>
      <c r="M790" s="9">
        <v>11.6745</v>
      </c>
      <c r="N790" s="9">
        <v>4.7850000000000001</v>
      </c>
      <c r="O790" s="9">
        <v>0.36249999999999999</v>
      </c>
      <c r="P790" s="9">
        <v>1.1798</v>
      </c>
      <c r="Q790" s="9">
        <v>19.053000000000001</v>
      </c>
      <c r="R790" s="9"/>
      <c r="S790" s="11"/>
    </row>
    <row r="791" spans="1:19" ht="15.75">
      <c r="A791" s="13">
        <v>65958</v>
      </c>
      <c r="B791" s="8">
        <f>CHOOSE( CONTROL!$C$29, 27.9554, 27.9507) * CHOOSE(CONTROL!$C$12, $D$11, 100%, $F$11)</f>
        <v>22.476141600000002</v>
      </c>
      <c r="C791" s="8">
        <f>CHOOSE( CONTROL!$C$29, 27.9658, 27.9611) * CHOOSE(CONTROL!$C$12, $D$11, 100%, $F$11)</f>
        <v>22.484503200000002</v>
      </c>
      <c r="D791" s="8">
        <f>CHOOSE( CONTROL!$C$29, 27.9574, 27.9527) * CHOOSE( CONTROL!$C$12, $D$11, 100%, $F$11)</f>
        <v>22.477749600000003</v>
      </c>
      <c r="E791" s="12">
        <f>CHOOSE( CONTROL!$C$29, 27.9589, 27.9542) * CHOOSE( CONTROL!$C$12, $D$11, 100%, $F$11)</f>
        <v>22.478955600000003</v>
      </c>
      <c r="F791" s="4">
        <f>CHOOSE( CONTROL!$C$29, 28.947, 28.9423) * CHOOSE(CONTROL!$C$12, $D$11, 100%, $F$11)</f>
        <v>23.273388000000001</v>
      </c>
      <c r="G791" s="8">
        <f>CHOOSE( CONTROL!$C$29, 27.2376, 27.233) * CHOOSE( CONTROL!$C$12, $D$11, 100%, $F$11)</f>
        <v>21.899030400000001</v>
      </c>
      <c r="H791" s="4">
        <f>CHOOSE( CONTROL!$C$29, 28.1405, 28.1359) * CHOOSE(CONTROL!$C$12, $D$11, 100%, $F$11)</f>
        <v>22.624962</v>
      </c>
      <c r="I791" s="8">
        <f>CHOOSE( CONTROL!$C$29, 26.8471, 26.8426) * CHOOSE(CONTROL!$C$12, $D$11, 100%, $F$11)</f>
        <v>21.585068400000001</v>
      </c>
      <c r="J791" s="4">
        <f>CHOOSE( CONTROL!$C$29, 26.7821, 26.7776) * CHOOSE(CONTROL!$C$12, $D$11, 100%, $F$11)</f>
        <v>21.5328084</v>
      </c>
      <c r="K791" s="4"/>
      <c r="L791" s="9">
        <v>29.520499999999998</v>
      </c>
      <c r="M791" s="9">
        <v>12.063700000000001</v>
      </c>
      <c r="N791" s="9">
        <v>4.9444999999999997</v>
      </c>
      <c r="O791" s="9">
        <v>0.37459999999999999</v>
      </c>
      <c r="P791" s="9">
        <v>1.2192000000000001</v>
      </c>
      <c r="Q791" s="9">
        <v>19.688099999999999</v>
      </c>
      <c r="R791" s="9"/>
      <c r="S791" s="11"/>
    </row>
    <row r="792" spans="1:19" ht="15.75">
      <c r="A792" s="13">
        <v>65989</v>
      </c>
      <c r="B792" s="8">
        <f>CHOOSE( CONTROL!$C$29, 25.7982, 25.7935) * CHOOSE(CONTROL!$C$12, $D$11, 100%, $F$11)</f>
        <v>20.741752800000004</v>
      </c>
      <c r="C792" s="8">
        <f>CHOOSE( CONTROL!$C$29, 25.8086, 25.8039) * CHOOSE(CONTROL!$C$12, $D$11, 100%, $F$11)</f>
        <v>20.750114400000001</v>
      </c>
      <c r="D792" s="8">
        <f>CHOOSE( CONTROL!$C$29, 25.8035, 25.7988) * CHOOSE( CONTROL!$C$12, $D$11, 100%, $F$11)</f>
        <v>20.746014000000002</v>
      </c>
      <c r="E792" s="12">
        <f>CHOOSE( CONTROL!$C$29, 25.8038, 25.7991) * CHOOSE( CONTROL!$C$12, $D$11, 100%, $F$11)</f>
        <v>20.7462552</v>
      </c>
      <c r="F792" s="4">
        <f>CHOOSE( CONTROL!$C$29, 26.795, 26.7903) * CHOOSE(CONTROL!$C$12, $D$11, 100%, $F$11)</f>
        <v>21.543180000000003</v>
      </c>
      <c r="G792" s="8">
        <f>CHOOSE( CONTROL!$C$29, 25.1369, 25.1323) * CHOOSE( CONTROL!$C$12, $D$11, 100%, $F$11)</f>
        <v>20.210067600000002</v>
      </c>
      <c r="H792" s="4">
        <f>CHOOSE( CONTROL!$C$29, 26.0428, 26.0382) * CHOOSE(CONTROL!$C$12, $D$11, 100%, $F$11)</f>
        <v>20.938411200000001</v>
      </c>
      <c r="I792" s="8">
        <f>CHOOSE( CONTROL!$C$29, 24.7836, 24.7791) * CHOOSE(CONTROL!$C$12, $D$11, 100%, $F$11)</f>
        <v>19.9260144</v>
      </c>
      <c r="J792" s="4">
        <f>CHOOSE( CONTROL!$C$29, 24.7151, 24.7106) * CHOOSE(CONTROL!$C$12, $D$11, 100%, $F$11)</f>
        <v>19.870940400000002</v>
      </c>
      <c r="K792" s="4"/>
      <c r="L792" s="9">
        <v>29.520499999999998</v>
      </c>
      <c r="M792" s="9">
        <v>12.063700000000001</v>
      </c>
      <c r="N792" s="9">
        <v>4.9444999999999997</v>
      </c>
      <c r="O792" s="9">
        <v>0.37459999999999999</v>
      </c>
      <c r="P792" s="9">
        <v>1.2192000000000001</v>
      </c>
      <c r="Q792" s="9">
        <v>19.688099999999999</v>
      </c>
      <c r="R792" s="9"/>
      <c r="S792" s="11"/>
    </row>
    <row r="793" spans="1:19" ht="15.75">
      <c r="A793" s="13">
        <v>66019</v>
      </c>
      <c r="B793" s="8">
        <f>CHOOSE( CONTROL!$C$29, 25.258, 25.2533) * CHOOSE(CONTROL!$C$12, $D$11, 100%, $F$11)</f>
        <v>20.307432000000002</v>
      </c>
      <c r="C793" s="8">
        <f>CHOOSE( CONTROL!$C$29, 25.2684, 25.2637) * CHOOSE(CONTROL!$C$12, $D$11, 100%, $F$11)</f>
        <v>20.315793600000003</v>
      </c>
      <c r="D793" s="8">
        <f>CHOOSE( CONTROL!$C$29, 25.2591, 25.2544) * CHOOSE( CONTROL!$C$12, $D$11, 100%, $F$11)</f>
        <v>20.308316400000002</v>
      </c>
      <c r="E793" s="12">
        <f>CHOOSE( CONTROL!$C$29, 25.2609, 25.2562) * CHOOSE( CONTROL!$C$12, $D$11, 100%, $F$11)</f>
        <v>20.3097636</v>
      </c>
      <c r="F793" s="4">
        <f>CHOOSE( CONTROL!$C$29, 26.247, 26.2423) * CHOOSE(CONTROL!$C$12, $D$11, 100%, $F$11)</f>
        <v>21.102588000000001</v>
      </c>
      <c r="G793" s="8">
        <f>CHOOSE( CONTROL!$C$29, 24.6091, 24.6045) * CHOOSE( CONTROL!$C$12, $D$11, 100%, $F$11)</f>
        <v>19.785716400000002</v>
      </c>
      <c r="H793" s="4">
        <f>CHOOSE( CONTROL!$C$29, 25.5086, 25.504) * CHOOSE(CONTROL!$C$12, $D$11, 100%, $F$11)</f>
        <v>20.508914400000002</v>
      </c>
      <c r="I793" s="8">
        <f>CHOOSE( CONTROL!$C$29, 24.2671, 24.2626) * CHOOSE(CONTROL!$C$12, $D$11, 100%, $F$11)</f>
        <v>19.510748400000001</v>
      </c>
      <c r="J793" s="4">
        <f>CHOOSE( CONTROL!$C$29, 24.1975, 24.193) * CHOOSE(CONTROL!$C$12, $D$11, 100%, $F$11)</f>
        <v>19.454790000000003</v>
      </c>
      <c r="K793" s="4"/>
      <c r="L793" s="9">
        <v>28.568200000000001</v>
      </c>
      <c r="M793" s="9">
        <v>11.6745</v>
      </c>
      <c r="N793" s="9">
        <v>4.7850000000000001</v>
      </c>
      <c r="O793" s="9">
        <v>0.36249999999999999</v>
      </c>
      <c r="P793" s="9">
        <v>1.1798</v>
      </c>
      <c r="Q793" s="9">
        <v>19.053000000000001</v>
      </c>
      <c r="R793" s="9"/>
      <c r="S793" s="11"/>
    </row>
    <row r="794" spans="1:19" ht="15.75">
      <c r="A794" s="13">
        <v>66050</v>
      </c>
      <c r="B794" s="8">
        <f>26.3749 * CHOOSE(CONTROL!$C$12, $D$11, 100%, $F$11)</f>
        <v>21.205419600000003</v>
      </c>
      <c r="C794" s="8">
        <f>26.3854 * CHOOSE(CONTROL!$C$12, $D$11, 100%, $F$11)</f>
        <v>21.213861600000001</v>
      </c>
      <c r="D794" s="8">
        <f>26.3769 * CHOOSE( CONTROL!$C$12, $D$11, 100%, $F$11)</f>
        <v>21.2070276</v>
      </c>
      <c r="E794" s="12">
        <f>26.3786 * CHOOSE( CONTROL!$C$12, $D$11, 100%, $F$11)</f>
        <v>21.2083944</v>
      </c>
      <c r="F794" s="4">
        <f>27.3639 * CHOOSE(CONTROL!$C$12, $D$11, 100%, $F$11)</f>
        <v>22.000575600000001</v>
      </c>
      <c r="G794" s="8">
        <f>25.6974 * CHOOSE( CONTROL!$C$12, $D$11, 100%, $F$11)</f>
        <v>20.660709600000001</v>
      </c>
      <c r="H794" s="4">
        <f>26.5973 * CHOOSE(CONTROL!$C$12, $D$11, 100%, $F$11)</f>
        <v>21.3842292</v>
      </c>
      <c r="I794" s="8">
        <f>25.3399 * CHOOSE(CONTROL!$C$12, $D$11, 100%, $F$11)</f>
        <v>20.3732796</v>
      </c>
      <c r="J794" s="4">
        <f>25.2677 * CHOOSE(CONTROL!$C$12, $D$11, 100%, $F$11)</f>
        <v>20.315230800000002</v>
      </c>
      <c r="K794" s="4"/>
      <c r="L794" s="9">
        <v>28.921800000000001</v>
      </c>
      <c r="M794" s="9">
        <v>12.063700000000001</v>
      </c>
      <c r="N794" s="9">
        <v>4.9444999999999997</v>
      </c>
      <c r="O794" s="9">
        <v>0.37459999999999999</v>
      </c>
      <c r="P794" s="9">
        <v>1.2192000000000001</v>
      </c>
      <c r="Q794" s="9">
        <v>19.688099999999999</v>
      </c>
      <c r="R794" s="9"/>
      <c r="S794" s="11"/>
    </row>
    <row r="795" spans="1:19" ht="15.75">
      <c r="A795" s="13">
        <v>66080</v>
      </c>
      <c r="B795" s="8">
        <f>28.4452 * CHOOSE(CONTROL!$C$12, $D$11, 100%, $F$11)</f>
        <v>22.869940800000002</v>
      </c>
      <c r="C795" s="8">
        <f>28.4556 * CHOOSE(CONTROL!$C$12, $D$11, 100%, $F$11)</f>
        <v>22.878302400000003</v>
      </c>
      <c r="D795" s="8">
        <f>28.4359 * CHOOSE( CONTROL!$C$12, $D$11, 100%, $F$11)</f>
        <v>22.862463600000002</v>
      </c>
      <c r="E795" s="12">
        <f>28.442 * CHOOSE( CONTROL!$C$12, $D$11, 100%, $F$11)</f>
        <v>22.867368000000003</v>
      </c>
      <c r="F795" s="4">
        <f>29.4368 * CHOOSE(CONTROL!$C$12, $D$11, 100%, $F$11)</f>
        <v>23.667187200000004</v>
      </c>
      <c r="G795" s="8">
        <f>27.7345 * CHOOSE( CONTROL!$C$12, $D$11, 100%, $F$11)</f>
        <v>22.298538000000001</v>
      </c>
      <c r="H795" s="4">
        <f>28.6179 * CHOOSE(CONTROL!$C$12, $D$11, 100%, $F$11)</f>
        <v>23.008791600000002</v>
      </c>
      <c r="I795" s="8">
        <f>27.3549 * CHOOSE(CONTROL!$C$12, $D$11, 100%, $F$11)</f>
        <v>21.993339600000002</v>
      </c>
      <c r="J795" s="4">
        <f>27.2514 * CHOOSE(CONTROL!$C$12, $D$11, 100%, $F$11)</f>
        <v>21.910125600000001</v>
      </c>
      <c r="K795" s="4"/>
      <c r="L795" s="9">
        <v>26.515499999999999</v>
      </c>
      <c r="M795" s="9">
        <v>11.6745</v>
      </c>
      <c r="N795" s="9">
        <v>4.7850000000000001</v>
      </c>
      <c r="O795" s="9">
        <v>0.36249999999999999</v>
      </c>
      <c r="P795" s="9">
        <v>1.2522</v>
      </c>
      <c r="Q795" s="9">
        <v>19.053000000000001</v>
      </c>
      <c r="R795" s="9"/>
      <c r="S795" s="11"/>
    </row>
    <row r="796" spans="1:19" ht="15.75">
      <c r="A796" s="13">
        <v>66111</v>
      </c>
      <c r="B796" s="8">
        <f>28.3935 * CHOOSE(CONTROL!$C$12, $D$11, 100%, $F$11)</f>
        <v>22.828374</v>
      </c>
      <c r="C796" s="8">
        <f>28.4039 * CHOOSE(CONTROL!$C$12, $D$11, 100%, $F$11)</f>
        <v>22.836735600000001</v>
      </c>
      <c r="D796" s="8">
        <f>28.3861 * CHOOSE( CONTROL!$C$12, $D$11, 100%, $F$11)</f>
        <v>22.822424399999999</v>
      </c>
      <c r="E796" s="12">
        <f>28.3915 * CHOOSE( CONTROL!$C$12, $D$11, 100%, $F$11)</f>
        <v>22.826766000000003</v>
      </c>
      <c r="F796" s="4">
        <f>29.3851 * CHOOSE(CONTROL!$C$12, $D$11, 100%, $F$11)</f>
        <v>23.625620400000003</v>
      </c>
      <c r="G796" s="8">
        <f>27.6856 * CHOOSE( CONTROL!$C$12, $D$11, 100%, $F$11)</f>
        <v>22.259222400000002</v>
      </c>
      <c r="H796" s="4">
        <f>28.5675 * CHOOSE(CONTROL!$C$12, $D$11, 100%, $F$11)</f>
        <v>22.96827</v>
      </c>
      <c r="I796" s="8">
        <f>27.3121 * CHOOSE(CONTROL!$C$12, $D$11, 100%, $F$11)</f>
        <v>21.958928400000001</v>
      </c>
      <c r="J796" s="4">
        <f>27.2019 * CHOOSE(CONTROL!$C$12, $D$11, 100%, $F$11)</f>
        <v>21.8703276</v>
      </c>
      <c r="K796" s="4"/>
      <c r="L796" s="9">
        <v>27.3993</v>
      </c>
      <c r="M796" s="9">
        <v>12.063700000000001</v>
      </c>
      <c r="N796" s="9">
        <v>4.9444999999999997</v>
      </c>
      <c r="O796" s="9">
        <v>0.37459999999999999</v>
      </c>
      <c r="P796" s="9">
        <v>1.2939000000000001</v>
      </c>
      <c r="Q796" s="9">
        <v>19.688099999999999</v>
      </c>
      <c r="R796" s="9"/>
      <c r="S796" s="11"/>
    </row>
    <row r="797" spans="1:19" ht="15.75">
      <c r="A797" s="13">
        <v>66142</v>
      </c>
      <c r="B797" s="8">
        <f>29.4785 * CHOOSE(CONTROL!$C$12, $D$11, 100%, $F$11)</f>
        <v>23.700714000000001</v>
      </c>
      <c r="C797" s="8">
        <f>29.4889 * CHOOSE(CONTROL!$C$12, $D$11, 100%, $F$11)</f>
        <v>23.709075600000002</v>
      </c>
      <c r="D797" s="8">
        <f>29.4866 * CHOOSE( CONTROL!$C$12, $D$11, 100%, $F$11)</f>
        <v>23.7072264</v>
      </c>
      <c r="E797" s="12">
        <f>29.4863 * CHOOSE( CONTROL!$C$12, $D$11, 100%, $F$11)</f>
        <v>23.706985200000002</v>
      </c>
      <c r="F797" s="4">
        <f>30.5014 * CHOOSE(CONTROL!$C$12, $D$11, 100%, $F$11)</f>
        <v>24.5231256</v>
      </c>
      <c r="G797" s="8">
        <f>28.7622 * CHOOSE( CONTROL!$C$12, $D$11, 100%, $F$11)</f>
        <v>23.1248088</v>
      </c>
      <c r="H797" s="4">
        <f>29.6556 * CHOOSE(CONTROL!$C$12, $D$11, 100%, $F$11)</f>
        <v>23.843102400000003</v>
      </c>
      <c r="I797" s="8">
        <f>28.3642 * CHOOSE(CONTROL!$C$12, $D$11, 100%, $F$11)</f>
        <v>22.804816800000001</v>
      </c>
      <c r="J797" s="4">
        <f>28.2415 * CHOOSE(CONTROL!$C$12, $D$11, 100%, $F$11)</f>
        <v>22.706166</v>
      </c>
      <c r="K797" s="4"/>
      <c r="L797" s="9">
        <v>27.3993</v>
      </c>
      <c r="M797" s="9">
        <v>12.063700000000001</v>
      </c>
      <c r="N797" s="9">
        <v>4.9444999999999997</v>
      </c>
      <c r="O797" s="9">
        <v>0.37459999999999999</v>
      </c>
      <c r="P797" s="9">
        <v>1.2939000000000001</v>
      </c>
      <c r="Q797" s="9">
        <v>19.688099999999999</v>
      </c>
      <c r="R797" s="9"/>
      <c r="S797" s="11"/>
    </row>
    <row r="798" spans="1:19" ht="15.75">
      <c r="A798" s="13">
        <v>66170</v>
      </c>
      <c r="B798" s="8">
        <f>27.5731 * CHOOSE(CONTROL!$C$12, $D$11, 100%, $F$11)</f>
        <v>22.168772400000002</v>
      </c>
      <c r="C798" s="8">
        <f>27.5835 * CHOOSE(CONTROL!$C$12, $D$11, 100%, $F$11)</f>
        <v>22.177134000000002</v>
      </c>
      <c r="D798" s="8">
        <f>27.5834 * CHOOSE( CONTROL!$C$12, $D$11, 100%, $F$11)</f>
        <v>22.177053600000001</v>
      </c>
      <c r="E798" s="12">
        <f>27.5823 * CHOOSE( CONTROL!$C$12, $D$11, 100%, $F$11)</f>
        <v>22.1761692</v>
      </c>
      <c r="F798" s="4">
        <f>28.5881 * CHOOSE(CONTROL!$C$12, $D$11, 100%, $F$11)</f>
        <v>22.984832400000002</v>
      </c>
      <c r="G798" s="8">
        <f>26.9048 * CHOOSE( CONTROL!$C$12, $D$11, 100%, $F$11)</f>
        <v>21.631459200000002</v>
      </c>
      <c r="H798" s="4">
        <f>27.7906 * CHOOSE(CONTROL!$C$12, $D$11, 100%, $F$11)</f>
        <v>22.343642400000004</v>
      </c>
      <c r="I798" s="8">
        <f>26.5266 * CHOOSE(CONTROL!$C$12, $D$11, 100%, $F$11)</f>
        <v>21.327386400000002</v>
      </c>
      <c r="J798" s="4">
        <f>26.4157 * CHOOSE(CONTROL!$C$12, $D$11, 100%, $F$11)</f>
        <v>21.238222800000003</v>
      </c>
      <c r="K798" s="4"/>
      <c r="L798" s="9">
        <v>24.747800000000002</v>
      </c>
      <c r="M798" s="9">
        <v>10.8962</v>
      </c>
      <c r="N798" s="9">
        <v>4.4660000000000002</v>
      </c>
      <c r="O798" s="9">
        <v>0.33829999999999999</v>
      </c>
      <c r="P798" s="9">
        <v>1.1687000000000001</v>
      </c>
      <c r="Q798" s="9">
        <v>17.782800000000002</v>
      </c>
      <c r="R798" s="9"/>
      <c r="S798" s="11"/>
    </row>
    <row r="799" spans="1:19" ht="15.75">
      <c r="A799" s="13">
        <v>66201</v>
      </c>
      <c r="B799" s="8">
        <f>26.9862 * CHOOSE(CONTROL!$C$12, $D$11, 100%, $F$11)</f>
        <v>21.696904800000002</v>
      </c>
      <c r="C799" s="8">
        <f>26.9966 * CHOOSE(CONTROL!$C$12, $D$11, 100%, $F$11)</f>
        <v>21.705266400000003</v>
      </c>
      <c r="D799" s="8">
        <f>26.9765 * CHOOSE( CONTROL!$C$12, $D$11, 100%, $F$11)</f>
        <v>21.689106000000002</v>
      </c>
      <c r="E799" s="12">
        <f>26.9827 * CHOOSE( CONTROL!$C$12, $D$11, 100%, $F$11)</f>
        <v>21.694090800000001</v>
      </c>
      <c r="F799" s="4">
        <f>27.9851 * CHOOSE(CONTROL!$C$12, $D$11, 100%, $F$11)</f>
        <v>22.5000204</v>
      </c>
      <c r="G799" s="8">
        <f>26.3122 * CHOOSE( CONTROL!$C$12, $D$11, 100%, $F$11)</f>
        <v>21.155008800000001</v>
      </c>
      <c r="H799" s="4">
        <f>27.2028 * CHOOSE(CONTROL!$C$12, $D$11, 100%, $F$11)</f>
        <v>21.8710512</v>
      </c>
      <c r="I799" s="8">
        <f>25.9245 * CHOOSE(CONTROL!$C$12, $D$11, 100%, $F$11)</f>
        <v>20.843298000000001</v>
      </c>
      <c r="J799" s="4">
        <f>25.8534 * CHOOSE(CONTROL!$C$12, $D$11, 100%, $F$11)</f>
        <v>20.786133600000003</v>
      </c>
      <c r="K799" s="4"/>
      <c r="L799" s="9">
        <v>27.3993</v>
      </c>
      <c r="M799" s="9">
        <v>12.063700000000001</v>
      </c>
      <c r="N799" s="9">
        <v>4.9444999999999997</v>
      </c>
      <c r="O799" s="9">
        <v>0.37459999999999999</v>
      </c>
      <c r="P799" s="9">
        <v>1.2939000000000001</v>
      </c>
      <c r="Q799" s="9">
        <v>19.688099999999999</v>
      </c>
      <c r="R799" s="9"/>
      <c r="S799" s="11"/>
    </row>
    <row r="800" spans="1:19" ht="15.75">
      <c r="A800" s="13">
        <v>66231</v>
      </c>
      <c r="B800" s="8">
        <f>27.3963 * CHOOSE(CONTROL!$C$12, $D$11, 100%, $F$11)</f>
        <v>22.026625200000002</v>
      </c>
      <c r="C800" s="8">
        <f>27.4067 * CHOOSE(CONTROL!$C$12, $D$11, 100%, $F$11)</f>
        <v>22.034986800000002</v>
      </c>
      <c r="D800" s="8">
        <f>27.4099 * CHOOSE( CONTROL!$C$12, $D$11, 100%, $F$11)</f>
        <v>22.037559600000002</v>
      </c>
      <c r="E800" s="12">
        <f>27.4077 * CHOOSE( CONTROL!$C$12, $D$11, 100%, $F$11)</f>
        <v>22.035790800000001</v>
      </c>
      <c r="F800" s="4">
        <f>28.4035 * CHOOSE(CONTROL!$C$12, $D$11, 100%, $F$11)</f>
        <v>22.836414000000001</v>
      </c>
      <c r="G800" s="8">
        <f>26.6998 * CHOOSE( CONTROL!$C$12, $D$11, 100%, $F$11)</f>
        <v>21.466639199999999</v>
      </c>
      <c r="H800" s="4">
        <f>27.6107 * CHOOSE(CONTROL!$C$12, $D$11, 100%, $F$11)</f>
        <v>22.199002800000002</v>
      </c>
      <c r="I800" s="8">
        <f>26.3077 * CHOOSE(CONTROL!$C$12, $D$11, 100%, $F$11)</f>
        <v>21.151390800000001</v>
      </c>
      <c r="J800" s="4">
        <f>26.2464 * CHOOSE(CONTROL!$C$12, $D$11, 100%, $F$11)</f>
        <v>21.102105600000002</v>
      </c>
      <c r="K800" s="4"/>
      <c r="L800" s="9">
        <v>27.988800000000001</v>
      </c>
      <c r="M800" s="9">
        <v>11.6745</v>
      </c>
      <c r="N800" s="9">
        <v>4.7850000000000001</v>
      </c>
      <c r="O800" s="9">
        <v>0.36249999999999999</v>
      </c>
      <c r="P800" s="9">
        <v>1.1798</v>
      </c>
      <c r="Q800" s="9">
        <v>19.053000000000001</v>
      </c>
      <c r="R800" s="9"/>
      <c r="S800" s="11"/>
    </row>
    <row r="801" spans="1:19" ht="15.75">
      <c r="A801" s="13">
        <v>66262</v>
      </c>
      <c r="B801" s="8">
        <f>CHOOSE( CONTROL!$C$29, 28.1308, 28.1261) * CHOOSE(CONTROL!$C$12, $D$11, 100%, $F$11)</f>
        <v>22.6171632</v>
      </c>
      <c r="C801" s="8">
        <f>CHOOSE( CONTROL!$C$29, 28.1413, 28.1366) * CHOOSE(CONTROL!$C$12, $D$11, 100%, $F$11)</f>
        <v>22.625605200000003</v>
      </c>
      <c r="D801" s="8">
        <f>CHOOSE( CONTROL!$C$29, 28.1192, 28.1145) * CHOOSE( CONTROL!$C$12, $D$11, 100%, $F$11)</f>
        <v>22.607836800000001</v>
      </c>
      <c r="E801" s="12">
        <f>CHOOSE( CONTROL!$C$29, 28.1256, 28.1209) * CHOOSE( CONTROL!$C$12, $D$11, 100%, $F$11)</f>
        <v>22.6129824</v>
      </c>
      <c r="F801" s="4">
        <f>CHOOSE( CONTROL!$C$29, 29.1057, 29.101) * CHOOSE(CONTROL!$C$12, $D$11, 100%, $F$11)</f>
        <v>23.400982800000001</v>
      </c>
      <c r="G801" s="8">
        <f>CHOOSE( CONTROL!$C$29, 27.3972, 27.3926) * CHOOSE( CONTROL!$C$12, $D$11, 100%, $F$11)</f>
        <v>22.027348800000002</v>
      </c>
      <c r="H801" s="4">
        <f>CHOOSE( CONTROL!$C$29, 28.2952, 28.2906) * CHOOSE(CONTROL!$C$12, $D$11, 100%, $F$11)</f>
        <v>22.749340800000002</v>
      </c>
      <c r="I801" s="8">
        <f>CHOOSE( CONTROL!$C$29, 26.9904, 26.9859) * CHOOSE(CONTROL!$C$12, $D$11, 100%, $F$11)</f>
        <v>21.700281600000004</v>
      </c>
      <c r="J801" s="4">
        <f>CHOOSE( CONTROL!$C$29, 26.9502, 26.9457) * CHOOSE(CONTROL!$C$12, $D$11, 100%, $F$11)</f>
        <v>21.667960799999999</v>
      </c>
      <c r="K801" s="4"/>
      <c r="L801" s="9">
        <v>29.520499999999998</v>
      </c>
      <c r="M801" s="9">
        <v>12.063700000000001</v>
      </c>
      <c r="N801" s="9">
        <v>4.9444999999999997</v>
      </c>
      <c r="O801" s="9">
        <v>0.37459999999999999</v>
      </c>
      <c r="P801" s="9">
        <v>1.2192000000000001</v>
      </c>
      <c r="Q801" s="9">
        <v>19.688099999999999</v>
      </c>
      <c r="R801" s="9"/>
      <c r="S801" s="11"/>
    </row>
    <row r="802" spans="1:19" ht="15.75">
      <c r="A802" s="13">
        <v>66292</v>
      </c>
      <c r="B802" s="8">
        <f>CHOOSE( CONTROL!$C$29, 27.6787, 27.674) * CHOOSE(CONTROL!$C$12, $D$11, 100%, $F$11)</f>
        <v>22.253674800000002</v>
      </c>
      <c r="C802" s="8">
        <f>CHOOSE( CONTROL!$C$29, 27.6892, 27.6844) * CHOOSE(CONTROL!$C$12, $D$11, 100%, $F$11)</f>
        <v>22.262116800000001</v>
      </c>
      <c r="D802" s="8">
        <f>CHOOSE( CONTROL!$C$29, 27.6615, 27.6568) * CHOOSE( CONTROL!$C$12, $D$11, 100%, $F$11)</f>
        <v>22.239846</v>
      </c>
      <c r="E802" s="12">
        <f>CHOOSE( CONTROL!$C$29, 27.6699, 27.6652) * CHOOSE( CONTROL!$C$12, $D$11, 100%, $F$11)</f>
        <v>22.2465996</v>
      </c>
      <c r="F802" s="4">
        <f>CHOOSE( CONTROL!$C$29, 28.6432, 28.6385) * CHOOSE(CONTROL!$C$12, $D$11, 100%, $F$11)</f>
        <v>23.029132800000003</v>
      </c>
      <c r="G802" s="8">
        <f>CHOOSE( CONTROL!$C$29, 26.9552, 26.9506) * CHOOSE( CONTROL!$C$12, $D$11, 100%, $F$11)</f>
        <v>21.671980800000004</v>
      </c>
      <c r="H802" s="4">
        <f>CHOOSE( CONTROL!$C$29, 27.8443, 27.8397) * CHOOSE(CONTROL!$C$12, $D$11, 100%, $F$11)</f>
        <v>22.386817200000003</v>
      </c>
      <c r="I802" s="8">
        <f>CHOOSE( CONTROL!$C$29, 26.5591, 26.5546) * CHOOSE(CONTROL!$C$12, $D$11, 100%, $F$11)</f>
        <v>21.3535164</v>
      </c>
      <c r="J802" s="4">
        <f>CHOOSE( CONTROL!$C$29, 26.517, 26.5125) * CHOOSE(CONTROL!$C$12, $D$11, 100%, $F$11)</f>
        <v>21.319668</v>
      </c>
      <c r="K802" s="4"/>
      <c r="L802" s="9">
        <v>28.568200000000001</v>
      </c>
      <c r="M802" s="9">
        <v>11.6745</v>
      </c>
      <c r="N802" s="9">
        <v>4.7850000000000001</v>
      </c>
      <c r="O802" s="9">
        <v>0.36249999999999999</v>
      </c>
      <c r="P802" s="9">
        <v>1.1798</v>
      </c>
      <c r="Q802" s="9">
        <v>19.053000000000001</v>
      </c>
      <c r="R802" s="9"/>
      <c r="S802" s="11"/>
    </row>
    <row r="803" spans="1:19" ht="15.75">
      <c r="A803" s="13">
        <v>66323</v>
      </c>
      <c r="B803" s="8">
        <f>CHOOSE( CONTROL!$C$29, 28.8693, 28.8646) * CHOOSE(CONTROL!$C$12, $D$11, 100%, $F$11)</f>
        <v>23.210917200000001</v>
      </c>
      <c r="C803" s="8">
        <f>CHOOSE( CONTROL!$C$29, 28.8798, 28.8751) * CHOOSE(CONTROL!$C$12, $D$11, 100%, $F$11)</f>
        <v>23.2193592</v>
      </c>
      <c r="D803" s="8">
        <f>CHOOSE( CONTROL!$C$29, 28.8713, 28.8666) * CHOOSE( CONTROL!$C$12, $D$11, 100%, $F$11)</f>
        <v>23.212525200000002</v>
      </c>
      <c r="E803" s="12">
        <f>CHOOSE( CONTROL!$C$29, 28.8728, 28.8681) * CHOOSE( CONTROL!$C$12, $D$11, 100%, $F$11)</f>
        <v>23.213731200000002</v>
      </c>
      <c r="F803" s="4">
        <f>CHOOSE( CONTROL!$C$29, 29.8609, 29.8562) * CHOOSE(CONTROL!$C$12, $D$11, 100%, $F$11)</f>
        <v>24.008163600000003</v>
      </c>
      <c r="G803" s="8">
        <f>CHOOSE( CONTROL!$C$29, 28.1285, 28.1239) * CHOOSE( CONTROL!$C$12, $D$11, 100%, $F$11)</f>
        <v>22.615314000000001</v>
      </c>
      <c r="H803" s="4">
        <f>CHOOSE( CONTROL!$C$29, 29.0313, 29.0267) * CHOOSE(CONTROL!$C$12, $D$11, 100%, $F$11)</f>
        <v>23.341165200000002</v>
      </c>
      <c r="I803" s="8">
        <f>CHOOSE( CONTROL!$C$29, 27.7233, 27.7188) * CHOOSE(CONTROL!$C$12, $D$11, 100%, $F$11)</f>
        <v>22.289533200000001</v>
      </c>
      <c r="J803" s="4">
        <f>CHOOSE( CONTROL!$C$29, 27.6578, 27.6533) * CHOOSE(CONTROL!$C$12, $D$11, 100%, $F$11)</f>
        <v>22.236871200000003</v>
      </c>
      <c r="K803" s="4"/>
      <c r="L803" s="9">
        <v>29.520499999999998</v>
      </c>
      <c r="M803" s="9">
        <v>12.063700000000001</v>
      </c>
      <c r="N803" s="9">
        <v>4.9444999999999997</v>
      </c>
      <c r="O803" s="9">
        <v>0.37459999999999999</v>
      </c>
      <c r="P803" s="9">
        <v>1.2192000000000001</v>
      </c>
      <c r="Q803" s="9">
        <v>19.688099999999999</v>
      </c>
      <c r="R803" s="9"/>
      <c r="S803" s="11"/>
    </row>
    <row r="804" spans="1:19" ht="15.75">
      <c r="A804" s="13">
        <v>66354</v>
      </c>
      <c r="B804" s="8">
        <f>CHOOSE( CONTROL!$C$29, 26.6416, 26.6369) * CHOOSE(CONTROL!$C$12, $D$11, 100%, $F$11)</f>
        <v>21.419846400000001</v>
      </c>
      <c r="C804" s="8">
        <f>CHOOSE( CONTROL!$C$29, 26.652, 26.6473) * CHOOSE(CONTROL!$C$12, $D$11, 100%, $F$11)</f>
        <v>21.428208000000001</v>
      </c>
      <c r="D804" s="8">
        <f>CHOOSE( CONTROL!$C$29, 26.6469, 26.6422) * CHOOSE( CONTROL!$C$12, $D$11, 100%, $F$11)</f>
        <v>21.424107599999999</v>
      </c>
      <c r="E804" s="12">
        <f>CHOOSE( CONTROL!$C$29, 26.6472, 26.6425) * CHOOSE( CONTROL!$C$12, $D$11, 100%, $F$11)</f>
        <v>21.424348800000004</v>
      </c>
      <c r="F804" s="4">
        <f>CHOOSE( CONTROL!$C$29, 27.6384, 27.6337) * CHOOSE(CONTROL!$C$12, $D$11, 100%, $F$11)</f>
        <v>22.221273600000004</v>
      </c>
      <c r="G804" s="8">
        <f>CHOOSE( CONTROL!$C$29, 25.959, 25.9544) * CHOOSE( CONTROL!$C$12, $D$11, 100%, $F$11)</f>
        <v>20.871036</v>
      </c>
      <c r="H804" s="4">
        <f>CHOOSE( CONTROL!$C$29, 26.8649, 26.8603) * CHOOSE(CONTROL!$C$12, $D$11, 100%, $F$11)</f>
        <v>21.599379599999999</v>
      </c>
      <c r="I804" s="8">
        <f>CHOOSE( CONTROL!$C$29, 25.5922, 25.5877) * CHOOSE(CONTROL!$C$12, $D$11, 100%, $F$11)</f>
        <v>20.576128799999999</v>
      </c>
      <c r="J804" s="4">
        <f>CHOOSE( CONTROL!$C$29, 25.5232, 25.5187) * CHOOSE(CONTROL!$C$12, $D$11, 100%, $F$11)</f>
        <v>20.520652800000001</v>
      </c>
      <c r="K804" s="4"/>
      <c r="L804" s="9">
        <v>29.520499999999998</v>
      </c>
      <c r="M804" s="9">
        <v>12.063700000000001</v>
      </c>
      <c r="N804" s="9">
        <v>4.9444999999999997</v>
      </c>
      <c r="O804" s="9">
        <v>0.37459999999999999</v>
      </c>
      <c r="P804" s="9">
        <v>1.2192000000000001</v>
      </c>
      <c r="Q804" s="9">
        <v>19.688099999999999</v>
      </c>
      <c r="R804" s="9"/>
      <c r="S804" s="11"/>
    </row>
    <row r="805" spans="1:19" ht="15.75">
      <c r="A805" s="13">
        <v>66384</v>
      </c>
      <c r="B805" s="8">
        <f>CHOOSE( CONTROL!$C$29, 26.0837, 26.079) * CHOOSE(CONTROL!$C$12, $D$11, 100%, $F$11)</f>
        <v>20.971294800000003</v>
      </c>
      <c r="C805" s="8">
        <f>CHOOSE( CONTROL!$C$29, 26.0941, 26.0894) * CHOOSE(CONTROL!$C$12, $D$11, 100%, $F$11)</f>
        <v>20.979656400000003</v>
      </c>
      <c r="D805" s="8">
        <f>CHOOSE( CONTROL!$C$29, 26.0848, 26.0801) * CHOOSE( CONTROL!$C$12, $D$11, 100%, $F$11)</f>
        <v>20.972179200000003</v>
      </c>
      <c r="E805" s="12">
        <f>CHOOSE( CONTROL!$C$29, 26.0866, 26.0819) * CHOOSE( CONTROL!$C$12, $D$11, 100%, $F$11)</f>
        <v>20.973626400000001</v>
      </c>
      <c r="F805" s="4">
        <f>CHOOSE( CONTROL!$C$29, 27.0727, 27.068) * CHOOSE(CONTROL!$C$12, $D$11, 100%, $F$11)</f>
        <v>21.766450800000001</v>
      </c>
      <c r="G805" s="8">
        <f>CHOOSE( CONTROL!$C$29, 25.414, 25.4094) * CHOOSE( CONTROL!$C$12, $D$11, 100%, $F$11)</f>
        <v>20.432856000000001</v>
      </c>
      <c r="H805" s="4">
        <f>CHOOSE( CONTROL!$C$29, 26.3134, 26.3089) * CHOOSE(CONTROL!$C$12, $D$11, 100%, $F$11)</f>
        <v>21.155973600000003</v>
      </c>
      <c r="I805" s="8">
        <f>CHOOSE( CONTROL!$C$29, 25.0587, 25.0542) * CHOOSE(CONTROL!$C$12, $D$11, 100%, $F$11)</f>
        <v>20.147194800000001</v>
      </c>
      <c r="J805" s="4">
        <f>CHOOSE( CONTROL!$C$29, 24.9887, 24.9842) * CHOOSE(CONTROL!$C$12, $D$11, 100%, $F$11)</f>
        <v>20.090914800000004</v>
      </c>
      <c r="K805" s="4"/>
      <c r="L805" s="9">
        <v>28.568200000000001</v>
      </c>
      <c r="M805" s="9">
        <v>11.6745</v>
      </c>
      <c r="N805" s="9">
        <v>4.7850000000000001</v>
      </c>
      <c r="O805" s="9">
        <v>0.36249999999999999</v>
      </c>
      <c r="P805" s="9">
        <v>1.1798</v>
      </c>
      <c r="Q805" s="9">
        <v>19.053000000000001</v>
      </c>
      <c r="R805" s="9"/>
      <c r="S805" s="11"/>
    </row>
    <row r="806" spans="1:19" ht="15.75">
      <c r="A806" s="13">
        <v>66415</v>
      </c>
      <c r="B806" s="8">
        <f>27.2373 * CHOOSE(CONTROL!$C$12, $D$11, 100%, $F$11)</f>
        <v>21.898789200000003</v>
      </c>
      <c r="C806" s="8">
        <f>27.2477 * CHOOSE(CONTROL!$C$12, $D$11, 100%, $F$11)</f>
        <v>21.9071508</v>
      </c>
      <c r="D806" s="8">
        <f>27.2393 * CHOOSE( CONTROL!$C$12, $D$11, 100%, $F$11)</f>
        <v>21.9003972</v>
      </c>
      <c r="E806" s="12">
        <f>27.241 * CHOOSE( CONTROL!$C$12, $D$11, 100%, $F$11)</f>
        <v>21.901764</v>
      </c>
      <c r="F806" s="4">
        <f>28.2263 * CHOOSE(CONTROL!$C$12, $D$11, 100%, $F$11)</f>
        <v>22.693945200000002</v>
      </c>
      <c r="G806" s="8">
        <f>26.5381 * CHOOSE( CONTROL!$C$12, $D$11, 100%, $F$11)</f>
        <v>21.336632400000003</v>
      </c>
      <c r="H806" s="4">
        <f>27.4379 * CHOOSE(CONTROL!$C$12, $D$11, 100%, $F$11)</f>
        <v>22.060071600000001</v>
      </c>
      <c r="I806" s="8">
        <f>26.1667 * CHOOSE(CONTROL!$C$12, $D$11, 100%, $F$11)</f>
        <v>21.038026800000001</v>
      </c>
      <c r="J806" s="4">
        <f>26.094 * CHOOSE(CONTROL!$C$12, $D$11, 100%, $F$11)</f>
        <v>20.979576000000002</v>
      </c>
      <c r="K806" s="4"/>
      <c r="L806" s="9">
        <v>28.921800000000001</v>
      </c>
      <c r="M806" s="9">
        <v>12.063700000000001</v>
      </c>
      <c r="N806" s="9">
        <v>4.9444999999999997</v>
      </c>
      <c r="O806" s="9">
        <v>0.37459999999999999</v>
      </c>
      <c r="P806" s="9">
        <v>1.2192000000000001</v>
      </c>
      <c r="Q806" s="9">
        <v>19.688099999999999</v>
      </c>
      <c r="R806" s="9"/>
      <c r="S806" s="11"/>
    </row>
    <row r="807" spans="1:19" ht="15.75">
      <c r="A807" s="13">
        <v>66445</v>
      </c>
      <c r="B807" s="8">
        <f>29.3753 * CHOOSE(CONTROL!$C$12, $D$11, 100%, $F$11)</f>
        <v>23.617741200000001</v>
      </c>
      <c r="C807" s="8">
        <f>29.3857 * CHOOSE(CONTROL!$C$12, $D$11, 100%, $F$11)</f>
        <v>23.626102800000002</v>
      </c>
      <c r="D807" s="8">
        <f>29.366 * CHOOSE( CONTROL!$C$12, $D$11, 100%, $F$11)</f>
        <v>23.610264000000001</v>
      </c>
      <c r="E807" s="12">
        <f>29.3721 * CHOOSE( CONTROL!$C$12, $D$11, 100%, $F$11)</f>
        <v>23.615168400000002</v>
      </c>
      <c r="F807" s="4">
        <f>30.3669 * CHOOSE(CONTROL!$C$12, $D$11, 100%, $F$11)</f>
        <v>24.414987600000003</v>
      </c>
      <c r="G807" s="8">
        <f>28.6412 * CHOOSE( CONTROL!$C$12, $D$11, 100%, $F$11)</f>
        <v>23.027524800000002</v>
      </c>
      <c r="H807" s="4">
        <f>29.5245 * CHOOSE(CONTROL!$C$12, $D$11, 100%, $F$11)</f>
        <v>23.737698000000002</v>
      </c>
      <c r="I807" s="8">
        <f>28.2465 * CHOOSE(CONTROL!$C$12, $D$11, 100%, $F$11)</f>
        <v>22.710186000000004</v>
      </c>
      <c r="J807" s="4">
        <f>28.1427 * CHOOSE(CONTROL!$C$12, $D$11, 100%, $F$11)</f>
        <v>22.626730800000001</v>
      </c>
      <c r="K807" s="4"/>
      <c r="L807" s="9">
        <v>26.515499999999999</v>
      </c>
      <c r="M807" s="9">
        <v>11.6745</v>
      </c>
      <c r="N807" s="9">
        <v>4.7850000000000001</v>
      </c>
      <c r="O807" s="9">
        <v>0.36249999999999999</v>
      </c>
      <c r="P807" s="9">
        <v>1.2522</v>
      </c>
      <c r="Q807" s="9">
        <v>19.053000000000001</v>
      </c>
      <c r="R807" s="9"/>
      <c r="S807" s="11"/>
    </row>
    <row r="808" spans="1:19" ht="15.75">
      <c r="A808" s="13">
        <v>66476</v>
      </c>
      <c r="B808" s="8">
        <f>29.3219 * CHOOSE(CONTROL!$C$12, $D$11, 100%, $F$11)</f>
        <v>23.5748076</v>
      </c>
      <c r="C808" s="8">
        <f>29.3323 * CHOOSE(CONTROL!$C$12, $D$11, 100%, $F$11)</f>
        <v>23.5831692</v>
      </c>
      <c r="D808" s="8">
        <f>29.3145 * CHOOSE( CONTROL!$C$12, $D$11, 100%, $F$11)</f>
        <v>23.568857999999999</v>
      </c>
      <c r="E808" s="12">
        <f>29.3199 * CHOOSE( CONTROL!$C$12, $D$11, 100%, $F$11)</f>
        <v>23.573199600000002</v>
      </c>
      <c r="F808" s="4">
        <f>30.3135 * CHOOSE(CONTROL!$C$12, $D$11, 100%, $F$11)</f>
        <v>24.372054000000002</v>
      </c>
      <c r="G808" s="8">
        <f>28.5905 * CHOOSE( CONTROL!$C$12, $D$11, 100%, $F$11)</f>
        <v>22.986761999999999</v>
      </c>
      <c r="H808" s="4">
        <f>29.4725 * CHOOSE(CONTROL!$C$12, $D$11, 100%, $F$11)</f>
        <v>23.695890000000002</v>
      </c>
      <c r="I808" s="8">
        <f>28.2022 * CHOOSE(CONTROL!$C$12, $D$11, 100%, $F$11)</f>
        <v>22.674568800000003</v>
      </c>
      <c r="J808" s="4">
        <f>28.0915 * CHOOSE(CONTROL!$C$12, $D$11, 100%, $F$11)</f>
        <v>22.585566</v>
      </c>
      <c r="K808" s="4"/>
      <c r="L808" s="9">
        <v>27.3993</v>
      </c>
      <c r="M808" s="9">
        <v>12.063700000000001</v>
      </c>
      <c r="N808" s="9">
        <v>4.9444999999999997</v>
      </c>
      <c r="O808" s="9">
        <v>0.37459999999999999</v>
      </c>
      <c r="P808" s="9">
        <v>1.2939000000000001</v>
      </c>
      <c r="Q808" s="9">
        <v>19.688099999999999</v>
      </c>
      <c r="R808" s="9"/>
      <c r="S808" s="11"/>
    </row>
    <row r="809" spans="1:19" ht="15.75">
      <c r="A809" s="13">
        <v>66507</v>
      </c>
      <c r="B809" s="8">
        <f>30.4424 * CHOOSE(CONTROL!$C$12, $D$11, 100%, $F$11)</f>
        <v>24.475689600000003</v>
      </c>
      <c r="C809" s="8">
        <f>30.4528 * CHOOSE(CONTROL!$C$12, $D$11, 100%, $F$11)</f>
        <v>24.4840512</v>
      </c>
      <c r="D809" s="8">
        <f>30.4504 * CHOOSE( CONTROL!$C$12, $D$11, 100%, $F$11)</f>
        <v>24.482121599999999</v>
      </c>
      <c r="E809" s="12">
        <f>30.4502 * CHOOSE( CONTROL!$C$12, $D$11, 100%, $F$11)</f>
        <v>24.4819608</v>
      </c>
      <c r="F809" s="4">
        <f>31.4653 * CHOOSE(CONTROL!$C$12, $D$11, 100%, $F$11)</f>
        <v>25.298101200000001</v>
      </c>
      <c r="G809" s="8">
        <f>29.7018 * CHOOSE( CONTROL!$C$12, $D$11, 100%, $F$11)</f>
        <v>23.880247199999999</v>
      </c>
      <c r="H809" s="4">
        <f>30.5952 * CHOOSE(CONTROL!$C$12, $D$11, 100%, $F$11)</f>
        <v>24.598540799999999</v>
      </c>
      <c r="I809" s="8">
        <f>29.2883 * CHOOSE(CONTROL!$C$12, $D$11, 100%, $F$11)</f>
        <v>23.547793200000001</v>
      </c>
      <c r="J809" s="4">
        <f>29.1651 * CHOOSE(CONTROL!$C$12, $D$11, 100%, $F$11)</f>
        <v>23.448740400000002</v>
      </c>
      <c r="K809" s="4"/>
      <c r="L809" s="9">
        <v>27.3993</v>
      </c>
      <c r="M809" s="9">
        <v>12.063700000000001</v>
      </c>
      <c r="N809" s="9">
        <v>4.9444999999999997</v>
      </c>
      <c r="O809" s="9">
        <v>0.37459999999999999</v>
      </c>
      <c r="P809" s="9">
        <v>1.2939000000000001</v>
      </c>
      <c r="Q809" s="9">
        <v>19.688099999999999</v>
      </c>
      <c r="R809" s="9"/>
      <c r="S809" s="11"/>
    </row>
    <row r="810" spans="1:19" ht="15.75">
      <c r="A810" s="13">
        <v>66535</v>
      </c>
      <c r="B810" s="8">
        <f>28.4746 * CHOOSE(CONTROL!$C$12, $D$11, 100%, $F$11)</f>
        <v>22.893578399999999</v>
      </c>
      <c r="C810" s="8">
        <f>28.4851 * CHOOSE(CONTROL!$C$12, $D$11, 100%, $F$11)</f>
        <v>22.902020400000001</v>
      </c>
      <c r="D810" s="8">
        <f>28.485 * CHOOSE( CONTROL!$C$12, $D$11, 100%, $F$11)</f>
        <v>22.90194</v>
      </c>
      <c r="E810" s="12">
        <f>28.4839 * CHOOSE( CONTROL!$C$12, $D$11, 100%, $F$11)</f>
        <v>22.901055599999999</v>
      </c>
      <c r="F810" s="4">
        <f>29.4897 * CHOOSE(CONTROL!$C$12, $D$11, 100%, $F$11)</f>
        <v>23.709718800000001</v>
      </c>
      <c r="G810" s="8">
        <f>27.7836 * CHOOSE( CONTROL!$C$12, $D$11, 100%, $F$11)</f>
        <v>22.338014400000002</v>
      </c>
      <c r="H810" s="4">
        <f>28.6695 * CHOOSE(CONTROL!$C$12, $D$11, 100%, $F$11)</f>
        <v>23.050278000000002</v>
      </c>
      <c r="I810" s="8">
        <f>27.3909 * CHOOSE(CONTROL!$C$12, $D$11, 100%, $F$11)</f>
        <v>22.022283600000002</v>
      </c>
      <c r="J810" s="4">
        <f>27.2796 * CHOOSE(CONTROL!$C$12, $D$11, 100%, $F$11)</f>
        <v>21.932798399999999</v>
      </c>
      <c r="K810" s="4"/>
      <c r="L810" s="9">
        <v>24.747800000000002</v>
      </c>
      <c r="M810" s="9">
        <v>10.8962</v>
      </c>
      <c r="N810" s="9">
        <v>4.4660000000000002</v>
      </c>
      <c r="O810" s="9">
        <v>0.33829999999999999</v>
      </c>
      <c r="P810" s="9">
        <v>1.1687000000000001</v>
      </c>
      <c r="Q810" s="9">
        <v>17.782800000000002</v>
      </c>
      <c r="R810" s="9"/>
      <c r="S810" s="11"/>
    </row>
    <row r="811" spans="1:19" ht="15.75">
      <c r="A811" s="13">
        <v>66566</v>
      </c>
      <c r="B811" s="8">
        <f>27.8686 * CHOOSE(CONTROL!$C$12, $D$11, 100%, $F$11)</f>
        <v>22.406354400000001</v>
      </c>
      <c r="C811" s="8">
        <f>27.879 * CHOOSE(CONTROL!$C$12, $D$11, 100%, $F$11)</f>
        <v>22.414716000000002</v>
      </c>
      <c r="D811" s="8">
        <f>27.8589 * CHOOSE( CONTROL!$C$12, $D$11, 100%, $F$11)</f>
        <v>22.398555600000002</v>
      </c>
      <c r="E811" s="12">
        <f>27.8651 * CHOOSE( CONTROL!$C$12, $D$11, 100%, $F$11)</f>
        <v>22.403540400000004</v>
      </c>
      <c r="F811" s="4">
        <f>28.8675 * CHOOSE(CONTROL!$C$12, $D$11, 100%, $F$11)</f>
        <v>23.20947</v>
      </c>
      <c r="G811" s="8">
        <f>27.1723 * CHOOSE( CONTROL!$C$12, $D$11, 100%, $F$11)</f>
        <v>21.846529200000003</v>
      </c>
      <c r="H811" s="4">
        <f>28.0629 * CHOOSE(CONTROL!$C$12, $D$11, 100%, $F$11)</f>
        <v>22.562571600000002</v>
      </c>
      <c r="I811" s="8">
        <f>26.7704 * CHOOSE(CONTROL!$C$12, $D$11, 100%, $F$11)</f>
        <v>21.5234016</v>
      </c>
      <c r="J811" s="4">
        <f>26.6989 * CHOOSE(CONTROL!$C$12, $D$11, 100%, $F$11)</f>
        <v>21.465915599999999</v>
      </c>
      <c r="K811" s="4"/>
      <c r="L811" s="9">
        <v>27.3993</v>
      </c>
      <c r="M811" s="9">
        <v>12.063700000000001</v>
      </c>
      <c r="N811" s="9">
        <v>4.9444999999999997</v>
      </c>
      <c r="O811" s="9">
        <v>0.37459999999999999</v>
      </c>
      <c r="P811" s="9">
        <v>1.2939000000000001</v>
      </c>
      <c r="Q811" s="9">
        <v>19.688099999999999</v>
      </c>
      <c r="R811" s="9"/>
      <c r="S811" s="11"/>
    </row>
    <row r="812" spans="1:19" ht="15.75">
      <c r="A812" s="13">
        <v>66596</v>
      </c>
      <c r="B812" s="8">
        <f>28.2921 * CHOOSE(CONTROL!$C$12, $D$11, 100%, $F$11)</f>
        <v>22.746848400000001</v>
      </c>
      <c r="C812" s="8">
        <f>28.3025 * CHOOSE(CONTROL!$C$12, $D$11, 100%, $F$11)</f>
        <v>22.755210000000002</v>
      </c>
      <c r="D812" s="8">
        <f>28.3057 * CHOOSE( CONTROL!$C$12, $D$11, 100%, $F$11)</f>
        <v>22.757782800000001</v>
      </c>
      <c r="E812" s="12">
        <f>28.3035 * CHOOSE( CONTROL!$C$12, $D$11, 100%, $F$11)</f>
        <v>22.756014</v>
      </c>
      <c r="F812" s="4">
        <f>29.2993 * CHOOSE(CONTROL!$C$12, $D$11, 100%, $F$11)</f>
        <v>23.556637200000001</v>
      </c>
      <c r="G812" s="8">
        <f>27.573 * CHOOSE( CONTROL!$C$12, $D$11, 100%, $F$11)</f>
        <v>22.168692</v>
      </c>
      <c r="H812" s="4">
        <f>28.4839 * CHOOSE(CONTROL!$C$12, $D$11, 100%, $F$11)</f>
        <v>22.901055599999999</v>
      </c>
      <c r="I812" s="8">
        <f>27.1665 * CHOOSE(CONTROL!$C$12, $D$11, 100%, $F$11)</f>
        <v>21.841866</v>
      </c>
      <c r="J812" s="4">
        <f>27.1047 * CHOOSE(CONTROL!$C$12, $D$11, 100%, $F$11)</f>
        <v>21.792178800000002</v>
      </c>
      <c r="K812" s="4"/>
      <c r="L812" s="9">
        <v>27.988800000000001</v>
      </c>
      <c r="M812" s="9">
        <v>11.6745</v>
      </c>
      <c r="N812" s="9">
        <v>4.7850000000000001</v>
      </c>
      <c r="O812" s="9">
        <v>0.36249999999999999</v>
      </c>
      <c r="P812" s="9">
        <v>1.1798</v>
      </c>
      <c r="Q812" s="9">
        <v>19.053000000000001</v>
      </c>
      <c r="R812" s="9"/>
      <c r="S812" s="11"/>
    </row>
    <row r="813" spans="1:19" ht="15.75">
      <c r="A813" s="13">
        <v>66627</v>
      </c>
      <c r="B813" s="8">
        <f>CHOOSE( CONTROL!$C$29, 29.0505, 29.0458) * CHOOSE(CONTROL!$C$12, $D$11, 100%, $F$11)</f>
        <v>23.356602000000002</v>
      </c>
      <c r="C813" s="8">
        <f>CHOOSE( CONTROL!$C$29, 29.0609, 29.0562) * CHOOSE(CONTROL!$C$12, $D$11, 100%, $F$11)</f>
        <v>23.364963600000003</v>
      </c>
      <c r="D813" s="8">
        <f>CHOOSE( CONTROL!$C$29, 29.0389, 29.0342) * CHOOSE( CONTROL!$C$12, $D$11, 100%, $F$11)</f>
        <v>23.347275600000003</v>
      </c>
      <c r="E813" s="12">
        <f>CHOOSE( CONTROL!$C$29, 29.0453, 29.0406) * CHOOSE( CONTROL!$C$12, $D$11, 100%, $F$11)</f>
        <v>23.352421200000002</v>
      </c>
      <c r="F813" s="4">
        <f>CHOOSE( CONTROL!$C$29, 30.0254, 30.0207) * CHOOSE(CONTROL!$C$12, $D$11, 100%, $F$11)</f>
        <v>24.140421600000003</v>
      </c>
      <c r="G813" s="8">
        <f>CHOOSE( CONTROL!$C$29, 28.2937, 28.2891) * CHOOSE( CONTROL!$C$12, $D$11, 100%, $F$11)</f>
        <v>22.748134800000003</v>
      </c>
      <c r="H813" s="4">
        <f>CHOOSE( CONTROL!$C$29, 29.1917, 29.1871) * CHOOSE(CONTROL!$C$12, $D$11, 100%, $F$11)</f>
        <v>23.470126800000003</v>
      </c>
      <c r="I813" s="8">
        <f>CHOOSE( CONTROL!$C$29, 27.8721, 27.8675) * CHOOSE(CONTROL!$C$12, $D$11, 100%, $F$11)</f>
        <v>22.409168400000002</v>
      </c>
      <c r="J813" s="4">
        <f>CHOOSE( CONTROL!$C$29, 27.8314, 27.8269) * CHOOSE(CONTROL!$C$12, $D$11, 100%, $F$11)</f>
        <v>22.3764456</v>
      </c>
      <c r="K813" s="4"/>
      <c r="L813" s="9">
        <v>29.520499999999998</v>
      </c>
      <c r="M813" s="9">
        <v>12.063700000000001</v>
      </c>
      <c r="N813" s="9">
        <v>4.9444999999999997</v>
      </c>
      <c r="O813" s="9">
        <v>0.37459999999999999</v>
      </c>
      <c r="P813" s="9">
        <v>1.2192000000000001</v>
      </c>
      <c r="Q813" s="9">
        <v>19.688099999999999</v>
      </c>
      <c r="R813" s="9"/>
      <c r="S813" s="11"/>
    </row>
    <row r="814" spans="1:19" ht="15.75">
      <c r="A814" s="13">
        <v>66657</v>
      </c>
      <c r="B814" s="8">
        <f>CHOOSE( CONTROL!$C$29, 28.5836, 28.5789) * CHOOSE(CONTROL!$C$12, $D$11, 100%, $F$11)</f>
        <v>22.981214400000002</v>
      </c>
      <c r="C814" s="8">
        <f>CHOOSE( CONTROL!$C$29, 28.594, 28.5893) * CHOOSE(CONTROL!$C$12, $D$11, 100%, $F$11)</f>
        <v>22.989576000000003</v>
      </c>
      <c r="D814" s="8">
        <f>CHOOSE( CONTROL!$C$29, 28.5664, 28.5617) * CHOOSE( CONTROL!$C$12, $D$11, 100%, $F$11)</f>
        <v>22.967385600000004</v>
      </c>
      <c r="E814" s="12">
        <f>CHOOSE( CONTROL!$C$29, 28.5748, 28.5701) * CHOOSE( CONTROL!$C$12, $D$11, 100%, $F$11)</f>
        <v>22.9741392</v>
      </c>
      <c r="F814" s="4">
        <f>CHOOSE( CONTROL!$C$29, 29.5481, 29.5434) * CHOOSE(CONTROL!$C$12, $D$11, 100%, $F$11)</f>
        <v>23.756672400000003</v>
      </c>
      <c r="G814" s="8">
        <f>CHOOSE( CONTROL!$C$29, 27.8373, 27.8327) * CHOOSE( CONTROL!$C$12, $D$11, 100%, $F$11)</f>
        <v>22.381189200000001</v>
      </c>
      <c r="H814" s="4">
        <f>CHOOSE( CONTROL!$C$29, 28.7264, 28.7218) * CHOOSE(CONTROL!$C$12, $D$11, 100%, $F$11)</f>
        <v>23.096025600000004</v>
      </c>
      <c r="I814" s="8">
        <f>CHOOSE( CONTROL!$C$29, 27.4266, 27.4221) * CHOOSE(CONTROL!$C$12, $D$11, 100%, $F$11)</f>
        <v>22.050986400000003</v>
      </c>
      <c r="J814" s="4">
        <f>CHOOSE( CONTROL!$C$29, 27.384, 27.3795) * CHOOSE(CONTROL!$C$12, $D$11, 100%, $F$11)</f>
        <v>22.016736000000002</v>
      </c>
      <c r="K814" s="4"/>
      <c r="L814" s="9">
        <v>28.568200000000001</v>
      </c>
      <c r="M814" s="9">
        <v>11.6745</v>
      </c>
      <c r="N814" s="9">
        <v>4.7850000000000001</v>
      </c>
      <c r="O814" s="9">
        <v>0.36249999999999999</v>
      </c>
      <c r="P814" s="9">
        <v>1.1798</v>
      </c>
      <c r="Q814" s="9">
        <v>19.053000000000001</v>
      </c>
      <c r="R814" s="9"/>
      <c r="S814" s="11"/>
    </row>
    <row r="815" spans="1:19" ht="15.75">
      <c r="A815" s="13">
        <v>66688</v>
      </c>
      <c r="B815" s="8">
        <f>CHOOSE( CONTROL!$C$29, 29.8131, 29.8084) * CHOOSE(CONTROL!$C$12, $D$11, 100%, $F$11)</f>
        <v>23.969732400000002</v>
      </c>
      <c r="C815" s="8">
        <f>CHOOSE( CONTROL!$C$29, 29.8236, 29.8189) * CHOOSE(CONTROL!$C$12, $D$11, 100%, $F$11)</f>
        <v>23.9781744</v>
      </c>
      <c r="D815" s="8">
        <f>CHOOSE( CONTROL!$C$29, 29.8151, 29.8104) * CHOOSE( CONTROL!$C$12, $D$11, 100%, $F$11)</f>
        <v>23.971340400000003</v>
      </c>
      <c r="E815" s="12">
        <f>CHOOSE( CONTROL!$C$29, 29.8166, 29.8119) * CHOOSE( CONTROL!$C$12, $D$11, 100%, $F$11)</f>
        <v>23.972546400000002</v>
      </c>
      <c r="F815" s="4">
        <f>CHOOSE( CONTROL!$C$29, 30.8047, 30.8) * CHOOSE(CONTROL!$C$12, $D$11, 100%, $F$11)</f>
        <v>24.7669788</v>
      </c>
      <c r="G815" s="8">
        <f>CHOOSE( CONTROL!$C$29, 29.0485, 29.0439) * CHOOSE( CONTROL!$C$12, $D$11, 100%, $F$11)</f>
        <v>23.354994000000001</v>
      </c>
      <c r="H815" s="4">
        <f>CHOOSE( CONTROL!$C$29, 29.9513, 29.9467) * CHOOSE(CONTROL!$C$12, $D$11, 100%, $F$11)</f>
        <v>24.080845200000002</v>
      </c>
      <c r="I815" s="8">
        <f>CHOOSE( CONTROL!$C$29, 28.6281, 28.6236) * CHOOSE(CONTROL!$C$12, $D$11, 100%, $F$11)</f>
        <v>23.016992400000003</v>
      </c>
      <c r="J815" s="4">
        <f>CHOOSE( CONTROL!$C$29, 28.5622, 28.5577) * CHOOSE(CONTROL!$C$12, $D$11, 100%, $F$11)</f>
        <v>22.964008800000002</v>
      </c>
      <c r="K815" s="4"/>
      <c r="L815" s="9">
        <v>29.520499999999998</v>
      </c>
      <c r="M815" s="9">
        <v>12.063700000000001</v>
      </c>
      <c r="N815" s="9">
        <v>4.9444999999999997</v>
      </c>
      <c r="O815" s="9">
        <v>0.37459999999999999</v>
      </c>
      <c r="P815" s="9">
        <v>1.2192000000000001</v>
      </c>
      <c r="Q815" s="9">
        <v>19.688099999999999</v>
      </c>
      <c r="R815" s="9"/>
      <c r="S815" s="11"/>
    </row>
    <row r="816" spans="1:19" ht="15.75">
      <c r="A816" s="13">
        <v>66719</v>
      </c>
      <c r="B816" s="8">
        <f>CHOOSE( CONTROL!$C$29, 27.5125, 27.5078) * CHOOSE(CONTROL!$C$12, $D$11, 100%, $F$11)</f>
        <v>22.120049999999999</v>
      </c>
      <c r="C816" s="8">
        <f>CHOOSE( CONTROL!$C$29, 27.523, 27.5183) * CHOOSE(CONTROL!$C$12, $D$11, 100%, $F$11)</f>
        <v>22.128492000000001</v>
      </c>
      <c r="D816" s="8">
        <f>CHOOSE( CONTROL!$C$29, 27.5178, 27.5131) * CHOOSE( CONTROL!$C$12, $D$11, 100%, $F$11)</f>
        <v>22.124311200000001</v>
      </c>
      <c r="E816" s="12">
        <f>CHOOSE( CONTROL!$C$29, 27.5181, 27.5134) * CHOOSE( CONTROL!$C$12, $D$11, 100%, $F$11)</f>
        <v>22.124552400000002</v>
      </c>
      <c r="F816" s="4">
        <f>CHOOSE( CONTROL!$C$29, 28.5093, 28.5046) * CHOOSE(CONTROL!$C$12, $D$11, 100%, $F$11)</f>
        <v>22.921477200000002</v>
      </c>
      <c r="G816" s="8">
        <f>CHOOSE( CONTROL!$C$29, 26.808, 26.8034) * CHOOSE( CONTROL!$C$12, $D$11, 100%, $F$11)</f>
        <v>21.553632</v>
      </c>
      <c r="H816" s="4">
        <f>CHOOSE( CONTROL!$C$29, 27.7138, 27.7093) * CHOOSE(CONTROL!$C$12, $D$11, 100%, $F$11)</f>
        <v>22.281895200000001</v>
      </c>
      <c r="I816" s="8">
        <f>CHOOSE( CONTROL!$C$29, 26.4272, 26.4226) * CHOOSE(CONTROL!$C$12, $D$11, 100%, $F$11)</f>
        <v>21.2474688</v>
      </c>
      <c r="J816" s="4">
        <f>CHOOSE( CONTROL!$C$29, 26.3578, 26.3532) * CHOOSE(CONTROL!$C$12, $D$11, 100%, $F$11)</f>
        <v>21.191671200000002</v>
      </c>
      <c r="K816" s="4"/>
      <c r="L816" s="9">
        <v>29.520499999999998</v>
      </c>
      <c r="M816" s="9">
        <v>12.063700000000001</v>
      </c>
      <c r="N816" s="9">
        <v>4.9444999999999997</v>
      </c>
      <c r="O816" s="9">
        <v>0.37459999999999999</v>
      </c>
      <c r="P816" s="9">
        <v>1.2192000000000001</v>
      </c>
      <c r="Q816" s="9">
        <v>19.688099999999999</v>
      </c>
      <c r="R816" s="9"/>
      <c r="S816" s="11"/>
    </row>
    <row r="817" spans="1:19" ht="15.75">
      <c r="A817" s="13">
        <v>66749</v>
      </c>
      <c r="B817" s="8">
        <f>CHOOSE( CONTROL!$C$29, 26.9364, 26.9317) * CHOOSE(CONTROL!$C$12, $D$11, 100%, $F$11)</f>
        <v>21.6568656</v>
      </c>
      <c r="C817" s="8">
        <f>CHOOSE( CONTROL!$C$29, 26.9469, 26.9422) * CHOOSE(CONTROL!$C$12, $D$11, 100%, $F$11)</f>
        <v>21.665307600000002</v>
      </c>
      <c r="D817" s="8">
        <f>CHOOSE( CONTROL!$C$29, 26.9375, 26.9328) * CHOOSE( CONTROL!$C$12, $D$11, 100%, $F$11)</f>
        <v>21.65775</v>
      </c>
      <c r="E817" s="12">
        <f>CHOOSE( CONTROL!$C$29, 26.9393, 26.9346) * CHOOSE( CONTROL!$C$12, $D$11, 100%, $F$11)</f>
        <v>21.659197200000001</v>
      </c>
      <c r="F817" s="4">
        <f>CHOOSE( CONTROL!$C$29, 27.9254, 27.9207) * CHOOSE(CONTROL!$C$12, $D$11, 100%, $F$11)</f>
        <v>22.452021600000002</v>
      </c>
      <c r="G817" s="8">
        <f>CHOOSE( CONTROL!$C$29, 26.2452, 26.2406) * CHOOSE( CONTROL!$C$12, $D$11, 100%, $F$11)</f>
        <v>21.101140800000003</v>
      </c>
      <c r="H817" s="4">
        <f>CHOOSE( CONTROL!$C$29, 27.1447, 27.1401) * CHOOSE(CONTROL!$C$12, $D$11, 100%, $F$11)</f>
        <v>21.824338800000003</v>
      </c>
      <c r="I817" s="8">
        <f>CHOOSE( CONTROL!$C$29, 25.8762, 25.8717) * CHOOSE(CONTROL!$C$12, $D$11, 100%, $F$11)</f>
        <v>20.804464800000002</v>
      </c>
      <c r="J817" s="4">
        <f>CHOOSE( CONTROL!$C$29, 25.8057, 25.8012) * CHOOSE(CONTROL!$C$12, $D$11, 100%, $F$11)</f>
        <v>20.747782800000003</v>
      </c>
      <c r="K817" s="4"/>
      <c r="L817" s="9">
        <v>28.568200000000001</v>
      </c>
      <c r="M817" s="9">
        <v>11.6745</v>
      </c>
      <c r="N817" s="9">
        <v>4.7850000000000001</v>
      </c>
      <c r="O817" s="9">
        <v>0.36249999999999999</v>
      </c>
      <c r="P817" s="9">
        <v>1.1798</v>
      </c>
      <c r="Q817" s="9">
        <v>19.053000000000001</v>
      </c>
      <c r="R817" s="9"/>
      <c r="S817" s="11"/>
    </row>
    <row r="818" spans="1:19" ht="15.75">
      <c r="A818" s="13">
        <v>66780</v>
      </c>
      <c r="B818" s="8">
        <f>28.1279 * CHOOSE(CONTROL!$C$12, $D$11, 100%, $F$11)</f>
        <v>22.614831600000002</v>
      </c>
      <c r="C818" s="8">
        <f>28.1383 * CHOOSE(CONTROL!$C$12, $D$11, 100%, $F$11)</f>
        <v>22.623193200000003</v>
      </c>
      <c r="D818" s="8">
        <f>28.1299 * CHOOSE( CONTROL!$C$12, $D$11, 100%, $F$11)</f>
        <v>22.6164396</v>
      </c>
      <c r="E818" s="12">
        <f>28.1316 * CHOOSE( CONTROL!$C$12, $D$11, 100%, $F$11)</f>
        <v>22.617806399999999</v>
      </c>
      <c r="F818" s="4">
        <f>29.1169 * CHOOSE(CONTROL!$C$12, $D$11, 100%, $F$11)</f>
        <v>23.409987600000001</v>
      </c>
      <c r="G818" s="8">
        <f>27.4062 * CHOOSE( CONTROL!$C$12, $D$11, 100%, $F$11)</f>
        <v>22.034584800000001</v>
      </c>
      <c r="H818" s="4">
        <f>28.3061 * CHOOSE(CONTROL!$C$12, $D$11, 100%, $F$11)</f>
        <v>22.758104400000001</v>
      </c>
      <c r="I818" s="8">
        <f>27.0205 * CHOOSE(CONTROL!$C$12, $D$11, 100%, $F$11)</f>
        <v>21.724481999999998</v>
      </c>
      <c r="J818" s="4">
        <f>26.9474 * CHOOSE(CONTROL!$C$12, $D$11, 100%, $F$11)</f>
        <v>21.6657096</v>
      </c>
      <c r="K818" s="4"/>
      <c r="L818" s="9">
        <v>28.921800000000001</v>
      </c>
      <c r="M818" s="9">
        <v>12.063700000000001</v>
      </c>
      <c r="N818" s="9">
        <v>4.9444999999999997</v>
      </c>
      <c r="O818" s="9">
        <v>0.37459999999999999</v>
      </c>
      <c r="P818" s="9">
        <v>1.2192000000000001</v>
      </c>
      <c r="Q818" s="9">
        <v>19.688099999999999</v>
      </c>
      <c r="R818" s="9"/>
      <c r="S818" s="11"/>
    </row>
    <row r="819" spans="1:19" ht="15.75">
      <c r="A819" s="13">
        <v>66810</v>
      </c>
      <c r="B819" s="8">
        <f>30.3358 * CHOOSE(CONTROL!$C$12, $D$11, 100%, $F$11)</f>
        <v>24.3899832</v>
      </c>
      <c r="C819" s="8">
        <f>30.3463 * CHOOSE(CONTROL!$C$12, $D$11, 100%, $F$11)</f>
        <v>24.398425200000002</v>
      </c>
      <c r="D819" s="8">
        <f>30.3265 * CHOOSE( CONTROL!$C$12, $D$11, 100%, $F$11)</f>
        <v>24.382505999999999</v>
      </c>
      <c r="E819" s="12">
        <f>30.3326 * CHOOSE( CONTROL!$C$12, $D$11, 100%, $F$11)</f>
        <v>24.3874104</v>
      </c>
      <c r="F819" s="4">
        <f>31.3274 * CHOOSE(CONTROL!$C$12, $D$11, 100%, $F$11)</f>
        <v>25.187229600000002</v>
      </c>
      <c r="G819" s="8">
        <f>29.5774 * CHOOSE( CONTROL!$C$12, $D$11, 100%, $F$11)</f>
        <v>23.780229600000002</v>
      </c>
      <c r="H819" s="4">
        <f>30.4608 * CHOOSE(CONTROL!$C$12, $D$11, 100%, $F$11)</f>
        <v>24.4904832</v>
      </c>
      <c r="I819" s="8">
        <f>29.1674 * CHOOSE(CONTROL!$C$12, $D$11, 100%, $F$11)</f>
        <v>23.450589600000001</v>
      </c>
      <c r="J819" s="4">
        <f>29.063 * CHOOSE(CONTROL!$C$12, $D$11, 100%, $F$11)</f>
        <v>23.366652000000002</v>
      </c>
      <c r="K819" s="4"/>
      <c r="L819" s="9">
        <v>26.515499999999999</v>
      </c>
      <c r="M819" s="9">
        <v>11.6745</v>
      </c>
      <c r="N819" s="9">
        <v>4.7850000000000001</v>
      </c>
      <c r="O819" s="9">
        <v>0.36249999999999999</v>
      </c>
      <c r="P819" s="9">
        <v>1.2522</v>
      </c>
      <c r="Q819" s="9">
        <v>19.053000000000001</v>
      </c>
      <c r="R819" s="9"/>
      <c r="S819" s="11"/>
    </row>
    <row r="820" spans="1:19" ht="15.75">
      <c r="A820" s="13">
        <v>66841</v>
      </c>
      <c r="B820" s="8">
        <f>30.2807 * CHOOSE(CONTROL!$C$12, $D$11, 100%, $F$11)</f>
        <v>24.345682800000002</v>
      </c>
      <c r="C820" s="8">
        <f>30.2911 * CHOOSE(CONTROL!$C$12, $D$11, 100%, $F$11)</f>
        <v>24.354044400000003</v>
      </c>
      <c r="D820" s="8">
        <f>30.2733 * CHOOSE( CONTROL!$C$12, $D$11, 100%, $F$11)</f>
        <v>24.339733200000001</v>
      </c>
      <c r="E820" s="12">
        <f>30.2787 * CHOOSE( CONTROL!$C$12, $D$11, 100%, $F$11)</f>
        <v>24.344074800000001</v>
      </c>
      <c r="F820" s="4">
        <f>31.2723 * CHOOSE(CONTROL!$C$12, $D$11, 100%, $F$11)</f>
        <v>25.142929200000001</v>
      </c>
      <c r="G820" s="8">
        <f>29.5251 * CHOOSE( CONTROL!$C$12, $D$11, 100%, $F$11)</f>
        <v>23.738180400000001</v>
      </c>
      <c r="H820" s="4">
        <f>30.407 * CHOOSE(CONTROL!$C$12, $D$11, 100%, $F$11)</f>
        <v>24.447228000000003</v>
      </c>
      <c r="I820" s="8">
        <f>29.1213 * CHOOSE(CONTROL!$C$12, $D$11, 100%, $F$11)</f>
        <v>23.413525200000002</v>
      </c>
      <c r="J820" s="4">
        <f>29.0102 * CHOOSE(CONTROL!$C$12, $D$11, 100%, $F$11)</f>
        <v>23.324200800000003</v>
      </c>
      <c r="K820" s="4"/>
      <c r="L820" s="9">
        <v>27.3993</v>
      </c>
      <c r="M820" s="9">
        <v>12.063700000000001</v>
      </c>
      <c r="N820" s="9">
        <v>4.9444999999999997</v>
      </c>
      <c r="O820" s="9">
        <v>0.37459999999999999</v>
      </c>
      <c r="P820" s="9">
        <v>1.2939000000000001</v>
      </c>
      <c r="Q820" s="9">
        <v>19.688099999999999</v>
      </c>
      <c r="R820" s="9"/>
      <c r="S820" s="11"/>
    </row>
    <row r="821" spans="1:19" ht="15.75">
      <c r="A821" s="13">
        <v>66872</v>
      </c>
      <c r="B821" s="8">
        <f>31.4378 * CHOOSE(CONTROL!$C$12, $D$11, 100%, $F$11)</f>
        <v>25.2759912</v>
      </c>
      <c r="C821" s="8">
        <f>31.4482 * CHOOSE(CONTROL!$C$12, $D$11, 100%, $F$11)</f>
        <v>25.284352800000001</v>
      </c>
      <c r="D821" s="8">
        <f>31.4459 * CHOOSE( CONTROL!$C$12, $D$11, 100%, $F$11)</f>
        <v>25.282503600000002</v>
      </c>
      <c r="E821" s="12">
        <f>31.4456 * CHOOSE( CONTROL!$C$12, $D$11, 100%, $F$11)</f>
        <v>25.2822624</v>
      </c>
      <c r="F821" s="4">
        <f>32.4607 * CHOOSE(CONTROL!$C$12, $D$11, 100%, $F$11)</f>
        <v>26.098402800000002</v>
      </c>
      <c r="G821" s="8">
        <f>30.6721 * CHOOSE( CONTROL!$C$12, $D$11, 100%, $F$11)</f>
        <v>24.660368400000003</v>
      </c>
      <c r="H821" s="4">
        <f>31.5655 * CHOOSE(CONTROL!$C$12, $D$11, 100%, $F$11)</f>
        <v>25.378662000000002</v>
      </c>
      <c r="I821" s="8">
        <f>30.2426 * CHOOSE(CONTROL!$C$12, $D$11, 100%, $F$11)</f>
        <v>24.315050400000001</v>
      </c>
      <c r="J821" s="4">
        <f>30.1189 * CHOOSE(CONTROL!$C$12, $D$11, 100%, $F$11)</f>
        <v>24.2155956</v>
      </c>
      <c r="K821" s="4"/>
      <c r="L821" s="9">
        <v>27.3993</v>
      </c>
      <c r="M821" s="9">
        <v>12.063700000000001</v>
      </c>
      <c r="N821" s="9">
        <v>4.9444999999999997</v>
      </c>
      <c r="O821" s="9">
        <v>0.37459999999999999</v>
      </c>
      <c r="P821" s="9">
        <v>1.2939000000000001</v>
      </c>
      <c r="Q821" s="9">
        <v>19.688099999999999</v>
      </c>
      <c r="R821" s="9"/>
      <c r="S821" s="11"/>
    </row>
    <row r="822" spans="1:19" ht="15.75">
      <c r="A822" s="13">
        <v>66900</v>
      </c>
      <c r="B822" s="8">
        <f>29.4057 * CHOOSE(CONTROL!$C$12, $D$11, 100%, $F$11)</f>
        <v>23.6421828</v>
      </c>
      <c r="C822" s="8">
        <f>29.4161 * CHOOSE(CONTROL!$C$12, $D$11, 100%, $F$11)</f>
        <v>23.650544400000001</v>
      </c>
      <c r="D822" s="8">
        <f>29.4161 * CHOOSE( CONTROL!$C$12, $D$11, 100%, $F$11)</f>
        <v>23.650544400000001</v>
      </c>
      <c r="E822" s="12">
        <f>29.415 * CHOOSE( CONTROL!$C$12, $D$11, 100%, $F$11)</f>
        <v>23.649660000000001</v>
      </c>
      <c r="F822" s="4">
        <f>30.4208 * CHOOSE(CONTROL!$C$12, $D$11, 100%, $F$11)</f>
        <v>24.458323200000002</v>
      </c>
      <c r="G822" s="8">
        <f>28.6912 * CHOOSE( CONTROL!$C$12, $D$11, 100%, $F$11)</f>
        <v>23.067724800000001</v>
      </c>
      <c r="H822" s="4">
        <f>29.5771 * CHOOSE(CONTROL!$C$12, $D$11, 100%, $F$11)</f>
        <v>23.779988400000004</v>
      </c>
      <c r="I822" s="8">
        <f>28.2835 * CHOOSE(CONTROL!$C$12, $D$11, 100%, $F$11)</f>
        <v>22.739934000000002</v>
      </c>
      <c r="J822" s="4">
        <f>28.1718 * CHOOSE(CONTROL!$C$12, $D$11, 100%, $F$11)</f>
        <v>22.650127200000004</v>
      </c>
      <c r="K822" s="4"/>
      <c r="L822" s="9">
        <v>24.747800000000002</v>
      </c>
      <c r="M822" s="9">
        <v>10.8962</v>
      </c>
      <c r="N822" s="9">
        <v>4.4660000000000002</v>
      </c>
      <c r="O822" s="9">
        <v>0.33829999999999999</v>
      </c>
      <c r="P822" s="9">
        <v>1.1687000000000001</v>
      </c>
      <c r="Q822" s="9">
        <v>17.782800000000002</v>
      </c>
      <c r="R822" s="9"/>
      <c r="S822" s="11"/>
    </row>
    <row r="823" spans="1:19" ht="15.75">
      <c r="A823" s="13">
        <v>66931</v>
      </c>
      <c r="B823" s="8">
        <f>28.7798 * CHOOSE(CONTROL!$C$12, $D$11, 100%, $F$11)</f>
        <v>23.138959200000002</v>
      </c>
      <c r="C823" s="8">
        <f>28.7903 * CHOOSE(CONTROL!$C$12, $D$11, 100%, $F$11)</f>
        <v>23.147401200000001</v>
      </c>
      <c r="D823" s="8">
        <f>28.7701 * CHOOSE( CONTROL!$C$12, $D$11, 100%, $F$11)</f>
        <v>23.131160400000002</v>
      </c>
      <c r="E823" s="12">
        <f>28.7764 * CHOOSE( CONTROL!$C$12, $D$11, 100%, $F$11)</f>
        <v>23.1362256</v>
      </c>
      <c r="F823" s="4">
        <f>29.7787 * CHOOSE(CONTROL!$C$12, $D$11, 100%, $F$11)</f>
        <v>23.9420748</v>
      </c>
      <c r="G823" s="8">
        <f>28.0606 * CHOOSE( CONTROL!$C$12, $D$11, 100%, $F$11)</f>
        <v>22.560722400000003</v>
      </c>
      <c r="H823" s="4">
        <f>28.9512 * CHOOSE(CONTROL!$C$12, $D$11, 100%, $F$11)</f>
        <v>23.276764800000002</v>
      </c>
      <c r="I823" s="8">
        <f>27.644 * CHOOSE(CONTROL!$C$12, $D$11, 100%, $F$11)</f>
        <v>22.225776</v>
      </c>
      <c r="J823" s="4">
        <f>27.5721 * CHOOSE(CONTROL!$C$12, $D$11, 100%, $F$11)</f>
        <v>22.167968399999999</v>
      </c>
      <c r="K823" s="4"/>
      <c r="L823" s="9">
        <v>27.3993</v>
      </c>
      <c r="M823" s="9">
        <v>12.063700000000001</v>
      </c>
      <c r="N823" s="9">
        <v>4.9444999999999997</v>
      </c>
      <c r="O823" s="9">
        <v>0.37459999999999999</v>
      </c>
      <c r="P823" s="9">
        <v>1.2939000000000001</v>
      </c>
      <c r="Q823" s="9">
        <v>19.688099999999999</v>
      </c>
      <c r="R823" s="9"/>
      <c r="S823" s="11"/>
    </row>
    <row r="824" spans="1:19" ht="15.75">
      <c r="A824" s="13">
        <v>66961</v>
      </c>
      <c r="B824" s="8">
        <f>29.2172 * CHOOSE(CONTROL!$C$12, $D$11, 100%, $F$11)</f>
        <v>23.4906288</v>
      </c>
      <c r="C824" s="8">
        <f>29.2276 * CHOOSE(CONTROL!$C$12, $D$11, 100%, $F$11)</f>
        <v>23.4989904</v>
      </c>
      <c r="D824" s="8">
        <f>29.2308 * CHOOSE( CONTROL!$C$12, $D$11, 100%, $F$11)</f>
        <v>23.5015632</v>
      </c>
      <c r="E824" s="12">
        <f>29.2286 * CHOOSE( CONTROL!$C$12, $D$11, 100%, $F$11)</f>
        <v>23.499794400000003</v>
      </c>
      <c r="F824" s="4">
        <f>30.2244 * CHOOSE(CONTROL!$C$12, $D$11, 100%, $F$11)</f>
        <v>24.300417599999999</v>
      </c>
      <c r="G824" s="8">
        <f>28.4748 * CHOOSE( CONTROL!$C$12, $D$11, 100%, $F$11)</f>
        <v>22.893739199999999</v>
      </c>
      <c r="H824" s="4">
        <f>29.3857 * CHOOSE(CONTROL!$C$12, $D$11, 100%, $F$11)</f>
        <v>23.626102800000002</v>
      </c>
      <c r="I824" s="8">
        <f>28.0534 * CHOOSE(CONTROL!$C$12, $D$11, 100%, $F$11)</f>
        <v>22.554933600000002</v>
      </c>
      <c r="J824" s="4">
        <f>27.9911 * CHOOSE(CONTROL!$C$12, $D$11, 100%, $F$11)</f>
        <v>22.5048444</v>
      </c>
      <c r="K824" s="4"/>
      <c r="L824" s="9">
        <v>27.988800000000001</v>
      </c>
      <c r="M824" s="9">
        <v>11.6745</v>
      </c>
      <c r="N824" s="9">
        <v>4.7850000000000001</v>
      </c>
      <c r="O824" s="9">
        <v>0.36249999999999999</v>
      </c>
      <c r="P824" s="9">
        <v>1.1798</v>
      </c>
      <c r="Q824" s="9">
        <v>19.053000000000001</v>
      </c>
      <c r="R824" s="9"/>
      <c r="S824" s="11"/>
    </row>
    <row r="825" spans="1:19" ht="15.75">
      <c r="A825" s="13">
        <v>66992</v>
      </c>
      <c r="B825" s="8">
        <f>CHOOSE( CONTROL!$C$29, 30.0002, 29.9955) * CHOOSE(CONTROL!$C$12, $D$11, 100%, $F$11)</f>
        <v>24.120160800000001</v>
      </c>
      <c r="C825" s="8">
        <f>CHOOSE( CONTROL!$C$29, 30.0107, 30.006) * CHOOSE(CONTROL!$C$12, $D$11, 100%, $F$11)</f>
        <v>24.128602800000003</v>
      </c>
      <c r="D825" s="8">
        <f>CHOOSE( CONTROL!$C$29, 29.9886, 29.9839) * CHOOSE( CONTROL!$C$12, $D$11, 100%, $F$11)</f>
        <v>24.110834400000002</v>
      </c>
      <c r="E825" s="12">
        <f>CHOOSE( CONTROL!$C$29, 29.995, 29.9903) * CHOOSE( CONTROL!$C$12, $D$11, 100%, $F$11)</f>
        <v>24.115980000000004</v>
      </c>
      <c r="F825" s="4">
        <f>CHOOSE( CONTROL!$C$29, 30.9752, 30.9704) * CHOOSE(CONTROL!$C$12, $D$11, 100%, $F$11)</f>
        <v>24.904060800000003</v>
      </c>
      <c r="G825" s="8">
        <f>CHOOSE( CONTROL!$C$29, 29.2194, 29.2148) * CHOOSE( CONTROL!$C$12, $D$11, 100%, $F$11)</f>
        <v>23.4923976</v>
      </c>
      <c r="H825" s="4">
        <f>CHOOSE( CONTROL!$C$29, 30.1174, 30.1129) * CHOOSE(CONTROL!$C$12, $D$11, 100%, $F$11)</f>
        <v>24.214389600000001</v>
      </c>
      <c r="I825" s="8">
        <f>CHOOSE( CONTROL!$C$29, 28.7826, 28.778) * CHOOSE(CONTROL!$C$12, $D$11, 100%, $F$11)</f>
        <v>23.141210399999999</v>
      </c>
      <c r="J825" s="4">
        <f>CHOOSE( CONTROL!$C$29, 28.7415, 28.737) * CHOOSE(CONTROL!$C$12, $D$11, 100%, $F$11)</f>
        <v>23.108166000000001</v>
      </c>
      <c r="K825" s="4"/>
      <c r="L825" s="9">
        <v>29.520499999999998</v>
      </c>
      <c r="M825" s="9">
        <v>12.063700000000001</v>
      </c>
      <c r="N825" s="9">
        <v>4.9444999999999997</v>
      </c>
      <c r="O825" s="9">
        <v>0.37459999999999999</v>
      </c>
      <c r="P825" s="9">
        <v>1.2192000000000001</v>
      </c>
      <c r="Q825" s="9">
        <v>19.688099999999999</v>
      </c>
      <c r="R825" s="9"/>
      <c r="S825" s="11"/>
    </row>
    <row r="826" spans="1:19" ht="15.75">
      <c r="A826" s="13">
        <v>67022</v>
      </c>
      <c r="B826" s="8">
        <f>CHOOSE( CONTROL!$C$29, 29.5181, 29.5134) * CHOOSE(CONTROL!$C$12, $D$11, 100%, $F$11)</f>
        <v>23.732552400000003</v>
      </c>
      <c r="C826" s="8">
        <f>CHOOSE( CONTROL!$C$29, 29.5285, 29.5238) * CHOOSE(CONTROL!$C$12, $D$11, 100%, $F$11)</f>
        <v>23.740914000000004</v>
      </c>
      <c r="D826" s="8">
        <f>CHOOSE( CONTROL!$C$29, 29.5009, 29.4962) * CHOOSE( CONTROL!$C$12, $D$11, 100%, $F$11)</f>
        <v>23.718723600000004</v>
      </c>
      <c r="E826" s="12">
        <f>CHOOSE( CONTROL!$C$29, 29.5093, 29.5046) * CHOOSE( CONTROL!$C$12, $D$11, 100%, $F$11)</f>
        <v>23.7254772</v>
      </c>
      <c r="F826" s="4">
        <f>CHOOSE( CONTROL!$C$29, 30.4825, 30.4778) * CHOOSE(CONTROL!$C$12, $D$11, 100%, $F$11)</f>
        <v>24.507930000000002</v>
      </c>
      <c r="G826" s="8">
        <f>CHOOSE( CONTROL!$C$29, 28.7482, 28.7436) * CHOOSE( CONTROL!$C$12, $D$11, 100%, $F$11)</f>
        <v>23.113552800000001</v>
      </c>
      <c r="H826" s="4">
        <f>CHOOSE( CONTROL!$C$29, 29.6373, 29.6327) * CHOOSE(CONTROL!$C$12, $D$11, 100%, $F$11)</f>
        <v>23.8283892</v>
      </c>
      <c r="I826" s="8">
        <f>CHOOSE( CONTROL!$C$29, 28.3225, 28.318) * CHOOSE(CONTROL!$C$12, $D$11, 100%, $F$11)</f>
        <v>22.771290000000004</v>
      </c>
      <c r="J826" s="4">
        <f>CHOOSE( CONTROL!$C$29, 28.2795, 28.275) * CHOOSE(CONTROL!$C$12, $D$11, 100%, $F$11)</f>
        <v>22.736718</v>
      </c>
      <c r="K826" s="4"/>
      <c r="L826" s="9">
        <v>28.568200000000001</v>
      </c>
      <c r="M826" s="9">
        <v>11.6745</v>
      </c>
      <c r="N826" s="9">
        <v>4.7850000000000001</v>
      </c>
      <c r="O826" s="9">
        <v>0.36249999999999999</v>
      </c>
      <c r="P826" s="9">
        <v>1.1798</v>
      </c>
      <c r="Q826" s="9">
        <v>19.053000000000001</v>
      </c>
      <c r="R826" s="9"/>
      <c r="S826" s="11"/>
    </row>
    <row r="827" spans="1:19" ht="15.75">
      <c r="A827" s="13">
        <v>67053</v>
      </c>
      <c r="B827" s="8">
        <f>CHOOSE( CONTROL!$C$29, 30.7878, 30.7831) * CHOOSE(CONTROL!$C$12, $D$11, 100%, $F$11)</f>
        <v>24.753391200000003</v>
      </c>
      <c r="C827" s="8">
        <f>CHOOSE( CONTROL!$C$29, 30.7983, 30.7936) * CHOOSE(CONTROL!$C$12, $D$11, 100%, $F$11)</f>
        <v>24.761833200000002</v>
      </c>
      <c r="D827" s="8">
        <f>CHOOSE( CONTROL!$C$29, 30.7898, 30.7851) * CHOOSE( CONTROL!$C$12, $D$11, 100%, $F$11)</f>
        <v>24.7549992</v>
      </c>
      <c r="E827" s="12">
        <f>CHOOSE( CONTROL!$C$29, 30.7913, 30.7866) * CHOOSE( CONTROL!$C$12, $D$11, 100%, $F$11)</f>
        <v>24.7562052</v>
      </c>
      <c r="F827" s="4">
        <f>CHOOSE( CONTROL!$C$29, 31.7794, 31.7747) * CHOOSE(CONTROL!$C$12, $D$11, 100%, $F$11)</f>
        <v>25.550637600000002</v>
      </c>
      <c r="G827" s="8">
        <f>CHOOSE( CONTROL!$C$29, 29.9986, 29.994) * CHOOSE( CONTROL!$C$12, $D$11, 100%, $F$11)</f>
        <v>24.118874400000003</v>
      </c>
      <c r="H827" s="4">
        <f>CHOOSE( CONTROL!$C$29, 30.9014, 30.8968) * CHOOSE(CONTROL!$C$12, $D$11, 100%, $F$11)</f>
        <v>24.8447256</v>
      </c>
      <c r="I827" s="8">
        <f>CHOOSE( CONTROL!$C$29, 29.5625, 29.558) * CHOOSE(CONTROL!$C$12, $D$11, 100%, $F$11)</f>
        <v>23.768250000000002</v>
      </c>
      <c r="J827" s="4">
        <f>CHOOSE( CONTROL!$C$29, 29.4961, 29.4916) * CHOOSE(CONTROL!$C$12, $D$11, 100%, $F$11)</f>
        <v>23.7148644</v>
      </c>
      <c r="K827" s="4"/>
      <c r="L827" s="9">
        <v>29.520499999999998</v>
      </c>
      <c r="M827" s="9">
        <v>12.063700000000001</v>
      </c>
      <c r="N827" s="9">
        <v>4.9444999999999997</v>
      </c>
      <c r="O827" s="9">
        <v>0.37459999999999999</v>
      </c>
      <c r="P827" s="9">
        <v>1.2192000000000001</v>
      </c>
      <c r="Q827" s="9">
        <v>19.688099999999999</v>
      </c>
      <c r="R827" s="9"/>
      <c r="S827" s="11"/>
    </row>
    <row r="828" spans="1:19" ht="15.75">
      <c r="A828" s="13">
        <v>67084</v>
      </c>
      <c r="B828" s="8">
        <f>CHOOSE( CONTROL!$C$29, 28.412, 28.4073) * CHOOSE(CONTROL!$C$12, $D$11, 100%, $F$11)</f>
        <v>22.843247999999999</v>
      </c>
      <c r="C828" s="8">
        <f>CHOOSE( CONTROL!$C$29, 28.4224, 28.4177) * CHOOSE(CONTROL!$C$12, $D$11, 100%, $F$11)</f>
        <v>22.8516096</v>
      </c>
      <c r="D828" s="8">
        <f>CHOOSE( CONTROL!$C$29, 28.4173, 28.4126) * CHOOSE( CONTROL!$C$12, $D$11, 100%, $F$11)</f>
        <v>22.847509200000001</v>
      </c>
      <c r="E828" s="12">
        <f>CHOOSE( CONTROL!$C$29, 28.4176, 28.4129) * CHOOSE( CONTROL!$C$12, $D$11, 100%, $F$11)</f>
        <v>22.847750400000002</v>
      </c>
      <c r="F828" s="4">
        <f>CHOOSE( CONTROL!$C$29, 29.4088, 29.4041) * CHOOSE(CONTROL!$C$12, $D$11, 100%, $F$11)</f>
        <v>23.644675200000002</v>
      </c>
      <c r="G828" s="8">
        <f>CHOOSE( CONTROL!$C$29, 27.6848, 27.6802) * CHOOSE( CONTROL!$C$12, $D$11, 100%, $F$11)</f>
        <v>22.2585792</v>
      </c>
      <c r="H828" s="4">
        <f>CHOOSE( CONTROL!$C$29, 28.5906, 28.586) * CHOOSE(CONTROL!$C$12, $D$11, 100%, $F$11)</f>
        <v>22.9868424</v>
      </c>
      <c r="I828" s="8">
        <f>CHOOSE( CONTROL!$C$29, 27.2894, 27.2849) * CHOOSE(CONTROL!$C$12, $D$11, 100%, $F$11)</f>
        <v>21.940677600000001</v>
      </c>
      <c r="J828" s="4">
        <f>CHOOSE( CONTROL!$C$29, 27.2196, 27.2151) * CHOOSE(CONTROL!$C$12, $D$11, 100%, $F$11)</f>
        <v>21.8845584</v>
      </c>
      <c r="K828" s="4"/>
      <c r="L828" s="9">
        <v>29.520499999999998</v>
      </c>
      <c r="M828" s="9">
        <v>12.063700000000001</v>
      </c>
      <c r="N828" s="9">
        <v>4.9444999999999997</v>
      </c>
      <c r="O828" s="9">
        <v>0.37459999999999999</v>
      </c>
      <c r="P828" s="9">
        <v>1.2192000000000001</v>
      </c>
      <c r="Q828" s="9">
        <v>19.688099999999999</v>
      </c>
      <c r="R828" s="9"/>
      <c r="S828" s="11"/>
    </row>
    <row r="829" spans="1:19" ht="15.75">
      <c r="A829" s="13">
        <v>67114</v>
      </c>
      <c r="B829" s="8">
        <f>CHOOSE( CONTROL!$C$29, 27.817, 27.8123) * CHOOSE(CONTROL!$C$12, $D$11, 100%, $F$11)</f>
        <v>22.364868000000001</v>
      </c>
      <c r="C829" s="8">
        <f>CHOOSE( CONTROL!$C$29, 27.8275, 27.8228) * CHOOSE(CONTROL!$C$12, $D$11, 100%, $F$11)</f>
        <v>22.37331</v>
      </c>
      <c r="D829" s="8">
        <f>CHOOSE( CONTROL!$C$29, 27.8181, 27.8134) * CHOOSE( CONTROL!$C$12, $D$11, 100%, $F$11)</f>
        <v>22.365752400000002</v>
      </c>
      <c r="E829" s="12">
        <f>CHOOSE( CONTROL!$C$29, 27.8199, 27.8152) * CHOOSE( CONTROL!$C$12, $D$11, 100%, $F$11)</f>
        <v>22.367199600000003</v>
      </c>
      <c r="F829" s="4">
        <f>CHOOSE( CONTROL!$C$29, 28.806, 28.8013) * CHOOSE(CONTROL!$C$12, $D$11, 100%, $F$11)</f>
        <v>23.160024000000003</v>
      </c>
      <c r="G829" s="8">
        <f>CHOOSE( CONTROL!$C$29, 27.1036, 27.099) * CHOOSE( CONTROL!$C$12, $D$11, 100%, $F$11)</f>
        <v>21.791294400000002</v>
      </c>
      <c r="H829" s="4">
        <f>CHOOSE( CONTROL!$C$29, 28.003, 27.9985) * CHOOSE(CONTROL!$C$12, $D$11, 100%, $F$11)</f>
        <v>22.514412</v>
      </c>
      <c r="I829" s="8">
        <f>CHOOSE( CONTROL!$C$29, 26.7204, 26.7159) * CHOOSE(CONTROL!$C$12, $D$11, 100%, $F$11)</f>
        <v>21.483201600000001</v>
      </c>
      <c r="J829" s="4">
        <f>CHOOSE( CONTROL!$C$29, 26.6495, 26.645) * CHOOSE(CONTROL!$C$12, $D$11, 100%, $F$11)</f>
        <v>21.426197999999999</v>
      </c>
      <c r="K829" s="4"/>
      <c r="L829" s="9">
        <v>28.568200000000001</v>
      </c>
      <c r="M829" s="9">
        <v>11.6745</v>
      </c>
      <c r="N829" s="9">
        <v>4.7850000000000001</v>
      </c>
      <c r="O829" s="9">
        <v>0.36249999999999999</v>
      </c>
      <c r="P829" s="9">
        <v>1.1798</v>
      </c>
      <c r="Q829" s="9">
        <v>19.053000000000001</v>
      </c>
      <c r="R829" s="9"/>
      <c r="S829" s="11"/>
    </row>
    <row r="830" spans="1:19" ht="15.75">
      <c r="A830" s="13">
        <v>67145</v>
      </c>
      <c r="B830" s="8">
        <f>29.0476 * CHOOSE(CONTROL!$C$12, $D$11, 100%, $F$11)</f>
        <v>23.354270400000001</v>
      </c>
      <c r="C830" s="8">
        <f>29.0581 * CHOOSE(CONTROL!$C$12, $D$11, 100%, $F$11)</f>
        <v>23.362712399999999</v>
      </c>
      <c r="D830" s="8">
        <f>29.0496 * CHOOSE( CONTROL!$C$12, $D$11, 100%, $F$11)</f>
        <v>23.355878400000002</v>
      </c>
      <c r="E830" s="12">
        <f>29.0513 * CHOOSE( CONTROL!$C$12, $D$11, 100%, $F$11)</f>
        <v>23.357245200000001</v>
      </c>
      <c r="F830" s="4">
        <f>30.0366 * CHOOSE(CONTROL!$C$12, $D$11, 100%, $F$11)</f>
        <v>24.149426400000003</v>
      </c>
      <c r="G830" s="8">
        <f>28.3027 * CHOOSE( CONTROL!$C$12, $D$11, 100%, $F$11)</f>
        <v>22.755370800000001</v>
      </c>
      <c r="H830" s="4">
        <f>29.2026 * CHOOSE(CONTROL!$C$12, $D$11, 100%, $F$11)</f>
        <v>23.478890400000001</v>
      </c>
      <c r="I830" s="8">
        <f>27.9022 * CHOOSE(CONTROL!$C$12, $D$11, 100%, $F$11)</f>
        <v>22.4333688</v>
      </c>
      <c r="J830" s="4">
        <f>27.8287 * CHOOSE(CONTROL!$C$12, $D$11, 100%, $F$11)</f>
        <v>22.374274800000002</v>
      </c>
      <c r="K830" s="4"/>
      <c r="L830" s="9">
        <v>28.921800000000001</v>
      </c>
      <c r="M830" s="9">
        <v>12.063700000000001</v>
      </c>
      <c r="N830" s="9">
        <v>4.9444999999999997</v>
      </c>
      <c r="O830" s="9">
        <v>0.37459999999999999</v>
      </c>
      <c r="P830" s="9">
        <v>1.2192000000000001</v>
      </c>
      <c r="Q830" s="9">
        <v>19.688099999999999</v>
      </c>
      <c r="R830" s="9"/>
      <c r="S830" s="11"/>
    </row>
    <row r="831" spans="1:19" ht="15.75">
      <c r="A831" s="13">
        <v>67175</v>
      </c>
      <c r="B831" s="8">
        <f>31.3278 * CHOOSE(CONTROL!$C$12, $D$11, 100%, $F$11)</f>
        <v>25.187551200000001</v>
      </c>
      <c r="C831" s="8">
        <f>31.3382 * CHOOSE(CONTROL!$C$12, $D$11, 100%, $F$11)</f>
        <v>25.195912800000002</v>
      </c>
      <c r="D831" s="8">
        <f>31.3184 * CHOOSE( CONTROL!$C$12, $D$11, 100%, $F$11)</f>
        <v>25.179993600000003</v>
      </c>
      <c r="E831" s="12">
        <f>31.3245 * CHOOSE( CONTROL!$C$12, $D$11, 100%, $F$11)</f>
        <v>25.184898</v>
      </c>
      <c r="F831" s="4">
        <f>32.3194 * CHOOSE(CONTROL!$C$12, $D$11, 100%, $F$11)</f>
        <v>25.984797600000004</v>
      </c>
      <c r="G831" s="8">
        <f>30.5443 * CHOOSE( CONTROL!$C$12, $D$11, 100%, $F$11)</f>
        <v>24.557617200000003</v>
      </c>
      <c r="H831" s="4">
        <f>31.4277 * CHOOSE(CONTROL!$C$12, $D$11, 100%, $F$11)</f>
        <v>25.267870800000004</v>
      </c>
      <c r="I831" s="8">
        <f>30.1183 * CHOOSE(CONTROL!$C$12, $D$11, 100%, $F$11)</f>
        <v>24.215113200000001</v>
      </c>
      <c r="J831" s="4">
        <f>30.0135 * CHOOSE(CONTROL!$C$12, $D$11, 100%, $F$11)</f>
        <v>24.130854000000003</v>
      </c>
      <c r="K831" s="4"/>
      <c r="L831" s="9">
        <v>26.515499999999999</v>
      </c>
      <c r="M831" s="9">
        <v>11.6745</v>
      </c>
      <c r="N831" s="9">
        <v>4.7850000000000001</v>
      </c>
      <c r="O831" s="9">
        <v>0.36249999999999999</v>
      </c>
      <c r="P831" s="9">
        <v>1.2522</v>
      </c>
      <c r="Q831" s="9">
        <v>19.053000000000001</v>
      </c>
      <c r="R831" s="9"/>
      <c r="S831" s="11"/>
    </row>
    <row r="832" spans="1:19" ht="15.75">
      <c r="A832" s="13">
        <v>67206</v>
      </c>
      <c r="B832" s="8">
        <f>31.2708 * CHOOSE(CONTROL!$C$12, $D$11, 100%, $F$11)</f>
        <v>25.141723200000001</v>
      </c>
      <c r="C832" s="8">
        <f>31.2812 * CHOOSE(CONTROL!$C$12, $D$11, 100%, $F$11)</f>
        <v>25.150084800000002</v>
      </c>
      <c r="D832" s="8">
        <f>31.2634 * CHOOSE( CONTROL!$C$12, $D$11, 100%, $F$11)</f>
        <v>25.135773600000004</v>
      </c>
      <c r="E832" s="12">
        <f>31.2688 * CHOOSE( CONTROL!$C$12, $D$11, 100%, $F$11)</f>
        <v>25.1401152</v>
      </c>
      <c r="F832" s="4">
        <f>32.2624 * CHOOSE(CONTROL!$C$12, $D$11, 100%, $F$11)</f>
        <v>25.9389696</v>
      </c>
      <c r="G832" s="8">
        <f>30.4903 * CHOOSE( CONTROL!$C$12, $D$11, 100%, $F$11)</f>
        <v>24.514201200000002</v>
      </c>
      <c r="H832" s="4">
        <f>31.3722 * CHOOSE(CONTROL!$C$12, $D$11, 100%, $F$11)</f>
        <v>25.2232488</v>
      </c>
      <c r="I832" s="8">
        <f>30.0705 * CHOOSE(CONTROL!$C$12, $D$11, 100%, $F$11)</f>
        <v>24.176682</v>
      </c>
      <c r="J832" s="4">
        <f>29.9589 * CHOOSE(CONTROL!$C$12, $D$11, 100%, $F$11)</f>
        <v>24.0869556</v>
      </c>
      <c r="K832" s="4"/>
      <c r="L832" s="9">
        <v>27.3993</v>
      </c>
      <c r="M832" s="9">
        <v>12.063700000000001</v>
      </c>
      <c r="N832" s="9">
        <v>4.9444999999999997</v>
      </c>
      <c r="O832" s="9">
        <v>0.37459999999999999</v>
      </c>
      <c r="P832" s="9">
        <v>1.2939000000000001</v>
      </c>
      <c r="Q832" s="9">
        <v>19.688099999999999</v>
      </c>
      <c r="R832" s="9"/>
      <c r="S832" s="11"/>
    </row>
    <row r="833" spans="1:19" ht="15.75">
      <c r="A833" s="13">
        <v>67237</v>
      </c>
      <c r="B833" s="8">
        <f>32.4657 * CHOOSE(CONTROL!$C$12, $D$11, 100%, $F$11)</f>
        <v>26.102422799999999</v>
      </c>
      <c r="C833" s="8">
        <f>32.4762 * CHOOSE(CONTROL!$C$12, $D$11, 100%, $F$11)</f>
        <v>26.110864800000002</v>
      </c>
      <c r="D833" s="8">
        <f>32.4738 * CHOOSE( CONTROL!$C$12, $D$11, 100%, $F$11)</f>
        <v>26.108935199999998</v>
      </c>
      <c r="E833" s="12">
        <f>32.4736 * CHOOSE( CONTROL!$C$12, $D$11, 100%, $F$11)</f>
        <v>26.108774399999998</v>
      </c>
      <c r="F833" s="4">
        <f>33.4887 * CHOOSE(CONTROL!$C$12, $D$11, 100%, $F$11)</f>
        <v>26.924914800000003</v>
      </c>
      <c r="G833" s="8">
        <f>31.6742 * CHOOSE( CONTROL!$C$12, $D$11, 100%, $F$11)</f>
        <v>25.4660568</v>
      </c>
      <c r="H833" s="4">
        <f>32.5675 * CHOOSE(CONTROL!$C$12, $D$11, 100%, $F$11)</f>
        <v>26.184270000000005</v>
      </c>
      <c r="I833" s="8">
        <f>31.2281 * CHOOSE(CONTROL!$C$12, $D$11, 100%, $F$11)</f>
        <v>25.107392400000002</v>
      </c>
      <c r="J833" s="4">
        <f>31.1039 * CHOOSE(CONTROL!$C$12, $D$11, 100%, $F$11)</f>
        <v>25.007535600000001</v>
      </c>
      <c r="K833" s="4"/>
      <c r="L833" s="9">
        <v>27.3993</v>
      </c>
      <c r="M833" s="9">
        <v>12.063700000000001</v>
      </c>
      <c r="N833" s="9">
        <v>4.9444999999999997</v>
      </c>
      <c r="O833" s="9">
        <v>0.37459999999999999</v>
      </c>
      <c r="P833" s="9">
        <v>1.2939000000000001</v>
      </c>
      <c r="Q833" s="9">
        <v>19.688099999999999</v>
      </c>
      <c r="R833" s="9"/>
      <c r="S833" s="11"/>
    </row>
    <row r="834" spans="1:19" ht="15.75">
      <c r="A834" s="13">
        <v>67266</v>
      </c>
      <c r="B834" s="8">
        <f>30.3672 * CHOOSE(CONTROL!$C$12, $D$11, 100%, $F$11)</f>
        <v>24.415228800000001</v>
      </c>
      <c r="C834" s="8">
        <f>30.3776 * CHOOSE(CONTROL!$C$12, $D$11, 100%, $F$11)</f>
        <v>24.423590400000002</v>
      </c>
      <c r="D834" s="8">
        <f>30.3776 * CHOOSE( CONTROL!$C$12, $D$11, 100%, $F$11)</f>
        <v>24.423590400000002</v>
      </c>
      <c r="E834" s="12">
        <f>30.3765 * CHOOSE( CONTROL!$C$12, $D$11, 100%, $F$11)</f>
        <v>24.422706000000002</v>
      </c>
      <c r="F834" s="4">
        <f>31.3823 * CHOOSE(CONTROL!$C$12, $D$11, 100%, $F$11)</f>
        <v>25.231369200000003</v>
      </c>
      <c r="G834" s="8">
        <f>29.6284 * CHOOSE( CONTROL!$C$12, $D$11, 100%, $F$11)</f>
        <v>23.821233599999999</v>
      </c>
      <c r="H834" s="4">
        <f>30.5143 * CHOOSE(CONTROL!$C$12, $D$11, 100%, $F$11)</f>
        <v>24.533497199999999</v>
      </c>
      <c r="I834" s="8">
        <f>29.2053 * CHOOSE(CONTROL!$C$12, $D$11, 100%, $F$11)</f>
        <v>23.481061200000003</v>
      </c>
      <c r="J834" s="4">
        <f>29.0931 * CHOOSE(CONTROL!$C$12, $D$11, 100%, $F$11)</f>
        <v>23.3908524</v>
      </c>
      <c r="K834" s="4"/>
      <c r="L834" s="9">
        <v>25.631599999999999</v>
      </c>
      <c r="M834" s="9">
        <v>11.285299999999999</v>
      </c>
      <c r="N834" s="9">
        <v>4.6254999999999997</v>
      </c>
      <c r="O834" s="9">
        <v>0.35039999999999999</v>
      </c>
      <c r="P834" s="9">
        <v>1.2104999999999999</v>
      </c>
      <c r="Q834" s="9">
        <v>18.417899999999999</v>
      </c>
      <c r="R834" s="9"/>
      <c r="S834" s="11"/>
    </row>
    <row r="835" spans="1:19" ht="15.75">
      <c r="A835" s="13">
        <v>67297</v>
      </c>
      <c r="B835" s="8">
        <f>29.7209 * CHOOSE(CONTROL!$C$12, $D$11, 100%, $F$11)</f>
        <v>23.895603600000001</v>
      </c>
      <c r="C835" s="8">
        <f>29.7313 * CHOOSE(CONTROL!$C$12, $D$11, 100%, $F$11)</f>
        <v>23.903965200000002</v>
      </c>
      <c r="D835" s="8">
        <f>29.7111 * CHOOSE( CONTROL!$C$12, $D$11, 100%, $F$11)</f>
        <v>23.8877244</v>
      </c>
      <c r="E835" s="12">
        <f>29.7174 * CHOOSE( CONTROL!$C$12, $D$11, 100%, $F$11)</f>
        <v>23.892789600000004</v>
      </c>
      <c r="F835" s="4">
        <f>30.7198 * CHOOSE(CONTROL!$C$12, $D$11, 100%, $F$11)</f>
        <v>24.698719199999999</v>
      </c>
      <c r="G835" s="8">
        <f>28.9779 * CHOOSE( CONTROL!$C$12, $D$11, 100%, $F$11)</f>
        <v>23.298231600000001</v>
      </c>
      <c r="H835" s="4">
        <f>29.8685 * CHOOSE(CONTROL!$C$12, $D$11, 100%, $F$11)</f>
        <v>24.014274000000004</v>
      </c>
      <c r="I835" s="8">
        <f>28.5462 * CHOOSE(CONTROL!$C$12, $D$11, 100%, $F$11)</f>
        <v>22.951144800000002</v>
      </c>
      <c r="J835" s="4">
        <f>28.4738 * CHOOSE(CONTROL!$C$12, $D$11, 100%, $F$11)</f>
        <v>22.8929352</v>
      </c>
      <c r="K835" s="4"/>
      <c r="L835" s="9">
        <v>27.3993</v>
      </c>
      <c r="M835" s="9">
        <v>12.063700000000001</v>
      </c>
      <c r="N835" s="9">
        <v>4.9444999999999997</v>
      </c>
      <c r="O835" s="9">
        <v>0.37459999999999999</v>
      </c>
      <c r="P835" s="9">
        <v>1.2939000000000001</v>
      </c>
      <c r="Q835" s="9">
        <v>19.688099999999999</v>
      </c>
      <c r="R835" s="9"/>
      <c r="S835" s="11"/>
    </row>
    <row r="836" spans="1:19" ht="15.75">
      <c r="A836" s="13">
        <v>67327</v>
      </c>
      <c r="B836" s="8">
        <f>30.1725 * CHOOSE(CONTROL!$C$12, $D$11, 100%, $F$11)</f>
        <v>24.258690000000001</v>
      </c>
      <c r="C836" s="8">
        <f>30.183 * CHOOSE(CONTROL!$C$12, $D$11, 100%, $F$11)</f>
        <v>24.267132</v>
      </c>
      <c r="D836" s="8">
        <f>30.1862 * CHOOSE( CONTROL!$C$12, $D$11, 100%, $F$11)</f>
        <v>24.2697048</v>
      </c>
      <c r="E836" s="12">
        <f>30.1839 * CHOOSE( CONTROL!$C$12, $D$11, 100%, $F$11)</f>
        <v>24.267855600000001</v>
      </c>
      <c r="F836" s="4">
        <f>31.1798 * CHOOSE(CONTROL!$C$12, $D$11, 100%, $F$11)</f>
        <v>25.068559200000003</v>
      </c>
      <c r="G836" s="8">
        <f>29.406 * CHOOSE( CONTROL!$C$12, $D$11, 100%, $F$11)</f>
        <v>23.642424000000002</v>
      </c>
      <c r="H836" s="4">
        <f>30.3169 * CHOOSE(CONTROL!$C$12, $D$11, 100%, $F$11)</f>
        <v>24.374787600000001</v>
      </c>
      <c r="I836" s="8">
        <f>28.9692 * CHOOSE(CONTROL!$C$12, $D$11, 100%, $F$11)</f>
        <v>23.291236800000004</v>
      </c>
      <c r="J836" s="4">
        <f>28.9065 * CHOOSE(CONTROL!$C$12, $D$11, 100%, $F$11)</f>
        <v>23.240826000000002</v>
      </c>
      <c r="K836" s="4"/>
      <c r="L836" s="9">
        <v>27.988800000000001</v>
      </c>
      <c r="M836" s="9">
        <v>11.6745</v>
      </c>
      <c r="N836" s="9">
        <v>4.7850000000000001</v>
      </c>
      <c r="O836" s="9">
        <v>0.36249999999999999</v>
      </c>
      <c r="P836" s="9">
        <v>1.1798</v>
      </c>
      <c r="Q836" s="9">
        <v>19.053000000000001</v>
      </c>
      <c r="R836" s="9"/>
      <c r="S836" s="11"/>
    </row>
    <row r="837" spans="1:19" ht="15.75">
      <c r="A837" s="13">
        <v>67358</v>
      </c>
      <c r="B837" s="8">
        <f>CHOOSE( CONTROL!$C$29, 30.9811, 30.9763) * CHOOSE(CONTROL!$C$12, $D$11, 100%, $F$11)</f>
        <v>24.908804400000001</v>
      </c>
      <c r="C837" s="8">
        <f>CHOOSE( CONTROL!$C$29, 30.9915, 30.9868) * CHOOSE(CONTROL!$C$12, $D$11, 100%, $F$11)</f>
        <v>24.917166000000002</v>
      </c>
      <c r="D837" s="8">
        <f>CHOOSE( CONTROL!$C$29, 30.9694, 30.9647) * CHOOSE( CONTROL!$C$12, $D$11, 100%, $F$11)</f>
        <v>24.8993976</v>
      </c>
      <c r="E837" s="12">
        <f>CHOOSE( CONTROL!$C$29, 30.9758, 30.9711) * CHOOSE( CONTROL!$C$12, $D$11, 100%, $F$11)</f>
        <v>24.904543200000003</v>
      </c>
      <c r="F837" s="4">
        <f>CHOOSE( CONTROL!$C$29, 31.956, 31.9512) * CHOOSE(CONTROL!$C$12, $D$11, 100%, $F$11)</f>
        <v>25.692624000000002</v>
      </c>
      <c r="G837" s="8">
        <f>CHOOSE( CONTROL!$C$29, 30.1755, 30.1709) * CHOOSE( CONTROL!$C$12, $D$11, 100%, $F$11)</f>
        <v>24.261102000000001</v>
      </c>
      <c r="H837" s="4">
        <f>CHOOSE( CONTROL!$C$29, 31.0735, 31.0689) * CHOOSE(CONTROL!$C$12, $D$11, 100%, $F$11)</f>
        <v>24.983094000000001</v>
      </c>
      <c r="I837" s="8">
        <f>CHOOSE( CONTROL!$C$29, 29.7228, 29.7183) * CHOOSE(CONTROL!$C$12, $D$11, 100%, $F$11)</f>
        <v>23.8971312</v>
      </c>
      <c r="J837" s="4">
        <f>CHOOSE( CONTROL!$C$29, 29.6813, 29.6768) * CHOOSE(CONTROL!$C$12, $D$11, 100%, $F$11)</f>
        <v>23.863765200000003</v>
      </c>
      <c r="K837" s="4"/>
      <c r="L837" s="9">
        <v>29.520499999999998</v>
      </c>
      <c r="M837" s="9">
        <v>12.063700000000001</v>
      </c>
      <c r="N837" s="9">
        <v>4.9444999999999997</v>
      </c>
      <c r="O837" s="9">
        <v>0.37459999999999999</v>
      </c>
      <c r="P837" s="9">
        <v>1.2192000000000001</v>
      </c>
      <c r="Q837" s="9">
        <v>19.688099999999999</v>
      </c>
      <c r="R837" s="9"/>
      <c r="S837" s="11"/>
    </row>
    <row r="838" spans="1:19" ht="15.75">
      <c r="A838" s="13">
        <v>67388</v>
      </c>
      <c r="B838" s="8">
        <f>CHOOSE( CONTROL!$C$29, 30.4831, 30.4784) * CHOOSE(CONTROL!$C$12, $D$11, 100%, $F$11)</f>
        <v>24.508412400000001</v>
      </c>
      <c r="C838" s="8">
        <f>CHOOSE( CONTROL!$C$29, 30.4935, 30.4888) * CHOOSE(CONTROL!$C$12, $D$11, 100%, $F$11)</f>
        <v>24.516774000000002</v>
      </c>
      <c r="D838" s="8">
        <f>CHOOSE( CONTROL!$C$29, 30.4659, 30.4612) * CHOOSE( CONTROL!$C$12, $D$11, 100%, $F$11)</f>
        <v>24.494583600000002</v>
      </c>
      <c r="E838" s="12">
        <f>CHOOSE( CONTROL!$C$29, 30.4743, 30.4696) * CHOOSE( CONTROL!$C$12, $D$11, 100%, $F$11)</f>
        <v>24.501337200000002</v>
      </c>
      <c r="F838" s="4">
        <f>CHOOSE( CONTROL!$C$29, 31.4476, 31.4429) * CHOOSE(CONTROL!$C$12, $D$11, 100%, $F$11)</f>
        <v>25.283870400000001</v>
      </c>
      <c r="G838" s="8">
        <f>CHOOSE( CONTROL!$C$29, 29.6888, 29.6843) * CHOOSE( CONTROL!$C$12, $D$11, 100%, $F$11)</f>
        <v>23.869795200000002</v>
      </c>
      <c r="H838" s="4">
        <f>CHOOSE( CONTROL!$C$29, 30.5779, 30.5734) * CHOOSE(CONTROL!$C$12, $D$11, 100%, $F$11)</f>
        <v>24.584631600000002</v>
      </c>
      <c r="I838" s="8">
        <f>CHOOSE( CONTROL!$C$29, 29.2476, 29.2431) * CHOOSE(CONTROL!$C$12, $D$11, 100%, $F$11)</f>
        <v>23.515070399999999</v>
      </c>
      <c r="J838" s="4">
        <f>CHOOSE( CONTROL!$C$29, 29.2042, 29.1996) * CHOOSE(CONTROL!$C$12, $D$11, 100%, $F$11)</f>
        <v>23.480176800000002</v>
      </c>
      <c r="K838" s="4"/>
      <c r="L838" s="9">
        <v>28.568200000000001</v>
      </c>
      <c r="M838" s="9">
        <v>11.6745</v>
      </c>
      <c r="N838" s="9">
        <v>4.7850000000000001</v>
      </c>
      <c r="O838" s="9">
        <v>0.36249999999999999</v>
      </c>
      <c r="P838" s="9">
        <v>1.1798</v>
      </c>
      <c r="Q838" s="9">
        <v>19.053000000000001</v>
      </c>
      <c r="R838" s="9"/>
      <c r="S838" s="11"/>
    </row>
    <row r="839" spans="1:19" ht="15.75">
      <c r="A839" s="13">
        <v>67419</v>
      </c>
      <c r="B839" s="8">
        <f>CHOOSE( CONTROL!$C$29, 31.7944, 31.7897) * CHOOSE(CONTROL!$C$12, $D$11, 100%, $F$11)</f>
        <v>25.5626976</v>
      </c>
      <c r="C839" s="8">
        <f>CHOOSE( CONTROL!$C$29, 31.8048, 31.8001) * CHOOSE(CONTROL!$C$12, $D$11, 100%, $F$11)</f>
        <v>25.571059200000001</v>
      </c>
      <c r="D839" s="8">
        <f>CHOOSE( CONTROL!$C$29, 31.7964, 31.7917) * CHOOSE( CONTROL!$C$12, $D$11, 100%, $F$11)</f>
        <v>25.564305600000001</v>
      </c>
      <c r="E839" s="12">
        <f>CHOOSE( CONTROL!$C$29, 31.7979, 31.7932) * CHOOSE( CONTROL!$C$12, $D$11, 100%, $F$11)</f>
        <v>25.565511600000001</v>
      </c>
      <c r="F839" s="4">
        <f>CHOOSE( CONTROL!$C$29, 32.786, 32.7813) * CHOOSE(CONTROL!$C$12, $D$11, 100%, $F$11)</f>
        <v>26.359944000000002</v>
      </c>
      <c r="G839" s="8">
        <f>CHOOSE( CONTROL!$C$29, 30.9797, 30.9752) * CHOOSE( CONTROL!$C$12, $D$11, 100%, $F$11)</f>
        <v>24.907678800000003</v>
      </c>
      <c r="H839" s="4">
        <f>CHOOSE( CONTROL!$C$29, 31.8826, 31.878) * CHOOSE(CONTROL!$C$12, $D$11, 100%, $F$11)</f>
        <v>25.633610400000002</v>
      </c>
      <c r="I839" s="8">
        <f>CHOOSE( CONTROL!$C$29, 30.5275, 30.5229) * CHOOSE(CONTROL!$C$12, $D$11, 100%, $F$11)</f>
        <v>24.54411</v>
      </c>
      <c r="J839" s="4">
        <f>CHOOSE( CONTROL!$C$29, 30.4606, 30.4561) * CHOOSE(CONTROL!$C$12, $D$11, 100%, $F$11)</f>
        <v>24.4903224</v>
      </c>
      <c r="K839" s="4"/>
      <c r="L839" s="9">
        <v>29.520499999999998</v>
      </c>
      <c r="M839" s="9">
        <v>12.063700000000001</v>
      </c>
      <c r="N839" s="9">
        <v>4.9444999999999997</v>
      </c>
      <c r="O839" s="9">
        <v>0.37459999999999999</v>
      </c>
      <c r="P839" s="9">
        <v>1.2192000000000001</v>
      </c>
      <c r="Q839" s="9">
        <v>19.688099999999999</v>
      </c>
      <c r="R839" s="9"/>
      <c r="S839" s="11"/>
    </row>
    <row r="840" spans="1:19" ht="15.75">
      <c r="A840" s="13">
        <v>67450</v>
      </c>
      <c r="B840" s="8">
        <f>CHOOSE( CONTROL!$C$29, 29.3408, 29.3361) * CHOOSE(CONTROL!$C$12, $D$11, 100%, $F$11)</f>
        <v>23.590003200000002</v>
      </c>
      <c r="C840" s="8">
        <f>CHOOSE( CONTROL!$C$29, 29.3513, 29.3466) * CHOOSE(CONTROL!$C$12, $D$11, 100%, $F$11)</f>
        <v>23.5984452</v>
      </c>
      <c r="D840" s="8">
        <f>CHOOSE( CONTROL!$C$29, 29.3462, 29.3415) * CHOOSE( CONTROL!$C$12, $D$11, 100%, $F$11)</f>
        <v>23.594344800000002</v>
      </c>
      <c r="E840" s="12">
        <f>CHOOSE( CONTROL!$C$29, 29.3464, 29.3417) * CHOOSE( CONTROL!$C$12, $D$11, 100%, $F$11)</f>
        <v>23.594505600000002</v>
      </c>
      <c r="F840" s="4">
        <f>CHOOSE( CONTROL!$C$29, 30.3377, 30.333) * CHOOSE(CONTROL!$C$12, $D$11, 100%, $F$11)</f>
        <v>24.391510800000002</v>
      </c>
      <c r="G840" s="8">
        <f>CHOOSE( CONTROL!$C$29, 28.5902, 28.5856) * CHOOSE( CONTROL!$C$12, $D$11, 100%, $F$11)</f>
        <v>22.986520800000001</v>
      </c>
      <c r="H840" s="4">
        <f>CHOOSE( CONTROL!$C$29, 29.496, 29.4914) * CHOOSE(CONTROL!$C$12, $D$11, 100%, $F$11)</f>
        <v>23.714784000000002</v>
      </c>
      <c r="I840" s="8">
        <f>CHOOSE( CONTROL!$C$29, 28.1799, 28.1754) * CHOOSE(CONTROL!$C$12, $D$11, 100%, $F$11)</f>
        <v>22.656639600000002</v>
      </c>
      <c r="J840" s="4">
        <f>CHOOSE( CONTROL!$C$29, 28.1096, 28.1051) * CHOOSE(CONTROL!$C$12, $D$11, 100%, $F$11)</f>
        <v>22.600118400000003</v>
      </c>
      <c r="K840" s="4"/>
      <c r="L840" s="9">
        <v>29.520499999999998</v>
      </c>
      <c r="M840" s="9">
        <v>12.063700000000001</v>
      </c>
      <c r="N840" s="9">
        <v>4.9444999999999997</v>
      </c>
      <c r="O840" s="9">
        <v>0.37459999999999999</v>
      </c>
      <c r="P840" s="9">
        <v>1.2192000000000001</v>
      </c>
      <c r="Q840" s="9">
        <v>19.688099999999999</v>
      </c>
      <c r="R840" s="9"/>
      <c r="S840" s="11"/>
    </row>
    <row r="841" spans="1:19" ht="15.75">
      <c r="A841" s="13">
        <v>67480</v>
      </c>
      <c r="B841" s="8">
        <f>CHOOSE( CONTROL!$C$29, 28.7264, 28.7217) * CHOOSE(CONTROL!$C$12, $D$11, 100%, $F$11)</f>
        <v>23.096025600000004</v>
      </c>
      <c r="C841" s="8">
        <f>CHOOSE( CONTROL!$C$29, 28.7369, 28.7322) * CHOOSE(CONTROL!$C$12, $D$11, 100%, $F$11)</f>
        <v>23.1044676</v>
      </c>
      <c r="D841" s="8">
        <f>CHOOSE( CONTROL!$C$29, 28.7276, 28.7228) * CHOOSE( CONTROL!$C$12, $D$11, 100%, $F$11)</f>
        <v>23.096990399999999</v>
      </c>
      <c r="E841" s="12">
        <f>CHOOSE( CONTROL!$C$29, 28.7294, 28.7246) * CHOOSE( CONTROL!$C$12, $D$11, 100%, $F$11)</f>
        <v>23.0984376</v>
      </c>
      <c r="F841" s="4">
        <f>CHOOSE( CONTROL!$C$29, 29.7154, 29.7107) * CHOOSE(CONTROL!$C$12, $D$11, 100%, $F$11)</f>
        <v>23.891181599999999</v>
      </c>
      <c r="G841" s="8">
        <f>CHOOSE( CONTROL!$C$29, 27.99, 27.9854) * CHOOSE( CONTROL!$C$12, $D$11, 100%, $F$11)</f>
        <v>22.503959999999999</v>
      </c>
      <c r="H841" s="4">
        <f>CHOOSE( CONTROL!$C$29, 28.8895, 28.8849) * CHOOSE(CONTROL!$C$12, $D$11, 100%, $F$11)</f>
        <v>23.227158000000003</v>
      </c>
      <c r="I841" s="8">
        <f>CHOOSE( CONTROL!$C$29, 27.5922, 27.5877) * CHOOSE(CONTROL!$C$12, $D$11, 100%, $F$11)</f>
        <v>22.1841288</v>
      </c>
      <c r="J841" s="4">
        <f>CHOOSE( CONTROL!$C$29, 27.5209, 27.5164) * CHOOSE(CONTROL!$C$12, $D$11, 100%, $F$11)</f>
        <v>22.126803600000002</v>
      </c>
      <c r="K841" s="4"/>
      <c r="L841" s="9">
        <v>28.568200000000001</v>
      </c>
      <c r="M841" s="9">
        <v>11.6745</v>
      </c>
      <c r="N841" s="9">
        <v>4.7850000000000001</v>
      </c>
      <c r="O841" s="9">
        <v>0.36249999999999999</v>
      </c>
      <c r="P841" s="9">
        <v>1.1798</v>
      </c>
      <c r="Q841" s="9">
        <v>19.053000000000001</v>
      </c>
      <c r="R841" s="9"/>
      <c r="S841" s="11"/>
    </row>
    <row r="842" spans="1:19" ht="15.75">
      <c r="A842" s="13">
        <v>67511</v>
      </c>
      <c r="B842" s="8">
        <f>29.9974 * CHOOSE(CONTROL!$C$12, $D$11, 100%, $F$11)</f>
        <v>24.117909600000001</v>
      </c>
      <c r="C842" s="8">
        <f>30.0079 * CHOOSE(CONTROL!$C$12, $D$11, 100%, $F$11)</f>
        <v>24.1263516</v>
      </c>
      <c r="D842" s="8">
        <f>29.9994 * CHOOSE( CONTROL!$C$12, $D$11, 100%, $F$11)</f>
        <v>24.119517600000002</v>
      </c>
      <c r="E842" s="12">
        <f>30.0011 * CHOOSE( CONTROL!$C$12, $D$11, 100%, $F$11)</f>
        <v>24.120884400000001</v>
      </c>
      <c r="F842" s="4">
        <f>30.9864 * CHOOSE(CONTROL!$C$12, $D$11, 100%, $F$11)</f>
        <v>24.913065600000003</v>
      </c>
      <c r="G842" s="8">
        <f>29.2286 * CHOOSE( CONTROL!$C$12, $D$11, 100%, $F$11)</f>
        <v>23.499794400000003</v>
      </c>
      <c r="H842" s="4">
        <f>30.1284 * CHOOSE(CONTROL!$C$12, $D$11, 100%, $F$11)</f>
        <v>24.2232336</v>
      </c>
      <c r="I842" s="8">
        <f>28.8127 * CHOOSE(CONTROL!$C$12, $D$11, 100%, $F$11)</f>
        <v>23.1654108</v>
      </c>
      <c r="J842" s="4">
        <f>28.7388 * CHOOSE(CONTROL!$C$12, $D$11, 100%, $F$11)</f>
        <v>23.105995200000002</v>
      </c>
      <c r="K842" s="4"/>
      <c r="L842" s="9">
        <v>28.921800000000001</v>
      </c>
      <c r="M842" s="9">
        <v>12.063700000000001</v>
      </c>
      <c r="N842" s="9">
        <v>4.9444999999999997</v>
      </c>
      <c r="O842" s="9">
        <v>0.37459999999999999</v>
      </c>
      <c r="P842" s="9">
        <v>1.2192000000000001</v>
      </c>
      <c r="Q842" s="9">
        <v>19.688099999999999</v>
      </c>
      <c r="R842" s="9"/>
      <c r="S842" s="11"/>
    </row>
    <row r="843" spans="1:19" ht="15.75">
      <c r="A843" s="13">
        <v>67541</v>
      </c>
      <c r="B843" s="8">
        <f>32.3521 * CHOOSE(CONTROL!$C$12, $D$11, 100%, $F$11)</f>
        <v>26.011088400000002</v>
      </c>
      <c r="C843" s="8">
        <f>32.3626 * CHOOSE(CONTROL!$C$12, $D$11, 100%, $F$11)</f>
        <v>26.019530400000001</v>
      </c>
      <c r="D843" s="8">
        <f>32.3428 * CHOOSE( CONTROL!$C$12, $D$11, 100%, $F$11)</f>
        <v>26.003611199999998</v>
      </c>
      <c r="E843" s="12">
        <f>32.3489 * CHOOSE( CONTROL!$C$12, $D$11, 100%, $F$11)</f>
        <v>26.008515600000003</v>
      </c>
      <c r="F843" s="4">
        <f>33.3437 * CHOOSE(CONTROL!$C$12, $D$11, 100%, $F$11)</f>
        <v>26.808334800000001</v>
      </c>
      <c r="G843" s="8">
        <f>31.5429 * CHOOSE( CONTROL!$C$12, $D$11, 100%, $F$11)</f>
        <v>25.3604916</v>
      </c>
      <c r="H843" s="4">
        <f>32.4263 * CHOOSE(CONTROL!$C$12, $D$11, 100%, $F$11)</f>
        <v>26.070745200000001</v>
      </c>
      <c r="I843" s="8">
        <f>31.1003 * CHOOSE(CONTROL!$C$12, $D$11, 100%, $F$11)</f>
        <v>25.004641200000002</v>
      </c>
      <c r="J843" s="4">
        <f>30.995 * CHOOSE(CONTROL!$C$12, $D$11, 100%, $F$11)</f>
        <v>24.919980000000002</v>
      </c>
      <c r="K843" s="4"/>
      <c r="L843" s="9">
        <v>26.515499999999999</v>
      </c>
      <c r="M843" s="9">
        <v>11.6745</v>
      </c>
      <c r="N843" s="9">
        <v>4.7850000000000001</v>
      </c>
      <c r="O843" s="9">
        <v>0.36249999999999999</v>
      </c>
      <c r="P843" s="9">
        <v>1.2522</v>
      </c>
      <c r="Q843" s="9">
        <v>19.053000000000001</v>
      </c>
      <c r="R843" s="9"/>
      <c r="S843" s="11"/>
    </row>
    <row r="844" spans="1:19" ht="15.75">
      <c r="A844" s="13">
        <v>67572</v>
      </c>
      <c r="B844" s="8">
        <f>32.2933 * CHOOSE(CONTROL!$C$12, $D$11, 100%, $F$11)</f>
        <v>25.963813200000004</v>
      </c>
      <c r="C844" s="8">
        <f>32.3037 * CHOOSE(CONTROL!$C$12, $D$11, 100%, $F$11)</f>
        <v>25.972174800000001</v>
      </c>
      <c r="D844" s="8">
        <f>32.2859 * CHOOSE( CONTROL!$C$12, $D$11, 100%, $F$11)</f>
        <v>25.9578636</v>
      </c>
      <c r="E844" s="12">
        <f>32.2913 * CHOOSE( CONTROL!$C$12, $D$11, 100%, $F$11)</f>
        <v>25.9622052</v>
      </c>
      <c r="F844" s="4">
        <f>33.2849 * CHOOSE(CONTROL!$C$12, $D$11, 100%, $F$11)</f>
        <v>26.761059600000003</v>
      </c>
      <c r="G844" s="8">
        <f>31.487 * CHOOSE( CONTROL!$C$12, $D$11, 100%, $F$11)</f>
        <v>25.315548</v>
      </c>
      <c r="H844" s="4">
        <f>32.3689 * CHOOSE(CONTROL!$C$12, $D$11, 100%, $F$11)</f>
        <v>26.024595599999998</v>
      </c>
      <c r="I844" s="8">
        <f>31.0508 * CHOOSE(CONTROL!$C$12, $D$11, 100%, $F$11)</f>
        <v>24.964843200000001</v>
      </c>
      <c r="J844" s="4">
        <f>30.9387 * CHOOSE(CONTROL!$C$12, $D$11, 100%, $F$11)</f>
        <v>24.874714800000003</v>
      </c>
      <c r="K844" s="4"/>
      <c r="L844" s="9">
        <v>27.3993</v>
      </c>
      <c r="M844" s="9">
        <v>12.063700000000001</v>
      </c>
      <c r="N844" s="9">
        <v>4.9444999999999997</v>
      </c>
      <c r="O844" s="9">
        <v>0.37459999999999999</v>
      </c>
      <c r="P844" s="9">
        <v>1.2939000000000001</v>
      </c>
      <c r="Q844" s="9">
        <v>19.688099999999999</v>
      </c>
      <c r="R844" s="9"/>
      <c r="S844" s="11"/>
    </row>
    <row r="845" spans="1:19" ht="15.75">
      <c r="A845" s="13">
        <v>67603</v>
      </c>
      <c r="B845" s="8">
        <f>33.5273 * CHOOSE(CONTROL!$C$12, $D$11, 100%, $F$11)</f>
        <v>26.955949199999999</v>
      </c>
      <c r="C845" s="8">
        <f>33.5378 * CHOOSE(CONTROL!$C$12, $D$11, 100%, $F$11)</f>
        <v>26.964391199999998</v>
      </c>
      <c r="D845" s="8">
        <f>33.5354 * CHOOSE( CONTROL!$C$12, $D$11, 100%, $F$11)</f>
        <v>26.962461600000005</v>
      </c>
      <c r="E845" s="12">
        <f>33.5352 * CHOOSE( CONTROL!$C$12, $D$11, 100%, $F$11)</f>
        <v>26.962300800000005</v>
      </c>
      <c r="F845" s="4">
        <f>34.5502 * CHOOSE(CONTROL!$C$12, $D$11, 100%, $F$11)</f>
        <v>27.778360799999998</v>
      </c>
      <c r="G845" s="8">
        <f>32.709 * CHOOSE( CONTROL!$C$12, $D$11, 100%, $F$11)</f>
        <v>26.298036000000003</v>
      </c>
      <c r="H845" s="4">
        <f>33.6023 * CHOOSE(CONTROL!$C$12, $D$11, 100%, $F$11)</f>
        <v>27.016249200000001</v>
      </c>
      <c r="I845" s="8">
        <f>32.2458 * CHOOSE(CONTROL!$C$12, $D$11, 100%, $F$11)</f>
        <v>25.925623200000004</v>
      </c>
      <c r="J845" s="4">
        <f>32.1211 * CHOOSE(CONTROL!$C$12, $D$11, 100%, $F$11)</f>
        <v>25.825364400000002</v>
      </c>
      <c r="K845" s="4"/>
      <c r="L845" s="9">
        <v>27.3993</v>
      </c>
      <c r="M845" s="9">
        <v>12.063700000000001</v>
      </c>
      <c r="N845" s="9">
        <v>4.9444999999999997</v>
      </c>
      <c r="O845" s="9">
        <v>0.37459999999999999</v>
      </c>
      <c r="P845" s="9">
        <v>1.2939000000000001</v>
      </c>
      <c r="Q845" s="9">
        <v>19.688099999999999</v>
      </c>
      <c r="R845" s="9"/>
      <c r="S845" s="11"/>
    </row>
    <row r="846" spans="1:19" ht="15.75">
      <c r="A846" s="13">
        <v>67631</v>
      </c>
      <c r="B846" s="8">
        <f>31.3602 * CHOOSE(CONTROL!$C$12, $D$11, 100%, $F$11)</f>
        <v>25.213600800000002</v>
      </c>
      <c r="C846" s="8">
        <f>31.3706 * CHOOSE(CONTROL!$C$12, $D$11, 100%, $F$11)</f>
        <v>25.221962400000002</v>
      </c>
      <c r="D846" s="8">
        <f>31.3706 * CHOOSE( CONTROL!$C$12, $D$11, 100%, $F$11)</f>
        <v>25.221962400000002</v>
      </c>
      <c r="E846" s="12">
        <f>31.3695 * CHOOSE( CONTROL!$C$12, $D$11, 100%, $F$11)</f>
        <v>25.221078000000002</v>
      </c>
      <c r="F846" s="4">
        <f>32.3752 * CHOOSE(CONTROL!$C$12, $D$11, 100%, $F$11)</f>
        <v>26.029660800000002</v>
      </c>
      <c r="G846" s="8">
        <f>30.5963 * CHOOSE( CONTROL!$C$12, $D$11, 100%, $F$11)</f>
        <v>24.599425200000002</v>
      </c>
      <c r="H846" s="4">
        <f>31.4822 * CHOOSE(CONTROL!$C$12, $D$11, 100%, $F$11)</f>
        <v>25.311688799999999</v>
      </c>
      <c r="I846" s="8">
        <f>30.1572 * CHOOSE(CONTROL!$C$12, $D$11, 100%, $F$11)</f>
        <v>24.246388800000002</v>
      </c>
      <c r="J846" s="4">
        <f>30.0446 * CHOOSE(CONTROL!$C$12, $D$11, 100%, $F$11)</f>
        <v>24.1558584</v>
      </c>
      <c r="K846" s="4"/>
      <c r="L846" s="9">
        <v>24.747800000000002</v>
      </c>
      <c r="M846" s="9">
        <v>10.8962</v>
      </c>
      <c r="N846" s="9">
        <v>4.4660000000000002</v>
      </c>
      <c r="O846" s="9">
        <v>0.33829999999999999</v>
      </c>
      <c r="P846" s="9">
        <v>1.1687000000000001</v>
      </c>
      <c r="Q846" s="9">
        <v>17.782800000000002</v>
      </c>
      <c r="R846" s="9"/>
      <c r="S846" s="11"/>
    </row>
    <row r="847" spans="1:19" ht="15.75">
      <c r="A847" s="13">
        <v>67662</v>
      </c>
      <c r="B847" s="8">
        <f>30.6927 * CHOOSE(CONTROL!$C$12, $D$11, 100%, $F$11)</f>
        <v>24.676930800000001</v>
      </c>
      <c r="C847" s="8">
        <f>30.7031 * CHOOSE(CONTROL!$C$12, $D$11, 100%, $F$11)</f>
        <v>24.685292400000002</v>
      </c>
      <c r="D847" s="8">
        <f>30.683 * CHOOSE( CONTROL!$C$12, $D$11, 100%, $F$11)</f>
        <v>24.669132000000001</v>
      </c>
      <c r="E847" s="12">
        <f>30.6892 * CHOOSE( CONTROL!$C$12, $D$11, 100%, $F$11)</f>
        <v>24.6741168</v>
      </c>
      <c r="F847" s="4">
        <f>31.6916 * CHOOSE(CONTROL!$C$12, $D$11, 100%, $F$11)</f>
        <v>25.480046400000003</v>
      </c>
      <c r="G847" s="8">
        <f>29.9252 * CHOOSE( CONTROL!$C$12, $D$11, 100%, $F$11)</f>
        <v>24.059860800000003</v>
      </c>
      <c r="H847" s="4">
        <f>30.8158 * CHOOSE(CONTROL!$C$12, $D$11, 100%, $F$11)</f>
        <v>24.775903200000002</v>
      </c>
      <c r="I847" s="8">
        <f>29.4778 * CHOOSE(CONTROL!$C$12, $D$11, 100%, $F$11)</f>
        <v>23.700151200000001</v>
      </c>
      <c r="J847" s="4">
        <f>29.405 * CHOOSE(CONTROL!$C$12, $D$11, 100%, $F$11)</f>
        <v>23.641620000000003</v>
      </c>
      <c r="K847" s="4"/>
      <c r="L847" s="9">
        <v>27.3993</v>
      </c>
      <c r="M847" s="9">
        <v>12.063700000000001</v>
      </c>
      <c r="N847" s="9">
        <v>4.9444999999999997</v>
      </c>
      <c r="O847" s="9">
        <v>0.37459999999999999</v>
      </c>
      <c r="P847" s="9">
        <v>1.2939000000000001</v>
      </c>
      <c r="Q847" s="9">
        <v>19.688099999999999</v>
      </c>
      <c r="R847" s="9"/>
      <c r="S847" s="11"/>
    </row>
    <row r="848" spans="1:19" ht="15.75">
      <c r="A848" s="13">
        <v>67692</v>
      </c>
      <c r="B848" s="8">
        <f>31.1591 * CHOOSE(CONTROL!$C$12, $D$11, 100%, $F$11)</f>
        <v>25.0519164</v>
      </c>
      <c r="C848" s="8">
        <f>31.1695 * CHOOSE(CONTROL!$C$12, $D$11, 100%, $F$11)</f>
        <v>25.060278</v>
      </c>
      <c r="D848" s="8">
        <f>31.1727 * CHOOSE( CONTROL!$C$12, $D$11, 100%, $F$11)</f>
        <v>25.0628508</v>
      </c>
      <c r="E848" s="12">
        <f>31.1705 * CHOOSE( CONTROL!$C$12, $D$11, 100%, $F$11)</f>
        <v>25.061082000000003</v>
      </c>
      <c r="F848" s="4">
        <f>32.1664 * CHOOSE(CONTROL!$C$12, $D$11, 100%, $F$11)</f>
        <v>25.861785600000005</v>
      </c>
      <c r="G848" s="8">
        <f>30.3677 * CHOOSE( CONTROL!$C$12, $D$11, 100%, $F$11)</f>
        <v>24.415630800000002</v>
      </c>
      <c r="H848" s="4">
        <f>31.2786 * CHOOSE(CONTROL!$C$12, $D$11, 100%, $F$11)</f>
        <v>25.147994400000002</v>
      </c>
      <c r="I848" s="8">
        <f>29.9151 * CHOOSE(CONTROL!$C$12, $D$11, 100%, $F$11)</f>
        <v>24.0517404</v>
      </c>
      <c r="J848" s="4">
        <f>29.8519 * CHOOSE(CONTROL!$C$12, $D$11, 100%, $F$11)</f>
        <v>24.000927600000001</v>
      </c>
      <c r="K848" s="4"/>
      <c r="L848" s="9">
        <v>27.988800000000001</v>
      </c>
      <c r="M848" s="9">
        <v>11.6745</v>
      </c>
      <c r="N848" s="9">
        <v>4.7850000000000001</v>
      </c>
      <c r="O848" s="9">
        <v>0.36249999999999999</v>
      </c>
      <c r="P848" s="9">
        <v>1.1798</v>
      </c>
      <c r="Q848" s="9">
        <v>19.053000000000001</v>
      </c>
      <c r="R848" s="9"/>
      <c r="S848" s="11"/>
    </row>
    <row r="849" spans="1:19" ht="15.75">
      <c r="A849" s="13">
        <v>67723</v>
      </c>
      <c r="B849" s="8">
        <f>CHOOSE( CONTROL!$C$29, 31.9939, 31.9892) * CHOOSE(CONTROL!$C$12, $D$11, 100%, $F$11)</f>
        <v>25.723095600000001</v>
      </c>
      <c r="C849" s="8">
        <f>CHOOSE( CONTROL!$C$29, 32.0044, 31.9997) * CHOOSE(CONTROL!$C$12, $D$11, 100%, $F$11)</f>
        <v>25.731537599999999</v>
      </c>
      <c r="D849" s="8">
        <f>CHOOSE( CONTROL!$C$29, 31.9823, 31.9776) * CHOOSE( CONTROL!$C$12, $D$11, 100%, $F$11)</f>
        <v>25.713769200000002</v>
      </c>
      <c r="E849" s="12">
        <f>CHOOSE( CONTROL!$C$29, 31.9887, 31.984) * CHOOSE( CONTROL!$C$12, $D$11, 100%, $F$11)</f>
        <v>25.718914800000004</v>
      </c>
      <c r="F849" s="4">
        <f>CHOOSE( CONTROL!$C$29, 32.9688, 32.9641) * CHOOSE(CONTROL!$C$12, $D$11, 100%, $F$11)</f>
        <v>26.506915200000002</v>
      </c>
      <c r="G849" s="8">
        <f>CHOOSE( CONTROL!$C$29, 31.1628, 31.1582) * CHOOSE( CONTROL!$C$12, $D$11, 100%, $F$11)</f>
        <v>25.054891200000004</v>
      </c>
      <c r="H849" s="4">
        <f>CHOOSE( CONTROL!$C$29, 32.0608, 32.0562) * CHOOSE(CONTROL!$C$12, $D$11, 100%, $F$11)</f>
        <v>25.7768832</v>
      </c>
      <c r="I849" s="8">
        <f>CHOOSE( CONTROL!$C$29, 30.6939, 30.6893) * CHOOSE(CONTROL!$C$12, $D$11, 100%, $F$11)</f>
        <v>24.677895599999999</v>
      </c>
      <c r="J849" s="4">
        <f>CHOOSE( CONTROL!$C$29, 30.6518, 30.6473) * CHOOSE(CONTROL!$C$12, $D$11, 100%, $F$11)</f>
        <v>24.644047200000003</v>
      </c>
      <c r="K849" s="4"/>
      <c r="L849" s="9">
        <v>29.520499999999998</v>
      </c>
      <c r="M849" s="9">
        <v>12.063700000000001</v>
      </c>
      <c r="N849" s="9">
        <v>4.9444999999999997</v>
      </c>
      <c r="O849" s="9">
        <v>0.37459999999999999</v>
      </c>
      <c r="P849" s="9">
        <v>1.2192000000000001</v>
      </c>
      <c r="Q849" s="9">
        <v>19.688099999999999</v>
      </c>
      <c r="R849" s="9"/>
      <c r="S849" s="11"/>
    </row>
    <row r="850" spans="1:19" ht="15.75">
      <c r="A850" s="13">
        <v>67753</v>
      </c>
      <c r="B850" s="8">
        <f>CHOOSE( CONTROL!$C$29, 31.4797, 31.475) * CHOOSE(CONTROL!$C$12, $D$11, 100%, $F$11)</f>
        <v>25.309678800000004</v>
      </c>
      <c r="C850" s="8">
        <f>CHOOSE( CONTROL!$C$29, 31.4901, 31.4854) * CHOOSE(CONTROL!$C$12, $D$11, 100%, $F$11)</f>
        <v>25.318040400000005</v>
      </c>
      <c r="D850" s="8">
        <f>CHOOSE( CONTROL!$C$29, 31.4625, 31.4578) * CHOOSE( CONTROL!$C$12, $D$11, 100%, $F$11)</f>
        <v>25.295850000000002</v>
      </c>
      <c r="E850" s="12">
        <f>CHOOSE( CONTROL!$C$29, 31.4709, 31.4662) * CHOOSE( CONTROL!$C$12, $D$11, 100%, $F$11)</f>
        <v>25.302603600000001</v>
      </c>
      <c r="F850" s="4">
        <f>CHOOSE( CONTROL!$C$29, 32.4442, 32.4395) * CHOOSE(CONTROL!$C$12, $D$11, 100%, $F$11)</f>
        <v>26.085136800000004</v>
      </c>
      <c r="G850" s="8">
        <f>CHOOSE( CONTROL!$C$29, 30.6603, 30.6557) * CHOOSE( CONTROL!$C$12, $D$11, 100%, $F$11)</f>
        <v>24.650881200000001</v>
      </c>
      <c r="H850" s="4">
        <f>CHOOSE( CONTROL!$C$29, 31.5494, 31.5448) * CHOOSE(CONTROL!$C$12, $D$11, 100%, $F$11)</f>
        <v>25.3657176</v>
      </c>
      <c r="I850" s="8">
        <f>CHOOSE( CONTROL!$C$29, 30.203, 30.1985) * CHOOSE(CONTROL!$C$12, $D$11, 100%, $F$11)</f>
        <v>24.283212000000002</v>
      </c>
      <c r="J850" s="4">
        <f>CHOOSE( CONTROL!$C$29, 30.1591, 30.1546) * CHOOSE(CONTROL!$C$12, $D$11, 100%, $F$11)</f>
        <v>24.247916400000001</v>
      </c>
      <c r="K850" s="4"/>
      <c r="L850" s="9">
        <v>28.568200000000001</v>
      </c>
      <c r="M850" s="9">
        <v>11.6745</v>
      </c>
      <c r="N850" s="9">
        <v>4.7850000000000001</v>
      </c>
      <c r="O850" s="9">
        <v>0.36249999999999999</v>
      </c>
      <c r="P850" s="9">
        <v>1.1798</v>
      </c>
      <c r="Q850" s="9">
        <v>19.053000000000001</v>
      </c>
      <c r="R850" s="9"/>
      <c r="S850" s="11"/>
    </row>
    <row r="851" spans="1:19" ht="15.75">
      <c r="A851" s="13">
        <v>67784</v>
      </c>
      <c r="B851" s="8">
        <f>CHOOSE( CONTROL!$C$29, 32.8339, 32.8292) * CHOOSE(CONTROL!$C$12, $D$11, 100%, $F$11)</f>
        <v>26.398455600000002</v>
      </c>
      <c r="C851" s="8">
        <f>CHOOSE( CONTROL!$C$29, 32.8443, 32.8396) * CHOOSE(CONTROL!$C$12, $D$11, 100%, $F$11)</f>
        <v>26.406817199999999</v>
      </c>
      <c r="D851" s="8">
        <f>CHOOSE( CONTROL!$C$29, 32.8359, 32.8311) * CHOOSE( CONTROL!$C$12, $D$11, 100%, $F$11)</f>
        <v>26.400063600000003</v>
      </c>
      <c r="E851" s="12">
        <f>CHOOSE( CONTROL!$C$29, 32.8374, 32.8326) * CHOOSE( CONTROL!$C$12, $D$11, 100%, $F$11)</f>
        <v>26.401269600000003</v>
      </c>
      <c r="F851" s="4">
        <f>CHOOSE( CONTROL!$C$29, 33.8255, 33.8208) * CHOOSE(CONTROL!$C$12, $D$11, 100%, $F$11)</f>
        <v>27.195702000000001</v>
      </c>
      <c r="G851" s="8">
        <f>CHOOSE( CONTROL!$C$29, 31.993, 31.9884) * CHOOSE( CONTROL!$C$12, $D$11, 100%, $F$11)</f>
        <v>25.722372</v>
      </c>
      <c r="H851" s="4">
        <f>CHOOSE( CONTROL!$C$29, 32.8958, 32.8913) * CHOOSE(CONTROL!$C$12, $D$11, 100%, $F$11)</f>
        <v>26.448223200000001</v>
      </c>
      <c r="I851" s="8">
        <f>CHOOSE( CONTROL!$C$29, 31.524, 31.5195) * CHOOSE(CONTROL!$C$12, $D$11, 100%, $F$11)</f>
        <v>25.345296000000001</v>
      </c>
      <c r="J851" s="4">
        <f>CHOOSE( CONTROL!$C$29, 31.4567, 31.4521) * CHOOSE(CONTROL!$C$12, $D$11, 100%, $F$11)</f>
        <v>25.291186800000002</v>
      </c>
      <c r="K851" s="4"/>
      <c r="L851" s="9">
        <v>29.520499999999998</v>
      </c>
      <c r="M851" s="9">
        <v>12.063700000000001</v>
      </c>
      <c r="N851" s="9">
        <v>4.9444999999999997</v>
      </c>
      <c r="O851" s="9">
        <v>0.37459999999999999</v>
      </c>
      <c r="P851" s="9">
        <v>1.2192000000000001</v>
      </c>
      <c r="Q851" s="9">
        <v>19.688099999999999</v>
      </c>
      <c r="R851" s="9"/>
      <c r="S851" s="11"/>
    </row>
    <row r="852" spans="1:19" ht="15.75">
      <c r="A852" s="13">
        <v>67815</v>
      </c>
      <c r="B852" s="8">
        <f>CHOOSE( CONTROL!$C$29, 30.3001, 30.2954) * CHOOSE(CONTROL!$C$12, $D$11, 100%, $F$11)</f>
        <v>24.361280400000002</v>
      </c>
      <c r="C852" s="8">
        <f>CHOOSE( CONTROL!$C$29, 30.3105, 30.3058) * CHOOSE(CONTROL!$C$12, $D$11, 100%, $F$11)</f>
        <v>24.369642000000002</v>
      </c>
      <c r="D852" s="8">
        <f>CHOOSE( CONTROL!$C$29, 30.3054, 30.3007) * CHOOSE( CONTROL!$C$12, $D$11, 100%, $F$11)</f>
        <v>24.3655416</v>
      </c>
      <c r="E852" s="12">
        <f>CHOOSE( CONTROL!$C$29, 30.3057, 30.301) * CHOOSE( CONTROL!$C$12, $D$11, 100%, $F$11)</f>
        <v>24.365782800000002</v>
      </c>
      <c r="F852" s="4">
        <f>CHOOSE( CONTROL!$C$29, 31.2969, 31.2922) * CHOOSE(CONTROL!$C$12, $D$11, 100%, $F$11)</f>
        <v>25.162707600000001</v>
      </c>
      <c r="G852" s="8">
        <f>CHOOSE( CONTROL!$C$29, 29.5252, 29.5207) * CHOOSE( CONTROL!$C$12, $D$11, 100%, $F$11)</f>
        <v>23.738260800000003</v>
      </c>
      <c r="H852" s="4">
        <f>CHOOSE( CONTROL!$C$29, 30.4311, 30.4265) * CHOOSE(CONTROL!$C$12, $D$11, 100%, $F$11)</f>
        <v>24.466604400000001</v>
      </c>
      <c r="I852" s="8">
        <f>CHOOSE( CONTROL!$C$29, 29.0995, 29.095) * CHOOSE(CONTROL!$C$12, $D$11, 100%, $F$11)</f>
        <v>23.395998000000002</v>
      </c>
      <c r="J852" s="4">
        <f>CHOOSE( CONTROL!$C$29, 29.0288, 29.0243) * CHOOSE(CONTROL!$C$12, $D$11, 100%, $F$11)</f>
        <v>23.3391552</v>
      </c>
      <c r="K852" s="4"/>
      <c r="L852" s="9">
        <v>29.520499999999998</v>
      </c>
      <c r="M852" s="9">
        <v>12.063700000000001</v>
      </c>
      <c r="N852" s="9">
        <v>4.9444999999999997</v>
      </c>
      <c r="O852" s="9">
        <v>0.37459999999999999</v>
      </c>
      <c r="P852" s="9">
        <v>1.2192000000000001</v>
      </c>
      <c r="Q852" s="9">
        <v>19.688099999999999</v>
      </c>
      <c r="R852" s="9"/>
      <c r="S852" s="11"/>
    </row>
    <row r="853" spans="1:19" ht="15.75">
      <c r="A853" s="13">
        <v>67845</v>
      </c>
      <c r="B853" s="8">
        <f>CHOOSE( CONTROL!$C$29, 29.6656, 29.6609) * CHOOSE(CONTROL!$C$12, $D$11, 100%, $F$11)</f>
        <v>23.851142400000004</v>
      </c>
      <c r="C853" s="8">
        <f>CHOOSE( CONTROL!$C$29, 29.676, 29.6713) * CHOOSE(CONTROL!$C$12, $D$11, 100%, $F$11)</f>
        <v>23.859504000000001</v>
      </c>
      <c r="D853" s="8">
        <f>CHOOSE( CONTROL!$C$29, 29.6667, 29.662) * CHOOSE( CONTROL!$C$12, $D$11, 100%, $F$11)</f>
        <v>23.852026800000001</v>
      </c>
      <c r="E853" s="12">
        <f>CHOOSE( CONTROL!$C$29, 29.6685, 29.6638) * CHOOSE( CONTROL!$C$12, $D$11, 100%, $F$11)</f>
        <v>23.853474000000002</v>
      </c>
      <c r="F853" s="4">
        <f>CHOOSE( CONTROL!$C$29, 30.6546, 30.6499) * CHOOSE(CONTROL!$C$12, $D$11, 100%, $F$11)</f>
        <v>24.646298399999999</v>
      </c>
      <c r="G853" s="8">
        <f>CHOOSE( CONTROL!$C$29, 28.9055, 28.9009) * CHOOSE( CONTROL!$C$12, $D$11, 100%, $F$11)</f>
        <v>23.240022</v>
      </c>
      <c r="H853" s="4">
        <f>CHOOSE( CONTROL!$C$29, 29.805, 29.8004) * CHOOSE(CONTROL!$C$12, $D$11, 100%, $F$11)</f>
        <v>23.96322</v>
      </c>
      <c r="I853" s="8">
        <f>CHOOSE( CONTROL!$C$29, 28.4926, 28.4881) * CHOOSE(CONTROL!$C$12, $D$11, 100%, $F$11)</f>
        <v>22.9080504</v>
      </c>
      <c r="J853" s="4">
        <f>CHOOSE( CONTROL!$C$29, 28.4208, 28.4163) * CHOOSE(CONTROL!$C$12, $D$11, 100%, $F$11)</f>
        <v>22.850323200000002</v>
      </c>
      <c r="K853" s="4"/>
      <c r="L853" s="9">
        <v>28.568200000000001</v>
      </c>
      <c r="M853" s="9">
        <v>11.6745</v>
      </c>
      <c r="N853" s="9">
        <v>4.7850000000000001</v>
      </c>
      <c r="O853" s="9">
        <v>0.36249999999999999</v>
      </c>
      <c r="P853" s="9">
        <v>1.1798</v>
      </c>
      <c r="Q853" s="9">
        <v>19.053000000000001</v>
      </c>
      <c r="R853" s="9"/>
      <c r="S853" s="11"/>
    </row>
    <row r="854" spans="1:19" ht="15.75">
      <c r="A854" s="13">
        <v>67876</v>
      </c>
      <c r="B854" s="8">
        <f>30.9783 * CHOOSE(CONTROL!$C$12, $D$11, 100%, $F$11)</f>
        <v>24.906553200000001</v>
      </c>
      <c r="C854" s="8">
        <f>30.9887 * CHOOSE(CONTROL!$C$12, $D$11, 100%, $F$11)</f>
        <v>24.914914800000002</v>
      </c>
      <c r="D854" s="8">
        <f>30.9803 * CHOOSE( CONTROL!$C$12, $D$11, 100%, $F$11)</f>
        <v>24.908161200000002</v>
      </c>
      <c r="E854" s="12">
        <f>30.982 * CHOOSE( CONTROL!$C$12, $D$11, 100%, $F$11)</f>
        <v>24.909528000000002</v>
      </c>
      <c r="F854" s="4">
        <f>31.9673 * CHOOSE(CONTROL!$C$12, $D$11, 100%, $F$11)</f>
        <v>25.701709200000003</v>
      </c>
      <c r="G854" s="8">
        <f>30.1847 * CHOOSE( CONTROL!$C$12, $D$11, 100%, $F$11)</f>
        <v>24.2684988</v>
      </c>
      <c r="H854" s="4">
        <f>31.0846 * CHOOSE(CONTROL!$C$12, $D$11, 100%, $F$11)</f>
        <v>24.992018399999999</v>
      </c>
      <c r="I854" s="8">
        <f>29.7531 * CHOOSE(CONTROL!$C$12, $D$11, 100%, $F$11)</f>
        <v>23.921492400000002</v>
      </c>
      <c r="J854" s="4">
        <f>29.6787 * CHOOSE(CONTROL!$C$12, $D$11, 100%, $F$11)</f>
        <v>23.861674799999999</v>
      </c>
      <c r="K854" s="4"/>
      <c r="L854" s="9">
        <v>28.921800000000001</v>
      </c>
      <c r="M854" s="9">
        <v>12.063700000000001</v>
      </c>
      <c r="N854" s="9">
        <v>4.9444999999999997</v>
      </c>
      <c r="O854" s="9">
        <v>0.37459999999999999</v>
      </c>
      <c r="P854" s="9">
        <v>1.2192000000000001</v>
      </c>
      <c r="Q854" s="9">
        <v>19.688099999999999</v>
      </c>
      <c r="R854" s="9"/>
      <c r="S854" s="11"/>
    </row>
    <row r="855" spans="1:19" ht="15.75">
      <c r="A855" s="13">
        <v>67906</v>
      </c>
      <c r="B855" s="8">
        <f>33.41 * CHOOSE(CONTROL!$C$12, $D$11, 100%, $F$11)</f>
        <v>26.861639999999998</v>
      </c>
      <c r="C855" s="8">
        <f>33.4204 * CHOOSE(CONTROL!$C$12, $D$11, 100%, $F$11)</f>
        <v>26.870001600000002</v>
      </c>
      <c r="D855" s="8">
        <f>33.4007 * CHOOSE( CONTROL!$C$12, $D$11, 100%, $F$11)</f>
        <v>26.854162800000001</v>
      </c>
      <c r="E855" s="12">
        <f>33.4068 * CHOOSE( CONTROL!$C$12, $D$11, 100%, $F$11)</f>
        <v>26.859067199999998</v>
      </c>
      <c r="F855" s="4">
        <f>34.4016 * CHOOSE(CONTROL!$C$12, $D$11, 100%, $F$11)</f>
        <v>27.658886400000004</v>
      </c>
      <c r="G855" s="8">
        <f>32.5741 * CHOOSE( CONTROL!$C$12, $D$11, 100%, $F$11)</f>
        <v>26.189576400000004</v>
      </c>
      <c r="H855" s="4">
        <f>33.4574 * CHOOSE(CONTROL!$C$12, $D$11, 100%, $F$11)</f>
        <v>26.8997496</v>
      </c>
      <c r="I855" s="8">
        <f>32.1145 * CHOOSE(CONTROL!$C$12, $D$11, 100%, $F$11)</f>
        <v>25.820058</v>
      </c>
      <c r="J855" s="4">
        <f>32.0087 * CHOOSE(CONTROL!$C$12, $D$11, 100%, $F$11)</f>
        <v>25.734994799999999</v>
      </c>
      <c r="K855" s="4"/>
      <c r="L855" s="9">
        <v>26.515499999999999</v>
      </c>
      <c r="M855" s="9">
        <v>11.6745</v>
      </c>
      <c r="N855" s="9">
        <v>4.7850000000000001</v>
      </c>
      <c r="O855" s="9">
        <v>0.36249999999999999</v>
      </c>
      <c r="P855" s="9">
        <v>1.2522</v>
      </c>
      <c r="Q855" s="9">
        <v>19.053000000000001</v>
      </c>
      <c r="R855" s="9"/>
      <c r="S855" s="11"/>
    </row>
    <row r="856" spans="1:19" ht="15.75">
      <c r="A856" s="13">
        <v>67937</v>
      </c>
      <c r="B856" s="8">
        <f>33.3492 * CHOOSE(CONTROL!$C$12, $D$11, 100%, $F$11)</f>
        <v>26.812756800000002</v>
      </c>
      <c r="C856" s="8">
        <f>33.3597 * CHOOSE(CONTROL!$C$12, $D$11, 100%, $F$11)</f>
        <v>26.821198799999998</v>
      </c>
      <c r="D856" s="8">
        <f>33.3418 * CHOOSE( CONTROL!$C$12, $D$11, 100%, $F$11)</f>
        <v>26.806807200000002</v>
      </c>
      <c r="E856" s="12">
        <f>33.3472 * CHOOSE( CONTROL!$C$12, $D$11, 100%, $F$11)</f>
        <v>26.811148800000002</v>
      </c>
      <c r="F856" s="4">
        <f>34.3408 * CHOOSE(CONTROL!$C$12, $D$11, 100%, $F$11)</f>
        <v>27.610003200000001</v>
      </c>
      <c r="G856" s="8">
        <f>32.5163 * CHOOSE( CONTROL!$C$12, $D$11, 100%, $F$11)</f>
        <v>26.143105200000001</v>
      </c>
      <c r="H856" s="4">
        <f>33.3982 * CHOOSE(CONTROL!$C$12, $D$11, 100%, $F$11)</f>
        <v>26.852152800000002</v>
      </c>
      <c r="I856" s="8">
        <f>32.0631 * CHOOSE(CONTROL!$C$12, $D$11, 100%, $F$11)</f>
        <v>25.778732399999999</v>
      </c>
      <c r="J856" s="4">
        <f>31.9505 * CHOOSE(CONTROL!$C$12, $D$11, 100%, $F$11)</f>
        <v>25.688202000000004</v>
      </c>
      <c r="K856" s="4"/>
      <c r="L856" s="9">
        <v>27.3993</v>
      </c>
      <c r="M856" s="9">
        <v>12.063700000000001</v>
      </c>
      <c r="N856" s="9">
        <v>4.9444999999999997</v>
      </c>
      <c r="O856" s="9">
        <v>0.37459999999999999</v>
      </c>
      <c r="P856" s="9">
        <v>1.2939000000000001</v>
      </c>
      <c r="Q856" s="9">
        <v>19.688099999999999</v>
      </c>
      <c r="R856" s="9"/>
      <c r="S856" s="11"/>
    </row>
    <row r="857" spans="1:19" ht="15.75">
      <c r="A857" s="13">
        <v>67968</v>
      </c>
      <c r="B857" s="8">
        <f>34.6236 * CHOOSE(CONTROL!$C$12, $D$11, 100%, $F$11)</f>
        <v>27.837374400000005</v>
      </c>
      <c r="C857" s="8">
        <f>34.6341 * CHOOSE(CONTROL!$C$12, $D$11, 100%, $F$11)</f>
        <v>27.8458164</v>
      </c>
      <c r="D857" s="8">
        <f>34.6317 * CHOOSE( CONTROL!$C$12, $D$11, 100%, $F$11)</f>
        <v>27.843886800000003</v>
      </c>
      <c r="E857" s="12">
        <f>34.6315 * CHOOSE( CONTROL!$C$12, $D$11, 100%, $F$11)</f>
        <v>27.843726000000004</v>
      </c>
      <c r="F857" s="4">
        <f>35.6465 * CHOOSE(CONTROL!$C$12, $D$11, 100%, $F$11)</f>
        <v>28.659786000000004</v>
      </c>
      <c r="G857" s="8">
        <f>33.7776 * CHOOSE( CONTROL!$C$12, $D$11, 100%, $F$11)</f>
        <v>27.157190400000001</v>
      </c>
      <c r="H857" s="4">
        <f>34.671 * CHOOSE(CONTROL!$C$12, $D$11, 100%, $F$11)</f>
        <v>27.875484</v>
      </c>
      <c r="I857" s="8">
        <f>33.2968 * CHOOSE(CONTROL!$C$12, $D$11, 100%, $F$11)</f>
        <v>26.7706272</v>
      </c>
      <c r="J857" s="4">
        <f>33.1716 * CHOOSE(CONTROL!$C$12, $D$11, 100%, $F$11)</f>
        <v>26.6699664</v>
      </c>
      <c r="K857" s="4"/>
      <c r="L857" s="9">
        <v>27.3993</v>
      </c>
      <c r="M857" s="9">
        <v>12.063700000000001</v>
      </c>
      <c r="N857" s="9">
        <v>4.9444999999999997</v>
      </c>
      <c r="O857" s="9">
        <v>0.37459999999999999</v>
      </c>
      <c r="P857" s="9">
        <v>1.2939000000000001</v>
      </c>
      <c r="Q857" s="9">
        <v>19.688099999999999</v>
      </c>
      <c r="R857" s="9"/>
      <c r="S857" s="11"/>
    </row>
    <row r="858" spans="1:19" ht="15.75">
      <c r="A858" s="13">
        <v>67996</v>
      </c>
      <c r="B858" s="8">
        <f>32.3856 * CHOOSE(CONTROL!$C$12, $D$11, 100%, $F$11)</f>
        <v>26.038022399999999</v>
      </c>
      <c r="C858" s="8">
        <f>32.396 * CHOOSE(CONTROL!$C$12, $D$11, 100%, $F$11)</f>
        <v>26.046384000000003</v>
      </c>
      <c r="D858" s="8">
        <f>32.396 * CHOOSE( CONTROL!$C$12, $D$11, 100%, $F$11)</f>
        <v>26.046384000000003</v>
      </c>
      <c r="E858" s="12">
        <f>32.3949 * CHOOSE( CONTROL!$C$12, $D$11, 100%, $F$11)</f>
        <v>26.045499600000003</v>
      </c>
      <c r="F858" s="4">
        <f>33.4007 * CHOOSE(CONTROL!$C$12, $D$11, 100%, $F$11)</f>
        <v>26.854162800000001</v>
      </c>
      <c r="G858" s="8">
        <f>31.5959 * CHOOSE( CONTROL!$C$12, $D$11, 100%, $F$11)</f>
        <v>25.403103600000001</v>
      </c>
      <c r="H858" s="4">
        <f>32.4818 * CHOOSE(CONTROL!$C$12, $D$11, 100%, $F$11)</f>
        <v>26.115367200000001</v>
      </c>
      <c r="I858" s="8">
        <f>31.1403 * CHOOSE(CONTROL!$C$12, $D$11, 100%, $F$11)</f>
        <v>25.036801200000003</v>
      </c>
      <c r="J858" s="4">
        <f>31.0271 * CHOOSE(CONTROL!$C$12, $D$11, 100%, $F$11)</f>
        <v>24.945788400000001</v>
      </c>
      <c r="K858" s="4"/>
      <c r="L858" s="9">
        <v>24.747800000000002</v>
      </c>
      <c r="M858" s="9">
        <v>10.8962</v>
      </c>
      <c r="N858" s="9">
        <v>4.4660000000000002</v>
      </c>
      <c r="O858" s="9">
        <v>0.33829999999999999</v>
      </c>
      <c r="P858" s="9">
        <v>1.1687000000000001</v>
      </c>
      <c r="Q858" s="9">
        <v>17.782800000000002</v>
      </c>
      <c r="R858" s="9"/>
      <c r="S858" s="11"/>
    </row>
    <row r="859" spans="1:19" ht="15.75">
      <c r="A859" s="13">
        <v>68027</v>
      </c>
      <c r="B859" s="8">
        <f>31.6963 * CHOOSE(CONTROL!$C$12, $D$11, 100%, $F$11)</f>
        <v>25.483825200000002</v>
      </c>
      <c r="C859" s="8">
        <f>31.7067 * CHOOSE(CONTROL!$C$12, $D$11, 100%, $F$11)</f>
        <v>25.492186800000002</v>
      </c>
      <c r="D859" s="8">
        <f>31.6866 * CHOOSE( CONTROL!$C$12, $D$11, 100%, $F$11)</f>
        <v>25.476026400000002</v>
      </c>
      <c r="E859" s="12">
        <f>31.6928 * CHOOSE( CONTROL!$C$12, $D$11, 100%, $F$11)</f>
        <v>25.481011200000001</v>
      </c>
      <c r="F859" s="4">
        <f>32.6952 * CHOOSE(CONTROL!$C$12, $D$11, 100%, $F$11)</f>
        <v>26.2869408</v>
      </c>
      <c r="G859" s="8">
        <f>30.9035 * CHOOSE( CONTROL!$C$12, $D$11, 100%, $F$11)</f>
        <v>24.846414000000003</v>
      </c>
      <c r="H859" s="4">
        <f>31.7941 * CHOOSE(CONTROL!$C$12, $D$11, 100%, $F$11)</f>
        <v>25.562456400000002</v>
      </c>
      <c r="I859" s="8">
        <f>30.44 * CHOOSE(CONTROL!$C$12, $D$11, 100%, $F$11)</f>
        <v>24.473760000000002</v>
      </c>
      <c r="J859" s="4">
        <f>30.3666 * CHOOSE(CONTROL!$C$12, $D$11, 100%, $F$11)</f>
        <v>24.414746399999999</v>
      </c>
      <c r="K859" s="4"/>
      <c r="L859" s="9">
        <v>27.3993</v>
      </c>
      <c r="M859" s="9">
        <v>12.063700000000001</v>
      </c>
      <c r="N859" s="9">
        <v>4.9444999999999997</v>
      </c>
      <c r="O859" s="9">
        <v>0.37459999999999999</v>
      </c>
      <c r="P859" s="9">
        <v>1.2939000000000001</v>
      </c>
      <c r="Q859" s="9">
        <v>19.688099999999999</v>
      </c>
      <c r="R859" s="9"/>
      <c r="S859" s="11"/>
    </row>
    <row r="860" spans="1:19" ht="15.75">
      <c r="A860" s="13">
        <v>68057</v>
      </c>
      <c r="B860" s="8">
        <f>32.178 * CHOOSE(CONTROL!$C$12, $D$11, 100%, $F$11)</f>
        <v>25.871112</v>
      </c>
      <c r="C860" s="8">
        <f>32.1884 * CHOOSE(CONTROL!$C$12, $D$11, 100%, $F$11)</f>
        <v>25.879473600000004</v>
      </c>
      <c r="D860" s="8">
        <f>32.1916 * CHOOSE( CONTROL!$C$12, $D$11, 100%, $F$11)</f>
        <v>25.882046400000004</v>
      </c>
      <c r="E860" s="12">
        <f>32.1894 * CHOOSE( CONTROL!$C$12, $D$11, 100%, $F$11)</f>
        <v>25.880277599999999</v>
      </c>
      <c r="F860" s="4">
        <f>33.1852 * CHOOSE(CONTROL!$C$12, $D$11, 100%, $F$11)</f>
        <v>26.680900800000003</v>
      </c>
      <c r="G860" s="8">
        <f>31.3609 * CHOOSE( CONTROL!$C$12, $D$11, 100%, $F$11)</f>
        <v>25.214163600000003</v>
      </c>
      <c r="H860" s="4">
        <f>32.2717 * CHOOSE(CONTROL!$C$12, $D$11, 100%, $F$11)</f>
        <v>25.946446800000004</v>
      </c>
      <c r="I860" s="8">
        <f>30.8918 * CHOOSE(CONTROL!$C$12, $D$11, 100%, $F$11)</f>
        <v>24.837007200000002</v>
      </c>
      <c r="J860" s="4">
        <f>30.8282 * CHOOSE(CONTROL!$C$12, $D$11, 100%, $F$11)</f>
        <v>24.7858728</v>
      </c>
      <c r="K860" s="4"/>
      <c r="L860" s="9">
        <v>27.988800000000001</v>
      </c>
      <c r="M860" s="9">
        <v>11.6745</v>
      </c>
      <c r="N860" s="9">
        <v>4.7850000000000001</v>
      </c>
      <c r="O860" s="9">
        <v>0.36249999999999999</v>
      </c>
      <c r="P860" s="9">
        <v>1.1798</v>
      </c>
      <c r="Q860" s="9">
        <v>19.053000000000001</v>
      </c>
      <c r="R860" s="9"/>
      <c r="S860" s="11"/>
    </row>
    <row r="861" spans="1:19" ht="15.75">
      <c r="A861" s="13">
        <v>68088</v>
      </c>
      <c r="B861" s="8">
        <f>CHOOSE( CONTROL!$C$29, 33.0399, 33.0352) * CHOOSE(CONTROL!$C$12, $D$11, 100%, $F$11)</f>
        <v>26.564079600000003</v>
      </c>
      <c r="C861" s="8">
        <f>CHOOSE( CONTROL!$C$29, 33.0504, 33.0457) * CHOOSE(CONTROL!$C$12, $D$11, 100%, $F$11)</f>
        <v>26.572521600000005</v>
      </c>
      <c r="D861" s="8">
        <f>CHOOSE( CONTROL!$C$29, 33.0283, 33.0236) * CHOOSE( CONTROL!$C$12, $D$11, 100%, $F$11)</f>
        <v>26.554753200000004</v>
      </c>
      <c r="E861" s="12">
        <f>CHOOSE( CONTROL!$C$29, 33.0347, 33.03) * CHOOSE( CONTROL!$C$12, $D$11, 100%, $F$11)</f>
        <v>26.559898800000003</v>
      </c>
      <c r="F861" s="4">
        <f>CHOOSE( CONTROL!$C$29, 34.0148, 34.0101) * CHOOSE(CONTROL!$C$12, $D$11, 100%, $F$11)</f>
        <v>27.347899200000004</v>
      </c>
      <c r="G861" s="8">
        <f>CHOOSE( CONTROL!$C$29, 32.1824, 32.1778) * CHOOSE( CONTROL!$C$12, $D$11, 100%, $F$11)</f>
        <v>25.874649600000001</v>
      </c>
      <c r="H861" s="4">
        <f>CHOOSE( CONTROL!$C$29, 33.0804, 33.0759) * CHOOSE(CONTROL!$C$12, $D$11, 100%, $F$11)</f>
        <v>26.596641599999998</v>
      </c>
      <c r="I861" s="8">
        <f>CHOOSE( CONTROL!$C$29, 31.6966, 31.6921) * CHOOSE(CONTROL!$C$12, $D$11, 100%, $F$11)</f>
        <v>25.484066400000003</v>
      </c>
      <c r="J861" s="4">
        <f>CHOOSE( CONTROL!$C$29, 31.6541, 31.6496) * CHOOSE(CONTROL!$C$12, $D$11, 100%, $F$11)</f>
        <v>25.4498964</v>
      </c>
      <c r="K861" s="4"/>
      <c r="L861" s="9">
        <v>29.520499999999998</v>
      </c>
      <c r="M861" s="9">
        <v>12.063700000000001</v>
      </c>
      <c r="N861" s="9">
        <v>4.9444999999999997</v>
      </c>
      <c r="O861" s="9">
        <v>0.37459999999999999</v>
      </c>
      <c r="P861" s="9">
        <v>1.2192000000000001</v>
      </c>
      <c r="Q861" s="9">
        <v>19.688099999999999</v>
      </c>
      <c r="R861" s="9"/>
      <c r="S861" s="11"/>
    </row>
    <row r="862" spans="1:19" ht="15.75">
      <c r="A862" s="13">
        <v>68118</v>
      </c>
      <c r="B862" s="8">
        <f>CHOOSE( CONTROL!$C$29, 32.5089, 32.5042) * CHOOSE(CONTROL!$C$12, $D$11, 100%, $F$11)</f>
        <v>26.1371556</v>
      </c>
      <c r="C862" s="8">
        <f>CHOOSE( CONTROL!$C$29, 32.5193, 32.5146) * CHOOSE(CONTROL!$C$12, $D$11, 100%, $F$11)</f>
        <v>26.145517200000004</v>
      </c>
      <c r="D862" s="8">
        <f>CHOOSE( CONTROL!$C$29, 32.4917, 32.487) * CHOOSE( CONTROL!$C$12, $D$11, 100%, $F$11)</f>
        <v>26.123326800000005</v>
      </c>
      <c r="E862" s="12">
        <f>CHOOSE( CONTROL!$C$29, 32.5001, 32.4954) * CHOOSE( CONTROL!$C$12, $D$11, 100%, $F$11)</f>
        <v>26.130080400000004</v>
      </c>
      <c r="F862" s="4">
        <f>CHOOSE( CONTROL!$C$29, 33.4734, 33.4686) * CHOOSE(CONTROL!$C$12, $D$11, 100%, $F$11)</f>
        <v>26.9126136</v>
      </c>
      <c r="G862" s="8">
        <f>CHOOSE( CONTROL!$C$29, 31.6635, 31.6589) * CHOOSE( CONTROL!$C$12, $D$11, 100%, $F$11)</f>
        <v>25.457454000000002</v>
      </c>
      <c r="H862" s="4">
        <f>CHOOSE( CONTROL!$C$29, 32.5526, 32.548) * CHOOSE(CONTROL!$C$12, $D$11, 100%, $F$11)</f>
        <v>26.172290400000001</v>
      </c>
      <c r="I862" s="8">
        <f>CHOOSE( CONTROL!$C$29, 31.1897, 31.1852) * CHOOSE(CONTROL!$C$12, $D$11, 100%, $F$11)</f>
        <v>25.076518799999999</v>
      </c>
      <c r="J862" s="4">
        <f>CHOOSE( CONTROL!$C$29, 31.1453, 31.1408) * CHOOSE(CONTROL!$C$12, $D$11, 100%, $F$11)</f>
        <v>25.0408212</v>
      </c>
      <c r="K862" s="4"/>
      <c r="L862" s="9">
        <v>28.568200000000001</v>
      </c>
      <c r="M862" s="9">
        <v>11.6745</v>
      </c>
      <c r="N862" s="9">
        <v>4.7850000000000001</v>
      </c>
      <c r="O862" s="9">
        <v>0.36249999999999999</v>
      </c>
      <c r="P862" s="9">
        <v>1.1798</v>
      </c>
      <c r="Q862" s="9">
        <v>19.053000000000001</v>
      </c>
      <c r="R862" s="9"/>
      <c r="S862" s="11"/>
    </row>
    <row r="863" spans="1:19" ht="15.75">
      <c r="A863" s="13">
        <v>68149</v>
      </c>
      <c r="B863" s="8">
        <f>CHOOSE( CONTROL!$C$29, 33.9073, 33.9026) * CHOOSE(CONTROL!$C$12, $D$11, 100%, $F$11)</f>
        <v>27.261469200000001</v>
      </c>
      <c r="C863" s="8">
        <f>CHOOSE( CONTROL!$C$29, 33.9178, 33.9131) * CHOOSE(CONTROL!$C$12, $D$11, 100%, $F$11)</f>
        <v>27.269911200000003</v>
      </c>
      <c r="D863" s="8">
        <f>CHOOSE( CONTROL!$C$29, 33.9093, 33.9046) * CHOOSE( CONTROL!$C$12, $D$11, 100%, $F$11)</f>
        <v>27.263077200000001</v>
      </c>
      <c r="E863" s="12">
        <f>CHOOSE( CONTROL!$C$29, 33.9108, 33.9061) * CHOOSE( CONTROL!$C$12, $D$11, 100%, $F$11)</f>
        <v>27.264283200000005</v>
      </c>
      <c r="F863" s="4">
        <f>CHOOSE( CONTROL!$C$29, 34.8989, 34.8942) * CHOOSE(CONTROL!$C$12, $D$11, 100%, $F$11)</f>
        <v>28.058715599999999</v>
      </c>
      <c r="G863" s="8">
        <f>CHOOSE( CONTROL!$C$29, 33.0394, 33.0348) * CHOOSE( CONTROL!$C$12, $D$11, 100%, $F$11)</f>
        <v>26.563677600000002</v>
      </c>
      <c r="H863" s="4">
        <f>CHOOSE( CONTROL!$C$29, 33.9422, 33.9376) * CHOOSE(CONTROL!$C$12, $D$11, 100%, $F$11)</f>
        <v>27.289528800000003</v>
      </c>
      <c r="I863" s="8">
        <f>CHOOSE( CONTROL!$C$29, 32.5531, 32.5486) * CHOOSE(CONTROL!$C$12, $D$11, 100%, $F$11)</f>
        <v>26.172692400000003</v>
      </c>
      <c r="J863" s="4">
        <f>CHOOSE( CONTROL!$C$29, 32.4853, 32.4807) * CHOOSE(CONTROL!$C$12, $D$11, 100%, $F$11)</f>
        <v>26.118181200000002</v>
      </c>
      <c r="K863" s="4"/>
      <c r="L863" s="9">
        <v>29.520499999999998</v>
      </c>
      <c r="M863" s="9">
        <v>12.063700000000001</v>
      </c>
      <c r="N863" s="9">
        <v>4.9444999999999997</v>
      </c>
      <c r="O863" s="9">
        <v>0.37459999999999999</v>
      </c>
      <c r="P863" s="9">
        <v>1.2192000000000001</v>
      </c>
      <c r="Q863" s="9">
        <v>19.688099999999999</v>
      </c>
      <c r="R863" s="9"/>
      <c r="S863" s="11"/>
    </row>
    <row r="864" spans="1:19" ht="15.75">
      <c r="A864" s="13">
        <v>68180</v>
      </c>
      <c r="B864" s="8">
        <f>CHOOSE( CONTROL!$C$29, 31.2907, 31.286) * CHOOSE(CONTROL!$C$12, $D$11, 100%, $F$11)</f>
        <v>25.157722800000002</v>
      </c>
      <c r="C864" s="8">
        <f>CHOOSE( CONTROL!$C$29, 31.3011, 31.2964) * CHOOSE(CONTROL!$C$12, $D$11, 100%, $F$11)</f>
        <v>25.166084400000003</v>
      </c>
      <c r="D864" s="8">
        <f>CHOOSE( CONTROL!$C$29, 31.296, 31.2913) * CHOOSE( CONTROL!$C$12, $D$11, 100%, $F$11)</f>
        <v>25.161984</v>
      </c>
      <c r="E864" s="12">
        <f>CHOOSE( CONTROL!$C$29, 31.2963, 31.2916) * CHOOSE( CONTROL!$C$12, $D$11, 100%, $F$11)</f>
        <v>25.162225200000002</v>
      </c>
      <c r="F864" s="4">
        <f>CHOOSE( CONTROL!$C$29, 32.2875, 32.2828) * CHOOSE(CONTROL!$C$12, $D$11, 100%, $F$11)</f>
        <v>25.959150000000001</v>
      </c>
      <c r="G864" s="8">
        <f>CHOOSE( CONTROL!$C$29, 30.4909, 30.4863) * CHOOSE( CONTROL!$C$12, $D$11, 100%, $F$11)</f>
        <v>24.514683600000001</v>
      </c>
      <c r="H864" s="4">
        <f>CHOOSE( CONTROL!$C$29, 31.3967, 31.3921) * CHOOSE(CONTROL!$C$12, $D$11, 100%, $F$11)</f>
        <v>25.242946800000002</v>
      </c>
      <c r="I864" s="8">
        <f>CHOOSE( CONTROL!$C$29, 30.0492, 30.0447) * CHOOSE(CONTROL!$C$12, $D$11, 100%, $F$11)</f>
        <v>24.159556800000001</v>
      </c>
      <c r="J864" s="4">
        <f>CHOOSE( CONTROL!$C$29, 29.978, 29.9735) * CHOOSE(CONTROL!$C$12, $D$11, 100%, $F$11)</f>
        <v>24.102312000000001</v>
      </c>
      <c r="K864" s="4"/>
      <c r="L864" s="9">
        <v>29.520499999999998</v>
      </c>
      <c r="M864" s="9">
        <v>12.063700000000001</v>
      </c>
      <c r="N864" s="9">
        <v>4.9444999999999997</v>
      </c>
      <c r="O864" s="9">
        <v>0.37459999999999999</v>
      </c>
      <c r="P864" s="9">
        <v>1.2192000000000001</v>
      </c>
      <c r="Q864" s="9">
        <v>19.688099999999999</v>
      </c>
      <c r="R864" s="9"/>
      <c r="S864" s="11"/>
    </row>
    <row r="865" spans="1:19" ht="15.75">
      <c r="A865" s="13">
        <v>68210</v>
      </c>
      <c r="B865" s="8">
        <f>CHOOSE( CONTROL!$C$29, 30.6354, 30.6307) * CHOOSE(CONTROL!$C$12, $D$11, 100%, $F$11)</f>
        <v>24.630861600000003</v>
      </c>
      <c r="C865" s="8">
        <f>CHOOSE( CONTROL!$C$29, 30.6459, 30.6412) * CHOOSE(CONTROL!$C$12, $D$11, 100%, $F$11)</f>
        <v>24.639303600000002</v>
      </c>
      <c r="D865" s="8">
        <f>CHOOSE( CONTROL!$C$29, 30.6366, 30.6319) * CHOOSE( CONTROL!$C$12, $D$11, 100%, $F$11)</f>
        <v>24.631826400000001</v>
      </c>
      <c r="E865" s="12">
        <f>CHOOSE( CONTROL!$C$29, 30.6384, 30.6337) * CHOOSE( CONTROL!$C$12, $D$11, 100%, $F$11)</f>
        <v>24.633273600000003</v>
      </c>
      <c r="F865" s="4">
        <f>CHOOSE( CONTROL!$C$29, 31.6244, 31.6197) * CHOOSE(CONTROL!$C$12, $D$11, 100%, $F$11)</f>
        <v>25.426017600000002</v>
      </c>
      <c r="G865" s="8">
        <f>CHOOSE( CONTROL!$C$29, 29.8509, 29.8463) * CHOOSE( CONTROL!$C$12, $D$11, 100%, $F$11)</f>
        <v>24.000123600000002</v>
      </c>
      <c r="H865" s="4">
        <f>CHOOSE( CONTROL!$C$29, 30.7503, 30.7458) * CHOOSE(CONTROL!$C$12, $D$11, 100%, $F$11)</f>
        <v>24.7232412</v>
      </c>
      <c r="I865" s="8">
        <f>CHOOSE( CONTROL!$C$29, 29.4223, 29.4178) * CHOOSE(CONTROL!$C$12, $D$11, 100%, $F$11)</f>
        <v>23.6555292</v>
      </c>
      <c r="J865" s="4">
        <f>CHOOSE( CONTROL!$C$29, 29.3501, 29.3456) * CHOOSE(CONTROL!$C$12, $D$11, 100%, $F$11)</f>
        <v>23.597480400000002</v>
      </c>
      <c r="K865" s="4"/>
      <c r="L865" s="9">
        <v>28.568200000000001</v>
      </c>
      <c r="M865" s="9">
        <v>11.6745</v>
      </c>
      <c r="N865" s="9">
        <v>4.7850000000000001</v>
      </c>
      <c r="O865" s="9">
        <v>0.36249999999999999</v>
      </c>
      <c r="P865" s="9">
        <v>1.1798</v>
      </c>
      <c r="Q865" s="9">
        <v>19.053000000000001</v>
      </c>
      <c r="R865" s="9"/>
      <c r="S865" s="11"/>
    </row>
    <row r="866" spans="1:19" ht="15.75">
      <c r="A866" s="13">
        <v>68241</v>
      </c>
      <c r="B866" s="8">
        <f>31.9912 * CHOOSE(CONTROL!$C$12, $D$11, 100%, $F$11)</f>
        <v>25.720924800000002</v>
      </c>
      <c r="C866" s="8">
        <f>32.0017 * CHOOSE(CONTROL!$C$12, $D$11, 100%, $F$11)</f>
        <v>25.729366800000001</v>
      </c>
      <c r="D866" s="8">
        <f>31.9932 * CHOOSE( CONTROL!$C$12, $D$11, 100%, $F$11)</f>
        <v>25.722532800000003</v>
      </c>
      <c r="E866" s="12">
        <f>31.9949 * CHOOSE( CONTROL!$C$12, $D$11, 100%, $F$11)</f>
        <v>25.723899600000003</v>
      </c>
      <c r="F866" s="4">
        <f>32.9802 * CHOOSE(CONTROL!$C$12, $D$11, 100%, $F$11)</f>
        <v>26.516080800000005</v>
      </c>
      <c r="G866" s="8">
        <f>31.1721 * CHOOSE( CONTROL!$C$12, $D$11, 100%, $F$11)</f>
        <v>25.0623684</v>
      </c>
      <c r="H866" s="4">
        <f>32.0719 * CHOOSE(CONTROL!$C$12, $D$11, 100%, $F$11)</f>
        <v>25.785807600000002</v>
      </c>
      <c r="I866" s="8">
        <f>30.7242 * CHOOSE(CONTROL!$C$12, $D$11, 100%, $F$11)</f>
        <v>24.702256800000001</v>
      </c>
      <c r="J866" s="4">
        <f>30.6493 * CHOOSE(CONTROL!$C$12, $D$11, 100%, $F$11)</f>
        <v>24.642037200000001</v>
      </c>
      <c r="K866" s="4"/>
      <c r="L866" s="9">
        <v>28.921800000000001</v>
      </c>
      <c r="M866" s="9">
        <v>12.063700000000001</v>
      </c>
      <c r="N866" s="9">
        <v>4.9444999999999997</v>
      </c>
      <c r="O866" s="9">
        <v>0.37459999999999999</v>
      </c>
      <c r="P866" s="9">
        <v>1.2192000000000001</v>
      </c>
      <c r="Q866" s="9">
        <v>19.688099999999999</v>
      </c>
      <c r="R866" s="9"/>
      <c r="S866" s="11"/>
    </row>
    <row r="867" spans="1:19" ht="15.75">
      <c r="A867" s="13">
        <v>68271</v>
      </c>
      <c r="B867" s="8">
        <f>34.5025 * CHOOSE(CONTROL!$C$12, $D$11, 100%, $F$11)</f>
        <v>27.740009999999998</v>
      </c>
      <c r="C867" s="8">
        <f>34.5129 * CHOOSE(CONTROL!$C$12, $D$11, 100%, $F$11)</f>
        <v>27.748371600000002</v>
      </c>
      <c r="D867" s="8">
        <f>34.4932 * CHOOSE( CONTROL!$C$12, $D$11, 100%, $F$11)</f>
        <v>27.732532800000001</v>
      </c>
      <c r="E867" s="12">
        <f>34.4993 * CHOOSE( CONTROL!$C$12, $D$11, 100%, $F$11)</f>
        <v>27.737437199999999</v>
      </c>
      <c r="F867" s="4">
        <f>35.4941 * CHOOSE(CONTROL!$C$12, $D$11, 100%, $F$11)</f>
        <v>28.537256400000004</v>
      </c>
      <c r="G867" s="8">
        <f>33.639 * CHOOSE( CONTROL!$C$12, $D$11, 100%, $F$11)</f>
        <v>27.045756000000004</v>
      </c>
      <c r="H867" s="4">
        <f>34.5223 * CHOOSE(CONTROL!$C$12, $D$11, 100%, $F$11)</f>
        <v>27.755929200000004</v>
      </c>
      <c r="I867" s="8">
        <f>33.1618 * CHOOSE(CONTROL!$C$12, $D$11, 100%, $F$11)</f>
        <v>26.662087200000002</v>
      </c>
      <c r="J867" s="4">
        <f>33.0555 * CHOOSE(CONTROL!$C$12, $D$11, 100%, $F$11)</f>
        <v>26.576622000000004</v>
      </c>
      <c r="K867" s="4"/>
      <c r="L867" s="9">
        <v>26.515499999999999</v>
      </c>
      <c r="M867" s="9">
        <v>11.6745</v>
      </c>
      <c r="N867" s="9">
        <v>4.7850000000000001</v>
      </c>
      <c r="O867" s="9">
        <v>0.36249999999999999</v>
      </c>
      <c r="P867" s="9">
        <v>1.2522</v>
      </c>
      <c r="Q867" s="9">
        <v>19.053000000000001</v>
      </c>
      <c r="R867" s="9"/>
      <c r="S867" s="11"/>
    </row>
    <row r="868" spans="1:19" ht="15.75">
      <c r="A868" s="13">
        <v>68302</v>
      </c>
      <c r="B868" s="8">
        <f>34.4397 * CHOOSE(CONTROL!$C$12, $D$11, 100%, $F$11)</f>
        <v>27.689518800000002</v>
      </c>
      <c r="C868" s="8">
        <f>34.4502 * CHOOSE(CONTROL!$C$12, $D$11, 100%, $F$11)</f>
        <v>27.697960800000004</v>
      </c>
      <c r="D868" s="8">
        <f>34.4323 * CHOOSE( CONTROL!$C$12, $D$11, 100%, $F$11)</f>
        <v>27.683569200000001</v>
      </c>
      <c r="E868" s="12">
        <f>34.4377 * CHOOSE( CONTROL!$C$12, $D$11, 100%, $F$11)</f>
        <v>27.687910800000001</v>
      </c>
      <c r="F868" s="4">
        <f>35.4313 * CHOOSE(CONTROL!$C$12, $D$11, 100%, $F$11)</f>
        <v>28.486765200000001</v>
      </c>
      <c r="G868" s="8">
        <f>33.5793 * CHOOSE( CONTROL!$C$12, $D$11, 100%, $F$11)</f>
        <v>26.997757200000006</v>
      </c>
      <c r="H868" s="4">
        <f>34.4612 * CHOOSE(CONTROL!$C$12, $D$11, 100%, $F$11)</f>
        <v>27.7068048</v>
      </c>
      <c r="I868" s="8">
        <f>33.1085 * CHOOSE(CONTROL!$C$12, $D$11, 100%, $F$11)</f>
        <v>26.619234000000002</v>
      </c>
      <c r="J868" s="4">
        <f>32.9954 * CHOOSE(CONTROL!$C$12, $D$11, 100%, $F$11)</f>
        <v>26.528301599999999</v>
      </c>
      <c r="K868" s="4"/>
      <c r="L868" s="9">
        <v>27.3993</v>
      </c>
      <c r="M868" s="9">
        <v>12.063700000000001</v>
      </c>
      <c r="N868" s="9">
        <v>4.9444999999999997</v>
      </c>
      <c r="O868" s="9">
        <v>0.37459999999999999</v>
      </c>
      <c r="P868" s="9">
        <v>1.2939000000000001</v>
      </c>
      <c r="Q868" s="9">
        <v>19.688099999999999</v>
      </c>
      <c r="R868" s="9"/>
      <c r="S868" s="11"/>
    </row>
    <row r="869" spans="1:19" ht="15.75">
      <c r="A869" s="13">
        <v>68333</v>
      </c>
      <c r="B869" s="8">
        <f>35.7558 * CHOOSE(CONTROL!$C$12, $D$11, 100%, $F$11)</f>
        <v>28.747663200000002</v>
      </c>
      <c r="C869" s="8">
        <f>35.7662 * CHOOSE(CONTROL!$C$12, $D$11, 100%, $F$11)</f>
        <v>28.756024799999999</v>
      </c>
      <c r="D869" s="8">
        <f>35.7639 * CHOOSE( CONTROL!$C$12, $D$11, 100%, $F$11)</f>
        <v>28.7541756</v>
      </c>
      <c r="E869" s="12">
        <f>35.7636 * CHOOSE( CONTROL!$C$12, $D$11, 100%, $F$11)</f>
        <v>28.753934399999999</v>
      </c>
      <c r="F869" s="4">
        <f>36.7787 * CHOOSE(CONTROL!$C$12, $D$11, 100%, $F$11)</f>
        <v>29.570074800000004</v>
      </c>
      <c r="G869" s="8">
        <f>34.8812 * CHOOSE( CONTROL!$C$12, $D$11, 100%, $F$11)</f>
        <v>28.044484800000003</v>
      </c>
      <c r="H869" s="4">
        <f>35.7746 * CHOOSE(CONTROL!$C$12, $D$11, 100%, $F$11)</f>
        <v>28.762778400000002</v>
      </c>
      <c r="I869" s="8">
        <f>34.3822 * CHOOSE(CONTROL!$C$12, $D$11, 100%, $F$11)</f>
        <v>27.643288800000001</v>
      </c>
      <c r="J869" s="4">
        <f>34.2564 * CHOOSE(CONTROL!$C$12, $D$11, 100%, $F$11)</f>
        <v>27.542145600000001</v>
      </c>
      <c r="K869" s="4"/>
      <c r="L869" s="9">
        <v>27.3993</v>
      </c>
      <c r="M869" s="9">
        <v>12.063700000000001</v>
      </c>
      <c r="N869" s="9">
        <v>4.9444999999999997</v>
      </c>
      <c r="O869" s="9">
        <v>0.37459999999999999</v>
      </c>
      <c r="P869" s="9">
        <v>1.2939000000000001</v>
      </c>
      <c r="Q869" s="9">
        <v>19.688099999999999</v>
      </c>
      <c r="R869" s="9"/>
      <c r="S869" s="11"/>
    </row>
    <row r="870" spans="1:19" ht="15.75">
      <c r="A870" s="13">
        <v>68361</v>
      </c>
      <c r="B870" s="8">
        <f>33.4446 * CHOOSE(CONTROL!$C$12, $D$11, 100%, $F$11)</f>
        <v>26.889458400000002</v>
      </c>
      <c r="C870" s="8">
        <f>33.455 * CHOOSE(CONTROL!$C$12, $D$11, 100%, $F$11)</f>
        <v>26.897819999999999</v>
      </c>
      <c r="D870" s="8">
        <f>33.455 * CHOOSE( CONTROL!$C$12, $D$11, 100%, $F$11)</f>
        <v>26.897819999999999</v>
      </c>
      <c r="E870" s="12">
        <f>33.4539 * CHOOSE( CONTROL!$C$12, $D$11, 100%, $F$11)</f>
        <v>26.896935599999999</v>
      </c>
      <c r="F870" s="4">
        <f>34.4596 * CHOOSE(CONTROL!$C$12, $D$11, 100%, $F$11)</f>
        <v>27.705518400000003</v>
      </c>
      <c r="G870" s="8">
        <f>32.6281 * CHOOSE( CONTROL!$C$12, $D$11, 100%, $F$11)</f>
        <v>26.232992400000004</v>
      </c>
      <c r="H870" s="4">
        <f>33.514 * CHOOSE(CONTROL!$C$12, $D$11, 100%, $F$11)</f>
        <v>26.945256000000004</v>
      </c>
      <c r="I870" s="8">
        <f>32.1555 * CHOOSE(CONTROL!$C$12, $D$11, 100%, $F$11)</f>
        <v>25.853022000000003</v>
      </c>
      <c r="J870" s="4">
        <f>32.0418 * CHOOSE(CONTROL!$C$12, $D$11, 100%, $F$11)</f>
        <v>25.761607200000004</v>
      </c>
      <c r="K870" s="4"/>
      <c r="L870" s="9">
        <v>24.747800000000002</v>
      </c>
      <c r="M870" s="9">
        <v>10.8962</v>
      </c>
      <c r="N870" s="9">
        <v>4.4660000000000002</v>
      </c>
      <c r="O870" s="9">
        <v>0.33829999999999999</v>
      </c>
      <c r="P870" s="9">
        <v>1.1687000000000001</v>
      </c>
      <c r="Q870" s="9">
        <v>17.782800000000002</v>
      </c>
      <c r="R870" s="9"/>
      <c r="S870" s="11"/>
    </row>
    <row r="871" spans="1:19" ht="15.75">
      <c r="A871" s="13">
        <v>68392</v>
      </c>
      <c r="B871" s="8">
        <f>32.7327 * CHOOSE(CONTROL!$C$12, $D$11, 100%, $F$11)</f>
        <v>26.317090800000003</v>
      </c>
      <c r="C871" s="8">
        <f>32.7431 * CHOOSE(CONTROL!$C$12, $D$11, 100%, $F$11)</f>
        <v>26.3254524</v>
      </c>
      <c r="D871" s="8">
        <f>32.723 * CHOOSE( CONTROL!$C$12, $D$11, 100%, $F$11)</f>
        <v>26.309291999999999</v>
      </c>
      <c r="E871" s="12">
        <f>32.7292 * CHOOSE( CONTROL!$C$12, $D$11, 100%, $F$11)</f>
        <v>26.314276800000002</v>
      </c>
      <c r="F871" s="4">
        <f>33.7316 * CHOOSE(CONTROL!$C$12, $D$11, 100%, $F$11)</f>
        <v>27.120206400000001</v>
      </c>
      <c r="G871" s="8">
        <f>31.9138 * CHOOSE( CONTROL!$C$12, $D$11, 100%, $F$11)</f>
        <v>25.6586952</v>
      </c>
      <c r="H871" s="4">
        <f>32.8044 * CHOOSE(CONTROL!$C$12, $D$11, 100%, $F$11)</f>
        <v>26.374737600000003</v>
      </c>
      <c r="I871" s="8">
        <f>31.4336 * CHOOSE(CONTROL!$C$12, $D$11, 100%, $F$11)</f>
        <v>25.272614400000002</v>
      </c>
      <c r="J871" s="4">
        <f>31.3597 * CHOOSE(CONTROL!$C$12, $D$11, 100%, $F$11)</f>
        <v>25.213198800000001</v>
      </c>
      <c r="K871" s="4"/>
      <c r="L871" s="9">
        <v>27.3993</v>
      </c>
      <c r="M871" s="9">
        <v>12.063700000000001</v>
      </c>
      <c r="N871" s="9">
        <v>4.9444999999999997</v>
      </c>
      <c r="O871" s="9">
        <v>0.37459999999999999</v>
      </c>
      <c r="P871" s="9">
        <v>1.2939000000000001</v>
      </c>
      <c r="Q871" s="9">
        <v>19.688099999999999</v>
      </c>
      <c r="R871" s="9"/>
      <c r="S871" s="11"/>
    </row>
    <row r="872" spans="1:19" ht="15.75">
      <c r="A872" s="13">
        <v>68422</v>
      </c>
      <c r="B872" s="8">
        <f>33.2301 * CHOOSE(CONTROL!$C$12, $D$11, 100%, $F$11)</f>
        <v>26.717000400000003</v>
      </c>
      <c r="C872" s="8">
        <f>33.2406 * CHOOSE(CONTROL!$C$12, $D$11, 100%, $F$11)</f>
        <v>26.725442400000002</v>
      </c>
      <c r="D872" s="8">
        <f>33.2438 * CHOOSE( CONTROL!$C$12, $D$11, 100%, $F$11)</f>
        <v>26.728015200000002</v>
      </c>
      <c r="E872" s="12">
        <f>33.2415 * CHOOSE( CONTROL!$C$12, $D$11, 100%, $F$11)</f>
        <v>26.726166000000003</v>
      </c>
      <c r="F872" s="4">
        <f>34.2374 * CHOOSE(CONTROL!$C$12, $D$11, 100%, $F$11)</f>
        <v>27.526869600000001</v>
      </c>
      <c r="G872" s="8">
        <f>32.3865 * CHOOSE( CONTROL!$C$12, $D$11, 100%, $F$11)</f>
        <v>26.038746</v>
      </c>
      <c r="H872" s="4">
        <f>33.2974 * CHOOSE(CONTROL!$C$12, $D$11, 100%, $F$11)</f>
        <v>26.771109600000003</v>
      </c>
      <c r="I872" s="8">
        <f>31.9005 * CHOOSE(CONTROL!$C$12, $D$11, 100%, $F$11)</f>
        <v>25.648002000000002</v>
      </c>
      <c r="J872" s="4">
        <f>31.8364 * CHOOSE(CONTROL!$C$12, $D$11, 100%, $F$11)</f>
        <v>25.596465600000002</v>
      </c>
      <c r="K872" s="4"/>
      <c r="L872" s="9">
        <v>27.988800000000001</v>
      </c>
      <c r="M872" s="9">
        <v>11.6745</v>
      </c>
      <c r="N872" s="9">
        <v>4.7850000000000001</v>
      </c>
      <c r="O872" s="9">
        <v>0.36249999999999999</v>
      </c>
      <c r="P872" s="9">
        <v>1.1798</v>
      </c>
      <c r="Q872" s="9">
        <v>19.053000000000001</v>
      </c>
      <c r="R872" s="9"/>
      <c r="S872" s="11"/>
    </row>
    <row r="873" spans="1:19" ht="15.75">
      <c r="A873" s="13">
        <v>68453</v>
      </c>
      <c r="B873" s="8">
        <f>CHOOSE( CONTROL!$C$29, 34.1201, 34.1154) * CHOOSE(CONTROL!$C$12, $D$11, 100%, $F$11)</f>
        <v>27.432560400000003</v>
      </c>
      <c r="C873" s="8">
        <f>CHOOSE( CONTROL!$C$29, 34.1306, 34.1259) * CHOOSE(CONTROL!$C$12, $D$11, 100%, $F$11)</f>
        <v>27.441002400000002</v>
      </c>
      <c r="D873" s="8">
        <f>CHOOSE( CONTROL!$C$29, 34.1085, 34.1038) * CHOOSE( CONTROL!$C$12, $D$11, 100%, $F$11)</f>
        <v>27.423234000000001</v>
      </c>
      <c r="E873" s="12">
        <f>CHOOSE( CONTROL!$C$29, 34.1149, 34.1102) * CHOOSE( CONTROL!$C$12, $D$11, 100%, $F$11)</f>
        <v>27.4283796</v>
      </c>
      <c r="F873" s="4">
        <f>CHOOSE( CONTROL!$C$29, 35.095, 35.0903) * CHOOSE(CONTROL!$C$12, $D$11, 100%, $F$11)</f>
        <v>28.216380000000001</v>
      </c>
      <c r="G873" s="8">
        <f>CHOOSE( CONTROL!$C$29, 33.2354, 33.2308) * CHOOSE( CONTROL!$C$12, $D$11, 100%, $F$11)</f>
        <v>26.721261600000002</v>
      </c>
      <c r="H873" s="4">
        <f>CHOOSE( CONTROL!$C$29, 34.1334, 34.1288) * CHOOSE(CONTROL!$C$12, $D$11, 100%, $F$11)</f>
        <v>27.443253600000002</v>
      </c>
      <c r="I873" s="8">
        <f>CHOOSE( CONTROL!$C$29, 32.7322, 32.7277) * CHOOSE(CONTROL!$C$12, $D$11, 100%, $F$11)</f>
        <v>26.316688800000001</v>
      </c>
      <c r="J873" s="4">
        <f>CHOOSE( CONTROL!$C$29, 32.6892, 32.6847) * CHOOSE(CONTROL!$C$12, $D$11, 100%, $F$11)</f>
        <v>26.282116800000001</v>
      </c>
      <c r="K873" s="4"/>
      <c r="L873" s="9">
        <v>29.520499999999998</v>
      </c>
      <c r="M873" s="9">
        <v>12.063700000000001</v>
      </c>
      <c r="N873" s="9">
        <v>4.9444999999999997</v>
      </c>
      <c r="O873" s="9">
        <v>0.37459999999999999</v>
      </c>
      <c r="P873" s="9">
        <v>1.2192000000000001</v>
      </c>
      <c r="Q873" s="9">
        <v>19.688099999999999</v>
      </c>
      <c r="R873" s="9"/>
      <c r="S873" s="11"/>
    </row>
    <row r="874" spans="1:19" ht="15.75">
      <c r="A874" s="13">
        <v>68483</v>
      </c>
      <c r="B874" s="8">
        <f>CHOOSE( CONTROL!$C$29, 33.5717, 33.567) * CHOOSE(CONTROL!$C$12, $D$11, 100%, $F$11)</f>
        <v>26.991646800000002</v>
      </c>
      <c r="C874" s="8">
        <f>CHOOSE( CONTROL!$C$29, 33.5822, 33.5775) * CHOOSE(CONTROL!$C$12, $D$11, 100%, $F$11)</f>
        <v>27.0000888</v>
      </c>
      <c r="D874" s="8">
        <f>CHOOSE( CONTROL!$C$29, 33.5545, 33.5498) * CHOOSE( CONTROL!$C$12, $D$11, 100%, $F$11)</f>
        <v>26.977817999999999</v>
      </c>
      <c r="E874" s="12">
        <f>CHOOSE( CONTROL!$C$29, 33.5629, 33.5582) * CHOOSE( CONTROL!$C$12, $D$11, 100%, $F$11)</f>
        <v>26.984571600000002</v>
      </c>
      <c r="F874" s="4">
        <f>CHOOSE( CONTROL!$C$29, 34.5362, 34.5315) * CHOOSE(CONTROL!$C$12, $D$11, 100%, $F$11)</f>
        <v>27.767104800000002</v>
      </c>
      <c r="G874" s="8">
        <f>CHOOSE( CONTROL!$C$29, 32.6995, 32.695) * CHOOSE( CONTROL!$C$12, $D$11, 100%, $F$11)</f>
        <v>26.290398000000003</v>
      </c>
      <c r="H874" s="4">
        <f>CHOOSE( CONTROL!$C$29, 33.5886, 33.5841) * CHOOSE(CONTROL!$C$12, $D$11, 100%, $F$11)</f>
        <v>27.005234400000003</v>
      </c>
      <c r="I874" s="8">
        <f>CHOOSE( CONTROL!$C$29, 32.2086, 32.2041) * CHOOSE(CONTROL!$C$12, $D$11, 100%, $F$11)</f>
        <v>25.895714399999999</v>
      </c>
      <c r="J874" s="4">
        <f>CHOOSE( CONTROL!$C$29, 32.1637, 32.1592) * CHOOSE(CONTROL!$C$12, $D$11, 100%, $F$11)</f>
        <v>25.859614799999999</v>
      </c>
      <c r="K874" s="4"/>
      <c r="L874" s="9">
        <v>28.568200000000001</v>
      </c>
      <c r="M874" s="9">
        <v>11.6745</v>
      </c>
      <c r="N874" s="9">
        <v>4.7850000000000001</v>
      </c>
      <c r="O874" s="9">
        <v>0.36249999999999999</v>
      </c>
      <c r="P874" s="9">
        <v>1.1798</v>
      </c>
      <c r="Q874" s="9">
        <v>19.053000000000001</v>
      </c>
      <c r="R874" s="9"/>
      <c r="S874" s="11"/>
    </row>
    <row r="875" spans="1:19" ht="15.75">
      <c r="A875" s="13">
        <v>68514</v>
      </c>
      <c r="B875" s="8">
        <f>CHOOSE( CONTROL!$C$29, 35.0159, 35.0112) * CHOOSE(CONTROL!$C$12, $D$11, 100%, $F$11)</f>
        <v>28.152783600000003</v>
      </c>
      <c r="C875" s="8">
        <f>CHOOSE( CONTROL!$C$29, 35.0264, 35.0217) * CHOOSE(CONTROL!$C$12, $D$11, 100%, $F$11)</f>
        <v>28.161225600000005</v>
      </c>
      <c r="D875" s="8">
        <f>CHOOSE( CONTROL!$C$29, 35.0179, 35.0132) * CHOOSE( CONTROL!$C$12, $D$11, 100%, $F$11)</f>
        <v>28.1543916</v>
      </c>
      <c r="E875" s="12">
        <f>CHOOSE( CONTROL!$C$29, 35.0194, 35.0147) * CHOOSE( CONTROL!$C$12, $D$11, 100%, $F$11)</f>
        <v>28.1555976</v>
      </c>
      <c r="F875" s="4">
        <f>CHOOSE( CONTROL!$C$29, 36.0075, 36.0028) * CHOOSE(CONTROL!$C$12, $D$11, 100%, $F$11)</f>
        <v>28.950030000000002</v>
      </c>
      <c r="G875" s="8">
        <f>CHOOSE( CONTROL!$C$29, 34.12, 34.1154) * CHOOSE( CONTROL!$C$12, $D$11, 100%, $F$11)</f>
        <v>27.432479999999998</v>
      </c>
      <c r="H875" s="4">
        <f>CHOOSE( CONTROL!$C$29, 35.0228, 35.0183) * CHOOSE(CONTROL!$C$12, $D$11, 100%, $F$11)</f>
        <v>28.158331199999999</v>
      </c>
      <c r="I875" s="8">
        <f>CHOOSE( CONTROL!$C$29, 33.6159, 33.6114) * CHOOSE(CONTROL!$C$12, $D$11, 100%, $F$11)</f>
        <v>27.027183600000004</v>
      </c>
      <c r="J875" s="4">
        <f>CHOOSE( CONTROL!$C$29, 33.5475, 33.543) * CHOOSE(CONTROL!$C$12, $D$11, 100%, $F$11)</f>
        <v>26.972190000000001</v>
      </c>
      <c r="K875" s="4"/>
      <c r="L875" s="9">
        <v>29.520499999999998</v>
      </c>
      <c r="M875" s="9">
        <v>12.063700000000001</v>
      </c>
      <c r="N875" s="9">
        <v>4.9444999999999997</v>
      </c>
      <c r="O875" s="9">
        <v>0.37459999999999999</v>
      </c>
      <c r="P875" s="9">
        <v>1.2192000000000001</v>
      </c>
      <c r="Q875" s="9">
        <v>19.688099999999999</v>
      </c>
      <c r="R875" s="9"/>
      <c r="S875" s="11"/>
    </row>
    <row r="876" spans="1:19" ht="15.75">
      <c r="A876" s="13">
        <v>68545</v>
      </c>
      <c r="B876" s="8">
        <f>CHOOSE( CONTROL!$C$29, 32.3137, 32.309) * CHOOSE(CONTROL!$C$12, $D$11, 100%, $F$11)</f>
        <v>25.980214799999999</v>
      </c>
      <c r="C876" s="8">
        <f>CHOOSE( CONTROL!$C$29, 32.3241, 32.3194) * CHOOSE(CONTROL!$C$12, $D$11, 100%, $F$11)</f>
        <v>25.988576400000003</v>
      </c>
      <c r="D876" s="8">
        <f>CHOOSE( CONTROL!$C$29, 32.319, 32.3143) * CHOOSE( CONTROL!$C$12, $D$11, 100%, $F$11)</f>
        <v>25.984476000000004</v>
      </c>
      <c r="E876" s="12">
        <f>CHOOSE( CONTROL!$C$29, 32.3193, 32.3146) * CHOOSE( CONTROL!$C$12, $D$11, 100%, $F$11)</f>
        <v>25.984717199999999</v>
      </c>
      <c r="F876" s="4">
        <f>CHOOSE( CONTROL!$C$29, 33.3105, 33.3058) * CHOOSE(CONTROL!$C$12, $D$11, 100%, $F$11)</f>
        <v>26.781641999999998</v>
      </c>
      <c r="G876" s="8">
        <f>CHOOSE( CONTROL!$C$29, 31.4881, 31.4835) * CHOOSE( CONTROL!$C$12, $D$11, 100%, $F$11)</f>
        <v>25.3164324</v>
      </c>
      <c r="H876" s="4">
        <f>CHOOSE( CONTROL!$C$29, 32.3939, 32.3893) * CHOOSE(CONTROL!$C$12, $D$11, 100%, $F$11)</f>
        <v>26.044695600000004</v>
      </c>
      <c r="I876" s="8">
        <f>CHOOSE( CONTROL!$C$29, 31.0299, 31.0254) * CHOOSE(CONTROL!$C$12, $D$11, 100%, $F$11)</f>
        <v>24.948039600000001</v>
      </c>
      <c r="J876" s="4">
        <f>CHOOSE( CONTROL!$C$29, 30.9582, 30.9537) * CHOOSE(CONTROL!$C$12, $D$11, 100%, $F$11)</f>
        <v>24.890392800000004</v>
      </c>
      <c r="K876" s="4"/>
      <c r="L876" s="9">
        <v>29.520499999999998</v>
      </c>
      <c r="M876" s="9">
        <v>12.063700000000001</v>
      </c>
      <c r="N876" s="9">
        <v>4.9444999999999997</v>
      </c>
      <c r="O876" s="9">
        <v>0.37459999999999999</v>
      </c>
      <c r="P876" s="9">
        <v>1.2192000000000001</v>
      </c>
      <c r="Q876" s="9">
        <v>19.688099999999999</v>
      </c>
      <c r="R876" s="9"/>
      <c r="S876" s="11"/>
    </row>
    <row r="877" spans="1:19" ht="15.75">
      <c r="A877" s="13">
        <v>68575</v>
      </c>
      <c r="B877" s="8">
        <f>CHOOSE( CONTROL!$C$29, 31.637, 31.6323) * CHOOSE(CONTROL!$C$12, $D$11, 100%, $F$11)</f>
        <v>25.436148000000003</v>
      </c>
      <c r="C877" s="8">
        <f>CHOOSE( CONTROL!$C$29, 31.6475, 31.6428) * CHOOSE(CONTROL!$C$12, $D$11, 100%, $F$11)</f>
        <v>25.444590000000002</v>
      </c>
      <c r="D877" s="8">
        <f>CHOOSE( CONTROL!$C$29, 31.6381, 31.6334) * CHOOSE( CONTROL!$C$12, $D$11, 100%, $F$11)</f>
        <v>25.437032400000003</v>
      </c>
      <c r="E877" s="12">
        <f>CHOOSE( CONTROL!$C$29, 31.6399, 31.6352) * CHOOSE( CONTROL!$C$12, $D$11, 100%, $F$11)</f>
        <v>25.438479600000001</v>
      </c>
      <c r="F877" s="4">
        <f>CHOOSE( CONTROL!$C$29, 32.626, 32.6213) * CHOOSE(CONTROL!$C$12, $D$11, 100%, $F$11)</f>
        <v>26.231303999999998</v>
      </c>
      <c r="G877" s="8">
        <f>CHOOSE( CONTROL!$C$29, 30.8272, 30.8226) * CHOOSE( CONTROL!$C$12, $D$11, 100%, $F$11)</f>
        <v>24.785068800000001</v>
      </c>
      <c r="H877" s="4">
        <f>CHOOSE( CONTROL!$C$29, 31.7267, 31.7221) * CHOOSE(CONTROL!$C$12, $D$11, 100%, $F$11)</f>
        <v>25.508266800000001</v>
      </c>
      <c r="I877" s="8">
        <f>CHOOSE( CONTROL!$C$29, 30.3825, 30.378) * CHOOSE(CONTROL!$C$12, $D$11, 100%, $F$11)</f>
        <v>24.427530000000001</v>
      </c>
      <c r="J877" s="4">
        <f>CHOOSE( CONTROL!$C$29, 30.3098, 30.3053) * CHOOSE(CONTROL!$C$12, $D$11, 100%, $F$11)</f>
        <v>24.369079200000002</v>
      </c>
      <c r="K877" s="4"/>
      <c r="L877" s="9">
        <v>28.568200000000001</v>
      </c>
      <c r="M877" s="9">
        <v>11.6745</v>
      </c>
      <c r="N877" s="9">
        <v>4.7850000000000001</v>
      </c>
      <c r="O877" s="9">
        <v>0.36249999999999999</v>
      </c>
      <c r="P877" s="9">
        <v>1.1798</v>
      </c>
      <c r="Q877" s="9">
        <v>19.053000000000001</v>
      </c>
      <c r="R877" s="9"/>
      <c r="S877" s="11"/>
    </row>
    <row r="878" spans="1:19" ht="15.75">
      <c r="A878" s="13">
        <v>68606</v>
      </c>
      <c r="B878" s="8">
        <f>33.0373 * CHOOSE(CONTROL!$C$12, $D$11, 100%, $F$11)</f>
        <v>26.561989200000003</v>
      </c>
      <c r="C878" s="8">
        <f>33.0478 * CHOOSE(CONTROL!$C$12, $D$11, 100%, $F$11)</f>
        <v>26.570431200000005</v>
      </c>
      <c r="D878" s="8">
        <f>33.0393 * CHOOSE( CONTROL!$C$12, $D$11, 100%, $F$11)</f>
        <v>26.5635972</v>
      </c>
      <c r="E878" s="12">
        <f>33.041 * CHOOSE( CONTROL!$C$12, $D$11, 100%, $F$11)</f>
        <v>26.564964</v>
      </c>
      <c r="F878" s="4">
        <f>34.0263 * CHOOSE(CONTROL!$C$12, $D$11, 100%, $F$11)</f>
        <v>27.357145200000001</v>
      </c>
      <c r="G878" s="8">
        <f>32.1918 * CHOOSE( CONTROL!$C$12, $D$11, 100%, $F$11)</f>
        <v>25.882207200000003</v>
      </c>
      <c r="H878" s="4">
        <f>33.0916 * CHOOSE(CONTROL!$C$12, $D$11, 100%, $F$11)</f>
        <v>26.605646400000001</v>
      </c>
      <c r="I878" s="8">
        <f>31.727 * CHOOSE(CONTROL!$C$12, $D$11, 100%, $F$11)</f>
        <v>25.508508000000003</v>
      </c>
      <c r="J878" s="4">
        <f>31.6516 * CHOOSE(CONTROL!$C$12, $D$11, 100%, $F$11)</f>
        <v>25.447886400000002</v>
      </c>
      <c r="K878" s="4"/>
      <c r="L878" s="9">
        <v>28.921800000000001</v>
      </c>
      <c r="M878" s="9">
        <v>12.063700000000001</v>
      </c>
      <c r="N878" s="9">
        <v>4.9444999999999997</v>
      </c>
      <c r="O878" s="9">
        <v>0.37459999999999999</v>
      </c>
      <c r="P878" s="9">
        <v>1.2192000000000001</v>
      </c>
      <c r="Q878" s="9">
        <v>19.688099999999999</v>
      </c>
      <c r="R878" s="9"/>
      <c r="S878" s="11"/>
    </row>
    <row r="879" spans="1:19" ht="15.75">
      <c r="A879" s="13">
        <v>68636</v>
      </c>
      <c r="B879" s="8">
        <f>35.6307 * CHOOSE(CONTROL!$C$12, $D$11, 100%, $F$11)</f>
        <v>28.6470828</v>
      </c>
      <c r="C879" s="8">
        <f>35.6411 * CHOOSE(CONTROL!$C$12, $D$11, 100%, $F$11)</f>
        <v>28.655444400000004</v>
      </c>
      <c r="D879" s="8">
        <f>35.6214 * CHOOSE( CONTROL!$C$12, $D$11, 100%, $F$11)</f>
        <v>28.639605600000003</v>
      </c>
      <c r="E879" s="12">
        <f>35.6275 * CHOOSE( CONTROL!$C$12, $D$11, 100%, $F$11)</f>
        <v>28.64451</v>
      </c>
      <c r="F879" s="4">
        <f>36.6223 * CHOOSE(CONTROL!$C$12, $D$11, 100%, $F$11)</f>
        <v>29.444329200000006</v>
      </c>
      <c r="G879" s="8">
        <f>34.7387 * CHOOSE( CONTROL!$C$12, $D$11, 100%, $F$11)</f>
        <v>27.929914800000002</v>
      </c>
      <c r="H879" s="4">
        <f>35.6221 * CHOOSE(CONTROL!$C$12, $D$11, 100%, $F$11)</f>
        <v>28.640168400000004</v>
      </c>
      <c r="I879" s="8">
        <f>34.2434 * CHOOSE(CONTROL!$C$12, $D$11, 100%, $F$11)</f>
        <v>27.531693600000004</v>
      </c>
      <c r="J879" s="4">
        <f>34.1365 * CHOOSE(CONTROL!$C$12, $D$11, 100%, $F$11)</f>
        <v>27.445746</v>
      </c>
      <c r="K879" s="4"/>
      <c r="L879" s="9">
        <v>26.515499999999999</v>
      </c>
      <c r="M879" s="9">
        <v>11.6745</v>
      </c>
      <c r="N879" s="9">
        <v>4.7850000000000001</v>
      </c>
      <c r="O879" s="9">
        <v>0.36249999999999999</v>
      </c>
      <c r="P879" s="9">
        <v>1.2522</v>
      </c>
      <c r="Q879" s="9">
        <v>19.053000000000001</v>
      </c>
      <c r="R879" s="9"/>
      <c r="S879" s="11"/>
    </row>
    <row r="880" spans="1:19" ht="15.75">
      <c r="A880" s="13">
        <v>68667</v>
      </c>
      <c r="B880" s="8">
        <f>35.5659 * CHOOSE(CONTROL!$C$12, $D$11, 100%, $F$11)</f>
        <v>28.594983600000003</v>
      </c>
      <c r="C880" s="8">
        <f>35.5763 * CHOOSE(CONTROL!$C$12, $D$11, 100%, $F$11)</f>
        <v>28.603345200000003</v>
      </c>
      <c r="D880" s="8">
        <f>35.5585 * CHOOSE( CONTROL!$C$12, $D$11, 100%, $F$11)</f>
        <v>28.589034000000005</v>
      </c>
      <c r="E880" s="12">
        <f>35.5639 * CHOOSE( CONTROL!$C$12, $D$11, 100%, $F$11)</f>
        <v>28.593375599999998</v>
      </c>
      <c r="F880" s="4">
        <f>36.5575 * CHOOSE(CONTROL!$C$12, $D$11, 100%, $F$11)</f>
        <v>29.392230000000001</v>
      </c>
      <c r="G880" s="8">
        <f>34.677 * CHOOSE( CONTROL!$C$12, $D$11, 100%, $F$11)</f>
        <v>27.880308000000003</v>
      </c>
      <c r="H880" s="4">
        <f>35.5589 * CHOOSE(CONTROL!$C$12, $D$11, 100%, $F$11)</f>
        <v>28.589355600000001</v>
      </c>
      <c r="I880" s="8">
        <f>34.1881 * CHOOSE(CONTROL!$C$12, $D$11, 100%, $F$11)</f>
        <v>27.4872324</v>
      </c>
      <c r="J880" s="4">
        <f>34.0745 * CHOOSE(CONTROL!$C$12, $D$11, 100%, $F$11)</f>
        <v>27.395898000000003</v>
      </c>
      <c r="K880" s="4"/>
      <c r="L880" s="9">
        <v>27.3993</v>
      </c>
      <c r="M880" s="9">
        <v>12.063700000000001</v>
      </c>
      <c r="N880" s="9">
        <v>4.9444999999999997</v>
      </c>
      <c r="O880" s="9">
        <v>0.37459999999999999</v>
      </c>
      <c r="P880" s="9">
        <v>1.2939000000000001</v>
      </c>
      <c r="Q880" s="9">
        <v>19.688099999999999</v>
      </c>
      <c r="R880" s="9"/>
      <c r="S880" s="11"/>
    </row>
    <row r="881" spans="1:19" ht="15.75">
      <c r="A881" s="13">
        <v>68698</v>
      </c>
      <c r="B881" s="8">
        <f>36.925 * CHOOSE(CONTROL!$C$12, $D$11, 100%, $F$11)</f>
        <v>29.6877</v>
      </c>
      <c r="C881" s="8">
        <f>36.9354 * CHOOSE(CONTROL!$C$12, $D$11, 100%, $F$11)</f>
        <v>29.696061600000004</v>
      </c>
      <c r="D881" s="8">
        <f>36.9331 * CHOOSE( CONTROL!$C$12, $D$11, 100%, $F$11)</f>
        <v>29.694212400000005</v>
      </c>
      <c r="E881" s="12">
        <f>36.9328 * CHOOSE( CONTROL!$C$12, $D$11, 100%, $F$11)</f>
        <v>29.693971200000004</v>
      </c>
      <c r="F881" s="4">
        <f>37.9479 * CHOOSE(CONTROL!$C$12, $D$11, 100%, $F$11)</f>
        <v>30.510111599999998</v>
      </c>
      <c r="G881" s="8">
        <f>36.0209 * CHOOSE( CONTROL!$C$12, $D$11, 100%, $F$11)</f>
        <v>28.960803599999998</v>
      </c>
      <c r="H881" s="4">
        <f>36.9143 * CHOOSE(CONTROL!$C$12, $D$11, 100%, $F$11)</f>
        <v>29.679097200000001</v>
      </c>
      <c r="I881" s="8">
        <f>35.503 * CHOOSE(CONTROL!$C$12, $D$11, 100%, $F$11)</f>
        <v>28.544412000000001</v>
      </c>
      <c r="J881" s="4">
        <f>35.3768 * CHOOSE(CONTROL!$C$12, $D$11, 100%, $F$11)</f>
        <v>28.442947200000003</v>
      </c>
      <c r="K881" s="4"/>
      <c r="L881" s="9">
        <v>27.3993</v>
      </c>
      <c r="M881" s="9">
        <v>12.063700000000001</v>
      </c>
      <c r="N881" s="9">
        <v>4.9444999999999997</v>
      </c>
      <c r="O881" s="9">
        <v>0.37459999999999999</v>
      </c>
      <c r="P881" s="9">
        <v>1.2939000000000001</v>
      </c>
      <c r="Q881" s="9">
        <v>19.688099999999999</v>
      </c>
      <c r="R881" s="9"/>
      <c r="S881" s="11"/>
    </row>
    <row r="882" spans="1:19" ht="15.75">
      <c r="A882" s="13">
        <v>68727</v>
      </c>
      <c r="B882" s="8">
        <f>34.5382 * CHOOSE(CONTROL!$C$12, $D$11, 100%, $F$11)</f>
        <v>27.768712800000003</v>
      </c>
      <c r="C882" s="8">
        <f>34.5486 * CHOOSE(CONTROL!$C$12, $D$11, 100%, $F$11)</f>
        <v>27.777074400000004</v>
      </c>
      <c r="D882" s="8">
        <f>34.5486 * CHOOSE( CONTROL!$C$12, $D$11, 100%, $F$11)</f>
        <v>27.777074400000004</v>
      </c>
      <c r="E882" s="12">
        <f>34.5475 * CHOOSE( CONTROL!$C$12, $D$11, 100%, $F$11)</f>
        <v>27.77619</v>
      </c>
      <c r="F882" s="4">
        <f>35.5532 * CHOOSE(CONTROL!$C$12, $D$11, 100%, $F$11)</f>
        <v>28.5847728</v>
      </c>
      <c r="G882" s="8">
        <f>33.6942 * CHOOSE( CONTROL!$C$12, $D$11, 100%, $F$11)</f>
        <v>27.090136800000003</v>
      </c>
      <c r="H882" s="4">
        <f>34.58 * CHOOSE(CONTROL!$C$12, $D$11, 100%, $F$11)</f>
        <v>27.802320000000002</v>
      </c>
      <c r="I882" s="8">
        <f>33.2039 * CHOOSE(CONTROL!$C$12, $D$11, 100%, $F$11)</f>
        <v>26.695935599999999</v>
      </c>
      <c r="J882" s="4">
        <f>33.0897 * CHOOSE(CONTROL!$C$12, $D$11, 100%, $F$11)</f>
        <v>26.604118800000002</v>
      </c>
      <c r="K882" s="4"/>
      <c r="L882" s="9">
        <v>25.631599999999999</v>
      </c>
      <c r="M882" s="9">
        <v>11.285299999999999</v>
      </c>
      <c r="N882" s="9">
        <v>4.6254999999999997</v>
      </c>
      <c r="O882" s="9">
        <v>0.35039999999999999</v>
      </c>
      <c r="P882" s="9">
        <v>1.2104999999999999</v>
      </c>
      <c r="Q882" s="9">
        <v>18.417899999999999</v>
      </c>
      <c r="R882" s="9"/>
      <c r="S882" s="11"/>
    </row>
    <row r="883" spans="1:19" ht="15.75">
      <c r="A883" s="13">
        <v>68758</v>
      </c>
      <c r="B883" s="8">
        <f>33.803 * CHOOSE(CONTROL!$C$12, $D$11, 100%, $F$11)</f>
        <v>27.177612</v>
      </c>
      <c r="C883" s="8">
        <f>33.8135 * CHOOSE(CONTROL!$C$12, $D$11, 100%, $F$11)</f>
        <v>27.186053999999999</v>
      </c>
      <c r="D883" s="8">
        <f>33.7933 * CHOOSE( CONTROL!$C$12, $D$11, 100%, $F$11)</f>
        <v>27.169813200000004</v>
      </c>
      <c r="E883" s="12">
        <f>33.7996 * CHOOSE( CONTROL!$C$12, $D$11, 100%, $F$11)</f>
        <v>27.174878400000001</v>
      </c>
      <c r="F883" s="4">
        <f>34.8019 * CHOOSE(CONTROL!$C$12, $D$11, 100%, $F$11)</f>
        <v>27.980727600000005</v>
      </c>
      <c r="G883" s="8">
        <f>32.9571 * CHOOSE( CONTROL!$C$12, $D$11, 100%, $F$11)</f>
        <v>26.497508399999997</v>
      </c>
      <c r="H883" s="4">
        <f>33.8477 * CHOOSE(CONTROL!$C$12, $D$11, 100%, $F$11)</f>
        <v>27.213550800000004</v>
      </c>
      <c r="I883" s="8">
        <f>32.4597 * CHOOSE(CONTROL!$C$12, $D$11, 100%, $F$11)</f>
        <v>26.0975988</v>
      </c>
      <c r="J883" s="4">
        <f>32.3853 * CHOOSE(CONTROL!$C$12, $D$11, 100%, $F$11)</f>
        <v>26.037781200000001</v>
      </c>
      <c r="K883" s="4"/>
      <c r="L883" s="9">
        <v>27.3993</v>
      </c>
      <c r="M883" s="9">
        <v>12.063700000000001</v>
      </c>
      <c r="N883" s="9">
        <v>4.9444999999999997</v>
      </c>
      <c r="O883" s="9">
        <v>0.37459999999999999</v>
      </c>
      <c r="P883" s="9">
        <v>1.2939000000000001</v>
      </c>
      <c r="Q883" s="9">
        <v>19.688099999999999</v>
      </c>
      <c r="R883" s="9"/>
      <c r="S883" s="11"/>
    </row>
    <row r="884" spans="1:19" ht="15.75">
      <c r="A884" s="13">
        <v>68788</v>
      </c>
      <c r="B884" s="8">
        <f>34.3167 * CHOOSE(CONTROL!$C$12, $D$11, 100%, $F$11)</f>
        <v>27.590626799999999</v>
      </c>
      <c r="C884" s="8">
        <f>34.3272 * CHOOSE(CONTROL!$C$12, $D$11, 100%, $F$11)</f>
        <v>27.599068800000001</v>
      </c>
      <c r="D884" s="8">
        <f>34.3304 * CHOOSE( CONTROL!$C$12, $D$11, 100%, $F$11)</f>
        <v>27.601641600000001</v>
      </c>
      <c r="E884" s="12">
        <f>34.3281 * CHOOSE( CONTROL!$C$12, $D$11, 100%, $F$11)</f>
        <v>27.599792400000002</v>
      </c>
      <c r="F884" s="4">
        <f>35.324 * CHOOSE(CONTROL!$C$12, $D$11, 100%, $F$11)</f>
        <v>28.400496</v>
      </c>
      <c r="G884" s="8">
        <f>33.4457 * CHOOSE( CONTROL!$C$12, $D$11, 100%, $F$11)</f>
        <v>26.890342800000003</v>
      </c>
      <c r="H884" s="4">
        <f>34.3566 * CHOOSE(CONTROL!$C$12, $D$11, 100%, $F$11)</f>
        <v>27.622706400000002</v>
      </c>
      <c r="I884" s="8">
        <f>32.9422 * CHOOSE(CONTROL!$C$12, $D$11, 100%, $F$11)</f>
        <v>26.485528800000001</v>
      </c>
      <c r="J884" s="4">
        <f>32.8775 * CHOOSE(CONTROL!$C$12, $D$11, 100%, $F$11)</f>
        <v>26.433509999999998</v>
      </c>
      <c r="K884" s="4"/>
      <c r="L884" s="9">
        <v>27.988800000000001</v>
      </c>
      <c r="M884" s="9">
        <v>11.6745</v>
      </c>
      <c r="N884" s="9">
        <v>4.7850000000000001</v>
      </c>
      <c r="O884" s="9">
        <v>0.36249999999999999</v>
      </c>
      <c r="P884" s="9">
        <v>1.1798</v>
      </c>
      <c r="Q884" s="9">
        <v>19.053000000000001</v>
      </c>
      <c r="R884" s="9"/>
      <c r="S884" s="11"/>
    </row>
    <row r="885" spans="1:19" ht="15.75">
      <c r="A885" s="13">
        <v>68819</v>
      </c>
      <c r="B885" s="8">
        <f>CHOOSE( CONTROL!$C$29, 35.2357, 35.231) * CHOOSE(CONTROL!$C$12, $D$11, 100%, $F$11)</f>
        <v>28.329502800000004</v>
      </c>
      <c r="C885" s="8">
        <f>CHOOSE( CONTROL!$C$29, 35.2461, 35.2414) * CHOOSE(CONTROL!$C$12, $D$11, 100%, $F$11)</f>
        <v>28.337864400000001</v>
      </c>
      <c r="D885" s="8">
        <f>CHOOSE( CONTROL!$C$29, 35.2241, 35.2194) * CHOOSE( CONTROL!$C$12, $D$11, 100%, $F$11)</f>
        <v>28.320176400000001</v>
      </c>
      <c r="E885" s="12">
        <f>CHOOSE( CONTROL!$C$29, 35.2305, 35.2258) * CHOOSE( CONTROL!$C$12, $D$11, 100%, $F$11)</f>
        <v>28.325322</v>
      </c>
      <c r="F885" s="4">
        <f>CHOOSE( CONTROL!$C$29, 36.2106, 36.2059) * CHOOSE(CONTROL!$C$12, $D$11, 100%, $F$11)</f>
        <v>29.113322400000001</v>
      </c>
      <c r="G885" s="8">
        <f>CHOOSE( CONTROL!$C$29, 34.3228, 34.3182) * CHOOSE( CONTROL!$C$12, $D$11, 100%, $F$11)</f>
        <v>27.595531200000003</v>
      </c>
      <c r="H885" s="4">
        <f>CHOOSE( CONTROL!$C$29, 35.2208, 35.2162) * CHOOSE(CONTROL!$C$12, $D$11, 100%, $F$11)</f>
        <v>28.3175232</v>
      </c>
      <c r="I885" s="8">
        <f>CHOOSE( CONTROL!$C$29, 33.8017, 33.7972) * CHOOSE(CONTROL!$C$12, $D$11, 100%, $F$11)</f>
        <v>27.1765668</v>
      </c>
      <c r="J885" s="4">
        <f>CHOOSE( CONTROL!$C$29, 33.7581, 33.7536) * CHOOSE(CONTROL!$C$12, $D$11, 100%, $F$11)</f>
        <v>27.1415124</v>
      </c>
      <c r="K885" s="4"/>
      <c r="L885" s="9">
        <v>29.520499999999998</v>
      </c>
      <c r="M885" s="9">
        <v>12.063700000000001</v>
      </c>
      <c r="N885" s="9">
        <v>4.9444999999999997</v>
      </c>
      <c r="O885" s="9">
        <v>0.37459999999999999</v>
      </c>
      <c r="P885" s="9">
        <v>1.2192000000000001</v>
      </c>
      <c r="Q885" s="9">
        <v>19.688099999999999</v>
      </c>
      <c r="R885" s="9"/>
      <c r="S885" s="11"/>
    </row>
    <row r="886" spans="1:19" ht="15.75">
      <c r="A886" s="13">
        <v>68849</v>
      </c>
      <c r="B886" s="8">
        <f>CHOOSE( CONTROL!$C$29, 34.6693, 34.6646) * CHOOSE(CONTROL!$C$12, $D$11, 100%, $F$11)</f>
        <v>27.874117200000001</v>
      </c>
      <c r="C886" s="8">
        <f>CHOOSE( CONTROL!$C$29, 34.6798, 34.6751) * CHOOSE(CONTROL!$C$12, $D$11, 100%, $F$11)</f>
        <v>27.882559200000003</v>
      </c>
      <c r="D886" s="8">
        <f>CHOOSE( CONTROL!$C$29, 34.6521, 34.6474) * CHOOSE( CONTROL!$C$12, $D$11, 100%, $F$11)</f>
        <v>27.860288399999998</v>
      </c>
      <c r="E886" s="12">
        <f>CHOOSE( CONTROL!$C$29, 34.6605, 34.6558) * CHOOSE( CONTROL!$C$12, $D$11, 100%, $F$11)</f>
        <v>27.867042000000001</v>
      </c>
      <c r="F886" s="4">
        <f>CHOOSE( CONTROL!$C$29, 35.6338, 35.6291) * CHOOSE(CONTROL!$C$12, $D$11, 100%, $F$11)</f>
        <v>28.649575200000001</v>
      </c>
      <c r="G886" s="8">
        <f>CHOOSE( CONTROL!$C$29, 33.7695, 33.7649) * CHOOSE( CONTROL!$C$12, $D$11, 100%, $F$11)</f>
        <v>27.150678000000003</v>
      </c>
      <c r="H886" s="4">
        <f>CHOOSE( CONTROL!$C$29, 34.6586, 34.654) * CHOOSE(CONTROL!$C$12, $D$11, 100%, $F$11)</f>
        <v>27.865514400000002</v>
      </c>
      <c r="I886" s="8">
        <f>CHOOSE( CONTROL!$C$29, 33.2609, 33.2564) * CHOOSE(CONTROL!$C$12, $D$11, 100%, $F$11)</f>
        <v>26.741763600000002</v>
      </c>
      <c r="J886" s="4">
        <f>CHOOSE( CONTROL!$C$29, 33.2154, 33.2109) * CHOOSE(CONTROL!$C$12, $D$11, 100%, $F$11)</f>
        <v>26.705181600000003</v>
      </c>
      <c r="K886" s="4"/>
      <c r="L886" s="9">
        <v>28.568200000000001</v>
      </c>
      <c r="M886" s="9">
        <v>11.6745</v>
      </c>
      <c r="N886" s="9">
        <v>4.7850000000000001</v>
      </c>
      <c r="O886" s="9">
        <v>0.36249999999999999</v>
      </c>
      <c r="P886" s="9">
        <v>1.1798</v>
      </c>
      <c r="Q886" s="9">
        <v>19.053000000000001</v>
      </c>
      <c r="R886" s="9"/>
      <c r="S886" s="11"/>
    </row>
    <row r="887" spans="1:19" ht="15.75">
      <c r="A887" s="13">
        <v>68880</v>
      </c>
      <c r="B887" s="8">
        <f>CHOOSE( CONTROL!$C$29, 36.1608, 36.156) * CHOOSE(CONTROL!$C$12, $D$11, 100%, $F$11)</f>
        <v>29.073283200000002</v>
      </c>
      <c r="C887" s="8">
        <f>CHOOSE( CONTROL!$C$29, 36.1712, 36.1665) * CHOOSE(CONTROL!$C$12, $D$11, 100%, $F$11)</f>
        <v>29.081644799999999</v>
      </c>
      <c r="D887" s="8">
        <f>CHOOSE( CONTROL!$C$29, 36.1627, 36.158) * CHOOSE( CONTROL!$C$12, $D$11, 100%, $F$11)</f>
        <v>29.074810800000002</v>
      </c>
      <c r="E887" s="12">
        <f>CHOOSE( CONTROL!$C$29, 36.1642, 36.1595) * CHOOSE( CONTROL!$C$12, $D$11, 100%, $F$11)</f>
        <v>29.076016800000001</v>
      </c>
      <c r="F887" s="4">
        <f>CHOOSE( CONTROL!$C$29, 37.1524, 37.1476) * CHOOSE(CONTROL!$C$12, $D$11, 100%, $F$11)</f>
        <v>29.870529600000001</v>
      </c>
      <c r="G887" s="8">
        <f>CHOOSE( CONTROL!$C$29, 35.236, 35.2314) * CHOOSE( CONTROL!$C$12, $D$11, 100%, $F$11)</f>
        <v>28.329743999999998</v>
      </c>
      <c r="H887" s="4">
        <f>CHOOSE( CONTROL!$C$29, 36.1388, 36.1342) * CHOOSE(CONTROL!$C$12, $D$11, 100%, $F$11)</f>
        <v>29.055595200000006</v>
      </c>
      <c r="I887" s="8">
        <f>CHOOSE( CONTROL!$C$29, 34.7134, 34.7089) * CHOOSE(CONTROL!$C$12, $D$11, 100%, $F$11)</f>
        <v>27.909573600000002</v>
      </c>
      <c r="J887" s="4">
        <f>CHOOSE( CONTROL!$C$29, 34.6445, 34.64) * CHOOSE(CONTROL!$C$12, $D$11, 100%, $F$11)</f>
        <v>27.854178000000001</v>
      </c>
      <c r="K887" s="4"/>
      <c r="L887" s="9">
        <v>29.520499999999998</v>
      </c>
      <c r="M887" s="9">
        <v>12.063700000000001</v>
      </c>
      <c r="N887" s="9">
        <v>4.9444999999999997</v>
      </c>
      <c r="O887" s="9">
        <v>0.37459999999999999</v>
      </c>
      <c r="P887" s="9">
        <v>1.2192000000000001</v>
      </c>
      <c r="Q887" s="9">
        <v>19.688099999999999</v>
      </c>
      <c r="R887" s="9"/>
      <c r="S887" s="11"/>
    </row>
    <row r="888" spans="1:19" ht="15.75">
      <c r="A888" s="13">
        <v>68911</v>
      </c>
      <c r="B888" s="8">
        <f>CHOOSE( CONTROL!$C$29, 33.3702, 33.3654) * CHOOSE(CONTROL!$C$12, $D$11, 100%, $F$11)</f>
        <v>26.8296408</v>
      </c>
      <c r="C888" s="8">
        <f>CHOOSE( CONTROL!$C$29, 33.3806, 33.3759) * CHOOSE(CONTROL!$C$12, $D$11, 100%, $F$11)</f>
        <v>26.838002400000004</v>
      </c>
      <c r="D888" s="8">
        <f>CHOOSE( CONTROL!$C$29, 33.3755, 33.3708) * CHOOSE( CONTROL!$C$12, $D$11, 100%, $F$11)</f>
        <v>26.833902000000002</v>
      </c>
      <c r="E888" s="12">
        <f>CHOOSE( CONTROL!$C$29, 33.3758, 33.371) * CHOOSE( CONTROL!$C$12, $D$11, 100%, $F$11)</f>
        <v>26.8341432</v>
      </c>
      <c r="F888" s="4">
        <f>CHOOSE( CONTROL!$C$29, 34.367, 34.3623) * CHOOSE(CONTROL!$C$12, $D$11, 100%, $F$11)</f>
        <v>27.631067999999999</v>
      </c>
      <c r="G888" s="8">
        <f>CHOOSE( CONTROL!$C$29, 32.5179, 32.5133) * CHOOSE( CONTROL!$C$12, $D$11, 100%, $F$11)</f>
        <v>26.144391599999999</v>
      </c>
      <c r="H888" s="4">
        <f>CHOOSE( CONTROL!$C$29, 33.4237, 33.4191) * CHOOSE(CONTROL!$C$12, $D$11, 100%, $F$11)</f>
        <v>26.872654799999999</v>
      </c>
      <c r="I888" s="8">
        <f>CHOOSE( CONTROL!$C$29, 32.0427, 32.0382) * CHOOSE(CONTROL!$C$12, $D$11, 100%, $F$11)</f>
        <v>25.762330800000004</v>
      </c>
      <c r="J888" s="4">
        <f>CHOOSE( CONTROL!$C$29, 31.9705, 31.966) * CHOOSE(CONTROL!$C$12, $D$11, 100%, $F$11)</f>
        <v>25.704282000000003</v>
      </c>
      <c r="K888" s="4"/>
      <c r="L888" s="9">
        <v>29.520499999999998</v>
      </c>
      <c r="M888" s="9">
        <v>12.063700000000001</v>
      </c>
      <c r="N888" s="9">
        <v>4.9444999999999997</v>
      </c>
      <c r="O888" s="9">
        <v>0.37459999999999999</v>
      </c>
      <c r="P888" s="9">
        <v>1.2192000000000001</v>
      </c>
      <c r="Q888" s="9">
        <v>19.688099999999999</v>
      </c>
      <c r="R888" s="9"/>
      <c r="S888" s="11"/>
    </row>
    <row r="889" spans="1:19" ht="15.75">
      <c r="A889" s="13">
        <v>68941</v>
      </c>
      <c r="B889" s="8">
        <f>CHOOSE( CONTROL!$C$29, 32.6714, 32.6667) * CHOOSE(CONTROL!$C$12, $D$11, 100%, $F$11)</f>
        <v>26.267805599999999</v>
      </c>
      <c r="C889" s="8">
        <f>CHOOSE( CONTROL!$C$29, 32.6818, 32.6771) * CHOOSE(CONTROL!$C$12, $D$11, 100%, $F$11)</f>
        <v>26.276167200000003</v>
      </c>
      <c r="D889" s="8">
        <f>CHOOSE( CONTROL!$C$29, 32.6725, 32.6678) * CHOOSE( CONTROL!$C$12, $D$11, 100%, $F$11)</f>
        <v>26.268689999999999</v>
      </c>
      <c r="E889" s="12">
        <f>CHOOSE( CONTROL!$C$29, 32.6743, 32.6696) * CHOOSE( CONTROL!$C$12, $D$11, 100%, $F$11)</f>
        <v>26.270137200000004</v>
      </c>
      <c r="F889" s="4">
        <f>CHOOSE( CONTROL!$C$29, 33.6603, 33.6556) * CHOOSE(CONTROL!$C$12, $D$11, 100%, $F$11)</f>
        <v>27.0628812</v>
      </c>
      <c r="G889" s="8">
        <f>CHOOSE( CONTROL!$C$29, 31.8354, 31.8308) * CHOOSE( CONTROL!$C$12, $D$11, 100%, $F$11)</f>
        <v>25.595661600000003</v>
      </c>
      <c r="H889" s="4">
        <f>CHOOSE( CONTROL!$C$29, 32.7349, 32.7303) * CHOOSE(CONTROL!$C$12, $D$11, 100%, $F$11)</f>
        <v>26.318859600000003</v>
      </c>
      <c r="I889" s="8">
        <f>CHOOSE( CONTROL!$C$29, 31.3741, 31.3696) * CHOOSE(CONTROL!$C$12, $D$11, 100%, $F$11)</f>
        <v>25.2247764</v>
      </c>
      <c r="J889" s="4">
        <f>CHOOSE( CONTROL!$C$29, 31.3009, 31.2964) * CHOOSE(CONTROL!$C$12, $D$11, 100%, $F$11)</f>
        <v>25.165923599999999</v>
      </c>
      <c r="K889" s="4"/>
      <c r="L889" s="9">
        <v>28.568200000000001</v>
      </c>
      <c r="M889" s="9">
        <v>11.6745</v>
      </c>
      <c r="N889" s="9">
        <v>4.7850000000000001</v>
      </c>
      <c r="O889" s="9">
        <v>0.36249999999999999</v>
      </c>
      <c r="P889" s="9">
        <v>1.1798</v>
      </c>
      <c r="Q889" s="9">
        <v>19.053000000000001</v>
      </c>
      <c r="R889" s="9"/>
      <c r="S889" s="11"/>
    </row>
    <row r="890" spans="1:19" ht="15.75">
      <c r="A890" s="13">
        <v>68972</v>
      </c>
      <c r="B890" s="8">
        <f>34.1176 * CHOOSE(CONTROL!$C$12, $D$11, 100%, $F$11)</f>
        <v>27.430550400000005</v>
      </c>
      <c r="C890" s="8">
        <f>34.128 * CHOOSE(CONTROL!$C$12, $D$11, 100%, $F$11)</f>
        <v>27.438912000000002</v>
      </c>
      <c r="D890" s="8">
        <f>34.1196 * CHOOSE( CONTROL!$C$12, $D$11, 100%, $F$11)</f>
        <v>27.432158399999999</v>
      </c>
      <c r="E890" s="12">
        <f>34.1213 * CHOOSE( CONTROL!$C$12, $D$11, 100%, $F$11)</f>
        <v>27.433525199999998</v>
      </c>
      <c r="F890" s="4">
        <f>35.1066 * CHOOSE(CONTROL!$C$12, $D$11, 100%, $F$11)</f>
        <v>28.225706400000004</v>
      </c>
      <c r="G890" s="8">
        <f>33.2448 * CHOOSE( CONTROL!$C$12, $D$11, 100%, $F$11)</f>
        <v>26.7288192</v>
      </c>
      <c r="H890" s="4">
        <f>34.1446 * CHOOSE(CONTROL!$C$12, $D$11, 100%, $F$11)</f>
        <v>27.452258399999998</v>
      </c>
      <c r="I890" s="8">
        <f>32.7627 * CHOOSE(CONTROL!$C$12, $D$11, 100%, $F$11)</f>
        <v>26.341210800000002</v>
      </c>
      <c r="J890" s="4">
        <f>32.6867 * CHOOSE(CONTROL!$C$12, $D$11, 100%, $F$11)</f>
        <v>26.280106800000002</v>
      </c>
      <c r="K890" s="4"/>
      <c r="L890" s="9">
        <v>28.921800000000001</v>
      </c>
      <c r="M890" s="9">
        <v>12.063700000000001</v>
      </c>
      <c r="N890" s="9">
        <v>4.9444999999999997</v>
      </c>
      <c r="O890" s="9">
        <v>0.37459999999999999</v>
      </c>
      <c r="P890" s="9">
        <v>1.2192000000000001</v>
      </c>
      <c r="Q890" s="9">
        <v>19.688099999999999</v>
      </c>
      <c r="R890" s="9"/>
      <c r="S890" s="11"/>
    </row>
    <row r="891" spans="1:19" ht="15.75">
      <c r="A891" s="13">
        <v>69002</v>
      </c>
      <c r="B891" s="8">
        <f>36.7958 * CHOOSE(CONTROL!$C$12, $D$11, 100%, $F$11)</f>
        <v>29.583823200000001</v>
      </c>
      <c r="C891" s="8">
        <f>36.8062 * CHOOSE(CONTROL!$C$12, $D$11, 100%, $F$11)</f>
        <v>29.592184799999998</v>
      </c>
      <c r="D891" s="8">
        <f>36.7864 * CHOOSE( CONTROL!$C$12, $D$11, 100%, $F$11)</f>
        <v>29.576265600000003</v>
      </c>
      <c r="E891" s="12">
        <f>36.7925 * CHOOSE( CONTROL!$C$12, $D$11, 100%, $F$11)</f>
        <v>29.58117</v>
      </c>
      <c r="F891" s="4">
        <f>37.7874 * CHOOSE(CONTROL!$C$12, $D$11, 100%, $F$11)</f>
        <v>30.3810696</v>
      </c>
      <c r="G891" s="8">
        <f>35.8744 * CHOOSE( CONTROL!$C$12, $D$11, 100%, $F$11)</f>
        <v>28.843017600000003</v>
      </c>
      <c r="H891" s="4">
        <f>36.7578 * CHOOSE(CONTROL!$C$12, $D$11, 100%, $F$11)</f>
        <v>29.553271200000005</v>
      </c>
      <c r="I891" s="8">
        <f>35.3604 * CHOOSE(CONTROL!$C$12, $D$11, 100%, $F$11)</f>
        <v>28.429761599999999</v>
      </c>
      <c r="J891" s="4">
        <f>35.2529 * CHOOSE(CONTROL!$C$12, $D$11, 100%, $F$11)</f>
        <v>28.343331599999999</v>
      </c>
      <c r="K891" s="4"/>
      <c r="L891" s="9">
        <v>26.515499999999999</v>
      </c>
      <c r="M891" s="9">
        <v>11.6745</v>
      </c>
      <c r="N891" s="9">
        <v>4.7850000000000001</v>
      </c>
      <c r="O891" s="9">
        <v>0.36249999999999999</v>
      </c>
      <c r="P891" s="9">
        <v>1.2522</v>
      </c>
      <c r="Q891" s="9">
        <v>19.053000000000001</v>
      </c>
      <c r="R891" s="9"/>
      <c r="S891" s="11"/>
    </row>
    <row r="892" spans="1:19" ht="15.75">
      <c r="A892" s="13">
        <v>69033</v>
      </c>
      <c r="B892" s="8">
        <f>36.7288 * CHOOSE(CONTROL!$C$12, $D$11, 100%, $F$11)</f>
        <v>29.5299552</v>
      </c>
      <c r="C892" s="8">
        <f>36.7393 * CHOOSE(CONTROL!$C$12, $D$11, 100%, $F$11)</f>
        <v>29.538397200000002</v>
      </c>
      <c r="D892" s="8">
        <f>36.7214 * CHOOSE( CONTROL!$C$12, $D$11, 100%, $F$11)</f>
        <v>29.524005600000002</v>
      </c>
      <c r="E892" s="12">
        <f>36.7268 * CHOOSE( CONTROL!$C$12, $D$11, 100%, $F$11)</f>
        <v>29.528347199999999</v>
      </c>
      <c r="F892" s="4">
        <f>37.7204 * CHOOSE(CONTROL!$C$12, $D$11, 100%, $F$11)</f>
        <v>30.327201599999999</v>
      </c>
      <c r="G892" s="8">
        <f>35.8106 * CHOOSE( CONTROL!$C$12, $D$11, 100%, $F$11)</f>
        <v>28.791722400000001</v>
      </c>
      <c r="H892" s="4">
        <f>36.6926 * CHOOSE(CONTROL!$C$12, $D$11, 100%, $F$11)</f>
        <v>29.500850400000001</v>
      </c>
      <c r="I892" s="8">
        <f>35.3031 * CHOOSE(CONTROL!$C$12, $D$11, 100%, $F$11)</f>
        <v>28.383692400000001</v>
      </c>
      <c r="J892" s="4">
        <f>35.1888 * CHOOSE(CONTROL!$C$12, $D$11, 100%, $F$11)</f>
        <v>28.291795200000003</v>
      </c>
      <c r="K892" s="4"/>
      <c r="L892" s="9">
        <v>27.3993</v>
      </c>
      <c r="M892" s="9">
        <v>12.063700000000001</v>
      </c>
      <c r="N892" s="9">
        <v>4.9444999999999997</v>
      </c>
      <c r="O892" s="9">
        <v>0.37459999999999999</v>
      </c>
      <c r="P892" s="9">
        <v>1.2939000000000001</v>
      </c>
      <c r="Q892" s="9">
        <v>19.688099999999999</v>
      </c>
      <c r="R892" s="9"/>
      <c r="S892" s="11"/>
    </row>
    <row r="893" spans="1:19" ht="15.75">
      <c r="A893" s="13">
        <v>69064</v>
      </c>
      <c r="B893" s="8">
        <f>38.1324 * CHOOSE(CONTROL!$C$12, $D$11, 100%, $F$11)</f>
        <v>30.658449600000001</v>
      </c>
      <c r="C893" s="8">
        <f>38.1428 * CHOOSE(CONTROL!$C$12, $D$11, 100%, $F$11)</f>
        <v>30.666811200000001</v>
      </c>
      <c r="D893" s="8">
        <f>38.1405 * CHOOSE( CONTROL!$C$12, $D$11, 100%, $F$11)</f>
        <v>30.664962000000003</v>
      </c>
      <c r="E893" s="12">
        <f>38.1402 * CHOOSE( CONTROL!$C$12, $D$11, 100%, $F$11)</f>
        <v>30.664720800000001</v>
      </c>
      <c r="F893" s="4">
        <f>39.1553 * CHOOSE(CONTROL!$C$12, $D$11, 100%, $F$11)</f>
        <v>31.4808612</v>
      </c>
      <c r="G893" s="8">
        <f>37.1979 * CHOOSE( CONTROL!$C$12, $D$11, 100%, $F$11)</f>
        <v>29.9071116</v>
      </c>
      <c r="H893" s="4">
        <f>38.0912 * CHOOSE(CONTROL!$C$12, $D$11, 100%, $F$11)</f>
        <v>30.625324800000001</v>
      </c>
      <c r="I893" s="8">
        <f>36.6606 * CHOOSE(CONTROL!$C$12, $D$11, 100%, $F$11)</f>
        <v>29.475122400000004</v>
      </c>
      <c r="J893" s="4">
        <f>36.5337 * CHOOSE(CONTROL!$C$12, $D$11, 100%, $F$11)</f>
        <v>29.373094800000004</v>
      </c>
      <c r="K893" s="4"/>
      <c r="L893" s="9">
        <v>27.3993</v>
      </c>
      <c r="M893" s="9">
        <v>12.063700000000001</v>
      </c>
      <c r="N893" s="9">
        <v>4.9444999999999997</v>
      </c>
      <c r="O893" s="9">
        <v>0.37459999999999999</v>
      </c>
      <c r="P893" s="9">
        <v>1.2939000000000001</v>
      </c>
      <c r="Q893" s="9">
        <v>19.688099999999999</v>
      </c>
      <c r="R893" s="9"/>
      <c r="S893" s="11"/>
    </row>
    <row r="894" spans="1:19" ht="15.75">
      <c r="A894" s="13">
        <v>69092</v>
      </c>
      <c r="B894" s="8">
        <f>35.6675 * CHOOSE(CONTROL!$C$12, $D$11, 100%, $F$11)</f>
        <v>28.676669999999998</v>
      </c>
      <c r="C894" s="8">
        <f>35.678 * CHOOSE(CONTROL!$C$12, $D$11, 100%, $F$11)</f>
        <v>28.685112</v>
      </c>
      <c r="D894" s="8">
        <f>35.6779 * CHOOSE( CONTROL!$C$12, $D$11, 100%, $F$11)</f>
        <v>28.685031600000002</v>
      </c>
      <c r="E894" s="12">
        <f>35.6768 * CHOOSE( CONTROL!$C$12, $D$11, 100%, $F$11)</f>
        <v>28.684147200000002</v>
      </c>
      <c r="F894" s="4">
        <f>36.6826 * CHOOSE(CONTROL!$C$12, $D$11, 100%, $F$11)</f>
        <v>29.492810400000003</v>
      </c>
      <c r="G894" s="8">
        <f>34.795 * CHOOSE( CONTROL!$C$12, $D$11, 100%, $F$11)</f>
        <v>27.975180000000002</v>
      </c>
      <c r="H894" s="4">
        <f>35.6809 * CHOOSE(CONTROL!$C$12, $D$11, 100%, $F$11)</f>
        <v>28.687443600000002</v>
      </c>
      <c r="I894" s="8">
        <f>34.2866 * CHOOSE(CONTROL!$C$12, $D$11, 100%, $F$11)</f>
        <v>27.566426400000001</v>
      </c>
      <c r="J894" s="4">
        <f>34.1719 * CHOOSE(CONTROL!$C$12, $D$11, 100%, $F$11)</f>
        <v>27.474207600000003</v>
      </c>
      <c r="K894" s="4"/>
      <c r="L894" s="9">
        <v>24.747800000000002</v>
      </c>
      <c r="M894" s="9">
        <v>10.8962</v>
      </c>
      <c r="N894" s="9">
        <v>4.4660000000000002</v>
      </c>
      <c r="O894" s="9">
        <v>0.33829999999999999</v>
      </c>
      <c r="P894" s="9">
        <v>1.1687000000000001</v>
      </c>
      <c r="Q894" s="9">
        <v>17.782800000000002</v>
      </c>
      <c r="R894" s="9"/>
      <c r="S894" s="11"/>
    </row>
    <row r="895" spans="1:19" ht="15.75">
      <c r="A895" s="13">
        <v>69123</v>
      </c>
      <c r="B895" s="8">
        <f>34.9084 * CHOOSE(CONTROL!$C$12, $D$11, 100%, $F$11)</f>
        <v>28.066353600000003</v>
      </c>
      <c r="C895" s="8">
        <f>34.9188 * CHOOSE(CONTROL!$C$12, $D$11, 100%, $F$11)</f>
        <v>28.0747152</v>
      </c>
      <c r="D895" s="8">
        <f>34.8986 * CHOOSE( CONTROL!$C$12, $D$11, 100%, $F$11)</f>
        <v>28.058474400000001</v>
      </c>
      <c r="E895" s="12">
        <f>34.9049 * CHOOSE( CONTROL!$C$12, $D$11, 100%, $F$11)</f>
        <v>28.063539599999999</v>
      </c>
      <c r="F895" s="4">
        <f>35.9073 * CHOOSE(CONTROL!$C$12, $D$11, 100%, $F$11)</f>
        <v>28.869469200000001</v>
      </c>
      <c r="G895" s="8">
        <f>34.0345 * CHOOSE( CONTROL!$C$12, $D$11, 100%, $F$11)</f>
        <v>27.363738000000001</v>
      </c>
      <c r="H895" s="4">
        <f>34.9251 * CHOOSE(CONTROL!$C$12, $D$11, 100%, $F$11)</f>
        <v>28.079780400000001</v>
      </c>
      <c r="I895" s="8">
        <f>33.5193 * CHOOSE(CONTROL!$C$12, $D$11, 100%, $F$11)</f>
        <v>26.949517200000003</v>
      </c>
      <c r="J895" s="4">
        <f>33.4444 * CHOOSE(CONTROL!$C$12, $D$11, 100%, $F$11)</f>
        <v>26.889297600000003</v>
      </c>
      <c r="K895" s="4"/>
      <c r="L895" s="9">
        <v>27.3993</v>
      </c>
      <c r="M895" s="9">
        <v>12.063700000000001</v>
      </c>
      <c r="N895" s="9">
        <v>4.9444999999999997</v>
      </c>
      <c r="O895" s="9">
        <v>0.37459999999999999</v>
      </c>
      <c r="P895" s="9">
        <v>1.2939000000000001</v>
      </c>
      <c r="Q895" s="9">
        <v>19.688099999999999</v>
      </c>
      <c r="R895" s="9"/>
      <c r="S895" s="11"/>
    </row>
    <row r="896" spans="1:19" ht="15.75">
      <c r="A896" s="13">
        <v>69153</v>
      </c>
      <c r="B896" s="8">
        <f>35.4388 * CHOOSE(CONTROL!$C$12, $D$11, 100%, $F$11)</f>
        <v>28.492795200000003</v>
      </c>
      <c r="C896" s="8">
        <f>35.4493 * CHOOSE(CONTROL!$C$12, $D$11, 100%, $F$11)</f>
        <v>28.501237200000002</v>
      </c>
      <c r="D896" s="8">
        <f>35.4525 * CHOOSE( CONTROL!$C$12, $D$11, 100%, $F$11)</f>
        <v>28.503810000000001</v>
      </c>
      <c r="E896" s="12">
        <f>35.4502 * CHOOSE( CONTROL!$C$12, $D$11, 100%, $F$11)</f>
        <v>28.501960800000003</v>
      </c>
      <c r="F896" s="4">
        <f>36.4461 * CHOOSE(CONTROL!$C$12, $D$11, 100%, $F$11)</f>
        <v>29.302664400000001</v>
      </c>
      <c r="G896" s="8">
        <f>34.5395 * CHOOSE( CONTROL!$C$12, $D$11, 100%, $F$11)</f>
        <v>27.769757999999999</v>
      </c>
      <c r="H896" s="4">
        <f>35.4504 * CHOOSE(CONTROL!$C$12, $D$11, 100%, $F$11)</f>
        <v>28.502121600000002</v>
      </c>
      <c r="I896" s="8">
        <f>34.018 * CHOOSE(CONTROL!$C$12, $D$11, 100%, $F$11)</f>
        <v>27.350472000000003</v>
      </c>
      <c r="J896" s="4">
        <f>33.9527 * CHOOSE(CONTROL!$C$12, $D$11, 100%, $F$11)</f>
        <v>27.297970800000002</v>
      </c>
      <c r="K896" s="4"/>
      <c r="L896" s="9">
        <v>27.988800000000001</v>
      </c>
      <c r="M896" s="9">
        <v>11.6745</v>
      </c>
      <c r="N896" s="9">
        <v>4.7850000000000001</v>
      </c>
      <c r="O896" s="9">
        <v>0.36249999999999999</v>
      </c>
      <c r="P896" s="9">
        <v>1.1798</v>
      </c>
      <c r="Q896" s="9">
        <v>19.053000000000001</v>
      </c>
      <c r="R896" s="9"/>
      <c r="S896" s="11"/>
    </row>
    <row r="897" spans="1:19" ht="15.75">
      <c r="A897" s="13">
        <v>69184</v>
      </c>
      <c r="B897" s="8">
        <f>CHOOSE( CONTROL!$C$29, 36.3877, 36.383) * CHOOSE(CONTROL!$C$12, $D$11, 100%, $F$11)</f>
        <v>29.255710800000003</v>
      </c>
      <c r="C897" s="8">
        <f>CHOOSE( CONTROL!$C$29, 36.3981, 36.3934) * CHOOSE(CONTROL!$C$12, $D$11, 100%, $F$11)</f>
        <v>29.2640724</v>
      </c>
      <c r="D897" s="8">
        <f>CHOOSE( CONTROL!$C$29, 36.3761, 36.3714) * CHOOSE( CONTROL!$C$12, $D$11, 100%, $F$11)</f>
        <v>29.246384400000004</v>
      </c>
      <c r="E897" s="12">
        <f>CHOOSE( CONTROL!$C$29, 36.3825, 36.3778) * CHOOSE( CONTROL!$C$12, $D$11, 100%, $F$11)</f>
        <v>29.251530000000002</v>
      </c>
      <c r="F897" s="4">
        <f>CHOOSE( CONTROL!$C$29, 37.3626, 37.3579) * CHOOSE(CONTROL!$C$12, $D$11, 100%, $F$11)</f>
        <v>30.039530400000004</v>
      </c>
      <c r="G897" s="8">
        <f>CHOOSE( CONTROL!$C$29, 35.4457, 35.4412) * CHOOSE( CONTROL!$C$12, $D$11, 100%, $F$11)</f>
        <v>28.498342800000003</v>
      </c>
      <c r="H897" s="4">
        <f>CHOOSE( CONTROL!$C$29, 36.3438, 36.3392) * CHOOSE(CONTROL!$C$12, $D$11, 100%, $F$11)</f>
        <v>29.220415200000001</v>
      </c>
      <c r="I897" s="8">
        <f>CHOOSE( CONTROL!$C$29, 34.9061, 34.9016) * CHOOSE(CONTROL!$C$12, $D$11, 100%, $F$11)</f>
        <v>28.064504400000004</v>
      </c>
      <c r="J897" s="4">
        <f>CHOOSE( CONTROL!$C$29, 34.8619, 34.8574) * CHOOSE(CONTROL!$C$12, $D$11, 100%, $F$11)</f>
        <v>28.028967600000001</v>
      </c>
      <c r="K897" s="4"/>
      <c r="L897" s="9">
        <v>29.520499999999998</v>
      </c>
      <c r="M897" s="9">
        <v>12.063700000000001</v>
      </c>
      <c r="N897" s="9">
        <v>4.9444999999999997</v>
      </c>
      <c r="O897" s="9">
        <v>0.37459999999999999</v>
      </c>
      <c r="P897" s="9">
        <v>1.2192000000000001</v>
      </c>
      <c r="Q897" s="9">
        <v>19.688099999999999</v>
      </c>
      <c r="R897" s="9"/>
      <c r="S897" s="11"/>
    </row>
    <row r="898" spans="1:19" ht="15.75">
      <c r="A898" s="13">
        <v>69214</v>
      </c>
      <c r="B898" s="8">
        <f>CHOOSE( CONTROL!$C$29, 35.8028, 35.7981) * CHOOSE(CONTROL!$C$12, $D$11, 100%, $F$11)</f>
        <v>28.785451200000001</v>
      </c>
      <c r="C898" s="8">
        <f>CHOOSE( CONTROL!$C$29, 35.8133, 35.8086) * CHOOSE(CONTROL!$C$12, $D$11, 100%, $F$11)</f>
        <v>28.793893199999999</v>
      </c>
      <c r="D898" s="8">
        <f>CHOOSE( CONTROL!$C$29, 35.7856, 35.7809) * CHOOSE( CONTROL!$C$12, $D$11, 100%, $F$11)</f>
        <v>28.771622400000002</v>
      </c>
      <c r="E898" s="12">
        <f>CHOOSE( CONTROL!$C$29, 35.794, 35.7893) * CHOOSE( CONTROL!$C$12, $D$11, 100%, $F$11)</f>
        <v>28.778375999999998</v>
      </c>
      <c r="F898" s="4">
        <f>CHOOSE( CONTROL!$C$29, 36.7673, 36.7626) * CHOOSE(CONTROL!$C$12, $D$11, 100%, $F$11)</f>
        <v>29.560909200000001</v>
      </c>
      <c r="G898" s="8">
        <f>CHOOSE( CONTROL!$C$29, 34.8744, 34.8698) * CHOOSE( CONTROL!$C$12, $D$11, 100%, $F$11)</f>
        <v>28.039017600000001</v>
      </c>
      <c r="H898" s="4">
        <f>CHOOSE( CONTROL!$C$29, 35.7635, 35.7589) * CHOOSE(CONTROL!$C$12, $D$11, 100%, $F$11)</f>
        <v>28.753854</v>
      </c>
      <c r="I898" s="8">
        <f>CHOOSE( CONTROL!$C$29, 34.3475, 34.343) * CHOOSE(CONTROL!$C$12, $D$11, 100%, $F$11)</f>
        <v>27.615389999999998</v>
      </c>
      <c r="J898" s="4">
        <f>CHOOSE( CONTROL!$C$29, 34.3015, 34.297) * CHOOSE(CONTROL!$C$12, $D$11, 100%, $F$11)</f>
        <v>27.578406000000001</v>
      </c>
      <c r="K898" s="4"/>
      <c r="L898" s="9">
        <v>28.568200000000001</v>
      </c>
      <c r="M898" s="9">
        <v>11.6745</v>
      </c>
      <c r="N898" s="9">
        <v>4.7850000000000001</v>
      </c>
      <c r="O898" s="9">
        <v>0.36249999999999999</v>
      </c>
      <c r="P898" s="9">
        <v>1.1798</v>
      </c>
      <c r="Q898" s="9">
        <v>19.053000000000001</v>
      </c>
      <c r="R898" s="9"/>
      <c r="S898" s="11"/>
    </row>
    <row r="899" spans="1:19" ht="15.75">
      <c r="A899" s="13">
        <v>69245</v>
      </c>
      <c r="B899" s="8">
        <f>CHOOSE( CONTROL!$C$29, 37.343, 37.3383) * CHOOSE(CONTROL!$C$12, $D$11, 100%, $F$11)</f>
        <v>30.023772000000005</v>
      </c>
      <c r="C899" s="8">
        <f>CHOOSE( CONTROL!$C$29, 37.3535, 37.3488) * CHOOSE(CONTROL!$C$12, $D$11, 100%, $F$11)</f>
        <v>30.032214</v>
      </c>
      <c r="D899" s="8">
        <f>CHOOSE( CONTROL!$C$29, 37.345, 37.3403) * CHOOSE( CONTROL!$C$12, $D$11, 100%, $F$11)</f>
        <v>30.025380000000002</v>
      </c>
      <c r="E899" s="12">
        <f>CHOOSE( CONTROL!$C$29, 37.3465, 37.3418) * CHOOSE( CONTROL!$C$12, $D$11, 100%, $F$11)</f>
        <v>30.026586000000002</v>
      </c>
      <c r="F899" s="4">
        <f>CHOOSE( CONTROL!$C$29, 38.3346, 38.3299) * CHOOSE(CONTROL!$C$12, $D$11, 100%, $F$11)</f>
        <v>30.821018400000003</v>
      </c>
      <c r="G899" s="8">
        <f>CHOOSE( CONTROL!$C$29, 36.3884, 36.3838) * CHOOSE( CONTROL!$C$12, $D$11, 100%, $F$11)</f>
        <v>29.2562736</v>
      </c>
      <c r="H899" s="4">
        <f>CHOOSE( CONTROL!$C$29, 37.2912, 37.2867) * CHOOSE(CONTROL!$C$12, $D$11, 100%, $F$11)</f>
        <v>29.982124800000005</v>
      </c>
      <c r="I899" s="8">
        <f>CHOOSE( CONTROL!$C$29, 35.8468, 35.8423) * CHOOSE(CONTROL!$C$12, $D$11, 100%, $F$11)</f>
        <v>28.820827200000004</v>
      </c>
      <c r="J899" s="4">
        <f>CHOOSE( CONTROL!$C$29, 35.7773, 35.7728) * CHOOSE(CONTROL!$C$12, $D$11, 100%, $F$11)</f>
        <v>28.7649492</v>
      </c>
      <c r="K899" s="4"/>
      <c r="L899" s="9">
        <v>29.520499999999998</v>
      </c>
      <c r="M899" s="9">
        <v>12.063700000000001</v>
      </c>
      <c r="N899" s="9">
        <v>4.9444999999999997</v>
      </c>
      <c r="O899" s="9">
        <v>0.37459999999999999</v>
      </c>
      <c r="P899" s="9">
        <v>1.2192000000000001</v>
      </c>
      <c r="Q899" s="9">
        <v>19.688099999999999</v>
      </c>
      <c r="R899" s="9"/>
      <c r="S899" s="11"/>
    </row>
    <row r="900" spans="1:19" ht="15.75">
      <c r="A900" s="13">
        <v>69276</v>
      </c>
      <c r="B900" s="8">
        <f>CHOOSE( CONTROL!$C$29, 34.4612, 34.4565) * CHOOSE(CONTROL!$C$12, $D$11, 100%, $F$11)</f>
        <v>27.7068048</v>
      </c>
      <c r="C900" s="8">
        <f>CHOOSE( CONTROL!$C$29, 34.4716, 34.4669) * CHOOSE(CONTROL!$C$12, $D$11, 100%, $F$11)</f>
        <v>27.715166400000005</v>
      </c>
      <c r="D900" s="8">
        <f>CHOOSE( CONTROL!$C$29, 34.4665, 34.4618) * CHOOSE( CONTROL!$C$12, $D$11, 100%, $F$11)</f>
        <v>27.711066000000006</v>
      </c>
      <c r="E900" s="12">
        <f>CHOOSE( CONTROL!$C$29, 34.4668, 34.4621) * CHOOSE( CONTROL!$C$12, $D$11, 100%, $F$11)</f>
        <v>27.7113072</v>
      </c>
      <c r="F900" s="4">
        <f>CHOOSE( CONTROL!$C$29, 35.458, 35.4533) * CHOOSE(CONTROL!$C$12, $D$11, 100%, $F$11)</f>
        <v>28.508232</v>
      </c>
      <c r="G900" s="8">
        <f>CHOOSE( CONTROL!$C$29, 33.5813, 33.5768) * CHOOSE( CONTROL!$C$12, $D$11, 100%, $F$11)</f>
        <v>26.9993652</v>
      </c>
      <c r="H900" s="4">
        <f>CHOOSE( CONTROL!$C$29, 34.4872, 34.4826) * CHOOSE(CONTROL!$C$12, $D$11, 100%, $F$11)</f>
        <v>27.727708800000002</v>
      </c>
      <c r="I900" s="8">
        <f>CHOOSE( CONTROL!$C$29, 33.0887, 33.0842) * CHOOSE(CONTROL!$C$12, $D$11, 100%, $F$11)</f>
        <v>26.603314800000003</v>
      </c>
      <c r="J900" s="4">
        <f>CHOOSE( CONTROL!$C$29, 33.0159, 33.0114) * CHOOSE(CONTROL!$C$12, $D$11, 100%, $F$11)</f>
        <v>26.544783600000002</v>
      </c>
      <c r="K900" s="4"/>
      <c r="L900" s="9">
        <v>29.520499999999998</v>
      </c>
      <c r="M900" s="9">
        <v>12.063700000000001</v>
      </c>
      <c r="N900" s="9">
        <v>4.9444999999999997</v>
      </c>
      <c r="O900" s="9">
        <v>0.37459999999999999</v>
      </c>
      <c r="P900" s="9">
        <v>1.2192000000000001</v>
      </c>
      <c r="Q900" s="9">
        <v>19.688099999999999</v>
      </c>
      <c r="R900" s="9"/>
      <c r="S900" s="11"/>
    </row>
    <row r="901" spans="1:19" ht="15.75">
      <c r="A901" s="13">
        <v>69306</v>
      </c>
      <c r="B901" s="8">
        <f>CHOOSE( CONTROL!$C$29, 33.7395, 33.7348) * CHOOSE(CONTROL!$C$12, $D$11, 100%, $F$11)</f>
        <v>27.126558000000003</v>
      </c>
      <c r="C901" s="8">
        <f>CHOOSE( CONTROL!$C$29, 33.7499, 33.7452) * CHOOSE(CONTROL!$C$12, $D$11, 100%, $F$11)</f>
        <v>27.1349196</v>
      </c>
      <c r="D901" s="8">
        <f>CHOOSE( CONTROL!$C$29, 33.7406, 33.7359) * CHOOSE( CONTROL!$C$12, $D$11, 100%, $F$11)</f>
        <v>27.127442400000003</v>
      </c>
      <c r="E901" s="12">
        <f>CHOOSE( CONTROL!$C$29, 33.7424, 33.7377) * CHOOSE( CONTROL!$C$12, $D$11, 100%, $F$11)</f>
        <v>27.128889600000004</v>
      </c>
      <c r="F901" s="4">
        <f>CHOOSE( CONTROL!$C$29, 34.7285, 34.7238) * CHOOSE(CONTROL!$C$12, $D$11, 100%, $F$11)</f>
        <v>27.921713999999998</v>
      </c>
      <c r="G901" s="8">
        <f>CHOOSE( CONTROL!$C$29, 32.8766, 32.872) * CHOOSE( CONTROL!$C$12, $D$11, 100%, $F$11)</f>
        <v>26.432786400000005</v>
      </c>
      <c r="H901" s="4">
        <f>CHOOSE( CONTROL!$C$29, 33.7761, 33.7715) * CHOOSE(CONTROL!$C$12, $D$11, 100%, $F$11)</f>
        <v>27.155984400000001</v>
      </c>
      <c r="I901" s="8">
        <f>CHOOSE( CONTROL!$C$29, 32.3982, 32.3936) * CHOOSE(CONTROL!$C$12, $D$11, 100%, $F$11)</f>
        <v>26.048152800000004</v>
      </c>
      <c r="J901" s="4">
        <f>CHOOSE( CONTROL!$C$29, 32.3244, 32.3199) * CHOOSE(CONTROL!$C$12, $D$11, 100%, $F$11)</f>
        <v>25.988817600000001</v>
      </c>
      <c r="K901" s="4"/>
      <c r="L901" s="9">
        <v>28.568200000000001</v>
      </c>
      <c r="M901" s="9">
        <v>11.6745</v>
      </c>
      <c r="N901" s="9">
        <v>4.7850000000000001</v>
      </c>
      <c r="O901" s="9">
        <v>0.36249999999999999</v>
      </c>
      <c r="P901" s="9">
        <v>1.1798</v>
      </c>
      <c r="Q901" s="9">
        <v>19.053000000000001</v>
      </c>
      <c r="R901" s="9"/>
      <c r="S901" s="11"/>
    </row>
    <row r="902" spans="1:19" ht="15.75">
      <c r="A902" s="13">
        <v>69337</v>
      </c>
      <c r="B902" s="8">
        <f>35.2332 * CHOOSE(CONTROL!$C$12, $D$11, 100%, $F$11)</f>
        <v>28.327492799999998</v>
      </c>
      <c r="C902" s="8">
        <f>35.2436 * CHOOSE(CONTROL!$C$12, $D$11, 100%, $F$11)</f>
        <v>28.335854400000002</v>
      </c>
      <c r="D902" s="8">
        <f>35.2352 * CHOOSE( CONTROL!$C$12, $D$11, 100%, $F$11)</f>
        <v>28.329100799999999</v>
      </c>
      <c r="E902" s="12">
        <f>35.2369 * CHOOSE( CONTROL!$C$12, $D$11, 100%, $F$11)</f>
        <v>28.330467600000002</v>
      </c>
      <c r="F902" s="4">
        <f>36.2222 * CHOOSE(CONTROL!$C$12, $D$11, 100%, $F$11)</f>
        <v>29.122648800000004</v>
      </c>
      <c r="G902" s="8">
        <f>34.3322 * CHOOSE( CONTROL!$C$12, $D$11, 100%, $F$11)</f>
        <v>27.603088800000002</v>
      </c>
      <c r="H902" s="4">
        <f>35.2321 * CHOOSE(CONTROL!$C$12, $D$11, 100%, $F$11)</f>
        <v>28.326608400000005</v>
      </c>
      <c r="I902" s="8">
        <f>33.8322 * CHOOSE(CONTROL!$C$12, $D$11, 100%, $F$11)</f>
        <v>27.201088800000001</v>
      </c>
      <c r="J902" s="4">
        <f>33.7557 * CHOOSE(CONTROL!$C$12, $D$11, 100%, $F$11)</f>
        <v>27.139582799999999</v>
      </c>
      <c r="K902" s="4"/>
      <c r="L902" s="9">
        <v>28.921800000000001</v>
      </c>
      <c r="M902" s="9">
        <v>12.063700000000001</v>
      </c>
      <c r="N902" s="9">
        <v>4.9444999999999997</v>
      </c>
      <c r="O902" s="9">
        <v>0.37459999999999999</v>
      </c>
      <c r="P902" s="9">
        <v>1.2192000000000001</v>
      </c>
      <c r="Q902" s="9">
        <v>19.688099999999999</v>
      </c>
      <c r="R902" s="9"/>
      <c r="S902" s="11"/>
    </row>
    <row r="903" spans="1:19" ht="15.75">
      <c r="A903" s="13">
        <v>69367</v>
      </c>
      <c r="B903" s="8">
        <f>37.9989 * CHOOSE(CONTROL!$C$12, $D$11, 100%, $F$11)</f>
        <v>30.551115599999999</v>
      </c>
      <c r="C903" s="8">
        <f>38.0094 * CHOOSE(CONTROL!$C$12, $D$11, 100%, $F$11)</f>
        <v>30.559557600000002</v>
      </c>
      <c r="D903" s="8">
        <f>37.9896 * CHOOSE( CONTROL!$C$12, $D$11, 100%, $F$11)</f>
        <v>30.543638400000003</v>
      </c>
      <c r="E903" s="12">
        <f>37.9957 * CHOOSE( CONTROL!$C$12, $D$11, 100%, $F$11)</f>
        <v>30.5485428</v>
      </c>
      <c r="F903" s="4">
        <f>38.9905 * CHOOSE(CONTROL!$C$12, $D$11, 100%, $F$11)</f>
        <v>31.348361999999998</v>
      </c>
      <c r="G903" s="8">
        <f>37.0472 * CHOOSE( CONTROL!$C$12, $D$11, 100%, $F$11)</f>
        <v>29.7859488</v>
      </c>
      <c r="H903" s="4">
        <f>37.9306 * CHOOSE(CONTROL!$C$12, $D$11, 100%, $F$11)</f>
        <v>30.496202400000001</v>
      </c>
      <c r="I903" s="8">
        <f>36.5138 * CHOOSE(CONTROL!$C$12, $D$11, 100%, $F$11)</f>
        <v>29.357095200000003</v>
      </c>
      <c r="J903" s="4">
        <f>36.4058 * CHOOSE(CONTROL!$C$12, $D$11, 100%, $F$11)</f>
        <v>29.270263200000002</v>
      </c>
      <c r="K903" s="4"/>
      <c r="L903" s="9">
        <v>26.515499999999999</v>
      </c>
      <c r="M903" s="9">
        <v>11.6745</v>
      </c>
      <c r="N903" s="9">
        <v>4.7850000000000001</v>
      </c>
      <c r="O903" s="9">
        <v>0.36249999999999999</v>
      </c>
      <c r="P903" s="9">
        <v>1.2522</v>
      </c>
      <c r="Q903" s="9">
        <v>19.053000000000001</v>
      </c>
      <c r="R903" s="9"/>
      <c r="S903" s="11"/>
    </row>
    <row r="904" spans="1:19" ht="15.75">
      <c r="A904" s="13">
        <v>69398</v>
      </c>
      <c r="B904" s="8">
        <f>37.9298 * CHOOSE(CONTROL!$C$12, $D$11, 100%, $F$11)</f>
        <v>30.495559200000002</v>
      </c>
      <c r="C904" s="8">
        <f>37.9403 * CHOOSE(CONTROL!$C$12, $D$11, 100%, $F$11)</f>
        <v>30.504001200000001</v>
      </c>
      <c r="D904" s="8">
        <f>37.9224 * CHOOSE( CONTROL!$C$12, $D$11, 100%, $F$11)</f>
        <v>30.489609600000005</v>
      </c>
      <c r="E904" s="12">
        <f>37.9278 * CHOOSE( CONTROL!$C$12, $D$11, 100%, $F$11)</f>
        <v>30.493951200000001</v>
      </c>
      <c r="F904" s="4">
        <f>38.9214 * CHOOSE(CONTROL!$C$12, $D$11, 100%, $F$11)</f>
        <v>31.292805600000001</v>
      </c>
      <c r="G904" s="8">
        <f>36.9813 * CHOOSE( CONTROL!$C$12, $D$11, 100%, $F$11)</f>
        <v>29.732965199999999</v>
      </c>
      <c r="H904" s="4">
        <f>37.8633 * CHOOSE(CONTROL!$C$12, $D$11, 100%, $F$11)</f>
        <v>30.442093200000002</v>
      </c>
      <c r="I904" s="8">
        <f>36.4544 * CHOOSE(CONTROL!$C$12, $D$11, 100%, $F$11)</f>
        <v>29.309337600000003</v>
      </c>
      <c r="J904" s="4">
        <f>36.3396 * CHOOSE(CONTROL!$C$12, $D$11, 100%, $F$11)</f>
        <v>29.2170384</v>
      </c>
      <c r="K904" s="4"/>
      <c r="L904" s="9">
        <v>27.3993</v>
      </c>
      <c r="M904" s="9">
        <v>12.063700000000001</v>
      </c>
      <c r="N904" s="9">
        <v>4.9444999999999997</v>
      </c>
      <c r="O904" s="9">
        <v>0.37459999999999999</v>
      </c>
      <c r="P904" s="9">
        <v>1.2939000000000001</v>
      </c>
      <c r="Q904" s="9">
        <v>19.688099999999999</v>
      </c>
      <c r="R904" s="9"/>
      <c r="S904" s="11"/>
    </row>
    <row r="905" spans="1:19" ht="15.75">
      <c r="A905" s="13">
        <v>69429</v>
      </c>
      <c r="B905" s="8">
        <f>39.3793 * CHOOSE(CONTROL!$C$12, $D$11, 100%, $F$11)</f>
        <v>31.660957200000002</v>
      </c>
      <c r="C905" s="8">
        <f>39.3897 * CHOOSE(CONTROL!$C$12, $D$11, 100%, $F$11)</f>
        <v>31.669318799999999</v>
      </c>
      <c r="D905" s="8">
        <f>39.3874 * CHOOSE( CONTROL!$C$12, $D$11, 100%, $F$11)</f>
        <v>31.6674696</v>
      </c>
      <c r="E905" s="12">
        <f>39.3871 * CHOOSE( CONTROL!$C$12, $D$11, 100%, $F$11)</f>
        <v>31.667228399999999</v>
      </c>
      <c r="F905" s="4">
        <f>40.4022 * CHOOSE(CONTROL!$C$12, $D$11, 100%, $F$11)</f>
        <v>32.483368800000001</v>
      </c>
      <c r="G905" s="8">
        <f>38.4133 * CHOOSE( CONTROL!$C$12, $D$11, 100%, $F$11)</f>
        <v>30.884293200000002</v>
      </c>
      <c r="H905" s="4">
        <f>39.3067 * CHOOSE(CONTROL!$C$12, $D$11, 100%, $F$11)</f>
        <v>31.602586800000001</v>
      </c>
      <c r="I905" s="8">
        <f>37.856 * CHOOSE(CONTROL!$C$12, $D$11, 100%, $F$11)</f>
        <v>30.436224000000003</v>
      </c>
      <c r="J905" s="4">
        <f>37.7285 * CHOOSE(CONTROL!$C$12, $D$11, 100%, $F$11)</f>
        <v>30.333714000000001</v>
      </c>
      <c r="K905" s="4"/>
      <c r="L905" s="9">
        <v>27.3993</v>
      </c>
      <c r="M905" s="9">
        <v>12.063700000000001</v>
      </c>
      <c r="N905" s="9">
        <v>4.9444999999999997</v>
      </c>
      <c r="O905" s="9">
        <v>0.37459999999999999</v>
      </c>
      <c r="P905" s="9">
        <v>1.2939000000000001</v>
      </c>
      <c r="Q905" s="9">
        <v>19.688099999999999</v>
      </c>
      <c r="R905" s="9"/>
      <c r="S905" s="11"/>
    </row>
    <row r="906" spans="1:19" ht="15.75">
      <c r="A906" s="13">
        <v>69457</v>
      </c>
      <c r="B906" s="8">
        <f>36.8338 * CHOOSE(CONTROL!$C$12, $D$11, 100%, $F$11)</f>
        <v>29.614375199999998</v>
      </c>
      <c r="C906" s="8">
        <f>36.8443 * CHOOSE(CONTROL!$C$12, $D$11, 100%, $F$11)</f>
        <v>29.6228172</v>
      </c>
      <c r="D906" s="8">
        <f>36.8442 * CHOOSE( CONTROL!$C$12, $D$11, 100%, $F$11)</f>
        <v>29.622736800000002</v>
      </c>
      <c r="E906" s="12">
        <f>36.8431 * CHOOSE( CONTROL!$C$12, $D$11, 100%, $F$11)</f>
        <v>29.621852400000002</v>
      </c>
      <c r="F906" s="4">
        <f>37.8489 * CHOOSE(CONTROL!$C$12, $D$11, 100%, $F$11)</f>
        <v>30.430515600000003</v>
      </c>
      <c r="G906" s="8">
        <f>35.9319 * CHOOSE( CONTROL!$C$12, $D$11, 100%, $F$11)</f>
        <v>28.889247600000001</v>
      </c>
      <c r="H906" s="4">
        <f>36.8178 * CHOOSE(CONTROL!$C$12, $D$11, 100%, $F$11)</f>
        <v>29.601511200000001</v>
      </c>
      <c r="I906" s="8">
        <f>35.4047 * CHOOSE(CONTROL!$C$12, $D$11, 100%, $F$11)</f>
        <v>28.4653788</v>
      </c>
      <c r="J906" s="4">
        <f>35.2894 * CHOOSE(CONTROL!$C$12, $D$11, 100%, $F$11)</f>
        <v>28.372677600000003</v>
      </c>
      <c r="K906" s="4"/>
      <c r="L906" s="9">
        <v>24.747800000000002</v>
      </c>
      <c r="M906" s="9">
        <v>10.8962</v>
      </c>
      <c r="N906" s="9">
        <v>4.4660000000000002</v>
      </c>
      <c r="O906" s="9">
        <v>0.33829999999999999</v>
      </c>
      <c r="P906" s="9">
        <v>1.1687000000000001</v>
      </c>
      <c r="Q906" s="9">
        <v>17.782800000000002</v>
      </c>
      <c r="R906" s="9"/>
      <c r="S906" s="11"/>
    </row>
    <row r="907" spans="1:19" ht="15.75">
      <c r="A907" s="13">
        <v>69488</v>
      </c>
      <c r="B907" s="8">
        <f>36.0498 * CHOOSE(CONTROL!$C$12, $D$11, 100%, $F$11)</f>
        <v>28.984039200000002</v>
      </c>
      <c r="C907" s="8">
        <f>36.0603 * CHOOSE(CONTROL!$C$12, $D$11, 100%, $F$11)</f>
        <v>28.9924812</v>
      </c>
      <c r="D907" s="8">
        <f>36.0401 * CHOOSE( CONTROL!$C$12, $D$11, 100%, $F$11)</f>
        <v>28.976240400000005</v>
      </c>
      <c r="E907" s="12">
        <f>36.0464 * CHOOSE( CONTROL!$C$12, $D$11, 100%, $F$11)</f>
        <v>28.981305599999999</v>
      </c>
      <c r="F907" s="4">
        <f>37.0487 * CHOOSE(CONTROL!$C$12, $D$11, 100%, $F$11)</f>
        <v>29.7871548</v>
      </c>
      <c r="G907" s="8">
        <f>35.1472 * CHOOSE( CONTROL!$C$12, $D$11, 100%, $F$11)</f>
        <v>28.2583488</v>
      </c>
      <c r="H907" s="4">
        <f>36.0378 * CHOOSE(CONTROL!$C$12, $D$11, 100%, $F$11)</f>
        <v>28.974391199999999</v>
      </c>
      <c r="I907" s="8">
        <f>34.6136 * CHOOSE(CONTROL!$C$12, $D$11, 100%, $F$11)</f>
        <v>27.8293344</v>
      </c>
      <c r="J907" s="4">
        <f>34.5382 * CHOOSE(CONTROL!$C$12, $D$11, 100%, $F$11)</f>
        <v>27.768712800000003</v>
      </c>
      <c r="K907" s="4"/>
      <c r="L907" s="9">
        <v>27.3993</v>
      </c>
      <c r="M907" s="9">
        <v>12.063700000000001</v>
      </c>
      <c r="N907" s="9">
        <v>4.9444999999999997</v>
      </c>
      <c r="O907" s="9">
        <v>0.37459999999999999</v>
      </c>
      <c r="P907" s="9">
        <v>1.2939000000000001</v>
      </c>
      <c r="Q907" s="9">
        <v>19.688099999999999</v>
      </c>
      <c r="R907" s="9"/>
      <c r="S907" s="11"/>
    </row>
    <row r="908" spans="1:19" ht="15.75">
      <c r="A908" s="13">
        <v>69518</v>
      </c>
      <c r="B908" s="8">
        <f>36.5977 * CHOOSE(CONTROL!$C$12, $D$11, 100%, $F$11)</f>
        <v>29.424550800000006</v>
      </c>
      <c r="C908" s="8">
        <f>36.6081 * CHOOSE(CONTROL!$C$12, $D$11, 100%, $F$11)</f>
        <v>29.432912400000003</v>
      </c>
      <c r="D908" s="8">
        <f>36.6113 * CHOOSE( CONTROL!$C$12, $D$11, 100%, $F$11)</f>
        <v>29.435485200000002</v>
      </c>
      <c r="E908" s="12">
        <f>36.6091 * CHOOSE( CONTROL!$C$12, $D$11, 100%, $F$11)</f>
        <v>29.433716400000002</v>
      </c>
      <c r="F908" s="4">
        <f>37.6049 * CHOOSE(CONTROL!$C$12, $D$11, 100%, $F$11)</f>
        <v>30.234339600000002</v>
      </c>
      <c r="G908" s="8">
        <f>35.6691 * CHOOSE( CONTROL!$C$12, $D$11, 100%, $F$11)</f>
        <v>28.677956400000003</v>
      </c>
      <c r="H908" s="4">
        <f>36.5799 * CHOOSE(CONTROL!$C$12, $D$11, 100%, $F$11)</f>
        <v>29.410239600000004</v>
      </c>
      <c r="I908" s="8">
        <f>35.1289 * CHOOSE(CONTROL!$C$12, $D$11, 100%, $F$11)</f>
        <v>28.243635600000005</v>
      </c>
      <c r="J908" s="4">
        <f>35.0631 * CHOOSE(CONTROL!$C$12, $D$11, 100%, $F$11)</f>
        <v>28.190732400000002</v>
      </c>
      <c r="K908" s="4"/>
      <c r="L908" s="9">
        <v>27.988800000000001</v>
      </c>
      <c r="M908" s="9">
        <v>11.6745</v>
      </c>
      <c r="N908" s="9">
        <v>4.7850000000000001</v>
      </c>
      <c r="O908" s="9">
        <v>0.36249999999999999</v>
      </c>
      <c r="P908" s="9">
        <v>1.1798</v>
      </c>
      <c r="Q908" s="9">
        <v>19.053000000000001</v>
      </c>
      <c r="R908" s="9"/>
      <c r="S908" s="11"/>
    </row>
    <row r="909" spans="1:19" ht="15.75">
      <c r="A909" s="13">
        <v>69549</v>
      </c>
      <c r="B909" s="8">
        <f>CHOOSE( CONTROL!$C$29, 37.5774, 37.5727) * CHOOSE(CONTROL!$C$12, $D$11, 100%, $F$11)</f>
        <v>30.212229600000001</v>
      </c>
      <c r="C909" s="8">
        <f>CHOOSE( CONTROL!$C$29, 37.5878, 37.5831) * CHOOSE(CONTROL!$C$12, $D$11, 100%, $F$11)</f>
        <v>30.220591200000001</v>
      </c>
      <c r="D909" s="8">
        <f>CHOOSE( CONTROL!$C$29, 37.5658, 37.5611) * CHOOSE( CONTROL!$C$12, $D$11, 100%, $F$11)</f>
        <v>30.202903200000005</v>
      </c>
      <c r="E909" s="12">
        <f>CHOOSE( CONTROL!$C$29, 37.5722, 37.5675) * CHOOSE( CONTROL!$C$12, $D$11, 100%, $F$11)</f>
        <v>30.208048800000004</v>
      </c>
      <c r="F909" s="4">
        <f>CHOOSE( CONTROL!$C$29, 38.5523, 38.5476) * CHOOSE(CONTROL!$C$12, $D$11, 100%, $F$11)</f>
        <v>30.996049200000005</v>
      </c>
      <c r="G909" s="8">
        <f>CHOOSE( CONTROL!$C$29, 36.6054, 36.6008) * CHOOSE( CONTROL!$C$12, $D$11, 100%, $F$11)</f>
        <v>29.430741600000005</v>
      </c>
      <c r="H909" s="4">
        <f>CHOOSE( CONTROL!$C$29, 37.5034, 37.4988) * CHOOSE(CONTROL!$C$12, $D$11, 100%, $F$11)</f>
        <v>30.152733600000001</v>
      </c>
      <c r="I909" s="8">
        <f>CHOOSE( CONTROL!$C$29, 36.0466, 36.0421) * CHOOSE(CONTROL!$C$12, $D$11, 100%, $F$11)</f>
        <v>28.981466399999999</v>
      </c>
      <c r="J909" s="4">
        <f>CHOOSE( CONTROL!$C$29, 36.0019, 35.9974) * CHOOSE(CONTROL!$C$12, $D$11, 100%, $F$11)</f>
        <v>28.945527600000002</v>
      </c>
      <c r="K909" s="4"/>
      <c r="L909" s="9">
        <v>29.520499999999998</v>
      </c>
      <c r="M909" s="9">
        <v>12.063700000000001</v>
      </c>
      <c r="N909" s="9">
        <v>4.9444999999999997</v>
      </c>
      <c r="O909" s="9">
        <v>0.37459999999999999</v>
      </c>
      <c r="P909" s="9">
        <v>1.2192000000000001</v>
      </c>
      <c r="Q909" s="9">
        <v>19.688099999999999</v>
      </c>
      <c r="R909" s="9"/>
      <c r="S909" s="11"/>
    </row>
    <row r="910" spans="1:19" ht="15.75">
      <c r="A910" s="13">
        <v>69579</v>
      </c>
      <c r="B910" s="8">
        <f>CHOOSE( CONTROL!$C$29, 36.9734, 36.9687) * CHOOSE(CONTROL!$C$12, $D$11, 100%, $F$11)</f>
        <v>29.7266136</v>
      </c>
      <c r="C910" s="8">
        <f>CHOOSE( CONTROL!$C$29, 36.9838, 36.9791) * CHOOSE(CONTROL!$C$12, $D$11, 100%, $F$11)</f>
        <v>29.734975200000004</v>
      </c>
      <c r="D910" s="8">
        <f>CHOOSE( CONTROL!$C$29, 36.9562, 36.9515) * CHOOSE( CONTROL!$C$12, $D$11, 100%, $F$11)</f>
        <v>29.712784800000005</v>
      </c>
      <c r="E910" s="12">
        <f>CHOOSE( CONTROL!$C$29, 36.9646, 36.9599) * CHOOSE( CONTROL!$C$12, $D$11, 100%, $F$11)</f>
        <v>29.719538400000001</v>
      </c>
      <c r="F910" s="4">
        <f>CHOOSE( CONTROL!$C$29, 37.9379, 37.9332) * CHOOSE(CONTROL!$C$12, $D$11, 100%, $F$11)</f>
        <v>30.502071600000001</v>
      </c>
      <c r="G910" s="8">
        <f>CHOOSE( CONTROL!$C$29, 36.0154, 36.0108) * CHOOSE( CONTROL!$C$12, $D$11, 100%, $F$11)</f>
        <v>28.9563816</v>
      </c>
      <c r="H910" s="4">
        <f>CHOOSE( CONTROL!$C$29, 36.9045, 36.8999) * CHOOSE(CONTROL!$C$12, $D$11, 100%, $F$11)</f>
        <v>29.671218</v>
      </c>
      <c r="I910" s="8">
        <f>CHOOSE( CONTROL!$C$29, 35.4697, 35.4652) * CHOOSE(CONTROL!$C$12, $D$11, 100%, $F$11)</f>
        <v>28.517638800000004</v>
      </c>
      <c r="J910" s="4">
        <f>CHOOSE( CONTROL!$C$29, 35.4232, 35.4187) * CHOOSE(CONTROL!$C$12, $D$11, 100%, $F$11)</f>
        <v>28.480252800000002</v>
      </c>
      <c r="K910" s="4"/>
      <c r="L910" s="9">
        <v>28.568200000000001</v>
      </c>
      <c r="M910" s="9">
        <v>11.6745</v>
      </c>
      <c r="N910" s="9">
        <v>4.7850000000000001</v>
      </c>
      <c r="O910" s="9">
        <v>0.36249999999999999</v>
      </c>
      <c r="P910" s="9">
        <v>1.1798</v>
      </c>
      <c r="Q910" s="9">
        <v>19.053000000000001</v>
      </c>
      <c r="R910" s="9"/>
      <c r="S910" s="11"/>
    </row>
    <row r="911" spans="1:19" ht="15.75">
      <c r="A911" s="13">
        <v>69610</v>
      </c>
      <c r="B911" s="8">
        <f>CHOOSE( CONTROL!$C$29, 38.564, 38.5593) * CHOOSE(CONTROL!$C$12, $D$11, 100%, $F$11)</f>
        <v>31.005456000000002</v>
      </c>
      <c r="C911" s="8">
        <f>CHOOSE( CONTROL!$C$29, 38.5744, 38.5697) * CHOOSE(CONTROL!$C$12, $D$11, 100%, $F$11)</f>
        <v>31.013817599999999</v>
      </c>
      <c r="D911" s="8">
        <f>CHOOSE( CONTROL!$C$29, 38.566, 38.5613) * CHOOSE( CONTROL!$C$12, $D$11, 100%, $F$11)</f>
        <v>31.007064000000003</v>
      </c>
      <c r="E911" s="12">
        <f>CHOOSE( CONTROL!$C$29, 38.5675, 38.5628) * CHOOSE( CONTROL!$C$12, $D$11, 100%, $F$11)</f>
        <v>31.008270000000003</v>
      </c>
      <c r="F911" s="4">
        <f>CHOOSE( CONTROL!$C$29, 39.5556, 39.5509) * CHOOSE(CONTROL!$C$12, $D$11, 100%, $F$11)</f>
        <v>31.802702400000001</v>
      </c>
      <c r="G911" s="8">
        <f>CHOOSE( CONTROL!$C$29, 37.5785, 37.574) * CHOOSE( CONTROL!$C$12, $D$11, 100%, $F$11)</f>
        <v>30.213114000000001</v>
      </c>
      <c r="H911" s="4">
        <f>CHOOSE( CONTROL!$C$29, 38.4814, 38.4768) * CHOOSE(CONTROL!$C$12, $D$11, 100%, $F$11)</f>
        <v>30.939045600000004</v>
      </c>
      <c r="I911" s="8">
        <f>CHOOSE( CONTROL!$C$29, 37.0173, 37.0128) * CHOOSE(CONTROL!$C$12, $D$11, 100%, $F$11)</f>
        <v>29.761909200000002</v>
      </c>
      <c r="J911" s="4">
        <f>CHOOSE( CONTROL!$C$29, 36.9472, 36.9427) * CHOOSE(CONTROL!$C$12, $D$11, 100%, $F$11)</f>
        <v>29.705548800000003</v>
      </c>
      <c r="K911" s="4"/>
      <c r="L911" s="9">
        <v>29.520499999999998</v>
      </c>
      <c r="M911" s="9">
        <v>12.063700000000001</v>
      </c>
      <c r="N911" s="9">
        <v>4.9444999999999997</v>
      </c>
      <c r="O911" s="9">
        <v>0.37459999999999999</v>
      </c>
      <c r="P911" s="9">
        <v>1.2192000000000001</v>
      </c>
      <c r="Q911" s="9">
        <v>19.688099999999999</v>
      </c>
      <c r="R911" s="9"/>
      <c r="S911" s="11"/>
    </row>
    <row r="912" spans="1:19" ht="15.75">
      <c r="A912" s="13">
        <v>69641</v>
      </c>
      <c r="B912" s="8">
        <f>CHOOSE( CONTROL!$C$29, 35.5879, 35.5832) * CHOOSE(CONTROL!$C$12, $D$11, 100%, $F$11)</f>
        <v>28.612671599999999</v>
      </c>
      <c r="C912" s="8">
        <f>CHOOSE( CONTROL!$C$29, 35.5983, 35.5936) * CHOOSE(CONTROL!$C$12, $D$11, 100%, $F$11)</f>
        <v>28.621033200000003</v>
      </c>
      <c r="D912" s="8">
        <f>CHOOSE( CONTROL!$C$29, 35.5932, 35.5885) * CHOOSE( CONTROL!$C$12, $D$11, 100%, $F$11)</f>
        <v>28.616932800000004</v>
      </c>
      <c r="E912" s="12">
        <f>CHOOSE( CONTROL!$C$29, 35.5935, 35.5888) * CHOOSE( CONTROL!$C$12, $D$11, 100%, $F$11)</f>
        <v>28.617174000000002</v>
      </c>
      <c r="F912" s="4">
        <f>CHOOSE( CONTROL!$C$29, 36.5847, 36.58) * CHOOSE(CONTROL!$C$12, $D$11, 100%, $F$11)</f>
        <v>29.414098800000001</v>
      </c>
      <c r="G912" s="8">
        <f>CHOOSE( CONTROL!$C$29, 34.6796, 34.675) * CHOOSE( CONTROL!$C$12, $D$11, 100%, $F$11)</f>
        <v>27.882398400000003</v>
      </c>
      <c r="H912" s="4">
        <f>CHOOSE( CONTROL!$C$29, 35.5854, 35.5809) * CHOOSE(CONTROL!$C$12, $D$11, 100%, $F$11)</f>
        <v>28.6106616</v>
      </c>
      <c r="I912" s="8">
        <f>CHOOSE( CONTROL!$C$29, 34.1688, 34.1643) * CHOOSE(CONTROL!$C$12, $D$11, 100%, $F$11)</f>
        <v>27.471715199999998</v>
      </c>
      <c r="J912" s="4">
        <f>CHOOSE( CONTROL!$C$29, 34.0955, 34.091) * CHOOSE(CONTROL!$C$12, $D$11, 100%, $F$11)</f>
        <v>27.412782000000004</v>
      </c>
      <c r="K912" s="4"/>
      <c r="L912" s="9">
        <v>29.520499999999998</v>
      </c>
      <c r="M912" s="9">
        <v>12.063700000000001</v>
      </c>
      <c r="N912" s="9">
        <v>4.9444999999999997</v>
      </c>
      <c r="O912" s="9">
        <v>0.37459999999999999</v>
      </c>
      <c r="P912" s="9">
        <v>1.2192000000000001</v>
      </c>
      <c r="Q912" s="9">
        <v>19.688099999999999</v>
      </c>
      <c r="R912" s="9"/>
      <c r="S912" s="11"/>
    </row>
    <row r="913" spans="1:19" ht="15.75">
      <c r="A913" s="13">
        <v>69671</v>
      </c>
      <c r="B913" s="8">
        <f>CHOOSE( CONTROL!$C$29, 34.8426, 34.8379) * CHOOSE(CONTROL!$C$12, $D$11, 100%, $F$11)</f>
        <v>28.0134504</v>
      </c>
      <c r="C913" s="8">
        <f>CHOOSE( CONTROL!$C$29, 34.853, 34.8483) * CHOOSE(CONTROL!$C$12, $D$11, 100%, $F$11)</f>
        <v>28.021812000000004</v>
      </c>
      <c r="D913" s="8">
        <f>CHOOSE( CONTROL!$C$29, 34.8437, 34.839) * CHOOSE( CONTROL!$C$12, $D$11, 100%, $F$11)</f>
        <v>28.0143348</v>
      </c>
      <c r="E913" s="12">
        <f>CHOOSE( CONTROL!$C$29, 34.8455, 34.8408) * CHOOSE( CONTROL!$C$12, $D$11, 100%, $F$11)</f>
        <v>28.015782000000002</v>
      </c>
      <c r="F913" s="4">
        <f>CHOOSE( CONTROL!$C$29, 35.8316, 35.8269) * CHOOSE(CONTROL!$C$12, $D$11, 100%, $F$11)</f>
        <v>28.808606400000002</v>
      </c>
      <c r="G913" s="8">
        <f>CHOOSE( CONTROL!$C$29, 33.9519, 33.9473) * CHOOSE( CONTROL!$C$12, $D$11, 100%, $F$11)</f>
        <v>27.297327600000003</v>
      </c>
      <c r="H913" s="4">
        <f>CHOOSE( CONTROL!$C$29, 34.8514, 34.8468) * CHOOSE(CONTROL!$C$12, $D$11, 100%, $F$11)</f>
        <v>28.020525599999999</v>
      </c>
      <c r="I913" s="8">
        <f>CHOOSE( CONTROL!$C$29, 33.4557, 33.4512) * CHOOSE(CONTROL!$C$12, $D$11, 100%, $F$11)</f>
        <v>26.8983828</v>
      </c>
      <c r="J913" s="4">
        <f>CHOOSE( CONTROL!$C$29, 33.3814, 33.3769) * CHOOSE(CONTROL!$C$12, $D$11, 100%, $F$11)</f>
        <v>26.8386456</v>
      </c>
      <c r="K913" s="4"/>
      <c r="L913" s="9">
        <v>28.568200000000001</v>
      </c>
      <c r="M913" s="9">
        <v>11.6745</v>
      </c>
      <c r="N913" s="9">
        <v>4.7850000000000001</v>
      </c>
      <c r="O913" s="9">
        <v>0.36249999999999999</v>
      </c>
      <c r="P913" s="9">
        <v>1.1798</v>
      </c>
      <c r="Q913" s="9">
        <v>19.053000000000001</v>
      </c>
      <c r="R913" s="9"/>
      <c r="S913" s="11"/>
    </row>
    <row r="914" spans="1:19" ht="15.75">
      <c r="A914" s="13">
        <v>69702</v>
      </c>
      <c r="B914" s="8">
        <f>36.3853 * CHOOSE(CONTROL!$C$12, $D$11, 100%, $F$11)</f>
        <v>29.253781200000002</v>
      </c>
      <c r="C914" s="8">
        <f>36.3957 * CHOOSE(CONTROL!$C$12, $D$11, 100%, $F$11)</f>
        <v>29.262142799999999</v>
      </c>
      <c r="D914" s="8">
        <f>36.3873 * CHOOSE( CONTROL!$C$12, $D$11, 100%, $F$11)</f>
        <v>29.255389200000003</v>
      </c>
      <c r="E914" s="12">
        <f>36.389 * CHOOSE( CONTROL!$C$12, $D$11, 100%, $F$11)</f>
        <v>29.256756000000003</v>
      </c>
      <c r="F914" s="4">
        <f>37.3743 * CHOOSE(CONTROL!$C$12, $D$11, 100%, $F$11)</f>
        <v>30.048937200000001</v>
      </c>
      <c r="G914" s="8">
        <f>35.4553 * CHOOSE( CONTROL!$C$12, $D$11, 100%, $F$11)</f>
        <v>28.506061200000001</v>
      </c>
      <c r="H914" s="4">
        <f>36.3551 * CHOOSE(CONTROL!$C$12, $D$11, 100%, $F$11)</f>
        <v>29.229500400000003</v>
      </c>
      <c r="I914" s="8">
        <f>34.9367 * CHOOSE(CONTROL!$C$12, $D$11, 100%, $F$11)</f>
        <v>28.089106800000003</v>
      </c>
      <c r="J914" s="4">
        <f>34.8596 * CHOOSE(CONTROL!$C$12, $D$11, 100%, $F$11)</f>
        <v>28.027118400000003</v>
      </c>
      <c r="K914" s="4"/>
      <c r="L914" s="9">
        <v>28.921800000000001</v>
      </c>
      <c r="M914" s="9">
        <v>12.063700000000001</v>
      </c>
      <c r="N914" s="9">
        <v>4.9444999999999997</v>
      </c>
      <c r="O914" s="9">
        <v>0.37459999999999999</v>
      </c>
      <c r="P914" s="9">
        <v>1.2192000000000001</v>
      </c>
      <c r="Q914" s="9">
        <v>19.688099999999999</v>
      </c>
      <c r="R914" s="9"/>
      <c r="S914" s="11"/>
    </row>
    <row r="915" spans="1:19" ht="15.75">
      <c r="A915" s="13">
        <v>69732</v>
      </c>
      <c r="B915" s="8">
        <f>39.2415 * CHOOSE(CONTROL!$C$12, $D$11, 100%, $F$11)</f>
        <v>31.550166000000004</v>
      </c>
      <c r="C915" s="8">
        <f>39.2519 * CHOOSE(CONTROL!$C$12, $D$11, 100%, $F$11)</f>
        <v>31.558527600000001</v>
      </c>
      <c r="D915" s="8">
        <f>39.2322 * CHOOSE( CONTROL!$C$12, $D$11, 100%, $F$11)</f>
        <v>31.542688800000001</v>
      </c>
      <c r="E915" s="12">
        <f>39.2383 * CHOOSE( CONTROL!$C$12, $D$11, 100%, $F$11)</f>
        <v>31.547593200000005</v>
      </c>
      <c r="F915" s="4">
        <f>40.2331 * CHOOSE(CONTROL!$C$12, $D$11, 100%, $F$11)</f>
        <v>32.347412400000003</v>
      </c>
      <c r="G915" s="8">
        <f>38.2584 * CHOOSE( CONTROL!$C$12, $D$11, 100%, $F$11)</f>
        <v>30.759753600000003</v>
      </c>
      <c r="H915" s="4">
        <f>39.1418 * CHOOSE(CONTROL!$C$12, $D$11, 100%, $F$11)</f>
        <v>31.470007200000005</v>
      </c>
      <c r="I915" s="8">
        <f>37.705 * CHOOSE(CONTROL!$C$12, $D$11, 100%, $F$11)</f>
        <v>30.314820000000001</v>
      </c>
      <c r="J915" s="4">
        <f>37.5964 * CHOOSE(CONTROL!$C$12, $D$11, 100%, $F$11)</f>
        <v>30.227505600000004</v>
      </c>
      <c r="K915" s="4"/>
      <c r="L915" s="9">
        <v>26.515499999999999</v>
      </c>
      <c r="M915" s="9">
        <v>11.6745</v>
      </c>
      <c r="N915" s="9">
        <v>4.7850000000000001</v>
      </c>
      <c r="O915" s="9">
        <v>0.36249999999999999</v>
      </c>
      <c r="P915" s="9">
        <v>1.2522</v>
      </c>
      <c r="Q915" s="9">
        <v>19.053000000000001</v>
      </c>
      <c r="R915" s="9"/>
      <c r="S915" s="11"/>
    </row>
    <row r="916" spans="1:19" ht="15.75">
      <c r="A916" s="13">
        <v>69763</v>
      </c>
      <c r="B916" s="8">
        <f>39.1701 * CHOOSE(CONTROL!$C$12, $D$11, 100%, $F$11)</f>
        <v>31.492760400000002</v>
      </c>
      <c r="C916" s="8">
        <f>39.1806 * CHOOSE(CONTROL!$C$12, $D$11, 100%, $F$11)</f>
        <v>31.5012024</v>
      </c>
      <c r="D916" s="8">
        <f>39.1627 * CHOOSE( CONTROL!$C$12, $D$11, 100%, $F$11)</f>
        <v>31.486810800000004</v>
      </c>
      <c r="E916" s="12">
        <f>39.1681 * CHOOSE( CONTROL!$C$12, $D$11, 100%, $F$11)</f>
        <v>31.491152400000004</v>
      </c>
      <c r="F916" s="4">
        <f>40.1617 * CHOOSE(CONTROL!$C$12, $D$11, 100%, $F$11)</f>
        <v>32.290006800000008</v>
      </c>
      <c r="G916" s="8">
        <f>38.1903 * CHOOSE( CONTROL!$C$12, $D$11, 100%, $F$11)</f>
        <v>30.705001200000002</v>
      </c>
      <c r="H916" s="4">
        <f>39.0723 * CHOOSE(CONTROL!$C$12, $D$11, 100%, $F$11)</f>
        <v>31.414129200000001</v>
      </c>
      <c r="I916" s="8">
        <f>37.6435 * CHOOSE(CONTROL!$C$12, $D$11, 100%, $F$11)</f>
        <v>30.265374000000005</v>
      </c>
      <c r="J916" s="4">
        <f>37.5281 * CHOOSE(CONTROL!$C$12, $D$11, 100%, $F$11)</f>
        <v>30.172592400000003</v>
      </c>
      <c r="K916" s="4"/>
      <c r="L916" s="9">
        <v>27.3993</v>
      </c>
      <c r="M916" s="9">
        <v>12.063700000000001</v>
      </c>
      <c r="N916" s="9">
        <v>4.9444999999999997</v>
      </c>
      <c r="O916" s="9">
        <v>0.37459999999999999</v>
      </c>
      <c r="P916" s="9">
        <v>1.2939000000000001</v>
      </c>
      <c r="Q916" s="9">
        <v>19.688099999999999</v>
      </c>
      <c r="R916" s="9"/>
      <c r="S916" s="11"/>
    </row>
    <row r="917" spans="1:19" ht="15.75">
      <c r="A917" s="13">
        <v>69794</v>
      </c>
      <c r="B917" s="8">
        <f>40.667 * CHOOSE(CONTROL!$C$12, $D$11, 100%, $F$11)</f>
        <v>32.696268000000003</v>
      </c>
      <c r="C917" s="8">
        <f>40.6774 * CHOOSE(CONTROL!$C$12, $D$11, 100%, $F$11)</f>
        <v>32.704629600000004</v>
      </c>
      <c r="D917" s="8">
        <f>40.6751 * CHOOSE( CONTROL!$C$12, $D$11, 100%, $F$11)</f>
        <v>32.702780400000002</v>
      </c>
      <c r="E917" s="12">
        <f>40.6748 * CHOOSE( CONTROL!$C$12, $D$11, 100%, $F$11)</f>
        <v>32.702539199999997</v>
      </c>
      <c r="F917" s="4">
        <f>41.6899 * CHOOSE(CONTROL!$C$12, $D$11, 100%, $F$11)</f>
        <v>33.518679600000006</v>
      </c>
      <c r="G917" s="8">
        <f>39.6685 * CHOOSE( CONTROL!$C$12, $D$11, 100%, $F$11)</f>
        <v>31.893474000000005</v>
      </c>
      <c r="H917" s="4">
        <f>40.5619 * CHOOSE(CONTROL!$C$12, $D$11, 100%, $F$11)</f>
        <v>32.6117676</v>
      </c>
      <c r="I917" s="8">
        <f>39.0904 * CHOOSE(CONTROL!$C$12, $D$11, 100%, $F$11)</f>
        <v>31.428681600000004</v>
      </c>
      <c r="J917" s="4">
        <f>38.9624 * CHOOSE(CONTROL!$C$12, $D$11, 100%, $F$11)</f>
        <v>31.325769600000005</v>
      </c>
      <c r="K917" s="4"/>
      <c r="L917" s="9">
        <v>27.3993</v>
      </c>
      <c r="M917" s="9">
        <v>12.063700000000001</v>
      </c>
      <c r="N917" s="9">
        <v>4.9444999999999997</v>
      </c>
      <c r="O917" s="9">
        <v>0.37459999999999999</v>
      </c>
      <c r="P917" s="9">
        <v>1.2939000000000001</v>
      </c>
      <c r="Q917" s="9">
        <v>19.688099999999999</v>
      </c>
      <c r="R917" s="9"/>
      <c r="S917" s="11"/>
    </row>
    <row r="918" spans="1:19" ht="15.75">
      <c r="A918" s="13">
        <v>69822</v>
      </c>
      <c r="B918" s="8">
        <f>38.0383 * CHOOSE(CONTROL!$C$12, $D$11, 100%, $F$11)</f>
        <v>30.582793200000001</v>
      </c>
      <c r="C918" s="8">
        <f>38.0487 * CHOOSE(CONTROL!$C$12, $D$11, 100%, $F$11)</f>
        <v>30.591154799999998</v>
      </c>
      <c r="D918" s="8">
        <f>38.0487 * CHOOSE( CONTROL!$C$12, $D$11, 100%, $F$11)</f>
        <v>30.591154799999998</v>
      </c>
      <c r="E918" s="12">
        <f>38.0476 * CHOOSE( CONTROL!$C$12, $D$11, 100%, $F$11)</f>
        <v>30.590270400000005</v>
      </c>
      <c r="F918" s="4">
        <f>39.0533 * CHOOSE(CONTROL!$C$12, $D$11, 100%, $F$11)</f>
        <v>31.398853200000001</v>
      </c>
      <c r="G918" s="8">
        <f>37.1059 * CHOOSE( CONTROL!$C$12, $D$11, 100%, $F$11)</f>
        <v>29.8331436</v>
      </c>
      <c r="H918" s="4">
        <f>37.9918 * CHOOSE(CONTROL!$C$12, $D$11, 100%, $F$11)</f>
        <v>30.5454072</v>
      </c>
      <c r="I918" s="8">
        <f>36.5594 * CHOOSE(CONTROL!$C$12, $D$11, 100%, $F$11)</f>
        <v>29.393757600000001</v>
      </c>
      <c r="J918" s="4">
        <f>36.4435 * CHOOSE(CONTROL!$C$12, $D$11, 100%, $F$11)</f>
        <v>29.300574000000001</v>
      </c>
      <c r="K918" s="4"/>
      <c r="L918" s="9">
        <v>24.747800000000002</v>
      </c>
      <c r="M918" s="9">
        <v>10.8962</v>
      </c>
      <c r="N918" s="9">
        <v>4.4660000000000002</v>
      </c>
      <c r="O918" s="9">
        <v>0.33829999999999999</v>
      </c>
      <c r="P918" s="9">
        <v>1.1687000000000001</v>
      </c>
      <c r="Q918" s="9">
        <v>17.782800000000002</v>
      </c>
      <c r="R918" s="9"/>
      <c r="S918" s="11"/>
    </row>
    <row r="919" spans="1:19" ht="15.75">
      <c r="A919" s="13">
        <v>69853</v>
      </c>
      <c r="B919" s="8">
        <f>37.2286 * CHOOSE(CONTROL!$C$12, $D$11, 100%, $F$11)</f>
        <v>29.931794400000001</v>
      </c>
      <c r="C919" s="8">
        <f>37.2391 * CHOOSE(CONTROL!$C$12, $D$11, 100%, $F$11)</f>
        <v>29.940236400000003</v>
      </c>
      <c r="D919" s="8">
        <f>37.2189 * CHOOSE( CONTROL!$C$12, $D$11, 100%, $F$11)</f>
        <v>29.923995600000001</v>
      </c>
      <c r="E919" s="12">
        <f>37.2252 * CHOOSE( CONTROL!$C$12, $D$11, 100%, $F$11)</f>
        <v>29.929060800000002</v>
      </c>
      <c r="F919" s="4">
        <f>38.2275 * CHOOSE(CONTROL!$C$12, $D$11, 100%, $F$11)</f>
        <v>30.734910000000003</v>
      </c>
      <c r="G919" s="8">
        <f>36.2962 * CHOOSE( CONTROL!$C$12, $D$11, 100%, $F$11)</f>
        <v>29.1821448</v>
      </c>
      <c r="H919" s="4">
        <f>37.1869 * CHOOSE(CONTROL!$C$12, $D$11, 100%, $F$11)</f>
        <v>29.898267600000004</v>
      </c>
      <c r="I919" s="8">
        <f>35.7437 * CHOOSE(CONTROL!$C$12, $D$11, 100%, $F$11)</f>
        <v>28.737934799999998</v>
      </c>
      <c r="J919" s="4">
        <f>35.6677 * CHOOSE(CONTROL!$C$12, $D$11, 100%, $F$11)</f>
        <v>28.676830800000005</v>
      </c>
      <c r="K919" s="4"/>
      <c r="L919" s="9">
        <v>27.3993</v>
      </c>
      <c r="M919" s="9">
        <v>12.063700000000001</v>
      </c>
      <c r="N919" s="9">
        <v>4.9444999999999997</v>
      </c>
      <c r="O919" s="9">
        <v>0.37459999999999999</v>
      </c>
      <c r="P919" s="9">
        <v>1.2939000000000001</v>
      </c>
      <c r="Q919" s="9">
        <v>19.688099999999999</v>
      </c>
      <c r="R919" s="9"/>
      <c r="S919" s="11"/>
    </row>
    <row r="920" spans="1:19" ht="15.75">
      <c r="A920" s="13">
        <v>69883</v>
      </c>
      <c r="B920" s="8">
        <f>37.7944 * CHOOSE(CONTROL!$C$12, $D$11, 100%, $F$11)</f>
        <v>30.386697600000005</v>
      </c>
      <c r="C920" s="8">
        <f>37.8048 * CHOOSE(CONTROL!$C$12, $D$11, 100%, $F$11)</f>
        <v>30.395059200000002</v>
      </c>
      <c r="D920" s="8">
        <f>37.808 * CHOOSE( CONTROL!$C$12, $D$11, 100%, $F$11)</f>
        <v>30.397632000000002</v>
      </c>
      <c r="E920" s="12">
        <f>37.8058 * CHOOSE( CONTROL!$C$12, $D$11, 100%, $F$11)</f>
        <v>30.395863200000001</v>
      </c>
      <c r="F920" s="4">
        <f>38.8016 * CHOOSE(CONTROL!$C$12, $D$11, 100%, $F$11)</f>
        <v>31.196486400000001</v>
      </c>
      <c r="G920" s="8">
        <f>36.8356 * CHOOSE( CONTROL!$C$12, $D$11, 100%, $F$11)</f>
        <v>29.615822400000003</v>
      </c>
      <c r="H920" s="4">
        <f>37.7465 * CHOOSE(CONTROL!$C$12, $D$11, 100%, $F$11)</f>
        <v>30.348185999999998</v>
      </c>
      <c r="I920" s="8">
        <f>36.2762 * CHOOSE(CONTROL!$C$12, $D$11, 100%, $F$11)</f>
        <v>29.166064800000004</v>
      </c>
      <c r="J920" s="4">
        <f>36.2098 * CHOOSE(CONTROL!$C$12, $D$11, 100%, $F$11)</f>
        <v>29.112679200000002</v>
      </c>
      <c r="K920" s="4"/>
      <c r="L920" s="9">
        <v>27.988800000000001</v>
      </c>
      <c r="M920" s="9">
        <v>11.6745</v>
      </c>
      <c r="N920" s="9">
        <v>4.7850000000000001</v>
      </c>
      <c r="O920" s="9">
        <v>0.36249999999999999</v>
      </c>
      <c r="P920" s="9">
        <v>1.1798</v>
      </c>
      <c r="Q920" s="9">
        <v>19.053000000000001</v>
      </c>
      <c r="R920" s="9"/>
      <c r="S920" s="11"/>
    </row>
    <row r="921" spans="1:19" ht="15.75">
      <c r="A921" s="13">
        <v>69914</v>
      </c>
      <c r="B921" s="8">
        <f>CHOOSE( CONTROL!$C$29, 38.806, 38.8013) * CHOOSE(CONTROL!$C$12, $D$11, 100%, $F$11)</f>
        <v>31.200023999999999</v>
      </c>
      <c r="C921" s="8">
        <f>CHOOSE( CONTROL!$C$29, 38.8164, 38.8117) * CHOOSE(CONTROL!$C$12, $D$11, 100%, $F$11)</f>
        <v>31.208385600000003</v>
      </c>
      <c r="D921" s="8">
        <f>CHOOSE( CONTROL!$C$29, 38.7944, 38.7897) * CHOOSE( CONTROL!$C$12, $D$11, 100%, $F$11)</f>
        <v>31.190697600000004</v>
      </c>
      <c r="E921" s="12">
        <f>CHOOSE( CONTROL!$C$29, 38.8008, 38.7961) * CHOOSE( CONTROL!$C$12, $D$11, 100%, $F$11)</f>
        <v>31.195843200000002</v>
      </c>
      <c r="F921" s="4">
        <f>CHOOSE( CONTROL!$C$29, 39.7809, 39.7762) * CHOOSE(CONTROL!$C$12, $D$11, 100%, $F$11)</f>
        <v>31.983843600000004</v>
      </c>
      <c r="G921" s="8">
        <f>CHOOSE( CONTROL!$C$29, 37.803, 37.7985) * CHOOSE( CONTROL!$C$12, $D$11, 100%, $F$11)</f>
        <v>30.393612000000001</v>
      </c>
      <c r="H921" s="4">
        <f>CHOOSE( CONTROL!$C$29, 38.701, 38.6965) * CHOOSE(CONTROL!$C$12, $D$11, 100%, $F$11)</f>
        <v>31.115604000000001</v>
      </c>
      <c r="I921" s="8">
        <f>CHOOSE( CONTROL!$C$29, 37.2245, 37.2199) * CHOOSE(CONTROL!$C$12, $D$11, 100%, $F$11)</f>
        <v>29.928498000000001</v>
      </c>
      <c r="J921" s="4">
        <f>CHOOSE( CONTROL!$C$29, 37.1792, 37.1747) * CHOOSE(CONTROL!$C$12, $D$11, 100%, $F$11)</f>
        <v>29.892076800000002</v>
      </c>
      <c r="K921" s="4"/>
      <c r="L921" s="9">
        <v>29.520499999999998</v>
      </c>
      <c r="M921" s="9">
        <v>12.063700000000001</v>
      </c>
      <c r="N921" s="9">
        <v>4.9444999999999997</v>
      </c>
      <c r="O921" s="9">
        <v>0.37459999999999999</v>
      </c>
      <c r="P921" s="9">
        <v>1.2192000000000001</v>
      </c>
      <c r="Q921" s="9">
        <v>19.688099999999999</v>
      </c>
      <c r="R921" s="9"/>
      <c r="S921" s="11"/>
    </row>
    <row r="922" spans="1:19" ht="15.75">
      <c r="A922" s="13">
        <v>69944</v>
      </c>
      <c r="B922" s="8">
        <f>CHOOSE( CONTROL!$C$29, 38.1823, 38.1776) * CHOOSE(CONTROL!$C$12, $D$11, 100%, $F$11)</f>
        <v>30.698569200000001</v>
      </c>
      <c r="C922" s="8">
        <f>CHOOSE( CONTROL!$C$29, 38.1927, 38.188) * CHOOSE(CONTROL!$C$12, $D$11, 100%, $F$11)</f>
        <v>30.706930800000002</v>
      </c>
      <c r="D922" s="8">
        <f>CHOOSE( CONTROL!$C$29, 38.1651, 38.1603) * CHOOSE( CONTROL!$C$12, $D$11, 100%, $F$11)</f>
        <v>30.684740400000003</v>
      </c>
      <c r="E922" s="12">
        <f>CHOOSE( CONTROL!$C$29, 38.1735, 38.1688) * CHOOSE( CONTROL!$C$12, $D$11, 100%, $F$11)</f>
        <v>30.691493999999999</v>
      </c>
      <c r="F922" s="4">
        <f>CHOOSE( CONTROL!$C$29, 39.1467, 39.142) * CHOOSE(CONTROL!$C$12, $D$11, 100%, $F$11)</f>
        <v>31.473946800000004</v>
      </c>
      <c r="G922" s="8">
        <f>CHOOSE( CONTROL!$C$29, 37.1938, 37.1892) * CHOOSE( CONTROL!$C$12, $D$11, 100%, $F$11)</f>
        <v>29.903815200000004</v>
      </c>
      <c r="H922" s="4">
        <f>CHOOSE( CONTROL!$C$29, 38.0829, 38.0783) * CHOOSE(CONTROL!$C$12, $D$11, 100%, $F$11)</f>
        <v>30.618651600000003</v>
      </c>
      <c r="I922" s="8">
        <f>CHOOSE( CONTROL!$C$29, 36.6286, 36.6241) * CHOOSE(CONTROL!$C$12, $D$11, 100%, $F$11)</f>
        <v>29.449394399999999</v>
      </c>
      <c r="J922" s="4">
        <f>CHOOSE( CONTROL!$C$29, 36.5815, 36.577) * CHOOSE(CONTROL!$C$12, $D$11, 100%, $F$11)</f>
        <v>29.411526000000002</v>
      </c>
      <c r="K922" s="4"/>
      <c r="L922" s="9">
        <v>28.568200000000001</v>
      </c>
      <c r="M922" s="9">
        <v>11.6745</v>
      </c>
      <c r="N922" s="9">
        <v>4.7850000000000001</v>
      </c>
      <c r="O922" s="9">
        <v>0.36249999999999999</v>
      </c>
      <c r="P922" s="9">
        <v>1.1798</v>
      </c>
      <c r="Q922" s="9">
        <v>19.053000000000001</v>
      </c>
      <c r="R922" s="9"/>
      <c r="S922" s="11"/>
    </row>
    <row r="923" spans="1:19" ht="15.75">
      <c r="A923" s="13">
        <v>69975</v>
      </c>
      <c r="B923" s="8">
        <f>CHOOSE( CONTROL!$C$29, 39.8248, 39.8201) * CHOOSE(CONTROL!$C$12, $D$11, 100%, $F$11)</f>
        <v>32.019139200000005</v>
      </c>
      <c r="C923" s="8">
        <f>CHOOSE( CONTROL!$C$29, 39.8353, 39.8306) * CHOOSE(CONTROL!$C$12, $D$11, 100%, $F$11)</f>
        <v>32.0275812</v>
      </c>
      <c r="D923" s="8">
        <f>CHOOSE( CONTROL!$C$29, 39.8268, 39.8221) * CHOOSE( CONTROL!$C$12, $D$11, 100%, $F$11)</f>
        <v>32.020747200000002</v>
      </c>
      <c r="E923" s="12">
        <f>CHOOSE( CONTROL!$C$29, 39.8283, 39.8236) * CHOOSE( CONTROL!$C$12, $D$11, 100%, $F$11)</f>
        <v>32.021953199999999</v>
      </c>
      <c r="F923" s="4">
        <f>CHOOSE( CONTROL!$C$29, 40.8164, 40.8117) * CHOOSE(CONTROL!$C$12, $D$11, 100%, $F$11)</f>
        <v>32.816385600000004</v>
      </c>
      <c r="G923" s="8">
        <f>CHOOSE( CONTROL!$C$29, 38.8076, 38.803) * CHOOSE( CONTROL!$C$12, $D$11, 100%, $F$11)</f>
        <v>31.201310400000004</v>
      </c>
      <c r="H923" s="4">
        <f>CHOOSE( CONTROL!$C$29, 39.7104, 39.7059) * CHOOSE(CONTROL!$C$12, $D$11, 100%, $F$11)</f>
        <v>31.927161600000002</v>
      </c>
      <c r="I923" s="8">
        <f>CHOOSE( CONTROL!$C$29, 38.2261, 38.2216) * CHOOSE(CONTROL!$C$12, $D$11, 100%, $F$11)</f>
        <v>30.733784400000005</v>
      </c>
      <c r="J923" s="4">
        <f>CHOOSE( CONTROL!$C$29, 38.1554, 38.1509) * CHOOSE(CONTROL!$C$12, $D$11, 100%, $F$11)</f>
        <v>30.676941600000003</v>
      </c>
      <c r="K923" s="4"/>
      <c r="L923" s="9">
        <v>29.520499999999998</v>
      </c>
      <c r="M923" s="9">
        <v>12.063700000000001</v>
      </c>
      <c r="N923" s="9">
        <v>4.9444999999999997</v>
      </c>
      <c r="O923" s="9">
        <v>0.37459999999999999</v>
      </c>
      <c r="P923" s="9">
        <v>1.2192000000000001</v>
      </c>
      <c r="Q923" s="9">
        <v>19.688099999999999</v>
      </c>
      <c r="R923" s="9"/>
      <c r="S923" s="11"/>
    </row>
    <row r="924" spans="1:19" ht="15.75">
      <c r="A924" s="13">
        <v>70006</v>
      </c>
      <c r="B924" s="8">
        <f>CHOOSE( CONTROL!$C$29, 36.7514, 36.7467) * CHOOSE(CONTROL!$C$12, $D$11, 100%, $F$11)</f>
        <v>29.548125599999999</v>
      </c>
      <c r="C924" s="8">
        <f>CHOOSE( CONTROL!$C$29, 36.7618, 36.7571) * CHOOSE(CONTROL!$C$12, $D$11, 100%, $F$11)</f>
        <v>29.556487200000003</v>
      </c>
      <c r="D924" s="8">
        <f>CHOOSE( CONTROL!$C$29, 36.7567, 36.752) * CHOOSE( CONTROL!$C$12, $D$11, 100%, $F$11)</f>
        <v>29.552386800000004</v>
      </c>
      <c r="E924" s="12">
        <f>CHOOSE( CONTROL!$C$29, 36.757, 36.7523) * CHOOSE( CONTROL!$C$12, $D$11, 100%, $F$11)</f>
        <v>29.552627999999999</v>
      </c>
      <c r="F924" s="4">
        <f>CHOOSE( CONTROL!$C$29, 37.7482, 37.7435) * CHOOSE(CONTROL!$C$12, $D$11, 100%, $F$11)</f>
        <v>30.349552799999998</v>
      </c>
      <c r="G924" s="8">
        <f>CHOOSE( CONTROL!$C$29, 35.8138, 35.8092) * CHOOSE( CONTROL!$C$12, $D$11, 100%, $F$11)</f>
        <v>28.794295200000001</v>
      </c>
      <c r="H924" s="4">
        <f>CHOOSE( CONTROL!$C$29, 36.7196, 36.715) * CHOOSE(CONTROL!$C$12, $D$11, 100%, $F$11)</f>
        <v>29.522558400000001</v>
      </c>
      <c r="I924" s="8">
        <f>CHOOSE( CONTROL!$C$29, 35.2843, 35.2797) * CHOOSE(CONTROL!$C$12, $D$11, 100%, $F$11)</f>
        <v>28.368577200000004</v>
      </c>
      <c r="J924" s="4">
        <f>CHOOSE( CONTROL!$C$29, 35.2104, 35.2059) * CHOOSE(CONTROL!$C$12, $D$11, 100%, $F$11)</f>
        <v>28.309161600000003</v>
      </c>
      <c r="K924" s="4"/>
      <c r="L924" s="9">
        <v>29.520499999999998</v>
      </c>
      <c r="M924" s="9">
        <v>12.063700000000001</v>
      </c>
      <c r="N924" s="9">
        <v>4.9444999999999997</v>
      </c>
      <c r="O924" s="9">
        <v>0.37459999999999999</v>
      </c>
      <c r="P924" s="9">
        <v>1.2192000000000001</v>
      </c>
      <c r="Q924" s="9">
        <v>19.688099999999999</v>
      </c>
      <c r="R924" s="9"/>
      <c r="S924" s="11"/>
    </row>
    <row r="925" spans="1:19" ht="15.75">
      <c r="A925" s="13">
        <v>70036</v>
      </c>
      <c r="B925" s="8">
        <f>CHOOSE( CONTROL!$C$29, 35.9818, 35.9771) * CHOOSE(CONTROL!$C$12, $D$11, 100%, $F$11)</f>
        <v>28.929367200000002</v>
      </c>
      <c r="C925" s="8">
        <f>CHOOSE( CONTROL!$C$29, 35.9922, 35.9875) * CHOOSE(CONTROL!$C$12, $D$11, 100%, $F$11)</f>
        <v>28.937728799999999</v>
      </c>
      <c r="D925" s="8">
        <f>CHOOSE( CONTROL!$C$29, 35.9829, 35.9782) * CHOOSE( CONTROL!$C$12, $D$11, 100%, $F$11)</f>
        <v>28.930251600000002</v>
      </c>
      <c r="E925" s="12">
        <f>CHOOSE( CONTROL!$C$29, 35.9847, 35.98) * CHOOSE( CONTROL!$C$12, $D$11, 100%, $F$11)</f>
        <v>28.931698799999999</v>
      </c>
      <c r="F925" s="4">
        <f>CHOOSE( CONTROL!$C$29, 36.9708, 36.9661) * CHOOSE(CONTROL!$C$12, $D$11, 100%, $F$11)</f>
        <v>29.7245232</v>
      </c>
      <c r="G925" s="8">
        <f>CHOOSE( CONTROL!$C$29, 35.0623, 35.0577) * CHOOSE( CONTROL!$C$12, $D$11, 100%, $F$11)</f>
        <v>28.190089200000003</v>
      </c>
      <c r="H925" s="4">
        <f>CHOOSE( CONTROL!$C$29, 35.9618, 35.9572) * CHOOSE(CONTROL!$C$12, $D$11, 100%, $F$11)</f>
        <v>28.913287199999999</v>
      </c>
      <c r="I925" s="8">
        <f>CHOOSE( CONTROL!$C$29, 34.5478, 34.5432) * CHOOSE(CONTROL!$C$12, $D$11, 100%, $F$11)</f>
        <v>27.776431200000005</v>
      </c>
      <c r="J925" s="4">
        <f>CHOOSE( CONTROL!$C$29, 34.473, 34.4685) * CHOOSE(CONTROL!$C$12, $D$11, 100%, $F$11)</f>
        <v>27.716291999999999</v>
      </c>
      <c r="K925" s="4"/>
      <c r="L925" s="9">
        <v>28.568200000000001</v>
      </c>
      <c r="M925" s="9">
        <v>11.6745</v>
      </c>
      <c r="N925" s="9">
        <v>4.7850000000000001</v>
      </c>
      <c r="O925" s="9">
        <v>0.36249999999999999</v>
      </c>
      <c r="P925" s="9">
        <v>1.1798</v>
      </c>
      <c r="Q925" s="9">
        <v>19.053000000000001</v>
      </c>
      <c r="R925" s="9"/>
      <c r="S925" s="11"/>
    </row>
    <row r="926" spans="1:19" ht="15.75">
      <c r="A926" s="13">
        <v>70067</v>
      </c>
      <c r="B926" s="8">
        <f>37.5751 * CHOOSE(CONTROL!$C$12, $D$11, 100%, $F$11)</f>
        <v>30.210380400000002</v>
      </c>
      <c r="C926" s="8">
        <f>37.5855 * CHOOSE(CONTROL!$C$12, $D$11, 100%, $F$11)</f>
        <v>30.218742000000006</v>
      </c>
      <c r="D926" s="8">
        <f>37.5771 * CHOOSE( CONTROL!$C$12, $D$11, 100%, $F$11)</f>
        <v>30.211988400000003</v>
      </c>
      <c r="E926" s="12">
        <f>37.5788 * CHOOSE( CONTROL!$C$12, $D$11, 100%, $F$11)</f>
        <v>30.213355200000002</v>
      </c>
      <c r="F926" s="4">
        <f>38.5641 * CHOOSE(CONTROL!$C$12, $D$11, 100%, $F$11)</f>
        <v>31.005536400000004</v>
      </c>
      <c r="G926" s="8">
        <f>36.615 * CHOOSE( CONTROL!$C$12, $D$11, 100%, $F$11)</f>
        <v>29.438460000000003</v>
      </c>
      <c r="H926" s="4">
        <f>37.5149 * CHOOSE(CONTROL!$C$12, $D$11, 100%, $F$11)</f>
        <v>30.161979599999999</v>
      </c>
      <c r="I926" s="8">
        <f>36.0773 * CHOOSE(CONTROL!$C$12, $D$11, 100%, $F$11)</f>
        <v>29.006149200000003</v>
      </c>
      <c r="J926" s="4">
        <f>35.9997 * CHOOSE(CONTROL!$C$12, $D$11, 100%, $F$11)</f>
        <v>28.943758799999998</v>
      </c>
      <c r="K926" s="4"/>
      <c r="L926" s="9">
        <v>28.921800000000001</v>
      </c>
      <c r="M926" s="9">
        <v>12.063700000000001</v>
      </c>
      <c r="N926" s="9">
        <v>4.9444999999999997</v>
      </c>
      <c r="O926" s="9">
        <v>0.37459999999999999</v>
      </c>
      <c r="P926" s="9">
        <v>1.2192000000000001</v>
      </c>
      <c r="Q926" s="9">
        <v>19.688099999999999</v>
      </c>
      <c r="R926" s="9"/>
      <c r="S926" s="11"/>
    </row>
    <row r="927" spans="1:19" ht="15.75">
      <c r="A927" s="13">
        <v>70097</v>
      </c>
      <c r="B927" s="8">
        <f>40.5247 * CHOOSE(CONTROL!$C$12, $D$11, 100%, $F$11)</f>
        <v>32.581858800000006</v>
      </c>
      <c r="C927" s="8">
        <f>40.5351 * CHOOSE(CONTROL!$C$12, $D$11, 100%, $F$11)</f>
        <v>32.5902204</v>
      </c>
      <c r="D927" s="8">
        <f>40.5154 * CHOOSE( CONTROL!$C$12, $D$11, 100%, $F$11)</f>
        <v>32.574381600000002</v>
      </c>
      <c r="E927" s="12">
        <f>40.5215 * CHOOSE( CONTROL!$C$12, $D$11, 100%, $F$11)</f>
        <v>32.579286000000003</v>
      </c>
      <c r="F927" s="4">
        <f>41.5163 * CHOOSE(CONTROL!$C$12, $D$11, 100%, $F$11)</f>
        <v>33.379105200000005</v>
      </c>
      <c r="G927" s="8">
        <f>39.5092 * CHOOSE( CONTROL!$C$12, $D$11, 100%, $F$11)</f>
        <v>31.765396800000001</v>
      </c>
      <c r="H927" s="4">
        <f>40.3926 * CHOOSE(CONTROL!$C$12, $D$11, 100%, $F$11)</f>
        <v>32.475650400000006</v>
      </c>
      <c r="I927" s="8">
        <f>38.9352 * CHOOSE(CONTROL!$C$12, $D$11, 100%, $F$11)</f>
        <v>31.303900800000005</v>
      </c>
      <c r="J927" s="4">
        <f>38.826 * CHOOSE(CONTROL!$C$12, $D$11, 100%, $F$11)</f>
        <v>31.216104000000001</v>
      </c>
      <c r="K927" s="4"/>
      <c r="L927" s="9">
        <v>26.515499999999999</v>
      </c>
      <c r="M927" s="9">
        <v>11.6745</v>
      </c>
      <c r="N927" s="9">
        <v>4.7850000000000001</v>
      </c>
      <c r="O927" s="9">
        <v>0.36249999999999999</v>
      </c>
      <c r="P927" s="9">
        <v>1.2522</v>
      </c>
      <c r="Q927" s="9">
        <v>19.053000000000001</v>
      </c>
      <c r="R927" s="9"/>
      <c r="S927" s="11"/>
    </row>
    <row r="928" spans="1:19" ht="15.75">
      <c r="A928" s="13">
        <v>70128</v>
      </c>
      <c r="B928" s="8">
        <f>40.451 * CHOOSE(CONTROL!$C$12, $D$11, 100%, $F$11)</f>
        <v>32.522604000000001</v>
      </c>
      <c r="C928" s="8">
        <f>40.4614 * CHOOSE(CONTROL!$C$12, $D$11, 100%, $F$11)</f>
        <v>32.530965600000002</v>
      </c>
      <c r="D928" s="8">
        <f>40.4436 * CHOOSE( CONTROL!$C$12, $D$11, 100%, $F$11)</f>
        <v>32.516654400000007</v>
      </c>
      <c r="E928" s="12">
        <f>40.449 * CHOOSE( CONTROL!$C$12, $D$11, 100%, $F$11)</f>
        <v>32.520996000000004</v>
      </c>
      <c r="F928" s="4">
        <f>41.4426 * CHOOSE(CONTROL!$C$12, $D$11, 100%, $F$11)</f>
        <v>33.3198504</v>
      </c>
      <c r="G928" s="8">
        <f>39.4389 * CHOOSE( CONTROL!$C$12, $D$11, 100%, $F$11)</f>
        <v>31.708875599999999</v>
      </c>
      <c r="H928" s="4">
        <f>40.3208 * CHOOSE(CONTROL!$C$12, $D$11, 100%, $F$11)</f>
        <v>32.417923200000004</v>
      </c>
      <c r="I928" s="8">
        <f>38.8714 * CHOOSE(CONTROL!$C$12, $D$11, 100%, $F$11)</f>
        <v>31.252605600000003</v>
      </c>
      <c r="J928" s="4">
        <f>38.7554 * CHOOSE(CONTROL!$C$12, $D$11, 100%, $F$11)</f>
        <v>31.159341600000005</v>
      </c>
      <c r="K928" s="4"/>
      <c r="L928" s="9">
        <v>27.3993</v>
      </c>
      <c r="M928" s="9">
        <v>12.063700000000001</v>
      </c>
      <c r="N928" s="9">
        <v>4.9444999999999997</v>
      </c>
      <c r="O928" s="9">
        <v>0.37459999999999999</v>
      </c>
      <c r="P928" s="9">
        <v>1.2939000000000001</v>
      </c>
      <c r="Q928" s="9">
        <v>19.688099999999999</v>
      </c>
      <c r="R928" s="9"/>
      <c r="S928" s="11"/>
    </row>
    <row r="929" spans="1:19" ht="15.75">
      <c r="A929" s="13">
        <v>70159</v>
      </c>
      <c r="B929" s="8">
        <f>41.9968 * CHOOSE(CONTROL!$C$12, $D$11, 100%, $F$11)</f>
        <v>33.765427200000005</v>
      </c>
      <c r="C929" s="8">
        <f>42.0072 * CHOOSE(CONTROL!$C$12, $D$11, 100%, $F$11)</f>
        <v>33.773788799999998</v>
      </c>
      <c r="D929" s="8">
        <f>42.0049 * CHOOSE( CONTROL!$C$12, $D$11, 100%, $F$11)</f>
        <v>33.771939600000003</v>
      </c>
      <c r="E929" s="12">
        <f>42.0046 * CHOOSE( CONTROL!$C$12, $D$11, 100%, $F$11)</f>
        <v>33.771698400000005</v>
      </c>
      <c r="F929" s="4">
        <f>43.0197 * CHOOSE(CONTROL!$C$12, $D$11, 100%, $F$11)</f>
        <v>34.5878388</v>
      </c>
      <c r="G929" s="8">
        <f>40.9648 * CHOOSE( CONTROL!$C$12, $D$11, 100%, $F$11)</f>
        <v>32.935699200000002</v>
      </c>
      <c r="H929" s="4">
        <f>41.8581 * CHOOSE(CONTROL!$C$12, $D$11, 100%, $F$11)</f>
        <v>33.653912400000003</v>
      </c>
      <c r="I929" s="8">
        <f>40.3653 * CHOOSE(CONTROL!$C$12, $D$11, 100%, $F$11)</f>
        <v>32.453701199999998</v>
      </c>
      <c r="J929" s="4">
        <f>40.2366 * CHOOSE(CONTROL!$C$12, $D$11, 100%, $F$11)</f>
        <v>32.350226400000004</v>
      </c>
      <c r="K929" s="4"/>
      <c r="L929" s="9">
        <v>27.3993</v>
      </c>
      <c r="M929" s="9">
        <v>12.063700000000001</v>
      </c>
      <c r="N929" s="9">
        <v>4.9444999999999997</v>
      </c>
      <c r="O929" s="9">
        <v>0.37459999999999999</v>
      </c>
      <c r="P929" s="9">
        <v>1.2939000000000001</v>
      </c>
      <c r="Q929" s="9">
        <v>19.688099999999999</v>
      </c>
      <c r="R929" s="9"/>
      <c r="S929" s="11"/>
    </row>
    <row r="930" spans="1:19" ht="15.75">
      <c r="A930" s="13">
        <v>70188</v>
      </c>
      <c r="B930" s="8">
        <f>39.2821 * CHOOSE(CONTROL!$C$12, $D$11, 100%, $F$11)</f>
        <v>31.582808400000001</v>
      </c>
      <c r="C930" s="8">
        <f>39.2925 * CHOOSE(CONTROL!$C$12, $D$11, 100%, $F$11)</f>
        <v>31.591169999999998</v>
      </c>
      <c r="D930" s="8">
        <f>39.2925 * CHOOSE( CONTROL!$C$12, $D$11, 100%, $F$11)</f>
        <v>31.591169999999998</v>
      </c>
      <c r="E930" s="12">
        <f>39.2914 * CHOOSE( CONTROL!$C$12, $D$11, 100%, $F$11)</f>
        <v>31.590285600000005</v>
      </c>
      <c r="F930" s="4">
        <f>40.2972 * CHOOSE(CONTROL!$C$12, $D$11, 100%, $F$11)</f>
        <v>32.398948799999999</v>
      </c>
      <c r="G930" s="8">
        <f>38.3184 * CHOOSE( CONTROL!$C$12, $D$11, 100%, $F$11)</f>
        <v>30.8079936</v>
      </c>
      <c r="H930" s="4">
        <f>39.2043 * CHOOSE(CONTROL!$C$12, $D$11, 100%, $F$11)</f>
        <v>31.520257200000003</v>
      </c>
      <c r="I930" s="8">
        <f>37.7518 * CHOOSE(CONTROL!$C$12, $D$11, 100%, $F$11)</f>
        <v>30.352447200000004</v>
      </c>
      <c r="J930" s="4">
        <f>37.6353 * CHOOSE(CONTROL!$C$12, $D$11, 100%, $F$11)</f>
        <v>30.258781200000001</v>
      </c>
      <c r="K930" s="4"/>
      <c r="L930" s="9">
        <v>25.631599999999999</v>
      </c>
      <c r="M930" s="9">
        <v>11.285299999999999</v>
      </c>
      <c r="N930" s="9">
        <v>4.6254999999999997</v>
      </c>
      <c r="O930" s="9">
        <v>0.35039999999999999</v>
      </c>
      <c r="P930" s="9">
        <v>1.2104999999999999</v>
      </c>
      <c r="Q930" s="9">
        <v>18.417899999999999</v>
      </c>
      <c r="R930" s="9"/>
      <c r="S930" s="11"/>
    </row>
    <row r="931" spans="1:19" ht="15.75">
      <c r="A931" s="13">
        <v>70219</v>
      </c>
      <c r="B931" s="8">
        <f>38.446 * CHOOSE(CONTROL!$C$12, $D$11, 100%, $F$11)</f>
        <v>30.910584</v>
      </c>
      <c r="C931" s="8">
        <f>38.4564 * CHOOSE(CONTROL!$C$12, $D$11, 100%, $F$11)</f>
        <v>30.918945600000004</v>
      </c>
      <c r="D931" s="8">
        <f>38.4363 * CHOOSE( CONTROL!$C$12, $D$11, 100%, $F$11)</f>
        <v>30.902785200000004</v>
      </c>
      <c r="E931" s="12">
        <f>38.4425 * CHOOSE( CONTROL!$C$12, $D$11, 100%, $F$11)</f>
        <v>30.907770000000003</v>
      </c>
      <c r="F931" s="4">
        <f>39.4449 * CHOOSE(CONTROL!$C$12, $D$11, 100%, $F$11)</f>
        <v>31.713699599999998</v>
      </c>
      <c r="G931" s="8">
        <f>37.4829 * CHOOSE( CONTROL!$C$12, $D$11, 100%, $F$11)</f>
        <v>30.136251600000001</v>
      </c>
      <c r="H931" s="4">
        <f>38.3735 * CHOOSE(CONTROL!$C$12, $D$11, 100%, $F$11)</f>
        <v>30.852294000000001</v>
      </c>
      <c r="I931" s="8">
        <f>36.9107 * CHOOSE(CONTROL!$C$12, $D$11, 100%, $F$11)</f>
        <v>29.676202800000002</v>
      </c>
      <c r="J931" s="4">
        <f>36.8342 * CHOOSE(CONTROL!$C$12, $D$11, 100%, $F$11)</f>
        <v>29.614696800000004</v>
      </c>
      <c r="K931" s="4"/>
      <c r="L931" s="9">
        <v>27.3993</v>
      </c>
      <c r="M931" s="9">
        <v>12.063700000000001</v>
      </c>
      <c r="N931" s="9">
        <v>4.9444999999999997</v>
      </c>
      <c r="O931" s="9">
        <v>0.37459999999999999</v>
      </c>
      <c r="P931" s="9">
        <v>1.2939000000000001</v>
      </c>
      <c r="Q931" s="9">
        <v>19.688099999999999</v>
      </c>
      <c r="R931" s="9"/>
      <c r="S931" s="11"/>
    </row>
    <row r="932" spans="1:19" ht="15.75">
      <c r="A932" s="13">
        <v>70249</v>
      </c>
      <c r="B932" s="8">
        <f>39.0302 * CHOOSE(CONTROL!$C$12, $D$11, 100%, $F$11)</f>
        <v>31.380280800000001</v>
      </c>
      <c r="C932" s="8">
        <f>39.0407 * CHOOSE(CONTROL!$C$12, $D$11, 100%, $F$11)</f>
        <v>31.388722800000004</v>
      </c>
      <c r="D932" s="8">
        <f>39.0439 * CHOOSE( CONTROL!$C$12, $D$11, 100%, $F$11)</f>
        <v>31.391295600000003</v>
      </c>
      <c r="E932" s="12">
        <f>39.0416 * CHOOSE( CONTROL!$C$12, $D$11, 100%, $F$11)</f>
        <v>31.389446400000004</v>
      </c>
      <c r="F932" s="4">
        <f>40.0375 * CHOOSE(CONTROL!$C$12, $D$11, 100%, $F$11)</f>
        <v>32.190150000000003</v>
      </c>
      <c r="G932" s="8">
        <f>38.0403 * CHOOSE( CONTROL!$C$12, $D$11, 100%, $F$11)</f>
        <v>30.584401200000002</v>
      </c>
      <c r="H932" s="4">
        <f>38.9512 * CHOOSE(CONTROL!$C$12, $D$11, 100%, $F$11)</f>
        <v>31.316764800000001</v>
      </c>
      <c r="I932" s="8">
        <f>37.461 * CHOOSE(CONTROL!$C$12, $D$11, 100%, $F$11)</f>
        <v>30.118644</v>
      </c>
      <c r="J932" s="4">
        <f>37.394 * CHOOSE(CONTROL!$C$12, $D$11, 100%, $F$11)</f>
        <v>30.064776000000002</v>
      </c>
      <c r="K932" s="4"/>
      <c r="L932" s="9">
        <v>27.988800000000001</v>
      </c>
      <c r="M932" s="9">
        <v>11.6745</v>
      </c>
      <c r="N932" s="9">
        <v>4.7850000000000001</v>
      </c>
      <c r="O932" s="9">
        <v>0.36249999999999999</v>
      </c>
      <c r="P932" s="9">
        <v>1.1798</v>
      </c>
      <c r="Q932" s="9">
        <v>19.053000000000001</v>
      </c>
      <c r="R932" s="9"/>
      <c r="S932" s="11"/>
    </row>
    <row r="933" spans="1:19" ht="15.75">
      <c r="A933" s="13">
        <v>70280</v>
      </c>
      <c r="B933" s="8">
        <f>CHOOSE( CONTROL!$C$29, 40.0748, 40.0701) * CHOOSE(CONTROL!$C$12, $D$11, 100%, $F$11)</f>
        <v>32.220139200000006</v>
      </c>
      <c r="C933" s="8">
        <f>CHOOSE( CONTROL!$C$29, 40.0852, 40.0805) * CHOOSE(CONTROL!$C$12, $D$11, 100%, $F$11)</f>
        <v>32.228500799999999</v>
      </c>
      <c r="D933" s="8">
        <f>CHOOSE( CONTROL!$C$29, 40.0632, 40.0585) * CHOOSE( CONTROL!$C$12, $D$11, 100%, $F$11)</f>
        <v>32.210812800000006</v>
      </c>
      <c r="E933" s="12">
        <f>CHOOSE( CONTROL!$C$29, 40.0696, 40.0649) * CHOOSE( CONTROL!$C$12, $D$11, 100%, $F$11)</f>
        <v>32.215958400000005</v>
      </c>
      <c r="F933" s="4">
        <f>CHOOSE( CONTROL!$C$29, 41.0497, 41.045) * CHOOSE(CONTROL!$C$12, $D$11, 100%, $F$11)</f>
        <v>33.003958800000007</v>
      </c>
      <c r="G933" s="8">
        <f>CHOOSE( CONTROL!$C$29, 39.0398, 39.0352) * CHOOSE( CONTROL!$C$12, $D$11, 100%, $F$11)</f>
        <v>31.387999200000003</v>
      </c>
      <c r="H933" s="4">
        <f>CHOOSE( CONTROL!$C$29, 39.9378, 39.9332) * CHOOSE(CONTROL!$C$12, $D$11, 100%, $F$11)</f>
        <v>32.109991200000003</v>
      </c>
      <c r="I933" s="8">
        <f>CHOOSE( CONTROL!$C$29, 38.4408, 38.4363) * CHOOSE(CONTROL!$C$12, $D$11, 100%, $F$11)</f>
        <v>30.906403200000003</v>
      </c>
      <c r="J933" s="4">
        <f>CHOOSE( CONTROL!$C$29, 38.3949, 38.3904) * CHOOSE(CONTROL!$C$12, $D$11, 100%, $F$11)</f>
        <v>30.869499600000001</v>
      </c>
      <c r="K933" s="4"/>
      <c r="L933" s="9">
        <v>29.520499999999998</v>
      </c>
      <c r="M933" s="9">
        <v>12.063700000000001</v>
      </c>
      <c r="N933" s="9">
        <v>4.9444999999999997</v>
      </c>
      <c r="O933" s="9">
        <v>0.37459999999999999</v>
      </c>
      <c r="P933" s="9">
        <v>1.2192000000000001</v>
      </c>
      <c r="Q933" s="9">
        <v>19.688099999999999</v>
      </c>
      <c r="R933" s="9"/>
      <c r="S933" s="11"/>
    </row>
    <row r="934" spans="1:19" ht="15.75">
      <c r="A934" s="13">
        <v>70310</v>
      </c>
      <c r="B934" s="8">
        <f>CHOOSE( CONTROL!$C$29, 39.4306, 39.4259) * CHOOSE(CONTROL!$C$12, $D$11, 100%, $F$11)</f>
        <v>31.702202400000001</v>
      </c>
      <c r="C934" s="8">
        <f>CHOOSE( CONTROL!$C$29, 39.4411, 39.4364) * CHOOSE(CONTROL!$C$12, $D$11, 100%, $F$11)</f>
        <v>31.7106444</v>
      </c>
      <c r="D934" s="8">
        <f>CHOOSE( CONTROL!$C$29, 39.4134, 39.4087) * CHOOSE( CONTROL!$C$12, $D$11, 100%, $F$11)</f>
        <v>31.688373600000006</v>
      </c>
      <c r="E934" s="12">
        <f>CHOOSE( CONTROL!$C$29, 39.4218, 39.4171) * CHOOSE( CONTROL!$C$12, $D$11, 100%, $F$11)</f>
        <v>31.695127199999998</v>
      </c>
      <c r="F934" s="4">
        <f>CHOOSE( CONTROL!$C$29, 40.3951, 40.3904) * CHOOSE(CONTROL!$C$12, $D$11, 100%, $F$11)</f>
        <v>32.477660400000005</v>
      </c>
      <c r="G934" s="8">
        <f>CHOOSE( CONTROL!$C$29, 38.4106, 38.4061) * CHOOSE( CONTROL!$C$12, $D$11, 100%, $F$11)</f>
        <v>30.882122400000004</v>
      </c>
      <c r="H934" s="4">
        <f>CHOOSE( CONTROL!$C$29, 39.2997, 39.2952) * CHOOSE(CONTROL!$C$12, $D$11, 100%, $F$11)</f>
        <v>31.596958800000003</v>
      </c>
      <c r="I934" s="8">
        <f>CHOOSE( CONTROL!$C$29, 37.8254, 37.8209) * CHOOSE(CONTROL!$C$12, $D$11, 100%, $F$11)</f>
        <v>30.411621600000004</v>
      </c>
      <c r="J934" s="4">
        <f>CHOOSE( CONTROL!$C$29, 37.7777, 37.7732) * CHOOSE(CONTROL!$C$12, $D$11, 100%, $F$11)</f>
        <v>30.373270800000004</v>
      </c>
      <c r="K934" s="4"/>
      <c r="L934" s="9">
        <v>28.568200000000001</v>
      </c>
      <c r="M934" s="9">
        <v>11.6745</v>
      </c>
      <c r="N934" s="9">
        <v>4.7850000000000001</v>
      </c>
      <c r="O934" s="9">
        <v>0.36249999999999999</v>
      </c>
      <c r="P934" s="9">
        <v>1.1798</v>
      </c>
      <c r="Q934" s="9">
        <v>19.053000000000001</v>
      </c>
      <c r="R934" s="9"/>
      <c r="S934" s="11"/>
    </row>
    <row r="935" spans="1:19" ht="15.75">
      <c r="A935" s="13">
        <v>70341</v>
      </c>
      <c r="B935" s="8">
        <f>CHOOSE( CONTROL!$C$29, 41.1269, 41.1222) * CHOOSE(CONTROL!$C$12, $D$11, 100%, $F$11)</f>
        <v>33.066027599999998</v>
      </c>
      <c r="C935" s="8">
        <f>CHOOSE( CONTROL!$C$29, 41.1374, 41.1327) * CHOOSE(CONTROL!$C$12, $D$11, 100%, $F$11)</f>
        <v>33.0744696</v>
      </c>
      <c r="D935" s="8">
        <f>CHOOSE( CONTROL!$C$29, 41.1289, 41.1242) * CHOOSE( CONTROL!$C$12, $D$11, 100%, $F$11)</f>
        <v>33.067635600000003</v>
      </c>
      <c r="E935" s="12">
        <f>CHOOSE( CONTROL!$C$29, 41.1304, 41.1257) * CHOOSE( CONTROL!$C$12, $D$11, 100%, $F$11)</f>
        <v>33.068841600000006</v>
      </c>
      <c r="F935" s="4">
        <f>CHOOSE( CONTROL!$C$29, 42.1185, 42.1138) * CHOOSE(CONTROL!$C$12, $D$11, 100%, $F$11)</f>
        <v>33.863273999999997</v>
      </c>
      <c r="G935" s="8">
        <f>CHOOSE( CONTROL!$C$29, 40.0768, 40.0723) * CHOOSE( CONTROL!$C$12, $D$11, 100%, $F$11)</f>
        <v>32.221747200000003</v>
      </c>
      <c r="H935" s="4">
        <f>CHOOSE( CONTROL!$C$29, 40.9797, 40.9751) * CHOOSE(CONTROL!$C$12, $D$11, 100%, $F$11)</f>
        <v>32.947678800000006</v>
      </c>
      <c r="I935" s="8">
        <f>CHOOSE( CONTROL!$C$29, 39.4744, 39.4699) * CHOOSE(CONTROL!$C$12, $D$11, 100%, $F$11)</f>
        <v>31.737417600000004</v>
      </c>
      <c r="J935" s="4">
        <f>CHOOSE( CONTROL!$C$29, 39.4031, 39.3986) * CHOOSE(CONTROL!$C$12, $D$11, 100%, $F$11)</f>
        <v>31.680092400000003</v>
      </c>
      <c r="K935" s="4"/>
      <c r="L935" s="9">
        <v>29.520499999999998</v>
      </c>
      <c r="M935" s="9">
        <v>12.063700000000001</v>
      </c>
      <c r="N935" s="9">
        <v>4.9444999999999997</v>
      </c>
      <c r="O935" s="9">
        <v>0.37459999999999999</v>
      </c>
      <c r="P935" s="9">
        <v>1.2192000000000001</v>
      </c>
      <c r="Q935" s="9">
        <v>19.688099999999999</v>
      </c>
      <c r="R935" s="9"/>
      <c r="S935" s="11"/>
    </row>
    <row r="936" spans="1:19" ht="15.75">
      <c r="A936" s="13">
        <v>70372</v>
      </c>
      <c r="B936" s="8">
        <f>CHOOSE( CONTROL!$C$29, 37.953, 37.9483) * CHOOSE(CONTROL!$C$12, $D$11, 100%, $F$11)</f>
        <v>30.514212000000004</v>
      </c>
      <c r="C936" s="8">
        <f>CHOOSE( CONTROL!$C$29, 37.9634, 37.9587) * CHOOSE(CONTROL!$C$12, $D$11, 100%, $F$11)</f>
        <v>30.522573600000001</v>
      </c>
      <c r="D936" s="8">
        <f>CHOOSE( CONTROL!$C$29, 37.9583, 37.9536) * CHOOSE( CONTROL!$C$12, $D$11, 100%, $F$11)</f>
        <v>30.518473200000003</v>
      </c>
      <c r="E936" s="12">
        <f>CHOOSE( CONTROL!$C$29, 37.9586, 37.9539) * CHOOSE( CONTROL!$C$12, $D$11, 100%, $F$11)</f>
        <v>30.5187144</v>
      </c>
      <c r="F936" s="4">
        <f>CHOOSE( CONTROL!$C$29, 38.9498, 38.9451) * CHOOSE(CONTROL!$C$12, $D$11, 100%, $F$11)</f>
        <v>31.315639200000003</v>
      </c>
      <c r="G936" s="8">
        <f>CHOOSE( CONTROL!$C$29, 36.9851, 36.9805) * CHOOSE( CONTROL!$C$12, $D$11, 100%, $F$11)</f>
        <v>29.736020400000005</v>
      </c>
      <c r="H936" s="4">
        <f>CHOOSE( CONTROL!$C$29, 37.8909, 37.8863) * CHOOSE(CONTROL!$C$12, $D$11, 100%, $F$11)</f>
        <v>30.464283600000002</v>
      </c>
      <c r="I936" s="8">
        <f>CHOOSE( CONTROL!$C$29, 36.4362, 36.4317) * CHOOSE(CONTROL!$C$12, $D$11, 100%, $F$11)</f>
        <v>29.294704800000002</v>
      </c>
      <c r="J936" s="4">
        <f>CHOOSE( CONTROL!$C$29, 36.3618, 36.3573) * CHOOSE(CONTROL!$C$12, $D$11, 100%, $F$11)</f>
        <v>29.234887200000003</v>
      </c>
      <c r="K936" s="4"/>
      <c r="L936" s="9">
        <v>29.520499999999998</v>
      </c>
      <c r="M936" s="9">
        <v>12.063700000000001</v>
      </c>
      <c r="N936" s="9">
        <v>4.9444999999999997</v>
      </c>
      <c r="O936" s="9">
        <v>0.37459999999999999</v>
      </c>
      <c r="P936" s="9">
        <v>1.2192000000000001</v>
      </c>
      <c r="Q936" s="9">
        <v>19.688099999999999</v>
      </c>
      <c r="R936" s="9"/>
      <c r="S936" s="11"/>
    </row>
    <row r="937" spans="1:19" ht="15.75">
      <c r="A937" s="13">
        <v>70402</v>
      </c>
      <c r="B937" s="8">
        <f>CHOOSE( CONTROL!$C$29, 37.1582, 37.1535) * CHOOSE(CONTROL!$C$12, $D$11, 100%, $F$11)</f>
        <v>29.875192800000001</v>
      </c>
      <c r="C937" s="8">
        <f>CHOOSE( CONTROL!$C$29, 37.1686, 37.1639) * CHOOSE(CONTROL!$C$12, $D$11, 100%, $F$11)</f>
        <v>29.883554400000001</v>
      </c>
      <c r="D937" s="8">
        <f>CHOOSE( CONTROL!$C$29, 37.1593, 37.1546) * CHOOSE( CONTROL!$C$12, $D$11, 100%, $F$11)</f>
        <v>29.876077200000005</v>
      </c>
      <c r="E937" s="12">
        <f>CHOOSE( CONTROL!$C$29, 37.1611, 37.1564) * CHOOSE( CONTROL!$C$12, $D$11, 100%, $F$11)</f>
        <v>29.877524399999999</v>
      </c>
      <c r="F937" s="4">
        <f>CHOOSE( CONTROL!$C$29, 38.1472, 38.1425) * CHOOSE(CONTROL!$C$12, $D$11, 100%, $F$11)</f>
        <v>30.670348799999999</v>
      </c>
      <c r="G937" s="8">
        <f>CHOOSE( CONTROL!$C$29, 36.209, 36.2045) * CHOOSE( CONTROL!$C$12, $D$11, 100%, $F$11)</f>
        <v>29.112036000000003</v>
      </c>
      <c r="H937" s="4">
        <f>CHOOSE( CONTROL!$C$29, 37.1085, 37.1039) * CHOOSE(CONTROL!$C$12, $D$11, 100%, $F$11)</f>
        <v>29.835234</v>
      </c>
      <c r="I937" s="8">
        <f>CHOOSE( CONTROL!$C$29, 35.6756, 35.6711) * CHOOSE(CONTROL!$C$12, $D$11, 100%, $F$11)</f>
        <v>28.683182400000003</v>
      </c>
      <c r="J937" s="4">
        <f>CHOOSE( CONTROL!$C$29, 35.6002, 35.5957) * CHOOSE(CONTROL!$C$12, $D$11, 100%, $F$11)</f>
        <v>28.622560800000002</v>
      </c>
      <c r="K937" s="4"/>
      <c r="L937" s="9">
        <v>28.568200000000001</v>
      </c>
      <c r="M937" s="9">
        <v>11.6745</v>
      </c>
      <c r="N937" s="9">
        <v>4.7850000000000001</v>
      </c>
      <c r="O937" s="9">
        <v>0.36249999999999999</v>
      </c>
      <c r="P937" s="9">
        <v>1.1798</v>
      </c>
      <c r="Q937" s="9">
        <v>19.053000000000001</v>
      </c>
      <c r="R937" s="9"/>
      <c r="S937" s="11"/>
    </row>
    <row r="938" spans="1:19" ht="15.75">
      <c r="A938" s="13">
        <v>70433</v>
      </c>
      <c r="B938" s="8">
        <f>38.8038 * CHOOSE(CONTROL!$C$12, $D$11, 100%, $F$11)</f>
        <v>31.198255200000006</v>
      </c>
      <c r="C938" s="8">
        <f>38.8142 * CHOOSE(CONTROL!$C$12, $D$11, 100%, $F$11)</f>
        <v>31.206616800000003</v>
      </c>
      <c r="D938" s="8">
        <f>38.8057 * CHOOSE( CONTROL!$C$12, $D$11, 100%, $F$11)</f>
        <v>31.199782800000005</v>
      </c>
      <c r="E938" s="12">
        <f>38.8074 * CHOOSE( CONTROL!$C$12, $D$11, 100%, $F$11)</f>
        <v>31.201149600000004</v>
      </c>
      <c r="F938" s="4">
        <f>39.7927 * CHOOSE(CONTROL!$C$12, $D$11, 100%, $F$11)</f>
        <v>31.993330800000006</v>
      </c>
      <c r="G938" s="8">
        <f>37.8127 * CHOOSE( CONTROL!$C$12, $D$11, 100%, $F$11)</f>
        <v>30.401410800000001</v>
      </c>
      <c r="H938" s="4">
        <f>38.7126 * CHOOSE(CONTROL!$C$12, $D$11, 100%, $F$11)</f>
        <v>31.124930400000004</v>
      </c>
      <c r="I938" s="8">
        <f>37.2552 * CHOOSE(CONTROL!$C$12, $D$11, 100%, $F$11)</f>
        <v>29.953180800000002</v>
      </c>
      <c r="J938" s="4">
        <f>37.177 * CHOOSE(CONTROL!$C$12, $D$11, 100%, $F$11)</f>
        <v>29.890308000000001</v>
      </c>
      <c r="K938" s="4"/>
      <c r="L938" s="9">
        <v>28.921800000000001</v>
      </c>
      <c r="M938" s="9">
        <v>12.063700000000001</v>
      </c>
      <c r="N938" s="9">
        <v>4.9444999999999997</v>
      </c>
      <c r="O938" s="9">
        <v>0.37459999999999999</v>
      </c>
      <c r="P938" s="9">
        <v>1.2192000000000001</v>
      </c>
      <c r="Q938" s="9">
        <v>19.688099999999999</v>
      </c>
      <c r="R938" s="9"/>
      <c r="S938" s="11"/>
    </row>
    <row r="939" spans="1:19" ht="15.75">
      <c r="A939" s="13">
        <v>70463</v>
      </c>
      <c r="B939" s="8">
        <f>41.8498 * CHOOSE(CONTROL!$C$12, $D$11, 100%, $F$11)</f>
        <v>33.647239200000001</v>
      </c>
      <c r="C939" s="8">
        <f>41.8603 * CHOOSE(CONTROL!$C$12, $D$11, 100%, $F$11)</f>
        <v>33.655681200000004</v>
      </c>
      <c r="D939" s="8">
        <f>41.8405 * CHOOSE( CONTROL!$C$12, $D$11, 100%, $F$11)</f>
        <v>33.639761999999997</v>
      </c>
      <c r="E939" s="12">
        <f>41.8466 * CHOOSE( CONTROL!$C$12, $D$11, 100%, $F$11)</f>
        <v>33.644666400000006</v>
      </c>
      <c r="F939" s="4">
        <f>42.8414 * CHOOSE(CONTROL!$C$12, $D$11, 100%, $F$11)</f>
        <v>34.4444856</v>
      </c>
      <c r="G939" s="8">
        <f>40.801 * CHOOSE( CONTROL!$C$12, $D$11, 100%, $F$11)</f>
        <v>32.804004000000006</v>
      </c>
      <c r="H939" s="4">
        <f>41.6843 * CHOOSE(CONTROL!$C$12, $D$11, 100%, $F$11)</f>
        <v>33.514177199999999</v>
      </c>
      <c r="I939" s="8">
        <f>40.2056 * CHOOSE(CONTROL!$C$12, $D$11, 100%, $F$11)</f>
        <v>32.325302399999998</v>
      </c>
      <c r="J939" s="4">
        <f>40.0957 * CHOOSE(CONTROL!$C$12, $D$11, 100%, $F$11)</f>
        <v>32.236942800000001</v>
      </c>
      <c r="K939" s="4"/>
      <c r="L939" s="9">
        <v>26.515499999999999</v>
      </c>
      <c r="M939" s="9">
        <v>11.6745</v>
      </c>
      <c r="N939" s="9">
        <v>4.7850000000000001</v>
      </c>
      <c r="O939" s="9">
        <v>0.36249999999999999</v>
      </c>
      <c r="P939" s="9">
        <v>1.2522</v>
      </c>
      <c r="Q939" s="9">
        <v>19.053000000000001</v>
      </c>
      <c r="R939" s="9"/>
      <c r="S939" s="11"/>
    </row>
    <row r="940" spans="1:19" ht="15.75">
      <c r="A940" s="13">
        <v>70494</v>
      </c>
      <c r="B940" s="8">
        <f>41.7737 * CHOOSE(CONTROL!$C$12, $D$11, 100%, $F$11)</f>
        <v>33.586054799999999</v>
      </c>
      <c r="C940" s="8">
        <f>41.7841 * CHOOSE(CONTROL!$C$12, $D$11, 100%, $F$11)</f>
        <v>33.594416400000007</v>
      </c>
      <c r="D940" s="8">
        <f>41.7663 * CHOOSE( CONTROL!$C$12, $D$11, 100%, $F$11)</f>
        <v>33.580105200000006</v>
      </c>
      <c r="E940" s="12">
        <f>41.7717 * CHOOSE( CONTROL!$C$12, $D$11, 100%, $F$11)</f>
        <v>33.584446800000002</v>
      </c>
      <c r="F940" s="4">
        <f>42.7653 * CHOOSE(CONTROL!$C$12, $D$11, 100%, $F$11)</f>
        <v>34.383301200000005</v>
      </c>
      <c r="G940" s="8">
        <f>40.7282 * CHOOSE( CONTROL!$C$12, $D$11, 100%, $F$11)</f>
        <v>32.745472800000002</v>
      </c>
      <c r="H940" s="4">
        <f>41.6101 * CHOOSE(CONTROL!$C$12, $D$11, 100%, $F$11)</f>
        <v>33.454520400000007</v>
      </c>
      <c r="I940" s="8">
        <f>40.1395 * CHOOSE(CONTROL!$C$12, $D$11, 100%, $F$11)</f>
        <v>32.272157999999997</v>
      </c>
      <c r="J940" s="4">
        <f>40.0228 * CHOOSE(CONTROL!$C$12, $D$11, 100%, $F$11)</f>
        <v>32.178331200000002</v>
      </c>
      <c r="K940" s="4"/>
      <c r="L940" s="9">
        <v>27.3993</v>
      </c>
      <c r="M940" s="9">
        <v>12.063700000000001</v>
      </c>
      <c r="N940" s="9">
        <v>4.9444999999999997</v>
      </c>
      <c r="O940" s="9">
        <v>0.37459999999999999</v>
      </c>
      <c r="P940" s="9">
        <v>1.2939000000000001</v>
      </c>
      <c r="Q940" s="9">
        <v>19.688099999999999</v>
      </c>
      <c r="R940" s="9"/>
      <c r="S940" s="11"/>
    </row>
    <row r="941" spans="1:19" ht="15.75">
      <c r="A941" s="13">
        <v>70525</v>
      </c>
      <c r="B941" s="8">
        <f>43.3701 * CHOOSE(CONTROL!$C$12, $D$11, 100%, $F$11)</f>
        <v>34.869560400000005</v>
      </c>
      <c r="C941" s="8">
        <f>43.3805 * CHOOSE(CONTROL!$C$12, $D$11, 100%, $F$11)</f>
        <v>34.877921999999998</v>
      </c>
      <c r="D941" s="8">
        <f>43.3782 * CHOOSE( CONTROL!$C$12, $D$11, 100%, $F$11)</f>
        <v>34.876072800000003</v>
      </c>
      <c r="E941" s="12">
        <f>43.3779 * CHOOSE( CONTROL!$C$12, $D$11, 100%, $F$11)</f>
        <v>34.875831599999998</v>
      </c>
      <c r="F941" s="4">
        <f>44.393 * CHOOSE(CONTROL!$C$12, $D$11, 100%, $F$11)</f>
        <v>35.691972</v>
      </c>
      <c r="G941" s="8">
        <f>42.3034 * CHOOSE( CONTROL!$C$12, $D$11, 100%, $F$11)</f>
        <v>34.011933600000006</v>
      </c>
      <c r="H941" s="4">
        <f>43.1968 * CHOOSE(CONTROL!$C$12, $D$11, 100%, $F$11)</f>
        <v>34.730227200000002</v>
      </c>
      <c r="I941" s="8">
        <f>41.6818 * CHOOSE(CONTROL!$C$12, $D$11, 100%, $F$11)</f>
        <v>33.512167200000007</v>
      </c>
      <c r="J941" s="4">
        <f>41.5525 * CHOOSE(CONTROL!$C$12, $D$11, 100%, $F$11)</f>
        <v>33.408210000000004</v>
      </c>
      <c r="K941" s="4"/>
      <c r="L941" s="9">
        <v>27.3993</v>
      </c>
      <c r="M941" s="9">
        <v>12.063700000000001</v>
      </c>
      <c r="N941" s="9">
        <v>4.9444999999999997</v>
      </c>
      <c r="O941" s="9">
        <v>0.37459999999999999</v>
      </c>
      <c r="P941" s="9">
        <v>1.2939000000000001</v>
      </c>
      <c r="Q941" s="9">
        <v>19.688099999999999</v>
      </c>
      <c r="R941" s="9"/>
      <c r="S941" s="11"/>
    </row>
    <row r="942" spans="1:19" ht="15.75">
      <c r="A942" s="13">
        <v>70553</v>
      </c>
      <c r="B942" s="8">
        <f>40.5666 * CHOOSE(CONTROL!$C$12, $D$11, 100%, $F$11)</f>
        <v>32.615546399999999</v>
      </c>
      <c r="C942" s="8">
        <f>40.577 * CHOOSE(CONTROL!$C$12, $D$11, 100%, $F$11)</f>
        <v>32.623908</v>
      </c>
      <c r="D942" s="8">
        <f>40.577 * CHOOSE( CONTROL!$C$12, $D$11, 100%, $F$11)</f>
        <v>32.623908</v>
      </c>
      <c r="E942" s="12">
        <f>40.5759 * CHOOSE( CONTROL!$C$12, $D$11, 100%, $F$11)</f>
        <v>32.623023599999996</v>
      </c>
      <c r="F942" s="4">
        <f>41.5817 * CHOOSE(CONTROL!$C$12, $D$11, 100%, $F$11)</f>
        <v>33.431686800000001</v>
      </c>
      <c r="G942" s="8">
        <f>39.5705 * CHOOSE( CONTROL!$C$12, $D$11, 100%, $F$11)</f>
        <v>31.814682000000005</v>
      </c>
      <c r="H942" s="4">
        <f>40.4564 * CHOOSE(CONTROL!$C$12, $D$11, 100%, $F$11)</f>
        <v>32.526945600000005</v>
      </c>
      <c r="I942" s="8">
        <f>38.9833 * CHOOSE(CONTROL!$C$12, $D$11, 100%, $F$11)</f>
        <v>31.3425732</v>
      </c>
      <c r="J942" s="4">
        <f>38.8662 * CHOOSE(CONTROL!$C$12, $D$11, 100%, $F$11)</f>
        <v>31.248424800000002</v>
      </c>
      <c r="K942" s="4"/>
      <c r="L942" s="9">
        <v>24.747800000000002</v>
      </c>
      <c r="M942" s="9">
        <v>10.8962</v>
      </c>
      <c r="N942" s="9">
        <v>4.4660000000000002</v>
      </c>
      <c r="O942" s="9">
        <v>0.33829999999999999</v>
      </c>
      <c r="P942" s="9">
        <v>1.1687000000000001</v>
      </c>
      <c r="Q942" s="9">
        <v>17.782800000000002</v>
      </c>
      <c r="R942" s="9"/>
      <c r="S942" s="11"/>
    </row>
    <row r="943" spans="1:19" ht="15.75">
      <c r="A943" s="13">
        <v>70584</v>
      </c>
      <c r="B943" s="8">
        <f>39.7031 * CHOOSE(CONTROL!$C$12, $D$11, 100%, $F$11)</f>
        <v>31.921292400000002</v>
      </c>
      <c r="C943" s="8">
        <f>39.7136 * CHOOSE(CONTROL!$C$12, $D$11, 100%, $F$11)</f>
        <v>31.929734400000001</v>
      </c>
      <c r="D943" s="8">
        <f>39.6934 * CHOOSE( CONTROL!$C$12, $D$11, 100%, $F$11)</f>
        <v>31.913493599999999</v>
      </c>
      <c r="E943" s="12">
        <f>39.6997 * CHOOSE( CONTROL!$C$12, $D$11, 100%, $F$11)</f>
        <v>31.918558800000003</v>
      </c>
      <c r="F943" s="4">
        <f>40.702 * CHOOSE(CONTROL!$C$12, $D$11, 100%, $F$11)</f>
        <v>32.724408000000004</v>
      </c>
      <c r="G943" s="8">
        <f>38.7083 * CHOOSE( CONTROL!$C$12, $D$11, 100%, $F$11)</f>
        <v>31.121473200000004</v>
      </c>
      <c r="H943" s="4">
        <f>39.5989 * CHOOSE(CONTROL!$C$12, $D$11, 100%, $F$11)</f>
        <v>31.837515600000003</v>
      </c>
      <c r="I943" s="8">
        <f>38.116 * CHOOSE(CONTROL!$C$12, $D$11, 100%, $F$11)</f>
        <v>30.645264000000001</v>
      </c>
      <c r="J943" s="4">
        <f>38.0388 * CHOOSE(CONTROL!$C$12, $D$11, 100%, $F$11)</f>
        <v>30.583195200000002</v>
      </c>
      <c r="K943" s="4"/>
      <c r="L943" s="9">
        <v>27.3993</v>
      </c>
      <c r="M943" s="9">
        <v>12.063700000000001</v>
      </c>
      <c r="N943" s="9">
        <v>4.9444999999999997</v>
      </c>
      <c r="O943" s="9">
        <v>0.37459999999999999</v>
      </c>
      <c r="P943" s="9">
        <v>1.2939000000000001</v>
      </c>
      <c r="Q943" s="9">
        <v>19.688099999999999</v>
      </c>
      <c r="R943" s="9"/>
      <c r="S943" s="11"/>
    </row>
    <row r="944" spans="1:19" ht="15.75">
      <c r="A944" s="13">
        <v>70614</v>
      </c>
      <c r="B944" s="8">
        <f>40.3065 * CHOOSE(CONTROL!$C$12, $D$11, 100%, $F$11)</f>
        <v>32.406426000000003</v>
      </c>
      <c r="C944" s="8">
        <f>40.3169 * CHOOSE(CONTROL!$C$12, $D$11, 100%, $F$11)</f>
        <v>32.414787599999997</v>
      </c>
      <c r="D944" s="8">
        <f>40.3201 * CHOOSE( CONTROL!$C$12, $D$11, 100%, $F$11)</f>
        <v>32.4173604</v>
      </c>
      <c r="E944" s="12">
        <f>40.3179 * CHOOSE( CONTROL!$C$12, $D$11, 100%, $F$11)</f>
        <v>32.415591600000006</v>
      </c>
      <c r="F944" s="4">
        <f>41.3138 * CHOOSE(CONTROL!$C$12, $D$11, 100%, $F$11)</f>
        <v>33.216295200000005</v>
      </c>
      <c r="G944" s="8">
        <f>39.2844 * CHOOSE( CONTROL!$C$12, $D$11, 100%, $F$11)</f>
        <v>31.5846576</v>
      </c>
      <c r="H944" s="4">
        <f>40.1952 * CHOOSE(CONTROL!$C$12, $D$11, 100%, $F$11)</f>
        <v>32.316940800000005</v>
      </c>
      <c r="I944" s="8">
        <f>38.6845 * CHOOSE(CONTROL!$C$12, $D$11, 100%, $F$11)</f>
        <v>31.102338000000003</v>
      </c>
      <c r="J944" s="4">
        <f>38.6169 * CHOOSE(CONTROL!$C$12, $D$11, 100%, $F$11)</f>
        <v>31.047987600000003</v>
      </c>
      <c r="K944" s="4"/>
      <c r="L944" s="9">
        <v>27.988800000000001</v>
      </c>
      <c r="M944" s="9">
        <v>11.6745</v>
      </c>
      <c r="N944" s="9">
        <v>4.7850000000000001</v>
      </c>
      <c r="O944" s="9">
        <v>0.36249999999999999</v>
      </c>
      <c r="P944" s="9">
        <v>1.1798</v>
      </c>
      <c r="Q944" s="9">
        <v>19.053000000000001</v>
      </c>
      <c r="R944" s="9"/>
      <c r="S944" s="11"/>
    </row>
    <row r="945" spans="1:19" ht="15.75">
      <c r="A945" s="13">
        <v>70645</v>
      </c>
      <c r="B945" s="8">
        <f>CHOOSE( CONTROL!$C$29, 41.3851, 41.3804) * CHOOSE(CONTROL!$C$12, $D$11, 100%, $F$11)</f>
        <v>33.273620400000006</v>
      </c>
      <c r="C945" s="8">
        <f>CHOOSE( CONTROL!$C$29, 41.3955, 41.3908) * CHOOSE(CONTROL!$C$12, $D$11, 100%, $F$11)</f>
        <v>33.281981999999999</v>
      </c>
      <c r="D945" s="8">
        <f>CHOOSE( CONTROL!$C$29, 41.3735, 41.3688) * CHOOSE( CONTROL!$C$12, $D$11, 100%, $F$11)</f>
        <v>33.264294</v>
      </c>
      <c r="E945" s="12">
        <f>CHOOSE( CONTROL!$C$29, 41.3799, 41.3752) * CHOOSE( CONTROL!$C$12, $D$11, 100%, $F$11)</f>
        <v>33.269439599999998</v>
      </c>
      <c r="F945" s="4">
        <f>CHOOSE( CONTROL!$C$29, 42.36, 42.3553) * CHOOSE(CONTROL!$C$12, $D$11, 100%, $F$11)</f>
        <v>34.05744</v>
      </c>
      <c r="G945" s="8">
        <f>CHOOSE( CONTROL!$C$29, 40.317, 40.3124) * CHOOSE( CONTROL!$C$12, $D$11, 100%, $F$11)</f>
        <v>32.414868000000006</v>
      </c>
      <c r="H945" s="4">
        <f>CHOOSE( CONTROL!$C$29, 41.215, 41.2105) * CHOOSE(CONTROL!$C$12, $D$11, 100%, $F$11)</f>
        <v>33.136860000000006</v>
      </c>
      <c r="I945" s="8">
        <f>CHOOSE( CONTROL!$C$29, 39.697, 39.6924) * CHOOSE(CONTROL!$C$12, $D$11, 100%, $F$11)</f>
        <v>31.916388000000005</v>
      </c>
      <c r="J945" s="4">
        <f>CHOOSE( CONTROL!$C$29, 39.6504, 39.6459) * CHOOSE(CONTROL!$C$12, $D$11, 100%, $F$11)</f>
        <v>31.878921600000002</v>
      </c>
      <c r="K945" s="4"/>
      <c r="L945" s="9">
        <v>29.520499999999998</v>
      </c>
      <c r="M945" s="9">
        <v>12.063700000000001</v>
      </c>
      <c r="N945" s="9">
        <v>4.9444999999999997</v>
      </c>
      <c r="O945" s="9">
        <v>0.37459999999999999</v>
      </c>
      <c r="P945" s="9">
        <v>1.2192000000000001</v>
      </c>
      <c r="Q945" s="9">
        <v>19.688099999999999</v>
      </c>
      <c r="R945" s="9"/>
      <c r="S945" s="11"/>
    </row>
    <row r="946" spans="1:19" ht="15.75">
      <c r="A946" s="13">
        <v>70675</v>
      </c>
      <c r="B946" s="8">
        <f>CHOOSE( CONTROL!$C$29, 40.7199, 40.7152) * CHOOSE(CONTROL!$C$12, $D$11, 100%, $F$11)</f>
        <v>32.738799600000007</v>
      </c>
      <c r="C946" s="8">
        <f>CHOOSE( CONTROL!$C$29, 40.7303, 40.7256) * CHOOSE(CONTROL!$C$12, $D$11, 100%, $F$11)</f>
        <v>32.747161200000001</v>
      </c>
      <c r="D946" s="8">
        <f>CHOOSE( CONTROL!$C$29, 40.7027, 40.6979) * CHOOSE( CONTROL!$C$12, $D$11, 100%, $F$11)</f>
        <v>32.724970800000001</v>
      </c>
      <c r="E946" s="12">
        <f>CHOOSE( CONTROL!$C$29, 40.7111, 40.7064) * CHOOSE( CONTROL!$C$12, $D$11, 100%, $F$11)</f>
        <v>32.731724400000004</v>
      </c>
      <c r="F946" s="4">
        <f>CHOOSE( CONTROL!$C$29, 41.6843, 41.6796) * CHOOSE(CONTROL!$C$12, $D$11, 100%, $F$11)</f>
        <v>33.514177199999999</v>
      </c>
      <c r="G946" s="8">
        <f>CHOOSE( CONTROL!$C$29, 39.6673, 39.6627) * CHOOSE( CONTROL!$C$12, $D$11, 100%, $F$11)</f>
        <v>31.892509199999999</v>
      </c>
      <c r="H946" s="4">
        <f>CHOOSE( CONTROL!$C$29, 40.5564, 40.5518) * CHOOSE(CONTROL!$C$12, $D$11, 100%, $F$11)</f>
        <v>32.607345600000002</v>
      </c>
      <c r="I946" s="8">
        <f>CHOOSE( CONTROL!$C$29, 39.0614, 39.0569) * CHOOSE(CONTROL!$C$12, $D$11, 100%, $F$11)</f>
        <v>31.4053656</v>
      </c>
      <c r="J946" s="4">
        <f>CHOOSE( CONTROL!$C$29, 39.013, 39.0085) * CHOOSE(CONTROL!$C$12, $D$11, 100%, $F$11)</f>
        <v>31.366451999999999</v>
      </c>
      <c r="K946" s="4"/>
      <c r="L946" s="9">
        <v>28.568200000000001</v>
      </c>
      <c r="M946" s="9">
        <v>11.6745</v>
      </c>
      <c r="N946" s="9">
        <v>4.7850000000000001</v>
      </c>
      <c r="O946" s="9">
        <v>0.36249999999999999</v>
      </c>
      <c r="P946" s="9">
        <v>1.1798</v>
      </c>
      <c r="Q946" s="9">
        <v>19.053000000000001</v>
      </c>
      <c r="R946" s="9"/>
      <c r="S946" s="11"/>
    </row>
    <row r="947" spans="1:19" ht="15.75">
      <c r="A947" s="13">
        <v>70706</v>
      </c>
      <c r="B947" s="8">
        <f>CHOOSE( CONTROL!$C$29, 42.4716, 42.4669) * CHOOSE(CONTROL!$C$12, $D$11, 100%, $F$11)</f>
        <v>34.147166400000003</v>
      </c>
      <c r="C947" s="8">
        <f>CHOOSE( CONTROL!$C$29, 42.4821, 42.4774) * CHOOSE(CONTROL!$C$12, $D$11, 100%, $F$11)</f>
        <v>34.155608400000006</v>
      </c>
      <c r="D947" s="8">
        <f>CHOOSE( CONTROL!$C$29, 42.4736, 42.4689) * CHOOSE( CONTROL!$C$12, $D$11, 100%, $F$11)</f>
        <v>34.148774400000001</v>
      </c>
      <c r="E947" s="12">
        <f>CHOOSE( CONTROL!$C$29, 42.4751, 42.4704) * CHOOSE( CONTROL!$C$12, $D$11, 100%, $F$11)</f>
        <v>34.149980399999997</v>
      </c>
      <c r="F947" s="4">
        <f>CHOOSE( CONTROL!$C$29, 43.4632, 43.4585) * CHOOSE(CONTROL!$C$12, $D$11, 100%, $F$11)</f>
        <v>34.944412800000002</v>
      </c>
      <c r="G947" s="8">
        <f>CHOOSE( CONTROL!$C$29, 41.3876, 41.383) * CHOOSE( CONTROL!$C$12, $D$11, 100%, $F$11)</f>
        <v>33.275630400000004</v>
      </c>
      <c r="H947" s="4">
        <f>CHOOSE( CONTROL!$C$29, 42.2905, 42.2859) * CHOOSE(CONTROL!$C$12, $D$11, 100%, $F$11)</f>
        <v>34.001562</v>
      </c>
      <c r="I947" s="8">
        <f>CHOOSE( CONTROL!$C$29, 40.7635, 40.759) * CHOOSE(CONTROL!$C$12, $D$11, 100%, $F$11)</f>
        <v>32.773854</v>
      </c>
      <c r="J947" s="4">
        <f>CHOOSE( CONTROL!$C$29, 40.6916, 40.687) * CHOOSE(CONTROL!$C$12, $D$11, 100%, $F$11)</f>
        <v>32.716046400000003</v>
      </c>
      <c r="K947" s="4"/>
      <c r="L947" s="9">
        <v>29.520499999999998</v>
      </c>
      <c r="M947" s="9">
        <v>12.063700000000001</v>
      </c>
      <c r="N947" s="9">
        <v>4.9444999999999997</v>
      </c>
      <c r="O947" s="9">
        <v>0.37459999999999999</v>
      </c>
      <c r="P947" s="9">
        <v>1.2192000000000001</v>
      </c>
      <c r="Q947" s="9">
        <v>19.688099999999999</v>
      </c>
      <c r="R947" s="9"/>
      <c r="S947" s="11"/>
    </row>
    <row r="948" spans="1:19" ht="15.75">
      <c r="A948" s="13">
        <v>70737</v>
      </c>
      <c r="B948" s="8">
        <f>CHOOSE( CONTROL!$C$29, 39.1939, 39.1892) * CHOOSE(CONTROL!$C$12, $D$11, 100%, $F$11)</f>
        <v>31.511895600000003</v>
      </c>
      <c r="C948" s="8">
        <f>CHOOSE( CONTROL!$C$29, 39.2043, 39.1996) * CHOOSE(CONTROL!$C$12, $D$11, 100%, $F$11)</f>
        <v>31.520257200000003</v>
      </c>
      <c r="D948" s="8">
        <f>CHOOSE( CONTROL!$C$29, 39.1992, 39.1945) * CHOOSE( CONTROL!$C$12, $D$11, 100%, $F$11)</f>
        <v>31.516156800000001</v>
      </c>
      <c r="E948" s="12">
        <f>CHOOSE( CONTROL!$C$29, 39.1995, 39.1948) * CHOOSE( CONTROL!$C$12, $D$11, 100%, $F$11)</f>
        <v>31.516398000000002</v>
      </c>
      <c r="F948" s="4">
        <f>CHOOSE( CONTROL!$C$29, 40.1907, 40.186) * CHOOSE(CONTROL!$C$12, $D$11, 100%, $F$11)</f>
        <v>32.313322800000002</v>
      </c>
      <c r="G948" s="8">
        <f>CHOOSE( CONTROL!$C$29, 38.1947, 38.1901) * CHOOSE( CONTROL!$C$12, $D$11, 100%, $F$11)</f>
        <v>30.708538799999999</v>
      </c>
      <c r="H948" s="4">
        <f>CHOOSE( CONTROL!$C$29, 39.1005, 39.0959) * CHOOSE(CONTROL!$C$12, $D$11, 100%, $F$11)</f>
        <v>31.436802</v>
      </c>
      <c r="I948" s="8">
        <f>CHOOSE( CONTROL!$C$29, 37.6258, 37.6213) * CHOOSE(CONTROL!$C$12, $D$11, 100%, $F$11)</f>
        <v>30.251143200000001</v>
      </c>
      <c r="J948" s="4">
        <f>CHOOSE( CONTROL!$C$29, 37.5508, 37.5463) * CHOOSE(CONTROL!$C$12, $D$11, 100%, $F$11)</f>
        <v>30.190843200000003</v>
      </c>
      <c r="K948" s="4"/>
      <c r="L948" s="9">
        <v>29.520499999999998</v>
      </c>
      <c r="M948" s="9">
        <v>12.063700000000001</v>
      </c>
      <c r="N948" s="9">
        <v>4.9444999999999997</v>
      </c>
      <c r="O948" s="9">
        <v>0.37459999999999999</v>
      </c>
      <c r="P948" s="9">
        <v>1.2192000000000001</v>
      </c>
      <c r="Q948" s="9">
        <v>19.688099999999999</v>
      </c>
      <c r="R948" s="9"/>
      <c r="S948" s="11"/>
    </row>
    <row r="949" spans="1:19" ht="15.75">
      <c r="A949" s="13">
        <v>70767</v>
      </c>
      <c r="B949" s="8">
        <f>CHOOSE( CONTROL!$C$29, 38.3731, 38.3684) * CHOOSE(CONTROL!$C$12, $D$11, 100%, $F$11)</f>
        <v>30.851972400000001</v>
      </c>
      <c r="C949" s="8">
        <f>CHOOSE( CONTROL!$C$29, 38.3835, 38.3788) * CHOOSE(CONTROL!$C$12, $D$11, 100%, $F$11)</f>
        <v>30.860334000000002</v>
      </c>
      <c r="D949" s="8">
        <f>CHOOSE( CONTROL!$C$29, 38.3742, 38.3695) * CHOOSE( CONTROL!$C$12, $D$11, 100%, $F$11)</f>
        <v>30.852856800000005</v>
      </c>
      <c r="E949" s="12">
        <f>CHOOSE( CONTROL!$C$29, 38.376, 38.3713) * CHOOSE( CONTROL!$C$12, $D$11, 100%, $F$11)</f>
        <v>30.854303999999999</v>
      </c>
      <c r="F949" s="4">
        <f>CHOOSE( CONTROL!$C$29, 39.3621, 39.3574) * CHOOSE(CONTROL!$C$12, $D$11, 100%, $F$11)</f>
        <v>31.6471284</v>
      </c>
      <c r="G949" s="8">
        <f>CHOOSE( CONTROL!$C$29, 37.3933, 37.3887) * CHOOSE( CONTROL!$C$12, $D$11, 100%, $F$11)</f>
        <v>30.064213200000005</v>
      </c>
      <c r="H949" s="4">
        <f>CHOOSE( CONTROL!$C$29, 38.2928, 38.2882) * CHOOSE(CONTROL!$C$12, $D$11, 100%, $F$11)</f>
        <v>30.787411200000001</v>
      </c>
      <c r="I949" s="8">
        <f>CHOOSE( CONTROL!$C$29, 36.8403, 36.8358) * CHOOSE(CONTROL!$C$12, $D$11, 100%, $F$11)</f>
        <v>29.619601200000002</v>
      </c>
      <c r="J949" s="4">
        <f>CHOOSE( CONTROL!$C$29, 36.7643, 36.7598) * CHOOSE(CONTROL!$C$12, $D$11, 100%, $F$11)</f>
        <v>29.558497200000001</v>
      </c>
      <c r="K949" s="4"/>
      <c r="L949" s="9">
        <v>28.568200000000001</v>
      </c>
      <c r="M949" s="9">
        <v>11.6745</v>
      </c>
      <c r="N949" s="9">
        <v>4.7850000000000001</v>
      </c>
      <c r="O949" s="9">
        <v>0.36249999999999999</v>
      </c>
      <c r="P949" s="9">
        <v>1.1798</v>
      </c>
      <c r="Q949" s="9">
        <v>19.053000000000001</v>
      </c>
      <c r="R949" s="9"/>
      <c r="S949" s="11"/>
    </row>
    <row r="950" spans="1:19" ht="15.75">
      <c r="A950" s="13">
        <v>70798</v>
      </c>
      <c r="B950" s="8">
        <f>40.0726 * CHOOSE(CONTROL!$C$12, $D$11, 100%, $F$11)</f>
        <v>32.218370400000005</v>
      </c>
      <c r="C950" s="8">
        <f>40.0831 * CHOOSE(CONTROL!$C$12, $D$11, 100%, $F$11)</f>
        <v>32.2268124</v>
      </c>
      <c r="D950" s="8">
        <f>40.0746 * CHOOSE( CONTROL!$C$12, $D$11, 100%, $F$11)</f>
        <v>32.219978400000002</v>
      </c>
      <c r="E950" s="12">
        <f>40.0763 * CHOOSE( CONTROL!$C$12, $D$11, 100%, $F$11)</f>
        <v>32.221345200000002</v>
      </c>
      <c r="F950" s="4">
        <f>41.0616 * CHOOSE(CONTROL!$C$12, $D$11, 100%, $F$11)</f>
        <v>33.013526400000003</v>
      </c>
      <c r="G950" s="8">
        <f>39.0496 * CHOOSE( CONTROL!$C$12, $D$11, 100%, $F$11)</f>
        <v>31.395878400000001</v>
      </c>
      <c r="H950" s="4">
        <f>39.9494 * CHOOSE(CONTROL!$C$12, $D$11, 100%, $F$11)</f>
        <v>32.119317600000002</v>
      </c>
      <c r="I950" s="8">
        <f>38.4716 * CHOOSE(CONTROL!$C$12, $D$11, 100%, $F$11)</f>
        <v>30.931166400000002</v>
      </c>
      <c r="J950" s="4">
        <f>38.3928 * CHOOSE(CONTROL!$C$12, $D$11, 100%, $F$11)</f>
        <v>30.867811200000002</v>
      </c>
      <c r="K950" s="4"/>
      <c r="L950" s="9">
        <v>28.921800000000001</v>
      </c>
      <c r="M950" s="9">
        <v>12.063700000000001</v>
      </c>
      <c r="N950" s="9">
        <v>4.9444999999999997</v>
      </c>
      <c r="O950" s="9">
        <v>0.37459999999999999</v>
      </c>
      <c r="P950" s="9">
        <v>1.2192000000000001</v>
      </c>
      <c r="Q950" s="9">
        <v>19.688099999999999</v>
      </c>
      <c r="R950" s="9"/>
      <c r="S950" s="11"/>
    </row>
    <row r="951" spans="1:19" ht="15.75">
      <c r="A951" s="13">
        <v>70828</v>
      </c>
      <c r="B951" s="8">
        <f>43.2183 * CHOOSE(CONTROL!$C$12, $D$11, 100%, $F$11)</f>
        <v>34.7475132</v>
      </c>
      <c r="C951" s="8">
        <f>43.2287 * CHOOSE(CONTROL!$C$12, $D$11, 100%, $F$11)</f>
        <v>34.755874800000008</v>
      </c>
      <c r="D951" s="8">
        <f>43.209 * CHOOSE( CONTROL!$C$12, $D$11, 100%, $F$11)</f>
        <v>34.740036000000003</v>
      </c>
      <c r="E951" s="12">
        <f>43.2151 * CHOOSE( CONTROL!$C$12, $D$11, 100%, $F$11)</f>
        <v>34.744940400000004</v>
      </c>
      <c r="F951" s="4">
        <f>44.2099 * CHOOSE(CONTROL!$C$12, $D$11, 100%, $F$11)</f>
        <v>35.544759599999999</v>
      </c>
      <c r="G951" s="8">
        <f>42.1349 * CHOOSE( CONTROL!$C$12, $D$11, 100%, $F$11)</f>
        <v>33.876459600000004</v>
      </c>
      <c r="H951" s="4">
        <f>43.0183 * CHOOSE(CONTROL!$C$12, $D$11, 100%, $F$11)</f>
        <v>34.586713200000005</v>
      </c>
      <c r="I951" s="8">
        <f>41.5175 * CHOOSE(CONTROL!$C$12, $D$11, 100%, $F$11)</f>
        <v>33.380070000000003</v>
      </c>
      <c r="J951" s="4">
        <f>41.407 * CHOOSE(CONTROL!$C$12, $D$11, 100%, $F$11)</f>
        <v>33.291227999999997</v>
      </c>
      <c r="K951" s="4"/>
      <c r="L951" s="9">
        <v>26.515499999999999</v>
      </c>
      <c r="M951" s="9">
        <v>11.6745</v>
      </c>
      <c r="N951" s="9">
        <v>4.7850000000000001</v>
      </c>
      <c r="O951" s="9">
        <v>0.36249999999999999</v>
      </c>
      <c r="P951" s="9">
        <v>1.2522</v>
      </c>
      <c r="Q951" s="9">
        <v>19.053000000000001</v>
      </c>
      <c r="R951" s="9"/>
      <c r="S951" s="11"/>
    </row>
    <row r="952" spans="1:19" ht="15.75">
      <c r="A952" s="13">
        <v>70859</v>
      </c>
      <c r="B952" s="8">
        <f>43.1397 * CHOOSE(CONTROL!$C$12, $D$11, 100%, $F$11)</f>
        <v>34.6843188</v>
      </c>
      <c r="C952" s="8">
        <f>43.1501 * CHOOSE(CONTROL!$C$12, $D$11, 100%, $F$11)</f>
        <v>34.6926804</v>
      </c>
      <c r="D952" s="8">
        <f>43.1323 * CHOOSE( CONTROL!$C$12, $D$11, 100%, $F$11)</f>
        <v>34.678369200000006</v>
      </c>
      <c r="E952" s="12">
        <f>43.1377 * CHOOSE( CONTROL!$C$12, $D$11, 100%, $F$11)</f>
        <v>34.682710800000002</v>
      </c>
      <c r="F952" s="4">
        <f>44.1313 * CHOOSE(CONTROL!$C$12, $D$11, 100%, $F$11)</f>
        <v>35.481565200000006</v>
      </c>
      <c r="G952" s="8">
        <f>42.0598 * CHOOSE( CONTROL!$C$12, $D$11, 100%, $F$11)</f>
        <v>33.816079200000004</v>
      </c>
      <c r="H952" s="4">
        <f>42.9417 * CHOOSE(CONTROL!$C$12, $D$11, 100%, $F$11)</f>
        <v>34.525126800000002</v>
      </c>
      <c r="I952" s="8">
        <f>41.449 * CHOOSE(CONTROL!$C$12, $D$11, 100%, $F$11)</f>
        <v>33.324995999999999</v>
      </c>
      <c r="J952" s="4">
        <f>41.3317 * CHOOSE(CONTROL!$C$12, $D$11, 100%, $F$11)</f>
        <v>33.230686800000001</v>
      </c>
      <c r="K952" s="4"/>
      <c r="L952" s="9">
        <v>27.3993</v>
      </c>
      <c r="M952" s="9">
        <v>12.063700000000001</v>
      </c>
      <c r="N952" s="9">
        <v>4.9444999999999997</v>
      </c>
      <c r="O952" s="9">
        <v>0.37459999999999999</v>
      </c>
      <c r="P952" s="9">
        <v>1.2939000000000001</v>
      </c>
      <c r="Q952" s="9">
        <v>19.688099999999999</v>
      </c>
      <c r="R952" s="9"/>
      <c r="S952" s="11"/>
    </row>
    <row r="953" spans="1:19" ht="15.75">
      <c r="A953" s="13">
        <v>70890</v>
      </c>
      <c r="B953" s="8">
        <f>44.7883 * CHOOSE(CONTROL!$C$12, $D$11, 100%, $F$11)</f>
        <v>36.009793200000004</v>
      </c>
      <c r="C953" s="8">
        <f>44.7987 * CHOOSE(CONTROL!$C$12, $D$11, 100%, $F$11)</f>
        <v>36.018154799999998</v>
      </c>
      <c r="D953" s="8">
        <f>44.7964 * CHOOSE( CONTROL!$C$12, $D$11, 100%, $F$11)</f>
        <v>36.016305600000003</v>
      </c>
      <c r="E953" s="12">
        <f>44.7961 * CHOOSE( CONTROL!$C$12, $D$11, 100%, $F$11)</f>
        <v>36.016064400000005</v>
      </c>
      <c r="F953" s="4">
        <f>45.8112 * CHOOSE(CONTROL!$C$12, $D$11, 100%, $F$11)</f>
        <v>36.8322048</v>
      </c>
      <c r="G953" s="8">
        <f>43.6858 * CHOOSE( CONTROL!$C$12, $D$11, 100%, $F$11)</f>
        <v>35.123383199999999</v>
      </c>
      <c r="H953" s="4">
        <f>44.5792 * CHOOSE(CONTROL!$C$12, $D$11, 100%, $F$11)</f>
        <v>35.841676800000002</v>
      </c>
      <c r="I953" s="8">
        <f>43.0414 * CHOOSE(CONTROL!$C$12, $D$11, 100%, $F$11)</f>
        <v>34.605285600000002</v>
      </c>
      <c r="J953" s="4">
        <f>42.9114 * CHOOSE(CONTROL!$C$12, $D$11, 100%, $F$11)</f>
        <v>34.500765600000001</v>
      </c>
      <c r="K953" s="4"/>
      <c r="L953" s="9">
        <v>27.3993</v>
      </c>
      <c r="M953" s="9">
        <v>12.063700000000001</v>
      </c>
      <c r="N953" s="9">
        <v>4.9444999999999997</v>
      </c>
      <c r="O953" s="9">
        <v>0.37459999999999999</v>
      </c>
      <c r="P953" s="9">
        <v>1.2939000000000001</v>
      </c>
      <c r="Q953" s="9">
        <v>19.688099999999999</v>
      </c>
      <c r="R953" s="9"/>
      <c r="S953" s="11"/>
    </row>
    <row r="954" spans="1:19" ht="15.75">
      <c r="A954" s="13">
        <v>70918</v>
      </c>
      <c r="B954" s="8">
        <f>41.8931 * CHOOSE(CONTROL!$C$12, $D$11, 100%, $F$11)</f>
        <v>33.682052399999996</v>
      </c>
      <c r="C954" s="8">
        <f>41.9036 * CHOOSE(CONTROL!$C$12, $D$11, 100%, $F$11)</f>
        <v>33.690494399999999</v>
      </c>
      <c r="D954" s="8">
        <f>41.9035 * CHOOSE( CONTROL!$C$12, $D$11, 100%, $F$11)</f>
        <v>33.690414000000004</v>
      </c>
      <c r="E954" s="12">
        <f>41.9024 * CHOOSE( CONTROL!$C$12, $D$11, 100%, $F$11)</f>
        <v>33.6895296</v>
      </c>
      <c r="F954" s="4">
        <f>42.9082 * CHOOSE(CONTROL!$C$12, $D$11, 100%, $F$11)</f>
        <v>34.498192800000005</v>
      </c>
      <c r="G954" s="8">
        <f>40.8636 * CHOOSE( CONTROL!$C$12, $D$11, 100%, $F$11)</f>
        <v>32.854334399999999</v>
      </c>
      <c r="H954" s="4">
        <f>41.7494 * CHOOSE(CONTROL!$C$12, $D$11, 100%, $F$11)</f>
        <v>33.566517600000005</v>
      </c>
      <c r="I954" s="8">
        <f>40.255 * CHOOSE(CONTROL!$C$12, $D$11, 100%, $F$11)</f>
        <v>32.365020000000001</v>
      </c>
      <c r="J954" s="4">
        <f>40.1372 * CHOOSE(CONTROL!$C$12, $D$11, 100%, $F$11)</f>
        <v>32.270308800000002</v>
      </c>
      <c r="K954" s="4"/>
      <c r="L954" s="9">
        <v>24.747800000000002</v>
      </c>
      <c r="M954" s="9">
        <v>10.8962</v>
      </c>
      <c r="N954" s="9">
        <v>4.4660000000000002</v>
      </c>
      <c r="O954" s="9">
        <v>0.33829999999999999</v>
      </c>
      <c r="P954" s="9">
        <v>1.1687000000000001</v>
      </c>
      <c r="Q954" s="9">
        <v>17.782800000000002</v>
      </c>
      <c r="R954" s="9"/>
      <c r="S954" s="11"/>
    </row>
    <row r="955" spans="1:19" ht="15.75">
      <c r="A955" s="13">
        <v>70949</v>
      </c>
      <c r="B955" s="8">
        <f>41.0014 * CHOOSE(CONTROL!$C$12, $D$11, 100%, $F$11)</f>
        <v>32.9651256</v>
      </c>
      <c r="C955" s="8">
        <f>41.0119 * CHOOSE(CONTROL!$C$12, $D$11, 100%, $F$11)</f>
        <v>32.973567600000003</v>
      </c>
      <c r="D955" s="8">
        <f>40.9917 * CHOOSE( CONTROL!$C$12, $D$11, 100%, $F$11)</f>
        <v>32.957326800000004</v>
      </c>
      <c r="E955" s="12">
        <f>40.998 * CHOOSE( CONTROL!$C$12, $D$11, 100%, $F$11)</f>
        <v>32.962392000000001</v>
      </c>
      <c r="F955" s="4">
        <f>42.0003 * CHOOSE(CONTROL!$C$12, $D$11, 100%, $F$11)</f>
        <v>33.768241200000006</v>
      </c>
      <c r="G955" s="8">
        <f>39.9739 * CHOOSE( CONTROL!$C$12, $D$11, 100%, $F$11)</f>
        <v>32.1390156</v>
      </c>
      <c r="H955" s="4">
        <f>40.8645 * CHOOSE(CONTROL!$C$12, $D$11, 100%, $F$11)</f>
        <v>32.855058</v>
      </c>
      <c r="I955" s="8">
        <f>39.3606 * CHOOSE(CONTROL!$C$12, $D$11, 100%, $F$11)</f>
        <v>31.6459224</v>
      </c>
      <c r="J955" s="4">
        <f>39.2828 * CHOOSE(CONTROL!$C$12, $D$11, 100%, $F$11)</f>
        <v>31.583371200000002</v>
      </c>
      <c r="K955" s="4"/>
      <c r="L955" s="9">
        <v>27.3993</v>
      </c>
      <c r="M955" s="9">
        <v>12.063700000000001</v>
      </c>
      <c r="N955" s="9">
        <v>4.9444999999999997</v>
      </c>
      <c r="O955" s="9">
        <v>0.37459999999999999</v>
      </c>
      <c r="P955" s="9">
        <v>1.2939000000000001</v>
      </c>
      <c r="Q955" s="9">
        <v>19.688099999999999</v>
      </c>
      <c r="R955" s="9"/>
      <c r="S955" s="11"/>
    </row>
    <row r="956" spans="1:19" ht="15.75">
      <c r="A956" s="13">
        <v>70979</v>
      </c>
      <c r="B956" s="8">
        <f>41.6245 * CHOOSE(CONTROL!$C$12, $D$11, 100%, $F$11)</f>
        <v>33.466098000000002</v>
      </c>
      <c r="C956" s="8">
        <f>41.635 * CHOOSE(CONTROL!$C$12, $D$11, 100%, $F$11)</f>
        <v>33.474539999999998</v>
      </c>
      <c r="D956" s="8">
        <f>41.6382 * CHOOSE( CONTROL!$C$12, $D$11, 100%, $F$11)</f>
        <v>33.4771128</v>
      </c>
      <c r="E956" s="12">
        <f>41.6359 * CHOOSE( CONTROL!$C$12, $D$11, 100%, $F$11)</f>
        <v>33.475263599999998</v>
      </c>
      <c r="F956" s="4">
        <f>42.6318 * CHOOSE(CONTROL!$C$12, $D$11, 100%, $F$11)</f>
        <v>34.275967200000004</v>
      </c>
      <c r="G956" s="8">
        <f>40.5691 * CHOOSE( CONTROL!$C$12, $D$11, 100%, $F$11)</f>
        <v>32.617556399999998</v>
      </c>
      <c r="H956" s="4">
        <f>41.48 * CHOOSE(CONTROL!$C$12, $D$11, 100%, $F$11)</f>
        <v>33.349919999999997</v>
      </c>
      <c r="I956" s="8">
        <f>39.948 * CHOOSE(CONTROL!$C$12, $D$11, 100%, $F$11)</f>
        <v>32.118192000000001</v>
      </c>
      <c r="J956" s="4">
        <f>39.8799 * CHOOSE(CONTROL!$C$12, $D$11, 100%, $F$11)</f>
        <v>32.063439600000002</v>
      </c>
      <c r="K956" s="4"/>
      <c r="L956" s="9">
        <v>27.988800000000001</v>
      </c>
      <c r="M956" s="9">
        <v>11.6745</v>
      </c>
      <c r="N956" s="9">
        <v>4.7850000000000001</v>
      </c>
      <c r="O956" s="9">
        <v>0.36249999999999999</v>
      </c>
      <c r="P956" s="9">
        <v>1.1798</v>
      </c>
      <c r="Q956" s="9">
        <v>19.053000000000001</v>
      </c>
      <c r="R956" s="9"/>
      <c r="S956" s="11"/>
    </row>
    <row r="957" spans="1:19" ht="15.75">
      <c r="A957" s="13">
        <v>71010</v>
      </c>
      <c r="B957" s="8">
        <f>CHOOSE( CONTROL!$C$29, 42.7382, 42.7335) * CHOOSE(CONTROL!$C$12, $D$11, 100%, $F$11)</f>
        <v>34.3615128</v>
      </c>
      <c r="C957" s="8">
        <f>CHOOSE( CONTROL!$C$29, 42.7486, 42.7439) * CHOOSE(CONTROL!$C$12, $D$11, 100%, $F$11)</f>
        <v>34.369874400000008</v>
      </c>
      <c r="D957" s="8">
        <f>CHOOSE( CONTROL!$C$29, 42.7266, 42.7219) * CHOOSE( CONTROL!$C$12, $D$11, 100%, $F$11)</f>
        <v>34.352186400000001</v>
      </c>
      <c r="E957" s="12">
        <f>CHOOSE( CONTROL!$C$29, 42.733, 42.7283) * CHOOSE( CONTROL!$C$12, $D$11, 100%, $F$11)</f>
        <v>34.357332</v>
      </c>
      <c r="F957" s="4">
        <f>CHOOSE( CONTROL!$C$29, 43.7131, 43.7084) * CHOOSE(CONTROL!$C$12, $D$11, 100%, $F$11)</f>
        <v>35.145332400000001</v>
      </c>
      <c r="G957" s="8">
        <f>CHOOSE( CONTROL!$C$29, 41.636, 41.6314) * CHOOSE( CONTROL!$C$12, $D$11, 100%, $F$11)</f>
        <v>33.475344000000007</v>
      </c>
      <c r="H957" s="4">
        <f>CHOOSE( CONTROL!$C$29, 42.534, 42.5294) * CHOOSE(CONTROL!$C$12, $D$11, 100%, $F$11)</f>
        <v>34.197336</v>
      </c>
      <c r="I957" s="8">
        <f>CHOOSE( CONTROL!$C$29, 40.9942, 40.9897) * CHOOSE(CONTROL!$C$12, $D$11, 100%, $F$11)</f>
        <v>32.959336800000003</v>
      </c>
      <c r="J957" s="4">
        <f>CHOOSE( CONTROL!$C$29, 40.947, 40.9425) * CHOOSE(CONTROL!$C$12, $D$11, 100%, $F$11)</f>
        <v>32.921388000000007</v>
      </c>
      <c r="K957" s="4"/>
      <c r="L957" s="9">
        <v>29.520499999999998</v>
      </c>
      <c r="M957" s="9">
        <v>12.063700000000001</v>
      </c>
      <c r="N957" s="9">
        <v>4.9444999999999997</v>
      </c>
      <c r="O957" s="9">
        <v>0.37459999999999999</v>
      </c>
      <c r="P957" s="9">
        <v>1.2192000000000001</v>
      </c>
      <c r="Q957" s="9">
        <v>19.688099999999999</v>
      </c>
      <c r="R957" s="9"/>
      <c r="S957" s="11"/>
    </row>
    <row r="958" spans="1:19" ht="15.75">
      <c r="A958" s="13">
        <v>71040</v>
      </c>
      <c r="B958" s="8">
        <f>CHOOSE( CONTROL!$C$29, 42.0512, 42.0465) * CHOOSE(CONTROL!$C$12, $D$11, 100%, $F$11)</f>
        <v>33.809164800000005</v>
      </c>
      <c r="C958" s="8">
        <f>CHOOSE( CONTROL!$C$29, 42.0617, 42.057) * CHOOSE(CONTROL!$C$12, $D$11, 100%, $F$11)</f>
        <v>33.8176068</v>
      </c>
      <c r="D958" s="8">
        <f>CHOOSE( CONTROL!$C$29, 42.034, 42.0293) * CHOOSE( CONTROL!$C$12, $D$11, 100%, $F$11)</f>
        <v>33.795335999999999</v>
      </c>
      <c r="E958" s="12">
        <f>CHOOSE( CONTROL!$C$29, 42.0424, 42.0377) * CHOOSE( CONTROL!$C$12, $D$11, 100%, $F$11)</f>
        <v>33.802089600000002</v>
      </c>
      <c r="F958" s="4">
        <f>CHOOSE( CONTROL!$C$29, 43.0157, 43.011) * CHOOSE(CONTROL!$C$12, $D$11, 100%, $F$11)</f>
        <v>34.584622800000005</v>
      </c>
      <c r="G958" s="8">
        <f>CHOOSE( CONTROL!$C$29, 40.9651, 40.9605) * CHOOSE( CONTROL!$C$12, $D$11, 100%, $F$11)</f>
        <v>32.9359404</v>
      </c>
      <c r="H958" s="4">
        <f>CHOOSE( CONTROL!$C$29, 41.8542, 41.8496) * CHOOSE(CONTROL!$C$12, $D$11, 100%, $F$11)</f>
        <v>33.650776800000003</v>
      </c>
      <c r="I958" s="8">
        <f>CHOOSE( CONTROL!$C$29, 40.3377, 40.3332) * CHOOSE(CONTROL!$C$12, $D$11, 100%, $F$11)</f>
        <v>32.431510799999998</v>
      </c>
      <c r="J958" s="4">
        <f>CHOOSE( CONTROL!$C$29, 40.2887, 40.2842) * CHOOSE(CONTROL!$C$12, $D$11, 100%, $F$11)</f>
        <v>32.392114800000002</v>
      </c>
      <c r="K958" s="4"/>
      <c r="L958" s="9">
        <v>28.568200000000001</v>
      </c>
      <c r="M958" s="9">
        <v>11.6745</v>
      </c>
      <c r="N958" s="9">
        <v>4.7850000000000001</v>
      </c>
      <c r="O958" s="9">
        <v>0.36249999999999999</v>
      </c>
      <c r="P958" s="9">
        <v>1.1798</v>
      </c>
      <c r="Q958" s="9">
        <v>19.053000000000001</v>
      </c>
      <c r="R958" s="9"/>
      <c r="S958" s="11"/>
    </row>
    <row r="959" spans="1:19" ht="15.75">
      <c r="A959" s="13">
        <v>71071</v>
      </c>
      <c r="B959" s="8">
        <f>CHOOSE( CONTROL!$C$29, 43.8603, 43.8556) * CHOOSE(CONTROL!$C$12, $D$11, 100%, $F$11)</f>
        <v>35.263681200000001</v>
      </c>
      <c r="C959" s="8">
        <f>CHOOSE( CONTROL!$C$29, 43.8707, 43.866) * CHOOSE(CONTROL!$C$12, $D$11, 100%, $F$11)</f>
        <v>35.272042800000001</v>
      </c>
      <c r="D959" s="8">
        <f>CHOOSE( CONTROL!$C$29, 43.8623, 43.8576) * CHOOSE( CONTROL!$C$12, $D$11, 100%, $F$11)</f>
        <v>35.265289199999998</v>
      </c>
      <c r="E959" s="12">
        <f>CHOOSE( CONTROL!$C$29, 43.8638, 43.8591) * CHOOSE( CONTROL!$C$12, $D$11, 100%, $F$11)</f>
        <v>35.266495200000001</v>
      </c>
      <c r="F959" s="4">
        <f>CHOOSE( CONTROL!$C$29, 44.8519, 44.8472) * CHOOSE(CONTROL!$C$12, $D$11, 100%, $F$11)</f>
        <v>36.060927599999999</v>
      </c>
      <c r="G959" s="8">
        <f>CHOOSE( CONTROL!$C$29, 42.7412, 42.7367) * CHOOSE( CONTROL!$C$12, $D$11, 100%, $F$11)</f>
        <v>34.363924799999999</v>
      </c>
      <c r="H959" s="4">
        <f>CHOOSE( CONTROL!$C$29, 43.6441, 43.6395) * CHOOSE(CONTROL!$C$12, $D$11, 100%, $F$11)</f>
        <v>35.089856400000002</v>
      </c>
      <c r="I959" s="8">
        <f>CHOOSE( CONTROL!$C$29, 42.0948, 42.0903) * CHOOSE(CONTROL!$C$12, $D$11, 100%, $F$11)</f>
        <v>33.844219200000005</v>
      </c>
      <c r="J959" s="4">
        <f>CHOOSE( CONTROL!$C$29, 42.0222, 42.0177) * CHOOSE(CONTROL!$C$12, $D$11, 100%, $F$11)</f>
        <v>33.785848800000004</v>
      </c>
      <c r="K959" s="4"/>
      <c r="L959" s="9">
        <v>29.520499999999998</v>
      </c>
      <c r="M959" s="9">
        <v>12.063700000000001</v>
      </c>
      <c r="N959" s="9">
        <v>4.9444999999999997</v>
      </c>
      <c r="O959" s="9">
        <v>0.37459999999999999</v>
      </c>
      <c r="P959" s="9">
        <v>1.2192000000000001</v>
      </c>
      <c r="Q959" s="9">
        <v>19.688099999999999</v>
      </c>
      <c r="R959" s="9"/>
      <c r="S959" s="11"/>
    </row>
    <row r="960" spans="1:19" ht="15.75">
      <c r="A960" s="13">
        <v>71102</v>
      </c>
      <c r="B960" s="8">
        <f>CHOOSE( CONTROL!$C$29, 40.4753, 40.4706) * CHOOSE(CONTROL!$C$12, $D$11, 100%, $F$11)</f>
        <v>32.542141200000003</v>
      </c>
      <c r="C960" s="8">
        <f>CHOOSE( CONTROL!$C$29, 40.4858, 40.4811) * CHOOSE(CONTROL!$C$12, $D$11, 100%, $F$11)</f>
        <v>32.550583199999998</v>
      </c>
      <c r="D960" s="8">
        <f>CHOOSE( CONTROL!$C$29, 40.4807, 40.476) * CHOOSE( CONTROL!$C$12, $D$11, 100%, $F$11)</f>
        <v>32.5464828</v>
      </c>
      <c r="E960" s="12">
        <f>CHOOSE( CONTROL!$C$29, 40.4809, 40.4762) * CHOOSE( CONTROL!$C$12, $D$11, 100%, $F$11)</f>
        <v>32.546643600000003</v>
      </c>
      <c r="F960" s="4">
        <f>CHOOSE( CONTROL!$C$29, 41.4722, 41.4675) * CHOOSE(CONTROL!$C$12, $D$11, 100%, $F$11)</f>
        <v>33.343648800000004</v>
      </c>
      <c r="G960" s="8">
        <f>CHOOSE( CONTROL!$C$29, 39.4438, 39.4392) * CHOOSE( CONTROL!$C$12, $D$11, 100%, $F$11)</f>
        <v>31.712815200000005</v>
      </c>
      <c r="H960" s="4">
        <f>CHOOSE( CONTROL!$C$29, 40.3496, 40.345) * CHOOSE(CONTROL!$C$12, $D$11, 100%, $F$11)</f>
        <v>32.441078400000002</v>
      </c>
      <c r="I960" s="8">
        <f>CHOOSE( CONTROL!$C$29, 38.8543, 38.8498) * CHOOSE(CONTROL!$C$12, $D$11, 100%, $F$11)</f>
        <v>31.238857200000002</v>
      </c>
      <c r="J960" s="4">
        <f>CHOOSE( CONTROL!$C$29, 38.7787, 38.7742) * CHOOSE(CONTROL!$C$12, $D$11, 100%, $F$11)</f>
        <v>31.178074800000001</v>
      </c>
      <c r="K960" s="4"/>
      <c r="L960" s="9">
        <v>29.520499999999998</v>
      </c>
      <c r="M960" s="9">
        <v>12.063700000000001</v>
      </c>
      <c r="N960" s="9">
        <v>4.9444999999999997</v>
      </c>
      <c r="O960" s="9">
        <v>0.37459999999999999</v>
      </c>
      <c r="P960" s="9">
        <v>1.2192000000000001</v>
      </c>
      <c r="Q960" s="9">
        <v>19.688099999999999</v>
      </c>
      <c r="R960" s="9"/>
      <c r="S960" s="11"/>
    </row>
    <row r="961" spans="1:19" ht="15.75">
      <c r="A961" s="13">
        <v>71132</v>
      </c>
      <c r="B961" s="8">
        <f>CHOOSE( CONTROL!$C$29, 39.6277, 39.623) * CHOOSE(CONTROL!$C$12, $D$11, 100%, $F$11)</f>
        <v>31.860670800000001</v>
      </c>
      <c r="C961" s="8">
        <f>CHOOSE( CONTROL!$C$29, 39.6381, 39.6334) * CHOOSE(CONTROL!$C$12, $D$11, 100%, $F$11)</f>
        <v>31.869032400000002</v>
      </c>
      <c r="D961" s="8">
        <f>CHOOSE( CONTROL!$C$29, 39.6288, 39.6241) * CHOOSE( CONTROL!$C$12, $D$11, 100%, $F$11)</f>
        <v>31.861555200000002</v>
      </c>
      <c r="E961" s="12">
        <f>CHOOSE( CONTROL!$C$29, 39.6306, 39.6259) * CHOOSE( CONTROL!$C$12, $D$11, 100%, $F$11)</f>
        <v>31.863002400000003</v>
      </c>
      <c r="F961" s="4">
        <f>CHOOSE( CONTROL!$C$29, 40.6167, 40.612) * CHOOSE(CONTROL!$C$12, $D$11, 100%, $F$11)</f>
        <v>32.6558268</v>
      </c>
      <c r="G961" s="8">
        <f>CHOOSE( CONTROL!$C$29, 38.6163, 38.6117) * CHOOSE( CONTROL!$C$12, $D$11, 100%, $F$11)</f>
        <v>31.047505200000003</v>
      </c>
      <c r="H961" s="4">
        <f>CHOOSE( CONTROL!$C$29, 39.5157, 39.5112) * CHOOSE(CONTROL!$C$12, $D$11, 100%, $F$11)</f>
        <v>31.770622800000005</v>
      </c>
      <c r="I961" s="8">
        <f>CHOOSE( CONTROL!$C$29, 38.043, 38.0385) * CHOOSE(CONTROL!$C$12, $D$11, 100%, $F$11)</f>
        <v>30.586572</v>
      </c>
      <c r="J961" s="4">
        <f>CHOOSE( CONTROL!$C$29, 37.9665, 37.962) * CHOOSE(CONTROL!$C$12, $D$11, 100%, $F$11)</f>
        <v>30.525066000000006</v>
      </c>
      <c r="K961" s="4"/>
      <c r="L961" s="9">
        <v>28.568200000000001</v>
      </c>
      <c r="M961" s="9">
        <v>11.6745</v>
      </c>
      <c r="N961" s="9">
        <v>4.7850000000000001</v>
      </c>
      <c r="O961" s="9">
        <v>0.36249999999999999</v>
      </c>
      <c r="P961" s="9">
        <v>1.1798</v>
      </c>
      <c r="Q961" s="9">
        <v>19.053000000000001</v>
      </c>
      <c r="R961" s="9"/>
      <c r="S961" s="11"/>
    </row>
    <row r="962" spans="1:19" ht="15.75">
      <c r="A962" s="13">
        <v>71163</v>
      </c>
      <c r="B962" s="8">
        <f>41.383 * CHOOSE(CONTROL!$C$12, $D$11, 100%, $F$11)</f>
        <v>33.271932000000007</v>
      </c>
      <c r="C962" s="8">
        <f>41.3934 * CHOOSE(CONTROL!$C$12, $D$11, 100%, $F$11)</f>
        <v>33.2802936</v>
      </c>
      <c r="D962" s="8">
        <f>41.385 * CHOOSE( CONTROL!$C$12, $D$11, 100%, $F$11)</f>
        <v>33.273539999999997</v>
      </c>
      <c r="E962" s="12">
        <f>41.3867 * CHOOSE( CONTROL!$C$12, $D$11, 100%, $F$11)</f>
        <v>33.274906799999997</v>
      </c>
      <c r="F962" s="4">
        <f>42.372 * CHOOSE(CONTROL!$C$12, $D$11, 100%, $F$11)</f>
        <v>34.067088000000005</v>
      </c>
      <c r="G962" s="8">
        <f>40.3269 * CHOOSE( CONTROL!$C$12, $D$11, 100%, $F$11)</f>
        <v>32.422827600000005</v>
      </c>
      <c r="H962" s="4">
        <f>41.2267 * CHOOSE(CONTROL!$C$12, $D$11, 100%, $F$11)</f>
        <v>33.146266799999999</v>
      </c>
      <c r="I962" s="8">
        <f>39.7278 * CHOOSE(CONTROL!$C$12, $D$11, 100%, $F$11)</f>
        <v>31.941151200000004</v>
      </c>
      <c r="J962" s="4">
        <f>39.6484 * CHOOSE(CONTROL!$C$12, $D$11, 100%, $F$11)</f>
        <v>31.877313600000004</v>
      </c>
      <c r="K962" s="4"/>
      <c r="L962" s="9">
        <v>28.921800000000001</v>
      </c>
      <c r="M962" s="9">
        <v>12.063700000000001</v>
      </c>
      <c r="N962" s="9">
        <v>4.9444999999999997</v>
      </c>
      <c r="O962" s="9">
        <v>0.37459999999999999</v>
      </c>
      <c r="P962" s="9">
        <v>1.2192000000000001</v>
      </c>
      <c r="Q962" s="9">
        <v>19.688099999999999</v>
      </c>
      <c r="R962" s="9"/>
      <c r="S962" s="11"/>
    </row>
    <row r="963" spans="1:19" ht="15.75">
      <c r="A963" s="13">
        <v>71193</v>
      </c>
      <c r="B963" s="8">
        <f>44.6315 * CHOOSE(CONTROL!$C$12, $D$11, 100%, $F$11)</f>
        <v>35.883726000000003</v>
      </c>
      <c r="C963" s="8">
        <f>44.642 * CHOOSE(CONTROL!$C$12, $D$11, 100%, $F$11)</f>
        <v>35.892168000000005</v>
      </c>
      <c r="D963" s="8">
        <f>44.6222 * CHOOSE( CONTROL!$C$12, $D$11, 100%, $F$11)</f>
        <v>35.876248799999999</v>
      </c>
      <c r="E963" s="12">
        <f>44.6283 * CHOOSE( CONTROL!$C$12, $D$11, 100%, $F$11)</f>
        <v>35.881153200000007</v>
      </c>
      <c r="F963" s="4">
        <f>45.6231 * CHOOSE(CONTROL!$C$12, $D$11, 100%, $F$11)</f>
        <v>36.680972400000002</v>
      </c>
      <c r="G963" s="8">
        <f>43.5125 * CHOOSE( CONTROL!$C$12, $D$11, 100%, $F$11)</f>
        <v>34.984050000000003</v>
      </c>
      <c r="H963" s="4">
        <f>44.3959 * CHOOSE(CONTROL!$C$12, $D$11, 100%, $F$11)</f>
        <v>35.694303599999998</v>
      </c>
      <c r="I963" s="8">
        <f>42.8724 * CHOOSE(CONTROL!$C$12, $D$11, 100%, $F$11)</f>
        <v>34.469409599999999</v>
      </c>
      <c r="J963" s="4">
        <f>42.7612 * CHOOSE(CONTROL!$C$12, $D$11, 100%, $F$11)</f>
        <v>34.380004800000002</v>
      </c>
      <c r="K963" s="4"/>
      <c r="L963" s="9">
        <v>26.515499999999999</v>
      </c>
      <c r="M963" s="9">
        <v>11.6745</v>
      </c>
      <c r="N963" s="9">
        <v>4.7850000000000001</v>
      </c>
      <c r="O963" s="9">
        <v>0.36249999999999999</v>
      </c>
      <c r="P963" s="9">
        <v>1.2522</v>
      </c>
      <c r="Q963" s="9">
        <v>19.053000000000001</v>
      </c>
      <c r="R963" s="9"/>
      <c r="S963" s="11"/>
    </row>
    <row r="964" spans="1:19" ht="15.75">
      <c r="A964" s="13">
        <v>71224</v>
      </c>
      <c r="B964" s="8">
        <f>44.5504 * CHOOSE(CONTROL!$C$12, $D$11, 100%, $F$11)</f>
        <v>35.818521600000004</v>
      </c>
      <c r="C964" s="8">
        <f>44.5608 * CHOOSE(CONTROL!$C$12, $D$11, 100%, $F$11)</f>
        <v>35.826883200000005</v>
      </c>
      <c r="D964" s="8">
        <f>44.543 * CHOOSE( CONTROL!$C$12, $D$11, 100%, $F$11)</f>
        <v>35.812572000000003</v>
      </c>
      <c r="E964" s="12">
        <f>44.5484 * CHOOSE( CONTROL!$C$12, $D$11, 100%, $F$11)</f>
        <v>35.816913599999999</v>
      </c>
      <c r="F964" s="4">
        <f>45.542 * CHOOSE(CONTROL!$C$12, $D$11, 100%, $F$11)</f>
        <v>36.615768000000003</v>
      </c>
      <c r="G964" s="8">
        <f>43.4348 * CHOOSE( CONTROL!$C$12, $D$11, 100%, $F$11)</f>
        <v>34.921579200000004</v>
      </c>
      <c r="H964" s="4">
        <f>44.3168 * CHOOSE(CONTROL!$C$12, $D$11, 100%, $F$11)</f>
        <v>35.630707200000003</v>
      </c>
      <c r="I964" s="8">
        <f>42.8014 * CHOOSE(CONTROL!$C$12, $D$11, 100%, $F$11)</f>
        <v>34.412325600000003</v>
      </c>
      <c r="J964" s="4">
        <f>42.6834 * CHOOSE(CONTROL!$C$12, $D$11, 100%, $F$11)</f>
        <v>34.3174536</v>
      </c>
      <c r="K964" s="4"/>
      <c r="L964" s="9">
        <v>27.3993</v>
      </c>
      <c r="M964" s="9">
        <v>12.063700000000001</v>
      </c>
      <c r="N964" s="9">
        <v>4.9444999999999997</v>
      </c>
      <c r="O964" s="9">
        <v>0.37459999999999999</v>
      </c>
      <c r="P964" s="9">
        <v>1.2939000000000001</v>
      </c>
      <c r="Q964" s="9">
        <v>19.688099999999999</v>
      </c>
      <c r="R964" s="9"/>
      <c r="S964" s="11"/>
    </row>
    <row r="965" spans="1:19" ht="15.75">
      <c r="A965" s="13">
        <v>71255</v>
      </c>
      <c r="B965" s="8">
        <f>46.2529 * CHOOSE(CONTROL!$C$12, $D$11, 100%, $F$11)</f>
        <v>37.1873316</v>
      </c>
      <c r="C965" s="8">
        <f>46.2633 * CHOOSE(CONTROL!$C$12, $D$11, 100%, $F$11)</f>
        <v>37.195693200000001</v>
      </c>
      <c r="D965" s="8">
        <f>46.261 * CHOOSE( CONTROL!$C$12, $D$11, 100%, $F$11)</f>
        <v>37.193844000000006</v>
      </c>
      <c r="E965" s="12">
        <f>46.2607 * CHOOSE( CONTROL!$C$12, $D$11, 100%, $F$11)</f>
        <v>37.193602800000001</v>
      </c>
      <c r="F965" s="4">
        <f>47.2758 * CHOOSE(CONTROL!$C$12, $D$11, 100%, $F$11)</f>
        <v>38.009743200000003</v>
      </c>
      <c r="G965" s="8">
        <f>45.1135 * CHOOSE( CONTROL!$C$12, $D$11, 100%, $F$11)</f>
        <v>36.271254000000006</v>
      </c>
      <c r="H965" s="4">
        <f>46.0068 * CHOOSE(CONTROL!$C$12, $D$11, 100%, $F$11)</f>
        <v>36.9894672</v>
      </c>
      <c r="I965" s="8">
        <f>44.4455 * CHOOSE(CONTROL!$C$12, $D$11, 100%, $F$11)</f>
        <v>35.734182000000004</v>
      </c>
      <c r="J965" s="4">
        <f>44.3147 * CHOOSE(CONTROL!$C$12, $D$11, 100%, $F$11)</f>
        <v>35.629018800000004</v>
      </c>
      <c r="K965" s="4"/>
      <c r="L965" s="9">
        <v>27.3993</v>
      </c>
      <c r="M965" s="9">
        <v>12.063700000000001</v>
      </c>
      <c r="N965" s="9">
        <v>4.9444999999999997</v>
      </c>
      <c r="O965" s="9">
        <v>0.37459999999999999</v>
      </c>
      <c r="P965" s="9">
        <v>1.2939000000000001</v>
      </c>
      <c r="Q965" s="9">
        <v>19.688099999999999</v>
      </c>
      <c r="R965" s="9"/>
      <c r="S965" s="11"/>
    </row>
    <row r="966" spans="1:19" ht="15.75">
      <c r="A966" s="13">
        <v>71283</v>
      </c>
      <c r="B966" s="8">
        <f>43.263 * CHOOSE(CONTROL!$C$12, $D$11, 100%, $F$11)</f>
        <v>34.783452000000004</v>
      </c>
      <c r="C966" s="8">
        <f>43.2735 * CHOOSE(CONTROL!$C$12, $D$11, 100%, $F$11)</f>
        <v>34.791893999999999</v>
      </c>
      <c r="D966" s="8">
        <f>43.2734 * CHOOSE( CONTROL!$C$12, $D$11, 100%, $F$11)</f>
        <v>34.791813600000005</v>
      </c>
      <c r="E966" s="12">
        <f>43.2723 * CHOOSE( CONTROL!$C$12, $D$11, 100%, $F$11)</f>
        <v>34.790929200000001</v>
      </c>
      <c r="F966" s="4">
        <f>44.2781 * CHOOSE(CONTROL!$C$12, $D$11, 100%, $F$11)</f>
        <v>35.599592400000006</v>
      </c>
      <c r="G966" s="8">
        <f>42.1989 * CHOOSE( CONTROL!$C$12, $D$11, 100%, $F$11)</f>
        <v>33.927915600000006</v>
      </c>
      <c r="H966" s="4">
        <f>43.0848 * CHOOSE(CONTROL!$C$12, $D$11, 100%, $F$11)</f>
        <v>34.640179200000006</v>
      </c>
      <c r="I966" s="8">
        <f>41.5683 * CHOOSE(CONTROL!$C$12, $D$11, 100%, $F$11)</f>
        <v>33.420913200000001</v>
      </c>
      <c r="J966" s="4">
        <f>41.4499 * CHOOSE(CONTROL!$C$12, $D$11, 100%, $F$11)</f>
        <v>33.325719599999999</v>
      </c>
      <c r="K966" s="4"/>
      <c r="L966" s="9">
        <v>24.747800000000002</v>
      </c>
      <c r="M966" s="9">
        <v>10.8962</v>
      </c>
      <c r="N966" s="9">
        <v>4.4660000000000002</v>
      </c>
      <c r="O966" s="9">
        <v>0.33829999999999999</v>
      </c>
      <c r="P966" s="9">
        <v>1.1687000000000001</v>
      </c>
      <c r="Q966" s="9">
        <v>17.782800000000002</v>
      </c>
      <c r="R966" s="9"/>
      <c r="S966" s="11"/>
    </row>
    <row r="967" spans="1:19" ht="15.75">
      <c r="A967" s="13">
        <v>71314</v>
      </c>
      <c r="B967" s="8">
        <f>42.3422 * CHOOSE(CONTROL!$C$12, $D$11, 100%, $F$11)</f>
        <v>34.043128799999998</v>
      </c>
      <c r="C967" s="8">
        <f>42.3526 * CHOOSE(CONTROL!$C$12, $D$11, 100%, $F$11)</f>
        <v>34.051490400000006</v>
      </c>
      <c r="D967" s="8">
        <f>42.3324 * CHOOSE( CONTROL!$C$12, $D$11, 100%, $F$11)</f>
        <v>34.0352496</v>
      </c>
      <c r="E967" s="12">
        <f>42.3387 * CHOOSE( CONTROL!$C$12, $D$11, 100%, $F$11)</f>
        <v>34.040314800000004</v>
      </c>
      <c r="F967" s="4">
        <f>43.3411 * CHOOSE(CONTROL!$C$12, $D$11, 100%, $F$11)</f>
        <v>34.846244400000003</v>
      </c>
      <c r="G967" s="8">
        <f>41.2808 * CHOOSE( CONTROL!$C$12, $D$11, 100%, $F$11)</f>
        <v>33.189763200000002</v>
      </c>
      <c r="H967" s="4">
        <f>42.1714 * CHOOSE(CONTROL!$C$12, $D$11, 100%, $F$11)</f>
        <v>33.905805600000001</v>
      </c>
      <c r="I967" s="8">
        <f>40.6459 * CHOOSE(CONTROL!$C$12, $D$11, 100%, $F$11)</f>
        <v>32.679303599999997</v>
      </c>
      <c r="J967" s="4">
        <f>40.5675 * CHOOSE(CONTROL!$C$12, $D$11, 100%, $F$11)</f>
        <v>32.616270000000007</v>
      </c>
      <c r="K967" s="4"/>
      <c r="L967" s="9">
        <v>27.3993</v>
      </c>
      <c r="M967" s="9">
        <v>12.063700000000001</v>
      </c>
      <c r="N967" s="9">
        <v>4.9444999999999997</v>
      </c>
      <c r="O967" s="9">
        <v>0.37459999999999999</v>
      </c>
      <c r="P967" s="9">
        <v>1.2939000000000001</v>
      </c>
      <c r="Q967" s="9">
        <v>19.688099999999999</v>
      </c>
      <c r="R967" s="9"/>
      <c r="S967" s="11"/>
    </row>
    <row r="968" spans="1:19" ht="15.75">
      <c r="A968" s="13">
        <v>71344</v>
      </c>
      <c r="B968" s="8">
        <f>42.9856 * CHOOSE(CONTROL!$C$12, $D$11, 100%, $F$11)</f>
        <v>34.5604224</v>
      </c>
      <c r="C968" s="8">
        <f>42.9961 * CHOOSE(CONTROL!$C$12, $D$11, 100%, $F$11)</f>
        <v>34.568864400000002</v>
      </c>
      <c r="D968" s="8">
        <f>42.9993 * CHOOSE( CONTROL!$C$12, $D$11, 100%, $F$11)</f>
        <v>34.571437199999998</v>
      </c>
      <c r="E968" s="12">
        <f>42.997 * CHOOSE( CONTROL!$C$12, $D$11, 100%, $F$11)</f>
        <v>34.569588000000003</v>
      </c>
      <c r="F968" s="4">
        <f>43.9929 * CHOOSE(CONTROL!$C$12, $D$11, 100%, $F$11)</f>
        <v>35.370291600000002</v>
      </c>
      <c r="G968" s="8">
        <f>41.8959 * CHOOSE( CONTROL!$C$12, $D$11, 100%, $F$11)</f>
        <v>33.6843036</v>
      </c>
      <c r="H968" s="4">
        <f>42.8068 * CHOOSE(CONTROL!$C$12, $D$11, 100%, $F$11)</f>
        <v>34.416667200000006</v>
      </c>
      <c r="I968" s="8">
        <f>41.2529 * CHOOSE(CONTROL!$C$12, $D$11, 100%, $F$11)</f>
        <v>33.167331599999997</v>
      </c>
      <c r="J968" s="4">
        <f>41.1841 * CHOOSE(CONTROL!$C$12, $D$11, 100%, $F$11)</f>
        <v>33.112016400000002</v>
      </c>
      <c r="K968" s="4"/>
      <c r="L968" s="9">
        <v>27.988800000000001</v>
      </c>
      <c r="M968" s="9">
        <v>11.6745</v>
      </c>
      <c r="N968" s="9">
        <v>4.7850000000000001</v>
      </c>
      <c r="O968" s="9">
        <v>0.36249999999999999</v>
      </c>
      <c r="P968" s="9">
        <v>1.1798</v>
      </c>
      <c r="Q968" s="9">
        <v>19.053000000000001</v>
      </c>
      <c r="R968" s="9"/>
      <c r="S968" s="11"/>
    </row>
    <row r="969" spans="1:19" ht="15.75">
      <c r="A969" s="13">
        <v>71375</v>
      </c>
      <c r="B969" s="8">
        <f>CHOOSE( CONTROL!$C$29, 44.1356, 44.1309) * CHOOSE(CONTROL!$C$12, $D$11, 100%, $F$11)</f>
        <v>35.485022399999998</v>
      </c>
      <c r="C969" s="8">
        <f>CHOOSE( CONTROL!$C$29, 44.146, 44.1413) * CHOOSE(CONTROL!$C$12, $D$11, 100%, $F$11)</f>
        <v>35.493384000000006</v>
      </c>
      <c r="D969" s="8">
        <f>CHOOSE( CONTROL!$C$29, 44.124, 44.1193) * CHOOSE( CONTROL!$C$12, $D$11, 100%, $F$11)</f>
        <v>35.475696000000006</v>
      </c>
      <c r="E969" s="12">
        <f>CHOOSE( CONTROL!$C$29, 44.1304, 44.1257) * CHOOSE( CONTROL!$C$12, $D$11, 100%, $F$11)</f>
        <v>35.480841600000005</v>
      </c>
      <c r="F969" s="4">
        <f>CHOOSE( CONTROL!$C$29, 45.1105, 45.1058) * CHOOSE(CONTROL!$C$12, $D$11, 100%, $F$11)</f>
        <v>36.268842000000006</v>
      </c>
      <c r="G969" s="8">
        <f>CHOOSE( CONTROL!$C$29, 42.9982, 42.9936) * CHOOSE( CONTROL!$C$12, $D$11, 100%, $F$11)</f>
        <v>34.570552800000002</v>
      </c>
      <c r="H969" s="4">
        <f>CHOOSE( CONTROL!$C$29, 43.8962, 43.8916) * CHOOSE(CONTROL!$C$12, $D$11, 100%, $F$11)</f>
        <v>35.292544800000002</v>
      </c>
      <c r="I969" s="8">
        <f>CHOOSE( CONTROL!$C$29, 42.3338, 42.3293) * CHOOSE(CONTROL!$C$12, $D$11, 100%, $F$11)</f>
        <v>34.036375200000002</v>
      </c>
      <c r="J969" s="4">
        <f>CHOOSE( CONTROL!$C$29, 42.286, 42.2815) * CHOOSE(CONTROL!$C$12, $D$11, 100%, $F$11)</f>
        <v>33.997944000000004</v>
      </c>
      <c r="K969" s="4"/>
      <c r="L969" s="9">
        <v>29.520499999999998</v>
      </c>
      <c r="M969" s="9">
        <v>12.063700000000001</v>
      </c>
      <c r="N969" s="9">
        <v>4.9444999999999997</v>
      </c>
      <c r="O969" s="9">
        <v>0.37459999999999999</v>
      </c>
      <c r="P969" s="9">
        <v>1.2192000000000001</v>
      </c>
      <c r="Q969" s="9">
        <v>19.688099999999999</v>
      </c>
      <c r="R969" s="9"/>
      <c r="S969" s="11"/>
    </row>
    <row r="970" spans="1:19" ht="15.75">
      <c r="A970" s="13">
        <v>71405</v>
      </c>
      <c r="B970" s="8">
        <f>CHOOSE( CONTROL!$C$29, 43.4261, 43.4214) * CHOOSE(CONTROL!$C$12, $D$11, 100%, $F$11)</f>
        <v>34.914584400000003</v>
      </c>
      <c r="C970" s="8">
        <f>CHOOSE( CONTROL!$C$29, 43.4366, 43.4319) * CHOOSE(CONTROL!$C$12, $D$11, 100%, $F$11)</f>
        <v>34.923026399999998</v>
      </c>
      <c r="D970" s="8">
        <f>CHOOSE( CONTROL!$C$29, 43.4089, 43.4042) * CHOOSE( CONTROL!$C$12, $D$11, 100%, $F$11)</f>
        <v>34.900755600000004</v>
      </c>
      <c r="E970" s="12">
        <f>CHOOSE( CONTROL!$C$29, 43.4173, 43.4126) * CHOOSE( CONTROL!$C$12, $D$11, 100%, $F$11)</f>
        <v>34.9075092</v>
      </c>
      <c r="F970" s="4">
        <f>CHOOSE( CONTROL!$C$29, 44.3906, 44.3859) * CHOOSE(CONTROL!$C$12, $D$11, 100%, $F$11)</f>
        <v>35.690042400000003</v>
      </c>
      <c r="G970" s="8">
        <f>CHOOSE( CONTROL!$C$29, 42.3053, 42.3008) * CHOOSE( CONTROL!$C$12, $D$11, 100%, $F$11)</f>
        <v>34.013461200000002</v>
      </c>
      <c r="H970" s="4">
        <f>CHOOSE( CONTROL!$C$29, 43.1944, 43.1899) * CHOOSE(CONTROL!$C$12, $D$11, 100%, $F$11)</f>
        <v>34.728297600000005</v>
      </c>
      <c r="I970" s="8">
        <f>CHOOSE( CONTROL!$C$29, 41.6559, 41.6513) * CHOOSE(CONTROL!$C$12, $D$11, 100%, $F$11)</f>
        <v>33.491343600000008</v>
      </c>
      <c r="J970" s="4">
        <f>CHOOSE( CONTROL!$C$29, 41.6062, 41.6017) * CHOOSE(CONTROL!$C$12, $D$11, 100%, $F$11)</f>
        <v>33.4513848</v>
      </c>
      <c r="K970" s="4"/>
      <c r="L970" s="9">
        <v>28.568200000000001</v>
      </c>
      <c r="M970" s="9">
        <v>11.6745</v>
      </c>
      <c r="N970" s="9">
        <v>4.7850000000000001</v>
      </c>
      <c r="O970" s="9">
        <v>0.36249999999999999</v>
      </c>
      <c r="P970" s="9">
        <v>1.1798</v>
      </c>
      <c r="Q970" s="9">
        <v>19.053000000000001</v>
      </c>
      <c r="R970" s="9"/>
      <c r="S970" s="11"/>
    </row>
    <row r="971" spans="1:19" ht="15.75">
      <c r="A971" s="13">
        <v>71436</v>
      </c>
      <c r="B971" s="8">
        <f>CHOOSE( CONTROL!$C$29, 45.2944, 45.2897) * CHOOSE(CONTROL!$C$12, $D$11, 100%, $F$11)</f>
        <v>36.416697600000006</v>
      </c>
      <c r="C971" s="8">
        <f>CHOOSE( CONTROL!$C$29, 45.3048, 45.3001) * CHOOSE(CONTROL!$C$12, $D$11, 100%, $F$11)</f>
        <v>36.4250592</v>
      </c>
      <c r="D971" s="8">
        <f>CHOOSE( CONTROL!$C$29, 45.2964, 45.2917) * CHOOSE( CONTROL!$C$12, $D$11, 100%, $F$11)</f>
        <v>36.418305600000004</v>
      </c>
      <c r="E971" s="12">
        <f>CHOOSE( CONTROL!$C$29, 45.2979, 45.2932) * CHOOSE( CONTROL!$C$12, $D$11, 100%, $F$11)</f>
        <v>36.4195116</v>
      </c>
      <c r="F971" s="4">
        <f>CHOOSE( CONTROL!$C$29, 46.286, 46.2813) * CHOOSE(CONTROL!$C$12, $D$11, 100%, $F$11)</f>
        <v>37.213944000000005</v>
      </c>
      <c r="G971" s="8">
        <f>CHOOSE( CONTROL!$C$29, 44.1391, 44.1346) * CHOOSE( CONTROL!$C$12, $D$11, 100%, $F$11)</f>
        <v>35.487836399999999</v>
      </c>
      <c r="H971" s="4">
        <f>CHOOSE( CONTROL!$C$29, 45.042, 45.0374) * CHOOSE(CONTROL!$C$12, $D$11, 100%, $F$11)</f>
        <v>36.213768000000002</v>
      </c>
      <c r="I971" s="8">
        <f>CHOOSE( CONTROL!$C$29, 43.4696, 43.4651) * CHOOSE(CONTROL!$C$12, $D$11, 100%, $F$11)</f>
        <v>34.949558400000001</v>
      </c>
      <c r="J971" s="4">
        <f>CHOOSE( CONTROL!$C$29, 43.3963, 43.3918) * CHOOSE(CONTROL!$C$12, $D$11, 100%, $F$11)</f>
        <v>34.890625200000002</v>
      </c>
      <c r="K971" s="4"/>
      <c r="L971" s="9">
        <v>29.520499999999998</v>
      </c>
      <c r="M971" s="9">
        <v>12.063700000000001</v>
      </c>
      <c r="N971" s="9">
        <v>4.9444999999999997</v>
      </c>
      <c r="O971" s="9">
        <v>0.37459999999999999</v>
      </c>
      <c r="P971" s="9">
        <v>1.2192000000000001</v>
      </c>
      <c r="Q971" s="9">
        <v>19.688099999999999</v>
      </c>
      <c r="R971" s="9"/>
      <c r="S971" s="11"/>
    </row>
    <row r="972" spans="1:19" ht="15.75">
      <c r="A972" s="13">
        <v>71467</v>
      </c>
      <c r="B972" s="8">
        <f>CHOOSE( CONTROL!$C$29, 41.7987, 41.794) * CHOOSE(CONTROL!$C$12, $D$11, 100%, $F$11)</f>
        <v>33.606154799999999</v>
      </c>
      <c r="C972" s="8">
        <f>CHOOSE( CONTROL!$C$29, 41.8092, 41.8045) * CHOOSE(CONTROL!$C$12, $D$11, 100%, $F$11)</f>
        <v>33.614596800000001</v>
      </c>
      <c r="D972" s="8">
        <f>CHOOSE( CONTROL!$C$29, 41.804, 41.7993) * CHOOSE( CONTROL!$C$12, $D$11, 100%, $F$11)</f>
        <v>33.610416000000001</v>
      </c>
      <c r="E972" s="12">
        <f>CHOOSE( CONTROL!$C$29, 41.8043, 41.7996) * CHOOSE( CONTROL!$C$12, $D$11, 100%, $F$11)</f>
        <v>33.610657199999999</v>
      </c>
      <c r="F972" s="4">
        <f>CHOOSE( CONTROL!$C$29, 42.7955, 42.7908) * CHOOSE(CONTROL!$C$12, $D$11, 100%, $F$11)</f>
        <v>34.407581999999998</v>
      </c>
      <c r="G972" s="8">
        <f>CHOOSE( CONTROL!$C$29, 40.7338, 40.7292) * CHOOSE( CONTROL!$C$12, $D$11, 100%, $F$11)</f>
        <v>32.749975200000002</v>
      </c>
      <c r="H972" s="4">
        <f>CHOOSE( CONTROL!$C$29, 41.6396, 41.635) * CHOOSE(CONTROL!$C$12, $D$11, 100%, $F$11)</f>
        <v>33.478238400000002</v>
      </c>
      <c r="I972" s="8">
        <f>CHOOSE( CONTROL!$C$29, 40.123, 40.1185) * CHOOSE(CONTROL!$C$12, $D$11, 100%, $F$11)</f>
        <v>32.258892000000003</v>
      </c>
      <c r="J972" s="4">
        <f>CHOOSE( CONTROL!$C$29, 40.0468, 40.0423) * CHOOSE(CONTROL!$C$12, $D$11, 100%, $F$11)</f>
        <v>32.197627199999999</v>
      </c>
      <c r="K972" s="4"/>
      <c r="L972" s="9">
        <v>29.520499999999998</v>
      </c>
      <c r="M972" s="9">
        <v>12.063700000000001</v>
      </c>
      <c r="N972" s="9">
        <v>4.9444999999999997</v>
      </c>
      <c r="O972" s="9">
        <v>0.37459999999999999</v>
      </c>
      <c r="P972" s="9">
        <v>1.2192000000000001</v>
      </c>
      <c r="Q972" s="9">
        <v>19.688099999999999</v>
      </c>
      <c r="R972" s="9"/>
      <c r="S972" s="11"/>
    </row>
    <row r="973" spans="1:19" ht="15.75">
      <c r="A973" s="13">
        <v>71497</v>
      </c>
      <c r="B973" s="8">
        <f>CHOOSE( CONTROL!$C$29, 40.9234, 40.9187) * CHOOSE(CONTROL!$C$12, $D$11, 100%, $F$11)</f>
        <v>32.902413600000003</v>
      </c>
      <c r="C973" s="8">
        <f>CHOOSE( CONTROL!$C$29, 40.9338, 40.9291) * CHOOSE(CONTROL!$C$12, $D$11, 100%, $F$11)</f>
        <v>32.910775200000003</v>
      </c>
      <c r="D973" s="8">
        <f>CHOOSE( CONTROL!$C$29, 40.9245, 40.9198) * CHOOSE( CONTROL!$C$12, $D$11, 100%, $F$11)</f>
        <v>32.903298000000007</v>
      </c>
      <c r="E973" s="12">
        <f>CHOOSE( CONTROL!$C$29, 40.9263, 40.9216) * CHOOSE( CONTROL!$C$12, $D$11, 100%, $F$11)</f>
        <v>32.904745200000001</v>
      </c>
      <c r="F973" s="4">
        <f>CHOOSE( CONTROL!$C$29, 41.9124, 41.9077) * CHOOSE(CONTROL!$C$12, $D$11, 100%, $F$11)</f>
        <v>33.697569600000001</v>
      </c>
      <c r="G973" s="8">
        <f>CHOOSE( CONTROL!$C$29, 39.8792, 39.8746) * CHOOSE( CONTROL!$C$12, $D$11, 100%, $F$11)</f>
        <v>32.062876799999998</v>
      </c>
      <c r="H973" s="4">
        <f>CHOOSE( CONTROL!$C$29, 40.7787, 40.7741) * CHOOSE(CONTROL!$C$12, $D$11, 100%, $F$11)</f>
        <v>32.786074800000002</v>
      </c>
      <c r="I973" s="8">
        <f>CHOOSE( CONTROL!$C$29, 39.2852, 39.2807) * CHOOSE(CONTROL!$C$12, $D$11, 100%, $F$11)</f>
        <v>31.585300800000006</v>
      </c>
      <c r="J973" s="4">
        <f>CHOOSE( CONTROL!$C$29, 39.208, 39.2035) * CHOOSE(CONTROL!$C$12, $D$11, 100%, $F$11)</f>
        <v>31.523232</v>
      </c>
      <c r="K973" s="4"/>
      <c r="L973" s="9">
        <v>28.568200000000001</v>
      </c>
      <c r="M973" s="9">
        <v>11.6745</v>
      </c>
      <c r="N973" s="9">
        <v>4.7850000000000001</v>
      </c>
      <c r="O973" s="9">
        <v>0.36249999999999999</v>
      </c>
      <c r="P973" s="9">
        <v>1.1798</v>
      </c>
      <c r="Q973" s="9">
        <v>19.053000000000001</v>
      </c>
      <c r="R973" s="9"/>
      <c r="S973" s="11"/>
    </row>
    <row r="974" spans="1:19" ht="15.75">
      <c r="A974" s="13">
        <v>71528</v>
      </c>
      <c r="B974" s="8">
        <f>42.7362 * CHOOSE(CONTROL!$C$12, $D$11, 100%, $F$11)</f>
        <v>34.359904800000002</v>
      </c>
      <c r="C974" s="8">
        <f>42.7466 * CHOOSE(CONTROL!$C$12, $D$11, 100%, $F$11)</f>
        <v>34.368266400000003</v>
      </c>
      <c r="D974" s="8">
        <f>42.7382 * CHOOSE( CONTROL!$C$12, $D$11, 100%, $F$11)</f>
        <v>34.3615128</v>
      </c>
      <c r="E974" s="12">
        <f>42.7399 * CHOOSE( CONTROL!$C$12, $D$11, 100%, $F$11)</f>
        <v>34.362879599999999</v>
      </c>
      <c r="F974" s="4">
        <f>43.7252 * CHOOSE(CONTROL!$C$12, $D$11, 100%, $F$11)</f>
        <v>35.155060800000001</v>
      </c>
      <c r="G974" s="8">
        <f>41.6459 * CHOOSE( CONTROL!$C$12, $D$11, 100%, $F$11)</f>
        <v>33.483303599999999</v>
      </c>
      <c r="H974" s="4">
        <f>42.5458 * CHOOSE(CONTROL!$C$12, $D$11, 100%, $F$11)</f>
        <v>34.206823200000002</v>
      </c>
      <c r="I974" s="8">
        <f>41.0251 * CHOOSE(CONTROL!$C$12, $D$11, 100%, $F$11)</f>
        <v>32.984180400000007</v>
      </c>
      <c r="J974" s="4">
        <f>40.9451 * CHOOSE(CONTROL!$C$12, $D$11, 100%, $F$11)</f>
        <v>32.919860399999997</v>
      </c>
      <c r="K974" s="4"/>
      <c r="L974" s="9">
        <v>28.921800000000001</v>
      </c>
      <c r="M974" s="9">
        <v>12.063700000000001</v>
      </c>
      <c r="N974" s="9">
        <v>4.9444999999999997</v>
      </c>
      <c r="O974" s="9">
        <v>0.37459999999999999</v>
      </c>
      <c r="P974" s="9">
        <v>1.2192000000000001</v>
      </c>
      <c r="Q974" s="9">
        <v>19.688099999999999</v>
      </c>
      <c r="R974" s="9"/>
      <c r="S974" s="11"/>
    </row>
    <row r="975" spans="1:19" ht="15.75">
      <c r="A975" s="13">
        <v>71558</v>
      </c>
      <c r="B975" s="8">
        <f>46.091 * CHOOSE(CONTROL!$C$12, $D$11, 100%, $F$11)</f>
        <v>37.057164</v>
      </c>
      <c r="C975" s="8">
        <f>46.1014 * CHOOSE(CONTROL!$C$12, $D$11, 100%, $F$11)</f>
        <v>37.065525600000001</v>
      </c>
      <c r="D975" s="8">
        <f>46.0817 * CHOOSE( CONTROL!$C$12, $D$11, 100%, $F$11)</f>
        <v>37.049686800000003</v>
      </c>
      <c r="E975" s="12">
        <f>46.0878 * CHOOSE( CONTROL!$C$12, $D$11, 100%, $F$11)</f>
        <v>37.054591200000004</v>
      </c>
      <c r="F975" s="4">
        <f>47.0826 * CHOOSE(CONTROL!$C$12, $D$11, 100%, $F$11)</f>
        <v>37.854410399999999</v>
      </c>
      <c r="G975" s="8">
        <f>44.9351 * CHOOSE( CONTROL!$C$12, $D$11, 100%, $F$11)</f>
        <v>36.127820399999997</v>
      </c>
      <c r="H975" s="4">
        <f>45.8185 * CHOOSE(CONTROL!$C$12, $D$11, 100%, $F$11)</f>
        <v>36.838073999999999</v>
      </c>
      <c r="I975" s="8">
        <f>44.2715 * CHOOSE(CONTROL!$C$12, $D$11, 100%, $F$11)</f>
        <v>35.594286000000004</v>
      </c>
      <c r="J975" s="4">
        <f>44.1596 * CHOOSE(CONTROL!$C$12, $D$11, 100%, $F$11)</f>
        <v>35.504318400000002</v>
      </c>
      <c r="K975" s="4"/>
      <c r="L975" s="9">
        <v>26.515499999999999</v>
      </c>
      <c r="M975" s="9">
        <v>11.6745</v>
      </c>
      <c r="N975" s="9">
        <v>4.7850000000000001</v>
      </c>
      <c r="O975" s="9">
        <v>0.36249999999999999</v>
      </c>
      <c r="P975" s="9">
        <v>1.2522</v>
      </c>
      <c r="Q975" s="9">
        <v>19.053000000000001</v>
      </c>
      <c r="R975" s="9"/>
      <c r="S975" s="11"/>
    </row>
    <row r="976" spans="1:19" ht="15.75">
      <c r="A976" s="13">
        <v>71589</v>
      </c>
      <c r="B976" s="8">
        <f>46.0072 * CHOOSE(CONTROL!$C$12, $D$11, 100%, $F$11)</f>
        <v>36.989788799999999</v>
      </c>
      <c r="C976" s="8">
        <f>46.0176 * CHOOSE(CONTROL!$C$12, $D$11, 100%, $F$11)</f>
        <v>36.9981504</v>
      </c>
      <c r="D976" s="8">
        <f>45.9998 * CHOOSE( CONTROL!$C$12, $D$11, 100%, $F$11)</f>
        <v>36.983839200000006</v>
      </c>
      <c r="E976" s="12">
        <f>46.0052 * CHOOSE( CONTROL!$C$12, $D$11, 100%, $F$11)</f>
        <v>36.988180800000002</v>
      </c>
      <c r="F976" s="4">
        <f>46.9988 * CHOOSE(CONTROL!$C$12, $D$11, 100%, $F$11)</f>
        <v>37.787035200000005</v>
      </c>
      <c r="G976" s="8">
        <f>44.8549 * CHOOSE( CONTROL!$C$12, $D$11, 100%, $F$11)</f>
        <v>36.063339600000006</v>
      </c>
      <c r="H976" s="4">
        <f>45.7368 * CHOOSE(CONTROL!$C$12, $D$11, 100%, $F$11)</f>
        <v>36.772387200000004</v>
      </c>
      <c r="I976" s="8">
        <f>44.198 * CHOOSE(CONTROL!$C$12, $D$11, 100%, $F$11)</f>
        <v>35.535192000000002</v>
      </c>
      <c r="J976" s="4">
        <f>44.0793 * CHOOSE(CONTROL!$C$12, $D$11, 100%, $F$11)</f>
        <v>35.439757200000003</v>
      </c>
      <c r="K976" s="4"/>
      <c r="L976" s="9">
        <v>27.3993</v>
      </c>
      <c r="M976" s="9">
        <v>12.063700000000001</v>
      </c>
      <c r="N976" s="9">
        <v>4.9444999999999997</v>
      </c>
      <c r="O976" s="9">
        <v>0.37459999999999999</v>
      </c>
      <c r="P976" s="9">
        <v>1.2939000000000001</v>
      </c>
      <c r="Q976" s="9">
        <v>19.688099999999999</v>
      </c>
      <c r="R976" s="9"/>
      <c r="S976" s="11"/>
    </row>
    <row r="977" spans="1:19" ht="15.75">
      <c r="A977" s="13">
        <v>71620</v>
      </c>
      <c r="B977" s="8">
        <f>47.7653 * CHOOSE(CONTROL!$C$12, $D$11, 100%, $F$11)</f>
        <v>38.403301200000008</v>
      </c>
      <c r="C977" s="8">
        <f>47.7758 * CHOOSE(CONTROL!$C$12, $D$11, 100%, $F$11)</f>
        <v>38.411743199999997</v>
      </c>
      <c r="D977" s="8">
        <f>47.7734 * CHOOSE( CONTROL!$C$12, $D$11, 100%, $F$11)</f>
        <v>38.409813600000007</v>
      </c>
      <c r="E977" s="12">
        <f>47.7732 * CHOOSE( CONTROL!$C$12, $D$11, 100%, $F$11)</f>
        <v>38.409652800000003</v>
      </c>
      <c r="F977" s="4">
        <f>48.7883 * CHOOSE(CONTROL!$C$12, $D$11, 100%, $F$11)</f>
        <v>39.225793200000005</v>
      </c>
      <c r="G977" s="8">
        <f>46.5878 * CHOOSE( CONTROL!$C$12, $D$11, 100%, $F$11)</f>
        <v>37.456591200000005</v>
      </c>
      <c r="H977" s="4">
        <f>47.4811 * CHOOSE(CONTROL!$C$12, $D$11, 100%, $F$11)</f>
        <v>38.174804399999999</v>
      </c>
      <c r="I977" s="8">
        <f>45.8955 * CHOOSE(CONTROL!$C$12, $D$11, 100%, $F$11)</f>
        <v>36.899982000000001</v>
      </c>
      <c r="J977" s="4">
        <f>45.764 * CHOOSE(CONTROL!$C$12, $D$11, 100%, $F$11)</f>
        <v>36.794256000000004</v>
      </c>
      <c r="K977" s="4"/>
      <c r="L977" s="9">
        <v>27.3993</v>
      </c>
      <c r="M977" s="9">
        <v>12.063700000000001</v>
      </c>
      <c r="N977" s="9">
        <v>4.9444999999999997</v>
      </c>
      <c r="O977" s="9">
        <v>0.37459999999999999</v>
      </c>
      <c r="P977" s="9">
        <v>1.2939000000000001</v>
      </c>
      <c r="Q977" s="9">
        <v>19.688099999999999</v>
      </c>
      <c r="R977" s="9"/>
      <c r="S977" s="11"/>
    </row>
    <row r="978" spans="1:19" ht="15.75">
      <c r="A978" s="13">
        <v>71649</v>
      </c>
      <c r="B978" s="8">
        <f>44.6777 * CHOOSE(CONTROL!$C$12, $D$11, 100%, $F$11)</f>
        <v>35.920870800000003</v>
      </c>
      <c r="C978" s="8">
        <f>44.6882 * CHOOSE(CONTROL!$C$12, $D$11, 100%, $F$11)</f>
        <v>35.929312800000005</v>
      </c>
      <c r="D978" s="8">
        <f>44.6881 * CHOOSE( CONTROL!$C$12, $D$11, 100%, $F$11)</f>
        <v>35.929232400000004</v>
      </c>
      <c r="E978" s="12">
        <f>44.687 * CHOOSE( CONTROL!$C$12, $D$11, 100%, $F$11)</f>
        <v>35.928348</v>
      </c>
      <c r="F978" s="4">
        <f>45.6928 * CHOOSE(CONTROL!$C$12, $D$11, 100%, $F$11)</f>
        <v>36.737011199999998</v>
      </c>
      <c r="G978" s="8">
        <f>43.5779 * CHOOSE( CONTROL!$C$12, $D$11, 100%, $F$11)</f>
        <v>35.0366316</v>
      </c>
      <c r="H978" s="4">
        <f>44.4638 * CHOOSE(CONTROL!$C$12, $D$11, 100%, $F$11)</f>
        <v>35.7488952</v>
      </c>
      <c r="I978" s="8">
        <f>42.9245 * CHOOSE(CONTROL!$C$12, $D$11, 100%, $F$11)</f>
        <v>34.511298000000004</v>
      </c>
      <c r="J978" s="4">
        <f>42.8054 * CHOOSE(CONTROL!$C$12, $D$11, 100%, $F$11)</f>
        <v>34.415541600000005</v>
      </c>
      <c r="K978" s="4"/>
      <c r="L978" s="9">
        <v>25.631599999999999</v>
      </c>
      <c r="M978" s="9">
        <v>11.285299999999999</v>
      </c>
      <c r="N978" s="9">
        <v>4.6254999999999997</v>
      </c>
      <c r="O978" s="9">
        <v>0.35039999999999999</v>
      </c>
      <c r="P978" s="9">
        <v>1.2104999999999999</v>
      </c>
      <c r="Q978" s="9">
        <v>18.417899999999999</v>
      </c>
      <c r="R978" s="9"/>
      <c r="S978" s="11"/>
    </row>
    <row r="979" spans="1:19" ht="15.75">
      <c r="A979" s="13">
        <v>71680</v>
      </c>
      <c r="B979" s="8">
        <f>43.7267 * CHOOSE(CONTROL!$C$12, $D$11, 100%, $F$11)</f>
        <v>35.156266800000004</v>
      </c>
      <c r="C979" s="8">
        <f>43.7372 * CHOOSE(CONTROL!$C$12, $D$11, 100%, $F$11)</f>
        <v>35.164708800000007</v>
      </c>
      <c r="D979" s="8">
        <f>43.717 * CHOOSE( CONTROL!$C$12, $D$11, 100%, $F$11)</f>
        <v>35.148468000000001</v>
      </c>
      <c r="E979" s="12">
        <f>43.7233 * CHOOSE( CONTROL!$C$12, $D$11, 100%, $F$11)</f>
        <v>35.153533200000005</v>
      </c>
      <c r="F979" s="4">
        <f>44.7256 * CHOOSE(CONTROL!$C$12, $D$11, 100%, $F$11)</f>
        <v>35.959382400000003</v>
      </c>
      <c r="G979" s="8">
        <f>42.6304 * CHOOSE( CONTROL!$C$12, $D$11, 100%, $F$11)</f>
        <v>34.274841600000002</v>
      </c>
      <c r="H979" s="4">
        <f>43.521 * CHOOSE(CONTROL!$C$12, $D$11, 100%, $F$11)</f>
        <v>34.990884000000001</v>
      </c>
      <c r="I979" s="8">
        <f>41.9733 * CHOOSE(CONTROL!$C$12, $D$11, 100%, $F$11)</f>
        <v>33.746533200000002</v>
      </c>
      <c r="J979" s="4">
        <f>41.8942 * CHOOSE(CONTROL!$C$12, $D$11, 100%, $F$11)</f>
        <v>33.6829368</v>
      </c>
      <c r="K979" s="4"/>
      <c r="L979" s="9">
        <v>27.3993</v>
      </c>
      <c r="M979" s="9">
        <v>12.063700000000001</v>
      </c>
      <c r="N979" s="9">
        <v>4.9444999999999997</v>
      </c>
      <c r="O979" s="9">
        <v>0.37459999999999999</v>
      </c>
      <c r="P979" s="9">
        <v>1.2939000000000001</v>
      </c>
      <c r="Q979" s="9">
        <v>19.688099999999999</v>
      </c>
      <c r="R979" s="9"/>
      <c r="S979" s="11"/>
    </row>
    <row r="980" spans="1:19" ht="15.75">
      <c r="A980" s="13">
        <v>71710</v>
      </c>
      <c r="B980" s="8">
        <f>44.3913 * CHOOSE(CONTROL!$C$12, $D$11, 100%, $F$11)</f>
        <v>35.6906052</v>
      </c>
      <c r="C980" s="8">
        <f>44.4017 * CHOOSE(CONTROL!$C$12, $D$11, 100%, $F$11)</f>
        <v>35.698966800000001</v>
      </c>
      <c r="D980" s="8">
        <f>44.4049 * CHOOSE( CONTROL!$C$12, $D$11, 100%, $F$11)</f>
        <v>35.701539600000004</v>
      </c>
      <c r="E980" s="12">
        <f>44.4027 * CHOOSE( CONTROL!$C$12, $D$11, 100%, $F$11)</f>
        <v>35.699770800000003</v>
      </c>
      <c r="F980" s="4">
        <f>45.3985 * CHOOSE(CONTROL!$C$12, $D$11, 100%, $F$11)</f>
        <v>36.500394</v>
      </c>
      <c r="G980" s="8">
        <f>43.2661 * CHOOSE( CONTROL!$C$12, $D$11, 100%, $F$11)</f>
        <v>34.785944400000005</v>
      </c>
      <c r="H980" s="4">
        <f>44.1769 * CHOOSE(CONTROL!$C$12, $D$11, 100%, $F$11)</f>
        <v>35.518227600000003</v>
      </c>
      <c r="I980" s="8">
        <f>42.6005 * CHOOSE(CONTROL!$C$12, $D$11, 100%, $F$11)</f>
        <v>34.250802</v>
      </c>
      <c r="J980" s="4">
        <f>42.531 * CHOOSE(CONTROL!$C$12, $D$11, 100%, $F$11)</f>
        <v>34.194924</v>
      </c>
      <c r="K980" s="4"/>
      <c r="L980" s="9">
        <v>27.988800000000001</v>
      </c>
      <c r="M980" s="9">
        <v>11.6745</v>
      </c>
      <c r="N980" s="9">
        <v>4.7850000000000001</v>
      </c>
      <c r="O980" s="9">
        <v>0.36249999999999999</v>
      </c>
      <c r="P980" s="9">
        <v>1.1798</v>
      </c>
      <c r="Q980" s="9">
        <v>19.053000000000001</v>
      </c>
      <c r="R980" s="9"/>
      <c r="S980" s="11"/>
    </row>
    <row r="981" spans="1:19" ht="15.75">
      <c r="A981" s="13">
        <v>71741</v>
      </c>
      <c r="B981" s="8">
        <f>CHOOSE( CONTROL!$C$29, 45.5787, 45.574) * CHOOSE(CONTROL!$C$12, $D$11, 100%, $F$11)</f>
        <v>36.645274800000003</v>
      </c>
      <c r="C981" s="8">
        <f>CHOOSE( CONTROL!$C$29, 45.5891, 45.5844) * CHOOSE(CONTROL!$C$12, $D$11, 100%, $F$11)</f>
        <v>36.653636400000003</v>
      </c>
      <c r="D981" s="8">
        <f>CHOOSE( CONTROL!$C$29, 45.5671, 45.5623) * CHOOSE( CONTROL!$C$12, $D$11, 100%, $F$11)</f>
        <v>36.635948400000004</v>
      </c>
      <c r="E981" s="12">
        <f>CHOOSE( CONTROL!$C$29, 45.5735, 45.5687) * CHOOSE( CONTROL!$C$12, $D$11, 100%, $F$11)</f>
        <v>36.641094000000002</v>
      </c>
      <c r="F981" s="4">
        <f>CHOOSE( CONTROL!$C$29, 46.5536, 46.5489) * CHOOSE(CONTROL!$C$12, $D$11, 100%, $F$11)</f>
        <v>37.429094400000004</v>
      </c>
      <c r="G981" s="8">
        <f>CHOOSE( CONTROL!$C$29, 44.4048, 44.4002) * CHOOSE( CONTROL!$C$12, $D$11, 100%, $F$11)</f>
        <v>35.701459200000002</v>
      </c>
      <c r="H981" s="4">
        <f>CHOOSE( CONTROL!$C$29, 45.3028, 45.2982) * CHOOSE(CONTROL!$C$12, $D$11, 100%, $F$11)</f>
        <v>36.423451200000002</v>
      </c>
      <c r="I981" s="8">
        <f>CHOOSE( CONTROL!$C$29, 43.7173, 43.7128) * CHOOSE(CONTROL!$C$12, $D$11, 100%, $F$11)</f>
        <v>35.148709200000006</v>
      </c>
      <c r="J981" s="4">
        <f>CHOOSE( CONTROL!$C$29, 43.6687, 43.6642) * CHOOSE(CONTROL!$C$12, $D$11, 100%, $F$11)</f>
        <v>35.109634800000002</v>
      </c>
      <c r="K981" s="4"/>
      <c r="L981" s="9">
        <v>29.520499999999998</v>
      </c>
      <c r="M981" s="9">
        <v>12.063700000000001</v>
      </c>
      <c r="N981" s="9">
        <v>4.9444999999999997</v>
      </c>
      <c r="O981" s="9">
        <v>0.37459999999999999</v>
      </c>
      <c r="P981" s="9">
        <v>1.2192000000000001</v>
      </c>
      <c r="Q981" s="9">
        <v>19.688099999999999</v>
      </c>
      <c r="R981" s="9"/>
      <c r="S981" s="11"/>
    </row>
    <row r="982" spans="1:19" ht="15.75">
      <c r="A982" s="13">
        <v>71771</v>
      </c>
      <c r="B982" s="8">
        <f>CHOOSE( CONTROL!$C$29, 44.846, 44.8413) * CHOOSE(CONTROL!$C$12, $D$11, 100%, $F$11)</f>
        <v>36.056184000000002</v>
      </c>
      <c r="C982" s="8">
        <f>CHOOSE( CONTROL!$C$29, 44.8565, 44.8518) * CHOOSE(CONTROL!$C$12, $D$11, 100%, $F$11)</f>
        <v>36.064625999999997</v>
      </c>
      <c r="D982" s="8">
        <f>CHOOSE( CONTROL!$C$29, 44.8288, 44.8241) * CHOOSE( CONTROL!$C$12, $D$11, 100%, $F$11)</f>
        <v>36.042355200000003</v>
      </c>
      <c r="E982" s="12">
        <f>CHOOSE( CONTROL!$C$29, 44.8372, 44.8325) * CHOOSE( CONTROL!$C$12, $D$11, 100%, $F$11)</f>
        <v>36.049108800000006</v>
      </c>
      <c r="F982" s="4">
        <f>CHOOSE( CONTROL!$C$29, 45.8105, 45.8058) * CHOOSE(CONTROL!$C$12, $D$11, 100%, $F$11)</f>
        <v>36.831642000000002</v>
      </c>
      <c r="G982" s="8">
        <f>CHOOSE( CONTROL!$C$29, 43.6894, 43.6848) * CHOOSE( CONTROL!$C$12, $D$11, 100%, $F$11)</f>
        <v>35.126277600000002</v>
      </c>
      <c r="H982" s="4">
        <f>CHOOSE( CONTROL!$C$29, 44.5785, 44.5739) * CHOOSE(CONTROL!$C$12, $D$11, 100%, $F$11)</f>
        <v>35.841113999999997</v>
      </c>
      <c r="I982" s="8">
        <f>CHOOSE( CONTROL!$C$29, 43.0171, 43.0126) * CHOOSE(CONTROL!$C$12, $D$11, 100%, $F$11)</f>
        <v>34.5857484</v>
      </c>
      <c r="J982" s="4">
        <f>CHOOSE( CONTROL!$C$29, 42.9667, 42.9622) * CHOOSE(CONTROL!$C$12, $D$11, 100%, $F$11)</f>
        <v>34.545226800000002</v>
      </c>
      <c r="K982" s="4"/>
      <c r="L982" s="9">
        <v>28.568200000000001</v>
      </c>
      <c r="M982" s="9">
        <v>11.6745</v>
      </c>
      <c r="N982" s="9">
        <v>4.7850000000000001</v>
      </c>
      <c r="O982" s="9">
        <v>0.36249999999999999</v>
      </c>
      <c r="P982" s="9">
        <v>1.1798</v>
      </c>
      <c r="Q982" s="9">
        <v>19.053000000000001</v>
      </c>
      <c r="R982" s="9"/>
      <c r="S982" s="11"/>
    </row>
    <row r="983" spans="1:19" ht="15.75">
      <c r="A983" s="13">
        <v>71802</v>
      </c>
      <c r="B983" s="8">
        <f>CHOOSE( CONTROL!$C$29, 46.7753, 46.7706) * CHOOSE(CONTROL!$C$12, $D$11, 100%, $F$11)</f>
        <v>37.6073412</v>
      </c>
      <c r="C983" s="8">
        <f>CHOOSE( CONTROL!$C$29, 46.7858, 46.7811) * CHOOSE(CONTROL!$C$12, $D$11, 100%, $F$11)</f>
        <v>37.615783200000003</v>
      </c>
      <c r="D983" s="8">
        <f>CHOOSE( CONTROL!$C$29, 46.7773, 46.7726) * CHOOSE( CONTROL!$C$12, $D$11, 100%, $F$11)</f>
        <v>37.608949199999998</v>
      </c>
      <c r="E983" s="12">
        <f>CHOOSE( CONTROL!$C$29, 46.7788, 46.7741) * CHOOSE( CONTROL!$C$12, $D$11, 100%, $F$11)</f>
        <v>37.610155200000001</v>
      </c>
      <c r="F983" s="4">
        <f>CHOOSE( CONTROL!$C$29, 47.7669, 47.7622) * CHOOSE(CONTROL!$C$12, $D$11, 100%, $F$11)</f>
        <v>38.404587599999999</v>
      </c>
      <c r="G983" s="8">
        <f>CHOOSE( CONTROL!$C$29, 45.5828, 45.5782) * CHOOSE( CONTROL!$C$12, $D$11, 100%, $F$11)</f>
        <v>36.648571199999999</v>
      </c>
      <c r="H983" s="4">
        <f>CHOOSE( CONTROL!$C$29, 46.4856, 46.481) * CHOOSE(CONTROL!$C$12, $D$11, 100%, $F$11)</f>
        <v>37.3744224</v>
      </c>
      <c r="I983" s="8">
        <f>CHOOSE( CONTROL!$C$29, 44.8894, 44.8849) * CHOOSE(CONTROL!$C$12, $D$11, 100%, $F$11)</f>
        <v>36.091077600000006</v>
      </c>
      <c r="J983" s="4">
        <f>CHOOSE( CONTROL!$C$29, 44.8154, 44.8109) * CHOOSE(CONTROL!$C$12, $D$11, 100%, $F$11)</f>
        <v>36.031581600000003</v>
      </c>
      <c r="K983" s="4"/>
      <c r="L983" s="9">
        <v>29.520499999999998</v>
      </c>
      <c r="M983" s="9">
        <v>12.063700000000001</v>
      </c>
      <c r="N983" s="9">
        <v>4.9444999999999997</v>
      </c>
      <c r="O983" s="9">
        <v>0.37459999999999999</v>
      </c>
      <c r="P983" s="9">
        <v>1.2192000000000001</v>
      </c>
      <c r="Q983" s="9">
        <v>19.688099999999999</v>
      </c>
      <c r="R983" s="9"/>
      <c r="S983" s="11"/>
    </row>
    <row r="984" spans="1:19" ht="15.75">
      <c r="A984" s="13">
        <v>71833</v>
      </c>
      <c r="B984" s="8">
        <f>CHOOSE( CONTROL!$C$29, 43.1654, 43.1607) * CHOOSE(CONTROL!$C$12, $D$11, 100%, $F$11)</f>
        <v>34.704981600000004</v>
      </c>
      <c r="C984" s="8">
        <f>CHOOSE( CONTROL!$C$29, 43.1758, 43.1711) * CHOOSE(CONTROL!$C$12, $D$11, 100%, $F$11)</f>
        <v>34.713343200000004</v>
      </c>
      <c r="D984" s="8">
        <f>CHOOSE( CONTROL!$C$29, 43.1707, 43.166) * CHOOSE( CONTROL!$C$12, $D$11, 100%, $F$11)</f>
        <v>34.709242799999998</v>
      </c>
      <c r="E984" s="12">
        <f>CHOOSE( CONTROL!$C$29, 43.171, 43.1663) * CHOOSE( CONTROL!$C$12, $D$11, 100%, $F$11)</f>
        <v>34.709484000000003</v>
      </c>
      <c r="F984" s="4">
        <f>CHOOSE( CONTROL!$C$29, 44.1622, 44.1575) * CHOOSE(CONTROL!$C$12, $D$11, 100%, $F$11)</f>
        <v>35.506408800000003</v>
      </c>
      <c r="G984" s="8">
        <f>CHOOSE( CONTROL!$C$29, 42.066, 42.0614) * CHOOSE( CONTROL!$C$12, $D$11, 100%, $F$11)</f>
        <v>33.821064000000007</v>
      </c>
      <c r="H984" s="4">
        <f>CHOOSE( CONTROL!$C$29, 42.9718, 42.9672) * CHOOSE(CONTROL!$C$12, $D$11, 100%, $F$11)</f>
        <v>34.5493272</v>
      </c>
      <c r="I984" s="8">
        <f>CHOOSE( CONTROL!$C$29, 41.4332, 41.4287) * CHOOSE(CONTROL!$C$12, $D$11, 100%, $F$11)</f>
        <v>33.312292800000002</v>
      </c>
      <c r="J984" s="4">
        <f>CHOOSE( CONTROL!$C$29, 41.3563, 41.3518) * CHOOSE(CONTROL!$C$12, $D$11, 100%, $F$11)</f>
        <v>33.250465200000001</v>
      </c>
      <c r="K984" s="4"/>
      <c r="L984" s="9">
        <v>29.520499999999998</v>
      </c>
      <c r="M984" s="9">
        <v>12.063700000000001</v>
      </c>
      <c r="N984" s="9">
        <v>4.9444999999999997</v>
      </c>
      <c r="O984" s="9">
        <v>0.37459999999999999</v>
      </c>
      <c r="P984" s="9">
        <v>1.2192000000000001</v>
      </c>
      <c r="Q984" s="9">
        <v>19.688099999999999</v>
      </c>
      <c r="R984" s="9"/>
      <c r="S984" s="11"/>
    </row>
    <row r="985" spans="1:19" ht="15.75">
      <c r="A985" s="13">
        <v>71863</v>
      </c>
      <c r="B985" s="8">
        <f>CHOOSE( CONTROL!$C$29, 42.2614, 42.2567) * CHOOSE(CONTROL!$C$12, $D$11, 100%, $F$11)</f>
        <v>33.978165600000004</v>
      </c>
      <c r="C985" s="8">
        <f>CHOOSE( CONTROL!$C$29, 42.2718, 42.2671) * CHOOSE(CONTROL!$C$12, $D$11, 100%, $F$11)</f>
        <v>33.986527200000005</v>
      </c>
      <c r="D985" s="8">
        <f>CHOOSE( CONTROL!$C$29, 42.2625, 42.2578) * CHOOSE( CONTROL!$C$12, $D$11, 100%, $F$11)</f>
        <v>33.979050000000001</v>
      </c>
      <c r="E985" s="12">
        <f>CHOOSE( CONTROL!$C$29, 42.2643, 42.2596) * CHOOSE( CONTROL!$C$12, $D$11, 100%, $F$11)</f>
        <v>33.980497200000002</v>
      </c>
      <c r="F985" s="4">
        <f>CHOOSE( CONTROL!$C$29, 43.2504, 43.2457) * CHOOSE(CONTROL!$C$12, $D$11, 100%, $F$11)</f>
        <v>34.773321600000003</v>
      </c>
      <c r="G985" s="8">
        <f>CHOOSE( CONTROL!$C$29, 41.1835, 41.1789) * CHOOSE( CONTROL!$C$12, $D$11, 100%, $F$11)</f>
        <v>33.111534000000006</v>
      </c>
      <c r="H985" s="4">
        <f>CHOOSE( CONTROL!$C$29, 42.083, 42.0784) * CHOOSE(CONTROL!$C$12, $D$11, 100%, $F$11)</f>
        <v>33.834732000000002</v>
      </c>
      <c r="I985" s="8">
        <f>CHOOSE( CONTROL!$C$29, 40.5679, 40.5634) * CHOOSE(CONTROL!$C$12, $D$11, 100%, $F$11)</f>
        <v>32.616591600000007</v>
      </c>
      <c r="J985" s="4">
        <f>CHOOSE( CONTROL!$C$29, 40.4901, 40.4856) * CHOOSE(CONTROL!$C$12, $D$11, 100%, $F$11)</f>
        <v>32.554040399999998</v>
      </c>
      <c r="K985" s="4"/>
      <c r="L985" s="9">
        <v>28.568200000000001</v>
      </c>
      <c r="M985" s="9">
        <v>11.6745</v>
      </c>
      <c r="N985" s="9">
        <v>4.7850000000000001</v>
      </c>
      <c r="O985" s="9">
        <v>0.36249999999999999</v>
      </c>
      <c r="P985" s="9">
        <v>1.1798</v>
      </c>
      <c r="Q985" s="9">
        <v>19.053000000000001</v>
      </c>
      <c r="R985" s="9"/>
      <c r="S985" s="11"/>
    </row>
    <row r="986" spans="1:19" ht="15.75">
      <c r="A986" s="13">
        <v>71894</v>
      </c>
      <c r="B986" s="8">
        <f>44.1337 * CHOOSE(CONTROL!$C$12, $D$11, 100%, $F$11)</f>
        <v>35.483494800000003</v>
      </c>
      <c r="C986" s="8">
        <f>44.1441 * CHOOSE(CONTROL!$C$12, $D$11, 100%, $F$11)</f>
        <v>35.491856400000003</v>
      </c>
      <c r="D986" s="8">
        <f>44.1357 * CHOOSE( CONTROL!$C$12, $D$11, 100%, $F$11)</f>
        <v>35.4851028</v>
      </c>
      <c r="E986" s="12">
        <f>44.1374 * CHOOSE( CONTROL!$C$12, $D$11, 100%, $F$11)</f>
        <v>35.4864696</v>
      </c>
      <c r="F986" s="4">
        <f>45.1227 * CHOOSE(CONTROL!$C$12, $D$11, 100%, $F$11)</f>
        <v>36.278650800000001</v>
      </c>
      <c r="G986" s="8">
        <f>43.0082 * CHOOSE( CONTROL!$C$12, $D$11, 100%, $F$11)</f>
        <v>34.578592800000003</v>
      </c>
      <c r="H986" s="4">
        <f>43.908 * CHOOSE(CONTROL!$C$12, $D$11, 100%, $F$11)</f>
        <v>35.302032000000004</v>
      </c>
      <c r="I986" s="8">
        <f>42.3649 * CHOOSE(CONTROL!$C$12, $D$11, 100%, $F$11)</f>
        <v>34.061379600000002</v>
      </c>
      <c r="J986" s="4">
        <f>42.2841 * CHOOSE(CONTROL!$C$12, $D$11, 100%, $F$11)</f>
        <v>33.996416400000001</v>
      </c>
      <c r="K986" s="4"/>
      <c r="L986" s="9">
        <v>28.921800000000001</v>
      </c>
      <c r="M986" s="9">
        <v>12.063700000000001</v>
      </c>
      <c r="N986" s="9">
        <v>4.9444999999999997</v>
      </c>
      <c r="O986" s="9">
        <v>0.37459999999999999</v>
      </c>
      <c r="P986" s="9">
        <v>1.2192000000000001</v>
      </c>
      <c r="Q986" s="9">
        <v>19.688099999999999</v>
      </c>
      <c r="R986" s="9"/>
      <c r="S986" s="11"/>
    </row>
    <row r="987" spans="1:19" ht="15.75">
      <c r="A987" s="13">
        <v>71924</v>
      </c>
      <c r="B987" s="8">
        <f>47.5982 * CHOOSE(CONTROL!$C$12, $D$11, 100%, $F$11)</f>
        <v>38.268952800000001</v>
      </c>
      <c r="C987" s="8">
        <f>47.6086 * CHOOSE(CONTROL!$C$12, $D$11, 100%, $F$11)</f>
        <v>38.277314400000002</v>
      </c>
      <c r="D987" s="8">
        <f>47.5889 * CHOOSE( CONTROL!$C$12, $D$11, 100%, $F$11)</f>
        <v>38.261475600000004</v>
      </c>
      <c r="E987" s="12">
        <f>47.595 * CHOOSE( CONTROL!$C$12, $D$11, 100%, $F$11)</f>
        <v>38.266379999999998</v>
      </c>
      <c r="F987" s="4">
        <f>48.5898 * CHOOSE(CONTROL!$C$12, $D$11, 100%, $F$11)</f>
        <v>39.0661992</v>
      </c>
      <c r="G987" s="8">
        <f>46.4043 * CHOOSE( CONTROL!$C$12, $D$11, 100%, $F$11)</f>
        <v>37.309057200000005</v>
      </c>
      <c r="H987" s="4">
        <f>47.2877 * CHOOSE(CONTROL!$C$12, $D$11, 100%, $F$11)</f>
        <v>38.0193108</v>
      </c>
      <c r="I987" s="8">
        <f>45.7164 * CHOOSE(CONTROL!$C$12, $D$11, 100%, $F$11)</f>
        <v>36.755985600000002</v>
      </c>
      <c r="J987" s="4">
        <f>45.6038 * CHOOSE(CONTROL!$C$12, $D$11, 100%, $F$11)</f>
        <v>36.665455200000004</v>
      </c>
      <c r="K987" s="4"/>
      <c r="L987" s="9">
        <v>26.515499999999999</v>
      </c>
      <c r="M987" s="9">
        <v>11.6745</v>
      </c>
      <c r="N987" s="9">
        <v>4.7850000000000001</v>
      </c>
      <c r="O987" s="9">
        <v>0.36249999999999999</v>
      </c>
      <c r="P987" s="9">
        <v>1.2522</v>
      </c>
      <c r="Q987" s="9">
        <v>19.053000000000001</v>
      </c>
      <c r="R987" s="9"/>
      <c r="S987" s="11"/>
    </row>
    <row r="988" spans="1:19" ht="15.75">
      <c r="A988" s="13">
        <v>71955</v>
      </c>
      <c r="B988" s="8">
        <f>47.5116 * CHOOSE(CONTROL!$C$12, $D$11, 100%, $F$11)</f>
        <v>38.199326400000004</v>
      </c>
      <c r="C988" s="8">
        <f>47.5221 * CHOOSE(CONTROL!$C$12, $D$11, 100%, $F$11)</f>
        <v>38.207768400000006</v>
      </c>
      <c r="D988" s="8">
        <f>47.5042 * CHOOSE( CONTROL!$C$12, $D$11, 100%, $F$11)</f>
        <v>38.193376800000003</v>
      </c>
      <c r="E988" s="12">
        <f>47.5096 * CHOOSE( CONTROL!$C$12, $D$11, 100%, $F$11)</f>
        <v>38.197718399999999</v>
      </c>
      <c r="F988" s="4">
        <f>48.5032 * CHOOSE(CONTROL!$C$12, $D$11, 100%, $F$11)</f>
        <v>38.996572800000003</v>
      </c>
      <c r="G988" s="8">
        <f>46.3214 * CHOOSE( CONTROL!$C$12, $D$11, 100%, $F$11)</f>
        <v>37.242405599999998</v>
      </c>
      <c r="H988" s="4">
        <f>47.2033 * CHOOSE(CONTROL!$C$12, $D$11, 100%, $F$11)</f>
        <v>37.951453200000003</v>
      </c>
      <c r="I988" s="8">
        <f>45.6403 * CHOOSE(CONTROL!$C$12, $D$11, 100%, $F$11)</f>
        <v>36.694801200000008</v>
      </c>
      <c r="J988" s="4">
        <f>45.5209 * CHOOSE(CONTROL!$C$12, $D$11, 100%, $F$11)</f>
        <v>36.598803600000004</v>
      </c>
      <c r="K988" s="4"/>
      <c r="L988" s="9">
        <v>27.3993</v>
      </c>
      <c r="M988" s="9">
        <v>12.063700000000001</v>
      </c>
      <c r="N988" s="9">
        <v>4.9444999999999997</v>
      </c>
      <c r="O988" s="9">
        <v>0.37459999999999999</v>
      </c>
      <c r="P988" s="9">
        <v>1.2939000000000001</v>
      </c>
      <c r="Q988" s="9">
        <v>19.688099999999999</v>
      </c>
      <c r="R988" s="9"/>
      <c r="S988" s="11"/>
    </row>
    <row r="989" spans="1:19" ht="15.75">
      <c r="A989" s="13">
        <v>71986</v>
      </c>
      <c r="B989" s="8">
        <f>49.3273 * CHOOSE(CONTROL!$C$12, $D$11, 100%, $F$11)</f>
        <v>39.659149200000002</v>
      </c>
      <c r="C989" s="8">
        <f>49.3377 * CHOOSE(CONTROL!$C$12, $D$11, 100%, $F$11)</f>
        <v>39.667510800000002</v>
      </c>
      <c r="D989" s="8">
        <f>49.3354 * CHOOSE( CONTROL!$C$12, $D$11, 100%, $F$11)</f>
        <v>39.6656616</v>
      </c>
      <c r="E989" s="12">
        <f>49.3351 * CHOOSE( CONTROL!$C$12, $D$11, 100%, $F$11)</f>
        <v>39.665420400000002</v>
      </c>
      <c r="F989" s="4">
        <f>50.3502 * CHOOSE(CONTROL!$C$12, $D$11, 100%, $F$11)</f>
        <v>40.481560800000004</v>
      </c>
      <c r="G989" s="8">
        <f>48.1103 * CHOOSE( CONTROL!$C$12, $D$11, 100%, $F$11)</f>
        <v>38.680681200000002</v>
      </c>
      <c r="H989" s="4">
        <f>49.0037 * CHOOSE(CONTROL!$C$12, $D$11, 100%, $F$11)</f>
        <v>39.398974800000005</v>
      </c>
      <c r="I989" s="8">
        <f>47.3929 * CHOOSE(CONTROL!$C$12, $D$11, 100%, $F$11)</f>
        <v>38.103891599999997</v>
      </c>
      <c r="J989" s="4">
        <f>47.2607 * CHOOSE(CONTROL!$C$12, $D$11, 100%, $F$11)</f>
        <v>37.997602800000003</v>
      </c>
      <c r="K989" s="4"/>
      <c r="L989" s="9">
        <v>27.3993</v>
      </c>
      <c r="M989" s="9">
        <v>12.063700000000001</v>
      </c>
      <c r="N989" s="9">
        <v>4.9444999999999997</v>
      </c>
      <c r="O989" s="9">
        <v>0.37459999999999999</v>
      </c>
      <c r="P989" s="9">
        <v>1.2939000000000001</v>
      </c>
      <c r="Q989" s="9">
        <v>19.688099999999999</v>
      </c>
      <c r="R989" s="9"/>
      <c r="S989" s="11"/>
    </row>
    <row r="990" spans="1:19" ht="15.75">
      <c r="A990" s="13">
        <v>72014</v>
      </c>
      <c r="B990" s="8">
        <f>46.1387 * CHOOSE(CONTROL!$C$12, $D$11, 100%, $F$11)</f>
        <v>37.095514800000004</v>
      </c>
      <c r="C990" s="8">
        <f>46.1491 * CHOOSE(CONTROL!$C$12, $D$11, 100%, $F$11)</f>
        <v>37.103876399999997</v>
      </c>
      <c r="D990" s="8">
        <f>46.1491 * CHOOSE( CONTROL!$C$12, $D$11, 100%, $F$11)</f>
        <v>37.103876399999997</v>
      </c>
      <c r="E990" s="12">
        <f>46.148 * CHOOSE( CONTROL!$C$12, $D$11, 100%, $F$11)</f>
        <v>37.102992000000008</v>
      </c>
      <c r="F990" s="4">
        <f>47.1538 * CHOOSE(CONTROL!$C$12, $D$11, 100%, $F$11)</f>
        <v>37.911655199999998</v>
      </c>
      <c r="G990" s="8">
        <f>45.002 * CHOOSE( CONTROL!$C$12, $D$11, 100%, $F$11)</f>
        <v>36.181608000000004</v>
      </c>
      <c r="H990" s="4">
        <f>45.8879 * CHOOSE(CONTROL!$C$12, $D$11, 100%, $F$11)</f>
        <v>36.893871600000004</v>
      </c>
      <c r="I990" s="8">
        <f>44.3251 * CHOOSE(CONTROL!$C$12, $D$11, 100%, $F$11)</f>
        <v>35.637380399999998</v>
      </c>
      <c r="J990" s="4">
        <f>44.2053 * CHOOSE(CONTROL!$C$12, $D$11, 100%, $F$11)</f>
        <v>35.541061200000001</v>
      </c>
      <c r="K990" s="4"/>
      <c r="L990" s="9">
        <v>24.747800000000002</v>
      </c>
      <c r="M990" s="9">
        <v>10.8962</v>
      </c>
      <c r="N990" s="9">
        <v>4.4660000000000002</v>
      </c>
      <c r="O990" s="9">
        <v>0.33829999999999999</v>
      </c>
      <c r="P990" s="9">
        <v>1.1687000000000001</v>
      </c>
      <c r="Q990" s="9">
        <v>17.782800000000002</v>
      </c>
      <c r="R990" s="9"/>
      <c r="S990" s="11"/>
    </row>
    <row r="991" spans="1:19" ht="15.75">
      <c r="A991" s="13">
        <v>72045</v>
      </c>
      <c r="B991" s="8">
        <f>45.1566 * CHOOSE(CONTROL!$C$12, $D$11, 100%, $F$11)</f>
        <v>36.305906399999998</v>
      </c>
      <c r="C991" s="8">
        <f>45.167 * CHOOSE(CONTROL!$C$12, $D$11, 100%, $F$11)</f>
        <v>36.314268000000006</v>
      </c>
      <c r="D991" s="8">
        <f>45.1469 * CHOOSE( CONTROL!$C$12, $D$11, 100%, $F$11)</f>
        <v>36.298107600000002</v>
      </c>
      <c r="E991" s="12">
        <f>45.1531 * CHOOSE( CONTROL!$C$12, $D$11, 100%, $F$11)</f>
        <v>36.303092400000004</v>
      </c>
      <c r="F991" s="4">
        <f>46.1555 * CHOOSE(CONTROL!$C$12, $D$11, 100%, $F$11)</f>
        <v>37.109022000000003</v>
      </c>
      <c r="G991" s="8">
        <f>44.0242 * CHOOSE( CONTROL!$C$12, $D$11, 100%, $F$11)</f>
        <v>35.395456800000005</v>
      </c>
      <c r="H991" s="4">
        <f>44.9148 * CHOOSE(CONTROL!$C$12, $D$11, 100%, $F$11)</f>
        <v>36.111499200000004</v>
      </c>
      <c r="I991" s="8">
        <f>43.3441 * CHOOSE(CONTROL!$C$12, $D$11, 100%, $F$11)</f>
        <v>34.848656400000003</v>
      </c>
      <c r="J991" s="4">
        <f>43.2643 * CHOOSE(CONTROL!$C$12, $D$11, 100%, $F$11)</f>
        <v>34.784497200000004</v>
      </c>
      <c r="K991" s="4"/>
      <c r="L991" s="9">
        <v>27.3993</v>
      </c>
      <c r="M991" s="9">
        <v>12.063700000000001</v>
      </c>
      <c r="N991" s="9">
        <v>4.9444999999999997</v>
      </c>
      <c r="O991" s="9">
        <v>0.37459999999999999</v>
      </c>
      <c r="P991" s="9">
        <v>1.2939000000000001</v>
      </c>
      <c r="Q991" s="9">
        <v>19.688099999999999</v>
      </c>
      <c r="R991" s="9"/>
      <c r="S991" s="11"/>
    </row>
    <row r="992" spans="1:19" ht="15.75">
      <c r="A992" s="13">
        <v>72075</v>
      </c>
      <c r="B992" s="8">
        <f>45.8429 * CHOOSE(CONTROL!$C$12, $D$11, 100%, $F$11)</f>
        <v>36.857691600000003</v>
      </c>
      <c r="C992" s="8">
        <f>45.8533 * CHOOSE(CONTROL!$C$12, $D$11, 100%, $F$11)</f>
        <v>36.866053200000003</v>
      </c>
      <c r="D992" s="8">
        <f>45.8565 * CHOOSE( CONTROL!$C$12, $D$11, 100%, $F$11)</f>
        <v>36.868625999999999</v>
      </c>
      <c r="E992" s="12">
        <f>45.8543 * CHOOSE( CONTROL!$C$12, $D$11, 100%, $F$11)</f>
        <v>36.866857200000005</v>
      </c>
      <c r="F992" s="4">
        <f>46.8501 * CHOOSE(CONTROL!$C$12, $D$11, 100%, $F$11)</f>
        <v>37.667480400000002</v>
      </c>
      <c r="G992" s="8">
        <f>44.681 * CHOOSE( CONTROL!$C$12, $D$11, 100%, $F$11)</f>
        <v>35.923524</v>
      </c>
      <c r="H992" s="4">
        <f>45.5919 * CHOOSE(CONTROL!$C$12, $D$11, 100%, $F$11)</f>
        <v>36.655887600000007</v>
      </c>
      <c r="I992" s="8">
        <f>43.9921 * CHOOSE(CONTROL!$C$12, $D$11, 100%, $F$11)</f>
        <v>35.369648400000003</v>
      </c>
      <c r="J992" s="4">
        <f>43.9219 * CHOOSE(CONTROL!$C$12, $D$11, 100%, $F$11)</f>
        <v>35.313207600000005</v>
      </c>
      <c r="K992" s="4"/>
      <c r="L992" s="9">
        <v>27.988800000000001</v>
      </c>
      <c r="M992" s="9">
        <v>11.6745</v>
      </c>
      <c r="N992" s="9">
        <v>4.7850000000000001</v>
      </c>
      <c r="O992" s="9">
        <v>0.36249999999999999</v>
      </c>
      <c r="P992" s="9">
        <v>1.1798</v>
      </c>
      <c r="Q992" s="9">
        <v>19.053000000000001</v>
      </c>
      <c r="R992" s="9"/>
      <c r="S992" s="11"/>
    </row>
    <row r="993" spans="1:19" ht="15.75">
      <c r="A993" s="13">
        <v>72106</v>
      </c>
      <c r="B993" s="8">
        <f>CHOOSE( CONTROL!$C$29, 47.0689, 47.0642) * CHOOSE(CONTROL!$C$12, $D$11, 100%, $F$11)</f>
        <v>37.843395600000001</v>
      </c>
      <c r="C993" s="8">
        <f>CHOOSE( CONTROL!$C$29, 47.0794, 47.0747) * CHOOSE(CONTROL!$C$12, $D$11, 100%, $F$11)</f>
        <v>37.851837600000003</v>
      </c>
      <c r="D993" s="8">
        <f>CHOOSE( CONTROL!$C$29, 47.0573, 47.0526) * CHOOSE( CONTROL!$C$12, $D$11, 100%, $F$11)</f>
        <v>37.834069200000002</v>
      </c>
      <c r="E993" s="12">
        <f>CHOOSE( CONTROL!$C$29, 47.0637, 47.059) * CHOOSE( CONTROL!$C$12, $D$11, 100%, $F$11)</f>
        <v>37.839214800000001</v>
      </c>
      <c r="F993" s="4">
        <f>CHOOSE( CONTROL!$C$29, 48.0438, 48.0391) * CHOOSE(CONTROL!$C$12, $D$11, 100%, $F$11)</f>
        <v>38.627215200000002</v>
      </c>
      <c r="G993" s="8">
        <f>CHOOSE( CONTROL!$C$29, 45.8575, 45.8529) * CHOOSE( CONTROL!$C$12, $D$11, 100%, $F$11)</f>
        <v>36.869430000000001</v>
      </c>
      <c r="H993" s="4">
        <f>CHOOSE( CONTROL!$C$29, 46.7555, 46.7509) * CHOOSE(CONTROL!$C$12, $D$11, 100%, $F$11)</f>
        <v>37.591422000000001</v>
      </c>
      <c r="I993" s="8">
        <f>CHOOSE( CONTROL!$C$29, 45.146, 45.1415) * CHOOSE(CONTROL!$C$12, $D$11, 100%, $F$11)</f>
        <v>36.297384000000001</v>
      </c>
      <c r="J993" s="4">
        <f>CHOOSE( CONTROL!$C$29, 45.0967, 45.0922) * CHOOSE(CONTROL!$C$12, $D$11, 100%, $F$11)</f>
        <v>36.2577468</v>
      </c>
      <c r="K993" s="4"/>
      <c r="L993" s="9">
        <v>29.520499999999998</v>
      </c>
      <c r="M993" s="9">
        <v>12.063700000000001</v>
      </c>
      <c r="N993" s="9">
        <v>4.9444999999999997</v>
      </c>
      <c r="O993" s="9">
        <v>0.37459999999999999</v>
      </c>
      <c r="P993" s="9">
        <v>1.2192000000000001</v>
      </c>
      <c r="Q993" s="9">
        <v>19.688099999999999</v>
      </c>
      <c r="R993" s="9"/>
      <c r="S993" s="11"/>
    </row>
    <row r="994" spans="1:19" ht="15.75">
      <c r="A994" s="13">
        <v>72136</v>
      </c>
      <c r="B994" s="8">
        <f>CHOOSE( CONTROL!$C$29, 46.3123, 46.3076) * CHOOSE(CONTROL!$C$12, $D$11, 100%, $F$11)</f>
        <v>37.235089200000004</v>
      </c>
      <c r="C994" s="8">
        <f>CHOOSE( CONTROL!$C$29, 46.3228, 46.3181) * CHOOSE(CONTROL!$C$12, $D$11, 100%, $F$11)</f>
        <v>37.2435312</v>
      </c>
      <c r="D994" s="8">
        <f>CHOOSE( CONTROL!$C$29, 46.2951, 46.2904) * CHOOSE( CONTROL!$C$12, $D$11, 100%, $F$11)</f>
        <v>37.221260399999998</v>
      </c>
      <c r="E994" s="12">
        <f>CHOOSE( CONTROL!$C$29, 46.3035, 46.2988) * CHOOSE( CONTROL!$C$12, $D$11, 100%, $F$11)</f>
        <v>37.228014000000002</v>
      </c>
      <c r="F994" s="4">
        <f>CHOOSE( CONTROL!$C$29, 47.2768, 47.2721) * CHOOSE(CONTROL!$C$12, $D$11, 100%, $F$11)</f>
        <v>38.010547200000005</v>
      </c>
      <c r="G994" s="8">
        <f>CHOOSE( CONTROL!$C$29, 45.1187, 45.1141) * CHOOSE( CONTROL!$C$12, $D$11, 100%, $F$11)</f>
        <v>36.275434799999999</v>
      </c>
      <c r="H994" s="4">
        <f>CHOOSE( CONTROL!$C$29, 46.0078, 46.0032) * CHOOSE(CONTROL!$C$12, $D$11, 100%, $F$11)</f>
        <v>36.990271200000002</v>
      </c>
      <c r="I994" s="8">
        <f>CHOOSE( CONTROL!$C$29, 44.4228, 44.4183) * CHOOSE(CONTROL!$C$12, $D$11, 100%, $F$11)</f>
        <v>35.715931200000007</v>
      </c>
      <c r="J994" s="4">
        <f>CHOOSE( CONTROL!$C$29, 44.3717, 44.3672) * CHOOSE(CONTROL!$C$12, $D$11, 100%, $F$11)</f>
        <v>35.674846799999997</v>
      </c>
      <c r="K994" s="4"/>
      <c r="L994" s="9">
        <v>28.568200000000001</v>
      </c>
      <c r="M994" s="9">
        <v>11.6745</v>
      </c>
      <c r="N994" s="9">
        <v>4.7850000000000001</v>
      </c>
      <c r="O994" s="9">
        <v>0.36249999999999999</v>
      </c>
      <c r="P994" s="9">
        <v>1.1798</v>
      </c>
      <c r="Q994" s="9">
        <v>19.053000000000001</v>
      </c>
      <c r="R994" s="9"/>
      <c r="S994" s="11"/>
    </row>
    <row r="995" spans="1:19" ht="15.75">
      <c r="A995" s="13">
        <v>72167</v>
      </c>
      <c r="B995" s="8">
        <f>CHOOSE( CONTROL!$C$29, 48.3048, 48.3001) * CHOOSE(CONTROL!$C$12, $D$11, 100%, $F$11)</f>
        <v>38.837059200000006</v>
      </c>
      <c r="C995" s="8">
        <f>CHOOSE( CONTROL!$C$29, 48.3152, 48.3105) * CHOOSE(CONTROL!$C$12, $D$11, 100%, $F$11)</f>
        <v>38.845420799999999</v>
      </c>
      <c r="D995" s="8">
        <f>CHOOSE( CONTROL!$C$29, 48.3067, 48.302) * CHOOSE( CONTROL!$C$12, $D$11, 100%, $F$11)</f>
        <v>38.838586800000002</v>
      </c>
      <c r="E995" s="12">
        <f>CHOOSE( CONTROL!$C$29, 48.3082, 48.3035) * CHOOSE( CONTROL!$C$12, $D$11, 100%, $F$11)</f>
        <v>38.839792800000005</v>
      </c>
      <c r="F995" s="4">
        <f>CHOOSE( CONTROL!$C$29, 49.2964, 49.2917) * CHOOSE(CONTROL!$C$12, $D$11, 100%, $F$11)</f>
        <v>39.634305599999998</v>
      </c>
      <c r="G995" s="8">
        <f>CHOOSE( CONTROL!$C$29, 47.0736, 47.069) * CHOOSE( CONTROL!$C$12, $D$11, 100%, $F$11)</f>
        <v>37.8471744</v>
      </c>
      <c r="H995" s="4">
        <f>CHOOSE( CONTROL!$C$29, 47.9764, 47.9718) * CHOOSE(CONTROL!$C$12, $D$11, 100%, $F$11)</f>
        <v>38.573025600000001</v>
      </c>
      <c r="I995" s="8">
        <f>CHOOSE( CONTROL!$C$29, 46.3556, 46.3511) * CHOOSE(CONTROL!$C$12, $D$11, 100%, $F$11)</f>
        <v>37.269902400000007</v>
      </c>
      <c r="J995" s="4">
        <f>CHOOSE( CONTROL!$C$29, 46.2809, 46.2764) * CHOOSE(CONTROL!$C$12, $D$11, 100%, $F$11)</f>
        <v>37.209843600000006</v>
      </c>
      <c r="K995" s="4"/>
      <c r="L995" s="9">
        <v>29.520499999999998</v>
      </c>
      <c r="M995" s="9">
        <v>12.063700000000001</v>
      </c>
      <c r="N995" s="9">
        <v>4.9444999999999997</v>
      </c>
      <c r="O995" s="9">
        <v>0.37459999999999999</v>
      </c>
      <c r="P995" s="9">
        <v>1.2192000000000001</v>
      </c>
      <c r="Q995" s="9">
        <v>19.688099999999999</v>
      </c>
      <c r="R995" s="9"/>
      <c r="S995" s="11"/>
    </row>
    <row r="996" spans="1:19" ht="15.75">
      <c r="A996" s="13">
        <v>72198</v>
      </c>
      <c r="B996" s="8">
        <f>CHOOSE( CONTROL!$C$29, 44.5767, 44.572) * CHOOSE(CONTROL!$C$12, $D$11, 100%, $F$11)</f>
        <v>35.839666800000003</v>
      </c>
      <c r="C996" s="8">
        <f>CHOOSE( CONTROL!$C$29, 44.5872, 44.5825) * CHOOSE(CONTROL!$C$12, $D$11, 100%, $F$11)</f>
        <v>35.848108800000006</v>
      </c>
      <c r="D996" s="8">
        <f>CHOOSE( CONTROL!$C$29, 44.582, 44.5773) * CHOOSE( CONTROL!$C$12, $D$11, 100%, $F$11)</f>
        <v>35.843928000000005</v>
      </c>
      <c r="E996" s="12">
        <f>CHOOSE( CONTROL!$C$29, 44.5823, 44.5776) * CHOOSE( CONTROL!$C$12, $D$11, 100%, $F$11)</f>
        <v>35.844169199999996</v>
      </c>
      <c r="F996" s="4">
        <f>CHOOSE( CONTROL!$C$29, 45.5735, 45.5688) * CHOOSE(CONTROL!$C$12, $D$11, 100%, $F$11)</f>
        <v>36.641094000000002</v>
      </c>
      <c r="G996" s="8">
        <f>CHOOSE( CONTROL!$C$29, 43.4417, 43.4371) * CHOOSE( CONTROL!$C$12, $D$11, 100%, $F$11)</f>
        <v>34.927126800000003</v>
      </c>
      <c r="H996" s="4">
        <f>CHOOSE( CONTROL!$C$29, 44.3475, 44.343) * CHOOSE(CONTROL!$C$12, $D$11, 100%, $F$11)</f>
        <v>35.655389999999997</v>
      </c>
      <c r="I996" s="8">
        <f>CHOOSE( CONTROL!$C$29, 42.7862, 42.7817) * CHOOSE(CONTROL!$C$12, $D$11, 100%, $F$11)</f>
        <v>34.400104800000001</v>
      </c>
      <c r="J996" s="4">
        <f>CHOOSE( CONTROL!$C$29, 42.7087, 42.7042) * CHOOSE(CONTROL!$C$12, $D$11, 100%, $F$11)</f>
        <v>34.337794800000005</v>
      </c>
      <c r="K996" s="4"/>
      <c r="L996" s="9">
        <v>29.520499999999998</v>
      </c>
      <c r="M996" s="9">
        <v>12.063700000000001</v>
      </c>
      <c r="N996" s="9">
        <v>4.9444999999999997</v>
      </c>
      <c r="O996" s="9">
        <v>0.37459999999999999</v>
      </c>
      <c r="P996" s="9">
        <v>1.2192000000000001</v>
      </c>
      <c r="Q996" s="9">
        <v>19.688099999999999</v>
      </c>
      <c r="R996" s="9"/>
      <c r="S996" s="11"/>
    </row>
    <row r="997" spans="1:19" ht="15.75">
      <c r="A997" s="13">
        <v>72228</v>
      </c>
      <c r="B997" s="8">
        <f>CHOOSE( CONTROL!$C$29, 43.6432, 43.6385) * CHOOSE(CONTROL!$C$12, $D$11, 100%, $F$11)</f>
        <v>35.089132800000002</v>
      </c>
      <c r="C997" s="8">
        <f>CHOOSE( CONTROL!$C$29, 43.6536, 43.6489) * CHOOSE(CONTROL!$C$12, $D$11, 100%, $F$11)</f>
        <v>35.097494400000002</v>
      </c>
      <c r="D997" s="8">
        <f>CHOOSE( CONTROL!$C$29, 43.6443, 43.6396) * CHOOSE( CONTROL!$C$12, $D$11, 100%, $F$11)</f>
        <v>35.090017200000005</v>
      </c>
      <c r="E997" s="12">
        <f>CHOOSE( CONTROL!$C$29, 43.6461, 43.6414) * CHOOSE( CONTROL!$C$12, $D$11, 100%, $F$11)</f>
        <v>35.0914644</v>
      </c>
      <c r="F997" s="4">
        <f>CHOOSE( CONTROL!$C$29, 44.6322, 44.6275) * CHOOSE(CONTROL!$C$12, $D$11, 100%, $F$11)</f>
        <v>35.8842888</v>
      </c>
      <c r="G997" s="8">
        <f>CHOOSE( CONTROL!$C$29, 42.5304, 42.5258) * CHOOSE( CONTROL!$C$12, $D$11, 100%, $F$11)</f>
        <v>34.194441600000005</v>
      </c>
      <c r="H997" s="4">
        <f>CHOOSE( CONTROL!$C$29, 43.4299, 43.4253) * CHOOSE(CONTROL!$C$12, $D$11, 100%, $F$11)</f>
        <v>34.917639600000008</v>
      </c>
      <c r="I997" s="8">
        <f>CHOOSE( CONTROL!$C$29, 41.8926, 41.8881) * CHOOSE(CONTROL!$C$12, $D$11, 100%, $F$11)</f>
        <v>33.681650400000002</v>
      </c>
      <c r="J997" s="4">
        <f>CHOOSE( CONTROL!$C$29, 41.8141, 41.8096) * CHOOSE(CONTROL!$C$12, $D$11, 100%, $F$11)</f>
        <v>33.618536400000004</v>
      </c>
      <c r="K997" s="4"/>
      <c r="L997" s="9">
        <v>28.568200000000001</v>
      </c>
      <c r="M997" s="9">
        <v>11.6745</v>
      </c>
      <c r="N997" s="9">
        <v>4.7850000000000001</v>
      </c>
      <c r="O997" s="9">
        <v>0.36249999999999999</v>
      </c>
      <c r="P997" s="9">
        <v>1.1798</v>
      </c>
      <c r="Q997" s="9">
        <v>19.053000000000001</v>
      </c>
      <c r="R997" s="9"/>
      <c r="S997" s="11"/>
    </row>
    <row r="998" spans="1:19" ht="15.75">
      <c r="A998" s="13">
        <v>72259</v>
      </c>
      <c r="B998" s="8">
        <f>45.5768 * CHOOSE(CONTROL!$C$12, $D$11, 100%, $F$11)</f>
        <v>36.6437472</v>
      </c>
      <c r="C998" s="8">
        <f>45.5873 * CHOOSE(CONTROL!$C$12, $D$11, 100%, $F$11)</f>
        <v>36.652189200000002</v>
      </c>
      <c r="D998" s="8">
        <f>45.5788 * CHOOSE( CONTROL!$C$12, $D$11, 100%, $F$11)</f>
        <v>36.645355200000004</v>
      </c>
      <c r="E998" s="12">
        <f>45.5805 * CHOOSE( CONTROL!$C$12, $D$11, 100%, $F$11)</f>
        <v>36.646722000000004</v>
      </c>
      <c r="F998" s="4">
        <f>46.5658 * CHOOSE(CONTROL!$C$12, $D$11, 100%, $F$11)</f>
        <v>37.438903200000006</v>
      </c>
      <c r="G998" s="8">
        <f>44.4149 * CHOOSE( CONTROL!$C$12, $D$11, 100%, $F$11)</f>
        <v>35.709579600000005</v>
      </c>
      <c r="H998" s="4">
        <f>45.3148 * CHOOSE(CONTROL!$C$12, $D$11, 100%, $F$11)</f>
        <v>36.433099200000001</v>
      </c>
      <c r="I998" s="8">
        <f>43.7484 * CHOOSE(CONTROL!$C$12, $D$11, 100%, $F$11)</f>
        <v>35.173713599999999</v>
      </c>
      <c r="J998" s="4">
        <f>43.667 * CHOOSE(CONTROL!$C$12, $D$11, 100%, $F$11)</f>
        <v>35.108268000000002</v>
      </c>
      <c r="K998" s="4"/>
      <c r="L998" s="9">
        <v>28.921800000000001</v>
      </c>
      <c r="M998" s="9">
        <v>12.063700000000001</v>
      </c>
      <c r="N998" s="9">
        <v>4.9444999999999997</v>
      </c>
      <c r="O998" s="9">
        <v>0.37459999999999999</v>
      </c>
      <c r="P998" s="9">
        <v>1.2192000000000001</v>
      </c>
      <c r="Q998" s="9">
        <v>19.688099999999999</v>
      </c>
      <c r="R998" s="9"/>
      <c r="S998" s="11"/>
    </row>
    <row r="999" spans="1:19" ht="15.75">
      <c r="A999" s="13">
        <v>72289</v>
      </c>
      <c r="B999" s="8">
        <f>49.1546 * CHOOSE(CONTROL!$C$12, $D$11, 100%, $F$11)</f>
        <v>39.520298400000001</v>
      </c>
      <c r="C999" s="8">
        <f>49.1651 * CHOOSE(CONTROL!$C$12, $D$11, 100%, $F$11)</f>
        <v>39.528740400000004</v>
      </c>
      <c r="D999" s="8">
        <f>49.1453 * CHOOSE( CONTROL!$C$12, $D$11, 100%, $F$11)</f>
        <v>39.512821200000005</v>
      </c>
      <c r="E999" s="12">
        <f>49.1514 * CHOOSE( CONTROL!$C$12, $D$11, 100%, $F$11)</f>
        <v>39.517725600000006</v>
      </c>
      <c r="F999" s="4">
        <f>50.1462 * CHOOSE(CONTROL!$C$12, $D$11, 100%, $F$11)</f>
        <v>40.3175448</v>
      </c>
      <c r="G999" s="8">
        <f>47.9215 * CHOOSE( CONTROL!$C$12, $D$11, 100%, $F$11)</f>
        <v>38.528886000000007</v>
      </c>
      <c r="H999" s="4">
        <f>48.8049 * CHOOSE(CONTROL!$C$12, $D$11, 100%, $F$11)</f>
        <v>39.239139600000009</v>
      </c>
      <c r="I999" s="8">
        <f>47.2086 * CHOOSE(CONTROL!$C$12, $D$11, 100%, $F$11)</f>
        <v>37.955714399999998</v>
      </c>
      <c r="J999" s="4">
        <f>47.0952 * CHOOSE(CONTROL!$C$12, $D$11, 100%, $F$11)</f>
        <v>37.8645408</v>
      </c>
      <c r="K999" s="4"/>
      <c r="L999" s="9">
        <v>26.515499999999999</v>
      </c>
      <c r="M999" s="9">
        <v>11.6745</v>
      </c>
      <c r="N999" s="9">
        <v>4.7850000000000001</v>
      </c>
      <c r="O999" s="9">
        <v>0.36249999999999999</v>
      </c>
      <c r="P999" s="9">
        <v>1.2522</v>
      </c>
      <c r="Q999" s="9">
        <v>19.053000000000001</v>
      </c>
      <c r="R999" s="9"/>
      <c r="S999" s="11"/>
    </row>
    <row r="1000" spans="1:19" ht="15.75">
      <c r="A1000" s="13">
        <v>72320</v>
      </c>
      <c r="B1000" s="8">
        <f>49.0653 * CHOOSE(CONTROL!$C$12, $D$11, 100%, $F$11)</f>
        <v>39.448501200000003</v>
      </c>
      <c r="C1000" s="8">
        <f>49.0757 * CHOOSE(CONTROL!$C$12, $D$11, 100%, $F$11)</f>
        <v>39.456862800000003</v>
      </c>
      <c r="D1000" s="8">
        <f>49.0579 * CHOOSE( CONTROL!$C$12, $D$11, 100%, $F$11)</f>
        <v>39.442551600000002</v>
      </c>
      <c r="E1000" s="12">
        <f>49.0633 * CHOOSE( CONTROL!$C$12, $D$11, 100%, $F$11)</f>
        <v>39.446893199999998</v>
      </c>
      <c r="F1000" s="4">
        <f>50.0569 * CHOOSE(CONTROL!$C$12, $D$11, 100%, $F$11)</f>
        <v>40.245747600000001</v>
      </c>
      <c r="G1000" s="8">
        <f>47.8358 * CHOOSE( CONTROL!$C$12, $D$11, 100%, $F$11)</f>
        <v>38.459983200000003</v>
      </c>
      <c r="H1000" s="4">
        <f>48.7177 * CHOOSE(CONTROL!$C$12, $D$11, 100%, $F$11)</f>
        <v>39.169030800000002</v>
      </c>
      <c r="I1000" s="8">
        <f>47.1297 * CHOOSE(CONTROL!$C$12, $D$11, 100%, $F$11)</f>
        <v>37.8922788</v>
      </c>
      <c r="J1000" s="4">
        <f>47.0096 * CHOOSE(CONTROL!$C$12, $D$11, 100%, $F$11)</f>
        <v>37.795718399999998</v>
      </c>
      <c r="K1000" s="4"/>
      <c r="L1000" s="9">
        <v>27.3993</v>
      </c>
      <c r="M1000" s="9">
        <v>12.063700000000001</v>
      </c>
      <c r="N1000" s="9">
        <v>4.9444999999999997</v>
      </c>
      <c r="O1000" s="9">
        <v>0.37459999999999999</v>
      </c>
      <c r="P1000" s="9">
        <v>1.2939000000000001</v>
      </c>
      <c r="Q1000" s="9">
        <v>19.688099999999999</v>
      </c>
      <c r="R1000" s="9"/>
      <c r="S1000" s="11"/>
    </row>
    <row r="1001" spans="1:19" ht="15.75">
      <c r="A1001" s="13">
        <v>72351</v>
      </c>
      <c r="B1001" s="8">
        <f>50.9403 * CHOOSE(CONTROL!$C$12, $D$11, 100%, $F$11)</f>
        <v>40.956001200000003</v>
      </c>
      <c r="C1001" s="8">
        <f>50.9507 * CHOOSE(CONTROL!$C$12, $D$11, 100%, $F$11)</f>
        <v>40.964362800000004</v>
      </c>
      <c r="D1001" s="8">
        <f>50.9484 * CHOOSE( CONTROL!$C$12, $D$11, 100%, $F$11)</f>
        <v>40.962513600000001</v>
      </c>
      <c r="E1001" s="12">
        <f>50.9481 * CHOOSE( CONTROL!$C$12, $D$11, 100%, $F$11)</f>
        <v>40.962272399999996</v>
      </c>
      <c r="F1001" s="4">
        <f>51.9632 * CHOOSE(CONTROL!$C$12, $D$11, 100%, $F$11)</f>
        <v>41.778412800000005</v>
      </c>
      <c r="G1001" s="8">
        <f>49.6826 * CHOOSE( CONTROL!$C$12, $D$11, 100%, $F$11)</f>
        <v>39.944810400000001</v>
      </c>
      <c r="H1001" s="4">
        <f>50.576 * CHOOSE(CONTROL!$C$12, $D$11, 100%, $F$11)</f>
        <v>40.663104000000004</v>
      </c>
      <c r="I1001" s="8">
        <f>48.9393 * CHOOSE(CONTROL!$C$12, $D$11, 100%, $F$11)</f>
        <v>39.347197200000004</v>
      </c>
      <c r="J1001" s="4">
        <f>48.8063 * CHOOSE(CONTROL!$C$12, $D$11, 100%, $F$11)</f>
        <v>39.240265200000003</v>
      </c>
      <c r="K1001" s="4"/>
      <c r="L1001" s="9">
        <v>27.3993</v>
      </c>
      <c r="M1001" s="9">
        <v>12.063700000000001</v>
      </c>
      <c r="N1001" s="9">
        <v>4.9444999999999997</v>
      </c>
      <c r="O1001" s="9">
        <v>0.37459999999999999</v>
      </c>
      <c r="P1001" s="9">
        <v>1.2939000000000001</v>
      </c>
      <c r="Q1001" s="9">
        <v>19.688099999999999</v>
      </c>
      <c r="R1001" s="9"/>
      <c r="S1001" s="11"/>
    </row>
    <row r="1002" spans="1:19" ht="15.75">
      <c r="A1002" s="13">
        <v>72379</v>
      </c>
      <c r="B1002" s="8">
        <f>47.6474 * CHOOSE(CONTROL!$C$12, $D$11, 100%, $F$11)</f>
        <v>38.308509600000001</v>
      </c>
      <c r="C1002" s="8">
        <f>47.6579 * CHOOSE(CONTROL!$C$12, $D$11, 100%, $F$11)</f>
        <v>38.316951600000003</v>
      </c>
      <c r="D1002" s="8">
        <f>47.6578 * CHOOSE( CONTROL!$C$12, $D$11, 100%, $F$11)</f>
        <v>38.316871200000001</v>
      </c>
      <c r="E1002" s="12">
        <f>47.6567 * CHOOSE( CONTROL!$C$12, $D$11, 100%, $F$11)</f>
        <v>38.315986800000005</v>
      </c>
      <c r="F1002" s="4">
        <f>48.6625 * CHOOSE(CONTROL!$C$12, $D$11, 100%, $F$11)</f>
        <v>39.124650000000003</v>
      </c>
      <c r="G1002" s="8">
        <f>46.4727 * CHOOSE( CONTROL!$C$12, $D$11, 100%, $F$11)</f>
        <v>37.364050800000008</v>
      </c>
      <c r="H1002" s="4">
        <f>47.3586 * CHOOSE(CONTROL!$C$12, $D$11, 100%, $F$11)</f>
        <v>38.076314400000001</v>
      </c>
      <c r="I1002" s="8">
        <f>45.7715 * CHOOSE(CONTROL!$C$12, $D$11, 100%, $F$11)</f>
        <v>36.800286000000007</v>
      </c>
      <c r="J1002" s="4">
        <f>45.651 * CHOOSE(CONTROL!$C$12, $D$11, 100%, $F$11)</f>
        <v>36.703404000000006</v>
      </c>
      <c r="K1002" s="4"/>
      <c r="L1002" s="9">
        <v>24.747800000000002</v>
      </c>
      <c r="M1002" s="9">
        <v>10.8962</v>
      </c>
      <c r="N1002" s="9">
        <v>4.4660000000000002</v>
      </c>
      <c r="O1002" s="9">
        <v>0.33829999999999999</v>
      </c>
      <c r="P1002" s="9">
        <v>1.1687000000000001</v>
      </c>
      <c r="Q1002" s="9">
        <v>17.782800000000002</v>
      </c>
      <c r="R1002" s="9"/>
      <c r="S1002" s="11"/>
    </row>
    <row r="1003" spans="1:19" ht="15.75">
      <c r="A1003" s="13">
        <v>72410</v>
      </c>
      <c r="B1003" s="8">
        <f>46.6332 * CHOOSE(CONTROL!$C$12, $D$11, 100%, $F$11)</f>
        <v>37.493092800000007</v>
      </c>
      <c r="C1003" s="8">
        <f>46.6437 * CHOOSE(CONTROL!$C$12, $D$11, 100%, $F$11)</f>
        <v>37.501534800000002</v>
      </c>
      <c r="D1003" s="8">
        <f>46.6235 * CHOOSE( CONTROL!$C$12, $D$11, 100%, $F$11)</f>
        <v>37.485294000000003</v>
      </c>
      <c r="E1003" s="12">
        <f>46.6298 * CHOOSE( CONTROL!$C$12, $D$11, 100%, $F$11)</f>
        <v>37.490359200000007</v>
      </c>
      <c r="F1003" s="4">
        <f>47.6321 * CHOOSE(CONTROL!$C$12, $D$11, 100%, $F$11)</f>
        <v>38.296208400000005</v>
      </c>
      <c r="G1003" s="8">
        <f>45.4636 * CHOOSE( CONTROL!$C$12, $D$11, 100%, $F$11)</f>
        <v>36.552734399999999</v>
      </c>
      <c r="H1003" s="4">
        <f>46.3542 * CHOOSE(CONTROL!$C$12, $D$11, 100%, $F$11)</f>
        <v>37.268776799999998</v>
      </c>
      <c r="I1003" s="8">
        <f>44.7597 * CHOOSE(CONTROL!$C$12, $D$11, 100%, $F$11)</f>
        <v>35.986798800000003</v>
      </c>
      <c r="J1003" s="4">
        <f>44.6792 * CHOOSE(CONTROL!$C$12, $D$11, 100%, $F$11)</f>
        <v>35.922076800000006</v>
      </c>
      <c r="K1003" s="4"/>
      <c r="L1003" s="9">
        <v>27.3993</v>
      </c>
      <c r="M1003" s="9">
        <v>12.063700000000001</v>
      </c>
      <c r="N1003" s="9">
        <v>4.9444999999999997</v>
      </c>
      <c r="O1003" s="9">
        <v>0.37459999999999999</v>
      </c>
      <c r="P1003" s="9">
        <v>1.2939000000000001</v>
      </c>
      <c r="Q1003" s="9">
        <v>19.688099999999999</v>
      </c>
      <c r="R1003" s="9"/>
      <c r="S1003" s="11"/>
    </row>
    <row r="1004" spans="1:19" ht="15.75">
      <c r="A1004" s="13">
        <v>72440</v>
      </c>
      <c r="B1004" s="8">
        <f>47.3419 * CHOOSE(CONTROL!$C$12, $D$11, 100%, $F$11)</f>
        <v>38.062887600000003</v>
      </c>
      <c r="C1004" s="8">
        <f>47.3524 * CHOOSE(CONTROL!$C$12, $D$11, 100%, $F$11)</f>
        <v>38.071329600000006</v>
      </c>
      <c r="D1004" s="8">
        <f>47.3556 * CHOOSE( CONTROL!$C$12, $D$11, 100%, $F$11)</f>
        <v>38.073902400000001</v>
      </c>
      <c r="E1004" s="12">
        <f>47.3533 * CHOOSE( CONTROL!$C$12, $D$11, 100%, $F$11)</f>
        <v>38.072053199999999</v>
      </c>
      <c r="F1004" s="4">
        <f>48.3492 * CHOOSE(CONTROL!$C$12, $D$11, 100%, $F$11)</f>
        <v>38.872756800000005</v>
      </c>
      <c r="G1004" s="8">
        <f>46.1423 * CHOOSE( CONTROL!$C$12, $D$11, 100%, $F$11)</f>
        <v>37.098409199999999</v>
      </c>
      <c r="H1004" s="4">
        <f>47.0531 * CHOOSE(CONTROL!$C$12, $D$11, 100%, $F$11)</f>
        <v>37.830692400000004</v>
      </c>
      <c r="I1004" s="8">
        <f>45.4292 * CHOOSE(CONTROL!$C$12, $D$11, 100%, $F$11)</f>
        <v>36.525076800000001</v>
      </c>
      <c r="J1004" s="4">
        <f>45.3583 * CHOOSE(CONTROL!$C$12, $D$11, 100%, $F$11)</f>
        <v>36.468073199999999</v>
      </c>
      <c r="K1004" s="4"/>
      <c r="L1004" s="9">
        <v>27.988800000000001</v>
      </c>
      <c r="M1004" s="9">
        <v>11.6745</v>
      </c>
      <c r="N1004" s="9">
        <v>4.7850000000000001</v>
      </c>
      <c r="O1004" s="9">
        <v>0.36249999999999999</v>
      </c>
      <c r="P1004" s="9">
        <v>1.1798</v>
      </c>
      <c r="Q1004" s="9">
        <v>19.053000000000001</v>
      </c>
      <c r="R1004" s="9"/>
      <c r="S1004" s="11"/>
    </row>
    <row r="1005" spans="1:19" ht="15.75">
      <c r="A1005" s="13">
        <v>72471</v>
      </c>
      <c r="B1005" s="8">
        <f>CHOOSE( CONTROL!$C$29, 48.608, 48.6033) * CHOOSE(CONTROL!$C$12, $D$11, 100%, $F$11)</f>
        <v>39.080832000000001</v>
      </c>
      <c r="C1005" s="8">
        <f>CHOOSE( CONTROL!$C$29, 48.6184, 48.6137) * CHOOSE(CONTROL!$C$12, $D$11, 100%, $F$11)</f>
        <v>39.089193600000002</v>
      </c>
      <c r="D1005" s="8">
        <f>CHOOSE( CONTROL!$C$29, 48.5963, 48.5916) * CHOOSE( CONTROL!$C$12, $D$11, 100%, $F$11)</f>
        <v>39.0714252</v>
      </c>
      <c r="E1005" s="12">
        <f>CHOOSE( CONTROL!$C$29, 48.6027, 48.598) * CHOOSE( CONTROL!$C$12, $D$11, 100%, $F$11)</f>
        <v>39.076570799999999</v>
      </c>
      <c r="F1005" s="4">
        <f>CHOOSE( CONTROL!$C$29, 49.5829, 49.5782) * CHOOSE(CONTROL!$C$12, $D$11, 100%, $F$11)</f>
        <v>39.864651600000002</v>
      </c>
      <c r="G1005" s="8">
        <f>CHOOSE( CONTROL!$C$29, 47.3577, 47.3531) * CHOOSE( CONTROL!$C$12, $D$11, 100%, $F$11)</f>
        <v>38.075590800000001</v>
      </c>
      <c r="H1005" s="4">
        <f>CHOOSE( CONTROL!$C$29, 48.2557, 48.2511) * CHOOSE(CONTROL!$C$12, $D$11, 100%, $F$11)</f>
        <v>38.797582800000001</v>
      </c>
      <c r="I1005" s="8">
        <f>CHOOSE( CONTROL!$C$29, 46.6214, 46.6169) * CHOOSE(CONTROL!$C$12, $D$11, 100%, $F$11)</f>
        <v>37.483605600000004</v>
      </c>
      <c r="J1005" s="4">
        <f>CHOOSE( CONTROL!$C$29, 46.5714, 46.5669) * CHOOSE(CONTROL!$C$12, $D$11, 100%, $F$11)</f>
        <v>37.443405599999998</v>
      </c>
      <c r="K1005" s="4"/>
      <c r="L1005" s="9">
        <v>29.520499999999998</v>
      </c>
      <c r="M1005" s="9">
        <v>12.063700000000001</v>
      </c>
      <c r="N1005" s="9">
        <v>4.9444999999999997</v>
      </c>
      <c r="O1005" s="9">
        <v>0.37459999999999999</v>
      </c>
      <c r="P1005" s="9">
        <v>1.2192000000000001</v>
      </c>
      <c r="Q1005" s="9">
        <v>19.688099999999999</v>
      </c>
      <c r="R1005" s="9"/>
      <c r="S1005" s="11"/>
    </row>
    <row r="1006" spans="1:19" ht="15.75">
      <c r="A1006" s="13">
        <v>72501</v>
      </c>
      <c r="B1006" s="8">
        <f>CHOOSE( CONTROL!$C$29, 47.8266, 47.8219) * CHOOSE(CONTROL!$C$12, $D$11, 100%, $F$11)</f>
        <v>38.452586400000001</v>
      </c>
      <c r="C1006" s="8">
        <f>CHOOSE( CONTROL!$C$29, 47.837, 47.8323) * CHOOSE(CONTROL!$C$12, $D$11, 100%, $F$11)</f>
        <v>38.460948000000002</v>
      </c>
      <c r="D1006" s="8">
        <f>CHOOSE( CONTROL!$C$29, 47.8094, 47.8047) * CHOOSE( CONTROL!$C$12, $D$11, 100%, $F$11)</f>
        <v>38.438757600000002</v>
      </c>
      <c r="E1006" s="12">
        <f>CHOOSE( CONTROL!$C$29, 47.8178, 47.8131) * CHOOSE( CONTROL!$C$12, $D$11, 100%, $F$11)</f>
        <v>38.445511199999999</v>
      </c>
      <c r="F1006" s="4">
        <f>CHOOSE( CONTROL!$C$29, 48.7911, 48.7864) * CHOOSE(CONTROL!$C$12, $D$11, 100%, $F$11)</f>
        <v>39.228044400000002</v>
      </c>
      <c r="G1006" s="8">
        <f>CHOOSE( CONTROL!$C$29, 46.5948, 46.5902) * CHOOSE( CONTROL!$C$12, $D$11, 100%, $F$11)</f>
        <v>37.4622192</v>
      </c>
      <c r="H1006" s="4">
        <f>CHOOSE( CONTROL!$C$29, 47.4839, 47.4793) * CHOOSE(CONTROL!$C$12, $D$11, 100%, $F$11)</f>
        <v>38.177055600000003</v>
      </c>
      <c r="I1006" s="8">
        <f>CHOOSE( CONTROL!$C$29, 45.8745, 45.87) * CHOOSE(CONTROL!$C$12, $D$11, 100%, $F$11)</f>
        <v>36.883097999999997</v>
      </c>
      <c r="J1006" s="4">
        <f>CHOOSE( CONTROL!$C$29, 45.8227, 45.8182) * CHOOSE(CONTROL!$C$12, $D$11, 100%, $F$11)</f>
        <v>36.841450799999997</v>
      </c>
      <c r="K1006" s="4"/>
      <c r="L1006" s="9">
        <v>28.568200000000001</v>
      </c>
      <c r="M1006" s="9">
        <v>11.6745</v>
      </c>
      <c r="N1006" s="9">
        <v>4.7850000000000001</v>
      </c>
      <c r="O1006" s="9">
        <v>0.36249999999999999</v>
      </c>
      <c r="P1006" s="9">
        <v>1.1798</v>
      </c>
      <c r="Q1006" s="9">
        <v>19.053000000000001</v>
      </c>
      <c r="R1006" s="9"/>
      <c r="S1006" s="11"/>
    </row>
    <row r="1007" spans="1:19" ht="15.75">
      <c r="A1007" s="13">
        <v>72532</v>
      </c>
      <c r="B1007" s="8">
        <f>CHOOSE( CONTROL!$C$29, 49.8842, 49.8795) * CHOOSE(CONTROL!$C$12, $D$11, 100%, $F$11)</f>
        <v>40.106896800000001</v>
      </c>
      <c r="C1007" s="8">
        <f>CHOOSE( CONTROL!$C$29, 49.8946, 49.8899) * CHOOSE(CONTROL!$C$12, $D$11, 100%, $F$11)</f>
        <v>40.115258400000002</v>
      </c>
      <c r="D1007" s="8">
        <f>CHOOSE( CONTROL!$C$29, 49.8862, 49.8815) * CHOOSE( CONTROL!$C$12, $D$11, 100%, $F$11)</f>
        <v>40.108504800000006</v>
      </c>
      <c r="E1007" s="12">
        <f>CHOOSE( CONTROL!$C$29, 49.8877, 49.883) * CHOOSE( CONTROL!$C$12, $D$11, 100%, $F$11)</f>
        <v>40.109710800000002</v>
      </c>
      <c r="F1007" s="4">
        <f>CHOOSE( CONTROL!$C$29, 50.8758, 50.8711) * CHOOSE(CONTROL!$C$12, $D$11, 100%, $F$11)</f>
        <v>40.9041432</v>
      </c>
      <c r="G1007" s="8">
        <f>CHOOSE( CONTROL!$C$29, 48.6132, 48.6086) * CHOOSE( CONTROL!$C$12, $D$11, 100%, $F$11)</f>
        <v>39.085012800000001</v>
      </c>
      <c r="H1007" s="4">
        <f>CHOOSE( CONTROL!$C$29, 49.516, 49.5114) * CHOOSE(CONTROL!$C$12, $D$11, 100%, $F$11)</f>
        <v>39.810864000000002</v>
      </c>
      <c r="I1007" s="8">
        <f>CHOOSE( CONTROL!$C$29, 47.8698, 47.8653) * CHOOSE(CONTROL!$C$12, $D$11, 100%, $F$11)</f>
        <v>38.487319200000002</v>
      </c>
      <c r="J1007" s="4">
        <f>CHOOSE( CONTROL!$C$29, 47.7943, 47.7898) * CHOOSE(CONTROL!$C$12, $D$11, 100%, $F$11)</f>
        <v>38.426617200000003</v>
      </c>
      <c r="K1007" s="4"/>
      <c r="L1007" s="9">
        <v>29.520499999999998</v>
      </c>
      <c r="M1007" s="9">
        <v>12.063700000000001</v>
      </c>
      <c r="N1007" s="9">
        <v>4.9444999999999997</v>
      </c>
      <c r="O1007" s="9">
        <v>0.37459999999999999</v>
      </c>
      <c r="P1007" s="9">
        <v>1.2192000000000001</v>
      </c>
      <c r="Q1007" s="9">
        <v>19.688099999999999</v>
      </c>
      <c r="R1007" s="9"/>
      <c r="S1007" s="11"/>
    </row>
    <row r="1008" spans="1:19" ht="15.75">
      <c r="A1008" s="13">
        <v>72563</v>
      </c>
      <c r="B1008" s="8">
        <f>CHOOSE( CONTROL!$C$29, 46.0342, 46.0295) * CHOOSE(CONTROL!$C$12, $D$11, 100%, $F$11)</f>
        <v>37.011496800000003</v>
      </c>
      <c r="C1008" s="8">
        <f>CHOOSE( CONTROL!$C$29, 46.0447, 46.04) * CHOOSE(CONTROL!$C$12, $D$11, 100%, $F$11)</f>
        <v>37.019938799999998</v>
      </c>
      <c r="D1008" s="8">
        <f>CHOOSE( CONTROL!$C$29, 46.0396, 46.0349) * CHOOSE( CONTROL!$C$12, $D$11, 100%, $F$11)</f>
        <v>37.0158384</v>
      </c>
      <c r="E1008" s="12">
        <f>CHOOSE( CONTROL!$C$29, 46.0398, 46.0351) * CHOOSE( CONTROL!$C$12, $D$11, 100%, $F$11)</f>
        <v>37.015999200000003</v>
      </c>
      <c r="F1008" s="4">
        <f>CHOOSE( CONTROL!$C$29, 47.0311, 47.0264) * CHOOSE(CONTROL!$C$12, $D$11, 100%, $F$11)</f>
        <v>37.813004400000004</v>
      </c>
      <c r="G1008" s="8">
        <f>CHOOSE( CONTROL!$C$29, 44.8624, 44.8579) * CHOOSE( CONTROL!$C$12, $D$11, 100%, $F$11)</f>
        <v>36.069369600000002</v>
      </c>
      <c r="H1008" s="4">
        <f>CHOOSE( CONTROL!$C$29, 45.7683, 45.7637) * CHOOSE(CONTROL!$C$12, $D$11, 100%, $F$11)</f>
        <v>36.797713200000004</v>
      </c>
      <c r="I1008" s="8">
        <f>CHOOSE( CONTROL!$C$29, 44.1835, 44.179) * CHOOSE(CONTROL!$C$12, $D$11, 100%, $F$11)</f>
        <v>35.523534000000005</v>
      </c>
      <c r="J1008" s="4">
        <f>CHOOSE( CONTROL!$C$29, 44.1053, 44.1007) * CHOOSE(CONTROL!$C$12, $D$11, 100%, $F$11)</f>
        <v>35.460661200000004</v>
      </c>
      <c r="K1008" s="4"/>
      <c r="L1008" s="9">
        <v>29.520499999999998</v>
      </c>
      <c r="M1008" s="9">
        <v>12.063700000000001</v>
      </c>
      <c r="N1008" s="9">
        <v>4.9444999999999997</v>
      </c>
      <c r="O1008" s="9">
        <v>0.37459999999999999</v>
      </c>
      <c r="P1008" s="9">
        <v>1.2192000000000001</v>
      </c>
      <c r="Q1008" s="9">
        <v>19.688099999999999</v>
      </c>
      <c r="R1008" s="9"/>
      <c r="S1008" s="11"/>
    </row>
    <row r="1009" spans="1:19" ht="15.75">
      <c r="A1009" s="13">
        <v>72593</v>
      </c>
      <c r="B1009" s="8">
        <f>CHOOSE( CONTROL!$C$29, 45.0702, 45.0655) * CHOOSE(CONTROL!$C$12, $D$11, 100%, $F$11)</f>
        <v>36.236440800000004</v>
      </c>
      <c r="C1009" s="8">
        <f>CHOOSE( CONTROL!$C$29, 45.0806, 45.0759) * CHOOSE(CONTROL!$C$12, $D$11, 100%, $F$11)</f>
        <v>36.244802399999998</v>
      </c>
      <c r="D1009" s="8">
        <f>CHOOSE( CONTROL!$C$29, 45.0713, 45.0666) * CHOOSE( CONTROL!$C$12, $D$11, 100%, $F$11)</f>
        <v>36.237325200000001</v>
      </c>
      <c r="E1009" s="12">
        <f>CHOOSE( CONTROL!$C$29, 45.0731, 45.0684) * CHOOSE( CONTROL!$C$12, $D$11, 100%, $F$11)</f>
        <v>36.238772400000002</v>
      </c>
      <c r="F1009" s="4">
        <f>CHOOSE( CONTROL!$C$29, 46.0592, 46.0545) * CHOOSE(CONTROL!$C$12, $D$11, 100%, $F$11)</f>
        <v>37.031596800000003</v>
      </c>
      <c r="G1009" s="8">
        <f>CHOOSE( CONTROL!$C$29, 43.9214, 43.9168) * CHOOSE( CONTROL!$C$12, $D$11, 100%, $F$11)</f>
        <v>35.312805600000004</v>
      </c>
      <c r="H1009" s="4">
        <f>CHOOSE( CONTROL!$C$29, 44.8209, 44.8163) * CHOOSE(CONTROL!$C$12, $D$11, 100%, $F$11)</f>
        <v>36.036003600000001</v>
      </c>
      <c r="I1009" s="8">
        <f>CHOOSE( CONTROL!$C$29, 43.2606, 43.2561) * CHOOSE(CONTROL!$C$12, $D$11, 100%, $F$11)</f>
        <v>34.7815224</v>
      </c>
      <c r="J1009" s="4">
        <f>CHOOSE( CONTROL!$C$29, 43.1815, 43.177) * CHOOSE(CONTROL!$C$12, $D$11, 100%, $F$11)</f>
        <v>34.717925999999999</v>
      </c>
      <c r="K1009" s="4"/>
      <c r="L1009" s="9">
        <v>28.568200000000001</v>
      </c>
      <c r="M1009" s="9">
        <v>11.6745</v>
      </c>
      <c r="N1009" s="9">
        <v>4.7850000000000001</v>
      </c>
      <c r="O1009" s="9">
        <v>0.36249999999999999</v>
      </c>
      <c r="P1009" s="9">
        <v>1.1798</v>
      </c>
      <c r="Q1009" s="9">
        <v>19.053000000000001</v>
      </c>
      <c r="R1009" s="9"/>
      <c r="S1009" s="11"/>
    </row>
    <row r="1010" spans="1:19" ht="15.75">
      <c r="A1010" s="13">
        <v>72624</v>
      </c>
      <c r="B1010" s="8">
        <f>47.0672 * CHOOSE(CONTROL!$C$12, $D$11, 100%, $F$11)</f>
        <v>37.842028800000001</v>
      </c>
      <c r="C1010" s="8">
        <f>47.0776 * CHOOSE(CONTROL!$C$12, $D$11, 100%, $F$11)</f>
        <v>37.850390400000002</v>
      </c>
      <c r="D1010" s="8">
        <f>47.0692 * CHOOSE( CONTROL!$C$12, $D$11, 100%, $F$11)</f>
        <v>37.843636800000006</v>
      </c>
      <c r="E1010" s="12">
        <f>47.0709 * CHOOSE( CONTROL!$C$12, $D$11, 100%, $F$11)</f>
        <v>37.845003600000005</v>
      </c>
      <c r="F1010" s="4">
        <f>48.0562 * CHOOSE(CONTROL!$C$12, $D$11, 100%, $F$11)</f>
        <v>38.6371848</v>
      </c>
      <c r="G1010" s="8">
        <f>45.8677 * CHOOSE( CONTROL!$C$12, $D$11, 100%, $F$11)</f>
        <v>36.877630799999999</v>
      </c>
      <c r="H1010" s="4">
        <f>46.7675 * CHOOSE(CONTROL!$C$12, $D$11, 100%, $F$11)</f>
        <v>37.60107</v>
      </c>
      <c r="I1010" s="8">
        <f>45.1772 * CHOOSE(CONTROL!$C$12, $D$11, 100%, $F$11)</f>
        <v>36.322468800000003</v>
      </c>
      <c r="J1010" s="4">
        <f>45.095 * CHOOSE(CONTROL!$C$12, $D$11, 100%, $F$11)</f>
        <v>36.25638</v>
      </c>
      <c r="K1010" s="4"/>
      <c r="L1010" s="9">
        <v>28.921800000000001</v>
      </c>
      <c r="M1010" s="9">
        <v>12.063700000000001</v>
      </c>
      <c r="N1010" s="9">
        <v>4.9444999999999997</v>
      </c>
      <c r="O1010" s="9">
        <v>0.37459999999999999</v>
      </c>
      <c r="P1010" s="9">
        <v>1.2192000000000001</v>
      </c>
      <c r="Q1010" s="9">
        <v>19.688099999999999</v>
      </c>
      <c r="R1010" s="9"/>
      <c r="S1010" s="11"/>
    </row>
    <row r="1011" spans="1:19" ht="15.75">
      <c r="A1011" s="13">
        <v>72654</v>
      </c>
      <c r="B1011" s="8">
        <f>50.762 * CHOOSE(CONTROL!$C$12, $D$11, 100%, $F$11)</f>
        <v>40.812648000000003</v>
      </c>
      <c r="C1011" s="8">
        <f>50.7725 * CHOOSE(CONTROL!$C$12, $D$11, 100%, $F$11)</f>
        <v>40.821090000000005</v>
      </c>
      <c r="D1011" s="8">
        <f>50.7527 * CHOOSE( CONTROL!$C$12, $D$11, 100%, $F$11)</f>
        <v>40.805170799999999</v>
      </c>
      <c r="E1011" s="12">
        <f>50.7588 * CHOOSE( CONTROL!$C$12, $D$11, 100%, $F$11)</f>
        <v>40.8100752</v>
      </c>
      <c r="F1011" s="4">
        <f>51.7536 * CHOOSE(CONTROL!$C$12, $D$11, 100%, $F$11)</f>
        <v>41.609894400000002</v>
      </c>
      <c r="G1011" s="8">
        <f>49.4883 * CHOOSE( CONTROL!$C$12, $D$11, 100%, $F$11)</f>
        <v>39.788593200000001</v>
      </c>
      <c r="H1011" s="4">
        <f>50.3717 * CHOOSE(CONTROL!$C$12, $D$11, 100%, $F$11)</f>
        <v>40.498846800000003</v>
      </c>
      <c r="I1011" s="8">
        <f>48.7495 * CHOOSE(CONTROL!$C$12, $D$11, 100%, $F$11)</f>
        <v>39.194597999999999</v>
      </c>
      <c r="J1011" s="4">
        <f>48.6354 * CHOOSE(CONTROL!$C$12, $D$11, 100%, $F$11)</f>
        <v>39.102861599999997</v>
      </c>
      <c r="K1011" s="4"/>
      <c r="L1011" s="9">
        <v>26.515499999999999</v>
      </c>
      <c r="M1011" s="9">
        <v>11.6745</v>
      </c>
      <c r="N1011" s="9">
        <v>4.7850000000000001</v>
      </c>
      <c r="O1011" s="9">
        <v>0.36249999999999999</v>
      </c>
      <c r="P1011" s="9">
        <v>1.2522</v>
      </c>
      <c r="Q1011" s="9">
        <v>19.053000000000001</v>
      </c>
      <c r="R1011" s="9"/>
      <c r="S1011" s="11"/>
    </row>
    <row r="1012" spans="1:19" ht="15.75">
      <c r="A1012" s="13">
        <v>72685</v>
      </c>
      <c r="B1012" s="8">
        <f>50.6697 * CHOOSE(CONTROL!$C$12, $D$11, 100%, $F$11)</f>
        <v>40.738438800000004</v>
      </c>
      <c r="C1012" s="8">
        <f>50.6801 * CHOOSE(CONTROL!$C$12, $D$11, 100%, $F$11)</f>
        <v>40.746800400000005</v>
      </c>
      <c r="D1012" s="8">
        <f>50.6623 * CHOOSE( CONTROL!$C$12, $D$11, 100%, $F$11)</f>
        <v>40.732489200000003</v>
      </c>
      <c r="E1012" s="12">
        <f>50.6677 * CHOOSE( CONTROL!$C$12, $D$11, 100%, $F$11)</f>
        <v>40.736830800000007</v>
      </c>
      <c r="F1012" s="4">
        <f>51.6613 * CHOOSE(CONTROL!$C$12, $D$11, 100%, $F$11)</f>
        <v>41.535685200000003</v>
      </c>
      <c r="G1012" s="8">
        <f>49.3998 * CHOOSE( CONTROL!$C$12, $D$11, 100%, $F$11)</f>
        <v>39.717439200000001</v>
      </c>
      <c r="H1012" s="4">
        <f>50.2817 * CHOOSE(CONTROL!$C$12, $D$11, 100%, $F$11)</f>
        <v>40.426486800000006</v>
      </c>
      <c r="I1012" s="8">
        <f>48.6679 * CHOOSE(CONTROL!$C$12, $D$11, 100%, $F$11)</f>
        <v>39.128991600000006</v>
      </c>
      <c r="J1012" s="4">
        <f>48.547 * CHOOSE(CONTROL!$C$12, $D$11, 100%, $F$11)</f>
        <v>39.031787999999999</v>
      </c>
      <c r="K1012" s="4"/>
      <c r="L1012" s="9">
        <v>27.3993</v>
      </c>
      <c r="M1012" s="9">
        <v>12.063700000000001</v>
      </c>
      <c r="N1012" s="9">
        <v>4.9444999999999997</v>
      </c>
      <c r="O1012" s="9">
        <v>0.37459999999999999</v>
      </c>
      <c r="P1012" s="9">
        <v>1.2939000000000001</v>
      </c>
      <c r="Q1012" s="9">
        <v>19.688099999999999</v>
      </c>
      <c r="R1012" s="9"/>
      <c r="S1012" s="11"/>
    </row>
    <row r="1013" spans="1:19" ht="15.75">
      <c r="A1013" s="13">
        <v>72716</v>
      </c>
      <c r="B1013" s="8">
        <f>52.6061 * CHOOSE(CONTROL!$C$12, $D$11, 100%, $F$11)</f>
        <v>42.295304399999999</v>
      </c>
      <c r="C1013" s="8">
        <f>52.6165 * CHOOSE(CONTROL!$C$12, $D$11, 100%, $F$11)</f>
        <v>42.303666000000007</v>
      </c>
      <c r="D1013" s="8">
        <f>52.6142 * CHOOSE( CONTROL!$C$12, $D$11, 100%, $F$11)</f>
        <v>42.301816799999997</v>
      </c>
      <c r="E1013" s="12">
        <f>52.6139 * CHOOSE( CONTROL!$C$12, $D$11, 100%, $F$11)</f>
        <v>42.301575600000007</v>
      </c>
      <c r="F1013" s="4">
        <f>53.629 * CHOOSE(CONTROL!$C$12, $D$11, 100%, $F$11)</f>
        <v>43.117716000000001</v>
      </c>
      <c r="G1013" s="8">
        <f>51.3064 * CHOOSE( CONTROL!$C$12, $D$11, 100%, $F$11)</f>
        <v>41.250345600000003</v>
      </c>
      <c r="H1013" s="4">
        <f>52.1998 * CHOOSE(CONTROL!$C$12, $D$11, 100%, $F$11)</f>
        <v>41.968639200000005</v>
      </c>
      <c r="I1013" s="8">
        <f>50.5362 * CHOOSE(CONTROL!$C$12, $D$11, 100%, $F$11)</f>
        <v>40.631104800000003</v>
      </c>
      <c r="J1013" s="4">
        <f>50.4024 * CHOOSE(CONTROL!$C$12, $D$11, 100%, $F$11)</f>
        <v>40.523529600000003</v>
      </c>
      <c r="K1013" s="4"/>
      <c r="L1013" s="9">
        <v>27.3993</v>
      </c>
      <c r="M1013" s="9">
        <v>12.063700000000001</v>
      </c>
      <c r="N1013" s="9">
        <v>4.9444999999999997</v>
      </c>
      <c r="O1013" s="9">
        <v>0.37459999999999999</v>
      </c>
      <c r="P1013" s="9">
        <v>1.2939000000000001</v>
      </c>
      <c r="Q1013" s="9">
        <v>19.688099999999999</v>
      </c>
      <c r="R1013" s="9"/>
      <c r="S1013" s="11"/>
    </row>
    <row r="1014" spans="1:19" ht="15.75">
      <c r="A1014" s="13">
        <v>72744</v>
      </c>
      <c r="B1014" s="8">
        <f>49.2055 * CHOOSE(CONTROL!$C$12, $D$11, 100%, $F$11)</f>
        <v>39.561222000000001</v>
      </c>
      <c r="C1014" s="8">
        <f>49.2159 * CHOOSE(CONTROL!$C$12, $D$11, 100%, $F$11)</f>
        <v>39.569583600000001</v>
      </c>
      <c r="D1014" s="8">
        <f>49.2159 * CHOOSE( CONTROL!$C$12, $D$11, 100%, $F$11)</f>
        <v>39.569583600000001</v>
      </c>
      <c r="E1014" s="12">
        <f>49.2148 * CHOOSE( CONTROL!$C$12, $D$11, 100%, $F$11)</f>
        <v>39.568699199999998</v>
      </c>
      <c r="F1014" s="4">
        <f>50.2206 * CHOOSE(CONTROL!$C$12, $D$11, 100%, $F$11)</f>
        <v>40.377362400000003</v>
      </c>
      <c r="G1014" s="8">
        <f>47.9915 * CHOOSE( CONTROL!$C$12, $D$11, 100%, $F$11)</f>
        <v>38.585166000000001</v>
      </c>
      <c r="H1014" s="4">
        <f>48.8773 * CHOOSE(CONTROL!$C$12, $D$11, 100%, $F$11)</f>
        <v>39.297349199999999</v>
      </c>
      <c r="I1014" s="8">
        <f>47.2652 * CHOOSE(CONTROL!$C$12, $D$11, 100%, $F$11)</f>
        <v>38.001220800000006</v>
      </c>
      <c r="J1014" s="4">
        <f>47.144 * CHOOSE(CONTROL!$C$12, $D$11, 100%, $F$11)</f>
        <v>37.903776000000001</v>
      </c>
      <c r="K1014" s="4"/>
      <c r="L1014" s="9">
        <v>24.747800000000002</v>
      </c>
      <c r="M1014" s="9">
        <v>10.8962</v>
      </c>
      <c r="N1014" s="9">
        <v>4.4660000000000002</v>
      </c>
      <c r="O1014" s="9">
        <v>0.33829999999999999</v>
      </c>
      <c r="P1014" s="9">
        <v>1.1687000000000001</v>
      </c>
      <c r="Q1014" s="9">
        <v>17.782800000000002</v>
      </c>
      <c r="R1014" s="9"/>
      <c r="S1014" s="11"/>
    </row>
    <row r="1015" spans="1:19" ht="15.75">
      <c r="A1015" s="13">
        <v>72775</v>
      </c>
      <c r="B1015" s="8">
        <f>48.1581 * CHOOSE(CONTROL!$C$12, $D$11, 100%, $F$11)</f>
        <v>38.7191124</v>
      </c>
      <c r="C1015" s="8">
        <f>48.1686 * CHOOSE(CONTROL!$C$12, $D$11, 100%, $F$11)</f>
        <v>38.727554400000002</v>
      </c>
      <c r="D1015" s="8">
        <f>48.1484 * CHOOSE( CONTROL!$C$12, $D$11, 100%, $F$11)</f>
        <v>38.711313600000004</v>
      </c>
      <c r="E1015" s="12">
        <f>48.1547 * CHOOSE( CONTROL!$C$12, $D$11, 100%, $F$11)</f>
        <v>38.716378800000001</v>
      </c>
      <c r="F1015" s="4">
        <f>49.1571 * CHOOSE(CONTROL!$C$12, $D$11, 100%, $F$11)</f>
        <v>39.5223084</v>
      </c>
      <c r="G1015" s="8">
        <f>46.95 * CHOOSE( CONTROL!$C$12, $D$11, 100%, $F$11)</f>
        <v>37.747800000000005</v>
      </c>
      <c r="H1015" s="4">
        <f>47.8406 * CHOOSE(CONTROL!$C$12, $D$11, 100%, $F$11)</f>
        <v>38.463842400000004</v>
      </c>
      <c r="I1015" s="8">
        <f>46.2216 * CHOOSE(CONTROL!$C$12, $D$11, 100%, $F$11)</f>
        <v>37.162166400000004</v>
      </c>
      <c r="J1015" s="4">
        <f>46.1404 * CHOOSE(CONTROL!$C$12, $D$11, 100%, $F$11)</f>
        <v>37.096881600000003</v>
      </c>
      <c r="K1015" s="4"/>
      <c r="L1015" s="9">
        <v>27.3993</v>
      </c>
      <c r="M1015" s="9">
        <v>12.063700000000001</v>
      </c>
      <c r="N1015" s="9">
        <v>4.9444999999999997</v>
      </c>
      <c r="O1015" s="9">
        <v>0.37459999999999999</v>
      </c>
      <c r="P1015" s="9">
        <v>1.2939000000000001</v>
      </c>
      <c r="Q1015" s="9">
        <v>19.688099999999999</v>
      </c>
      <c r="R1015" s="9"/>
      <c r="S1015" s="11"/>
    </row>
    <row r="1016" spans="1:19" ht="15.75">
      <c r="A1016" s="13">
        <v>72805</v>
      </c>
      <c r="B1016" s="8">
        <f>48.89 * CHOOSE(CONTROL!$C$12, $D$11, 100%, $F$11)</f>
        <v>39.307560000000002</v>
      </c>
      <c r="C1016" s="8">
        <f>48.9005 * CHOOSE(CONTROL!$C$12, $D$11, 100%, $F$11)</f>
        <v>39.316002000000005</v>
      </c>
      <c r="D1016" s="8">
        <f>48.9037 * CHOOSE( CONTROL!$C$12, $D$11, 100%, $F$11)</f>
        <v>39.3185748</v>
      </c>
      <c r="E1016" s="12">
        <f>48.9014 * CHOOSE( CONTROL!$C$12, $D$11, 100%, $F$11)</f>
        <v>39.316725600000005</v>
      </c>
      <c r="F1016" s="4">
        <f>49.8973 * CHOOSE(CONTROL!$C$12, $D$11, 100%, $F$11)</f>
        <v>40.117429200000004</v>
      </c>
      <c r="G1016" s="8">
        <f>47.6513 * CHOOSE( CONTROL!$C$12, $D$11, 100%, $F$11)</f>
        <v>38.311645200000001</v>
      </c>
      <c r="H1016" s="4">
        <f>48.5622 * CHOOSE(CONTROL!$C$12, $D$11, 100%, $F$11)</f>
        <v>39.0440088</v>
      </c>
      <c r="I1016" s="8">
        <f>46.9133 * CHOOSE(CONTROL!$C$12, $D$11, 100%, $F$11)</f>
        <v>37.718293200000005</v>
      </c>
      <c r="J1016" s="4">
        <f>46.8417 * CHOOSE(CONTROL!$C$12, $D$11, 100%, $F$11)</f>
        <v>37.660726800000006</v>
      </c>
      <c r="K1016" s="4"/>
      <c r="L1016" s="9">
        <v>27.988800000000001</v>
      </c>
      <c r="M1016" s="9">
        <v>11.6745</v>
      </c>
      <c r="N1016" s="9">
        <v>4.7850000000000001</v>
      </c>
      <c r="O1016" s="9">
        <v>0.36249999999999999</v>
      </c>
      <c r="P1016" s="9">
        <v>1.1798</v>
      </c>
      <c r="Q1016" s="9">
        <v>19.053000000000001</v>
      </c>
      <c r="R1016" s="9"/>
      <c r="S1016" s="11"/>
    </row>
    <row r="1017" spans="1:19" ht="15.75">
      <c r="A1017" s="13">
        <v>72836</v>
      </c>
      <c r="B1017" s="8">
        <f>CHOOSE( CONTROL!$C$29, 50.1973, 50.1926) * CHOOSE(CONTROL!$C$12, $D$11, 100%, $F$11)</f>
        <v>40.358629200000003</v>
      </c>
      <c r="C1017" s="8">
        <f>CHOOSE( CONTROL!$C$29, 50.2077, 50.203) * CHOOSE(CONTROL!$C$12, $D$11, 100%, $F$11)</f>
        <v>40.366990800000004</v>
      </c>
      <c r="D1017" s="8">
        <f>CHOOSE( CONTROL!$C$29, 50.1857, 50.181) * CHOOSE( CONTROL!$C$12, $D$11, 100%, $F$11)</f>
        <v>40.349302799999997</v>
      </c>
      <c r="E1017" s="12">
        <f>CHOOSE( CONTROL!$C$29, 50.1921, 50.1874) * CHOOSE( CONTROL!$C$12, $D$11, 100%, $F$11)</f>
        <v>40.354448400000003</v>
      </c>
      <c r="F1017" s="4">
        <f>CHOOSE( CONTROL!$C$29, 51.1722, 51.1675) * CHOOSE(CONTROL!$C$12, $D$11, 100%, $F$11)</f>
        <v>41.142448799999997</v>
      </c>
      <c r="G1017" s="8">
        <f>CHOOSE( CONTROL!$C$29, 48.9069, 48.9024) * CHOOSE( CONTROL!$C$12, $D$11, 100%, $F$11)</f>
        <v>39.321147600000003</v>
      </c>
      <c r="H1017" s="4">
        <f>CHOOSE( CONTROL!$C$29, 49.8049, 49.8004) * CHOOSE(CONTROL!$C$12, $D$11, 100%, $F$11)</f>
        <v>40.043139600000003</v>
      </c>
      <c r="I1017" s="8">
        <f>CHOOSE( CONTROL!$C$29, 48.1451, 48.1405) * CHOOSE(CONTROL!$C$12, $D$11, 100%, $F$11)</f>
        <v>38.708660399999999</v>
      </c>
      <c r="J1017" s="4">
        <f>CHOOSE( CONTROL!$C$29, 48.0943, 48.0898) * CHOOSE(CONTROL!$C$12, $D$11, 100%, $F$11)</f>
        <v>38.667817200000002</v>
      </c>
      <c r="K1017" s="4"/>
      <c r="L1017" s="9">
        <v>29.520499999999998</v>
      </c>
      <c r="M1017" s="9">
        <v>12.063700000000001</v>
      </c>
      <c r="N1017" s="9">
        <v>4.9444999999999997</v>
      </c>
      <c r="O1017" s="9">
        <v>0.37459999999999999</v>
      </c>
      <c r="P1017" s="9">
        <v>1.2192000000000001</v>
      </c>
      <c r="Q1017" s="9">
        <v>19.688099999999999</v>
      </c>
      <c r="R1017" s="9"/>
      <c r="S1017" s="11"/>
    </row>
    <row r="1018" spans="1:19" ht="15.75">
      <c r="A1018" s="13">
        <v>72866</v>
      </c>
      <c r="B1018" s="8">
        <f>CHOOSE( CONTROL!$C$29, 49.3904, 49.3857) * CHOOSE(CONTROL!$C$12, $D$11, 100%, $F$11)</f>
        <v>39.709881600000003</v>
      </c>
      <c r="C1018" s="8">
        <f>CHOOSE( CONTROL!$C$29, 49.4008, 49.3961) * CHOOSE(CONTROL!$C$12, $D$11, 100%, $F$11)</f>
        <v>39.718243199999996</v>
      </c>
      <c r="D1018" s="8">
        <f>CHOOSE( CONTROL!$C$29, 49.3732, 49.3685) * CHOOSE( CONTROL!$C$12, $D$11, 100%, $F$11)</f>
        <v>39.696052799999997</v>
      </c>
      <c r="E1018" s="12">
        <f>CHOOSE( CONTROL!$C$29, 49.3816, 49.3769) * CHOOSE( CONTROL!$C$12, $D$11, 100%, $F$11)</f>
        <v>39.7028064</v>
      </c>
      <c r="F1018" s="4">
        <f>CHOOSE( CONTROL!$C$29, 50.3549, 50.3502) * CHOOSE(CONTROL!$C$12, $D$11, 100%, $F$11)</f>
        <v>40.485339600000003</v>
      </c>
      <c r="G1018" s="8">
        <f>CHOOSE( CONTROL!$C$29, 48.1191, 48.1145) * CHOOSE( CONTROL!$C$12, $D$11, 100%, $F$11)</f>
        <v>38.687756400000005</v>
      </c>
      <c r="H1018" s="4">
        <f>CHOOSE( CONTROL!$C$29, 49.0082, 49.0036) * CHOOSE(CONTROL!$C$12, $D$11, 100%, $F$11)</f>
        <v>39.402592800000001</v>
      </c>
      <c r="I1018" s="8">
        <f>CHOOSE( CONTROL!$C$29, 47.3737, 47.3692) * CHOOSE(CONTROL!$C$12, $D$11, 100%, $F$11)</f>
        <v>38.088454800000001</v>
      </c>
      <c r="J1018" s="4">
        <f>CHOOSE( CONTROL!$C$29, 47.3211, 47.3166) * CHOOSE(CONTROL!$C$12, $D$11, 100%, $F$11)</f>
        <v>38.046164400000002</v>
      </c>
      <c r="K1018" s="4"/>
      <c r="L1018" s="9">
        <v>28.568200000000001</v>
      </c>
      <c r="M1018" s="9">
        <v>11.6745</v>
      </c>
      <c r="N1018" s="9">
        <v>4.7850000000000001</v>
      </c>
      <c r="O1018" s="9">
        <v>0.36249999999999999</v>
      </c>
      <c r="P1018" s="9">
        <v>1.1798</v>
      </c>
      <c r="Q1018" s="9">
        <v>19.053000000000001</v>
      </c>
      <c r="R1018" s="9"/>
      <c r="S1018" s="11"/>
    </row>
    <row r="1019" spans="1:19" ht="15.75">
      <c r="A1019" s="13">
        <v>72897</v>
      </c>
      <c r="B1019" s="8">
        <f>CHOOSE( CONTROL!$C$29, 51.5153, 51.5106) * CHOOSE(CONTROL!$C$12, $D$11, 100%, $F$11)</f>
        <v>41.418301200000002</v>
      </c>
      <c r="C1019" s="8">
        <f>CHOOSE( CONTROL!$C$29, 51.5257, 51.521) * CHOOSE(CONTROL!$C$12, $D$11, 100%, $F$11)</f>
        <v>41.426662800000003</v>
      </c>
      <c r="D1019" s="8">
        <f>CHOOSE( CONTROL!$C$29, 51.5173, 51.5126) * CHOOSE( CONTROL!$C$12, $D$11, 100%, $F$11)</f>
        <v>41.419909199999999</v>
      </c>
      <c r="E1019" s="12">
        <f>CHOOSE( CONTROL!$C$29, 51.5188, 51.5141) * CHOOSE( CONTROL!$C$12, $D$11, 100%, $F$11)</f>
        <v>41.421115200000003</v>
      </c>
      <c r="F1019" s="4">
        <f>CHOOSE( CONTROL!$C$29, 52.5069, 52.5022) * CHOOSE(CONTROL!$C$12, $D$11, 100%, $F$11)</f>
        <v>42.215547600000001</v>
      </c>
      <c r="G1019" s="8">
        <f>CHOOSE( CONTROL!$C$29, 50.2031, 50.1985) * CHOOSE( CONTROL!$C$12, $D$11, 100%, $F$11)</f>
        <v>40.363292399999999</v>
      </c>
      <c r="H1019" s="4">
        <f>CHOOSE( CONTROL!$C$29, 51.1059, 51.1013) * CHOOSE(CONTROL!$C$12, $D$11, 100%, $F$11)</f>
        <v>41.0891436</v>
      </c>
      <c r="I1019" s="8">
        <f>CHOOSE( CONTROL!$C$29, 49.4335, 49.4289) * CHOOSE(CONTROL!$C$12, $D$11, 100%, $F$11)</f>
        <v>39.744534000000002</v>
      </c>
      <c r="J1019" s="4">
        <f>CHOOSE( CONTROL!$C$29, 49.3572, 49.3527) * CHOOSE(CONTROL!$C$12, $D$11, 100%, $F$11)</f>
        <v>39.683188800000003</v>
      </c>
      <c r="K1019" s="4"/>
      <c r="L1019" s="9">
        <v>29.520499999999998</v>
      </c>
      <c r="M1019" s="9">
        <v>12.063700000000001</v>
      </c>
      <c r="N1019" s="9">
        <v>4.9444999999999997</v>
      </c>
      <c r="O1019" s="9">
        <v>0.37459999999999999</v>
      </c>
      <c r="P1019" s="9">
        <v>1.2192000000000001</v>
      </c>
      <c r="Q1019" s="9">
        <v>19.688099999999999</v>
      </c>
      <c r="R1019" s="9"/>
      <c r="S1019" s="11"/>
    </row>
    <row r="1020" spans="1:19" ht="15.75">
      <c r="A1020" s="13">
        <v>72928</v>
      </c>
      <c r="B1020" s="8">
        <f>CHOOSE( CONTROL!$C$29, 47.5394, 47.5347) * CHOOSE(CONTROL!$C$12, $D$11, 100%, $F$11)</f>
        <v>38.2216776</v>
      </c>
      <c r="C1020" s="8">
        <f>CHOOSE( CONTROL!$C$29, 47.5498, 47.5451) * CHOOSE(CONTROL!$C$12, $D$11, 100%, $F$11)</f>
        <v>38.2300392</v>
      </c>
      <c r="D1020" s="8">
        <f>CHOOSE( CONTROL!$C$29, 47.5447, 47.54) * CHOOSE( CONTROL!$C$12, $D$11, 100%, $F$11)</f>
        <v>38.225938800000002</v>
      </c>
      <c r="E1020" s="12">
        <f>CHOOSE( CONTROL!$C$29, 47.545, 47.5403) * CHOOSE( CONTROL!$C$12, $D$11, 100%, $F$11)</f>
        <v>38.226180000000006</v>
      </c>
      <c r="F1020" s="4">
        <f>CHOOSE( CONTROL!$C$29, 48.5362, 48.5315) * CHOOSE(CONTROL!$C$12, $D$11, 100%, $F$11)</f>
        <v>39.023104800000006</v>
      </c>
      <c r="G1020" s="8">
        <f>CHOOSE( CONTROL!$C$29, 46.3296, 46.3251) * CHOOSE( CONTROL!$C$12, $D$11, 100%, $F$11)</f>
        <v>37.248998400000005</v>
      </c>
      <c r="H1020" s="4">
        <f>CHOOSE( CONTROL!$C$29, 47.2355, 47.2309) * CHOOSE(CONTROL!$C$12, $D$11, 100%, $F$11)</f>
        <v>37.977342000000007</v>
      </c>
      <c r="I1020" s="8">
        <f>CHOOSE( CONTROL!$C$29, 45.6265, 45.622) * CHOOSE(CONTROL!$C$12, $D$11, 100%, $F$11)</f>
        <v>36.683706000000001</v>
      </c>
      <c r="J1020" s="4">
        <f>CHOOSE( CONTROL!$C$29, 45.5475, 45.543) * CHOOSE(CONTROL!$C$12, $D$11, 100%, $F$11)</f>
        <v>36.620190000000001</v>
      </c>
      <c r="K1020" s="4"/>
      <c r="L1020" s="9">
        <v>29.520499999999998</v>
      </c>
      <c r="M1020" s="9">
        <v>12.063700000000001</v>
      </c>
      <c r="N1020" s="9">
        <v>4.9444999999999997</v>
      </c>
      <c r="O1020" s="9">
        <v>0.37459999999999999</v>
      </c>
      <c r="P1020" s="9">
        <v>1.2192000000000001</v>
      </c>
      <c r="Q1020" s="9">
        <v>19.688099999999999</v>
      </c>
      <c r="R1020" s="9"/>
      <c r="S1020" s="11"/>
    </row>
    <row r="1021" spans="1:19" ht="15.75">
      <c r="A1021" s="13">
        <v>72958</v>
      </c>
      <c r="B1021" s="8">
        <f>CHOOSE( CONTROL!$C$29, 46.5438, 46.5391) * CHOOSE(CONTROL!$C$12, $D$11, 100%, $F$11)</f>
        <v>37.421215199999999</v>
      </c>
      <c r="C1021" s="8">
        <f>CHOOSE( CONTROL!$C$29, 46.5542, 46.5495) * CHOOSE(CONTROL!$C$12, $D$11, 100%, $F$11)</f>
        <v>37.429576800000007</v>
      </c>
      <c r="D1021" s="8">
        <f>CHOOSE( CONTROL!$C$29, 46.5449, 46.5402) * CHOOSE( CONTROL!$C$12, $D$11, 100%, $F$11)</f>
        <v>37.422099600000003</v>
      </c>
      <c r="E1021" s="12">
        <f>CHOOSE( CONTROL!$C$29, 46.5467, 46.542) * CHOOSE( CONTROL!$C$12, $D$11, 100%, $F$11)</f>
        <v>37.423546800000004</v>
      </c>
      <c r="F1021" s="4">
        <f>CHOOSE( CONTROL!$C$29, 47.5328, 47.5281) * CHOOSE(CONTROL!$C$12, $D$11, 100%, $F$11)</f>
        <v>38.216371200000005</v>
      </c>
      <c r="G1021" s="8">
        <f>CHOOSE( CONTROL!$C$29, 45.3579, 45.3533) * CHOOSE( CONTROL!$C$12, $D$11, 100%, $F$11)</f>
        <v>36.4677516</v>
      </c>
      <c r="H1021" s="4">
        <f>CHOOSE( CONTROL!$C$29, 46.2574, 46.2528) * CHOOSE(CONTROL!$C$12, $D$11, 100%, $F$11)</f>
        <v>37.190949600000003</v>
      </c>
      <c r="I1021" s="8">
        <f>CHOOSE( CONTROL!$C$29, 44.6734, 44.6689) * CHOOSE(CONTROL!$C$12, $D$11, 100%, $F$11)</f>
        <v>35.917413600000003</v>
      </c>
      <c r="J1021" s="4">
        <f>CHOOSE( CONTROL!$C$29, 44.5935, 44.589) * CHOOSE(CONTROL!$C$12, $D$11, 100%, $F$11)</f>
        <v>35.853174000000003</v>
      </c>
      <c r="K1021" s="4"/>
      <c r="L1021" s="9">
        <v>28.568200000000001</v>
      </c>
      <c r="M1021" s="9">
        <v>11.6745</v>
      </c>
      <c r="N1021" s="9">
        <v>4.7850000000000001</v>
      </c>
      <c r="O1021" s="9">
        <v>0.36249999999999999</v>
      </c>
      <c r="P1021" s="9">
        <v>1.1798</v>
      </c>
      <c r="Q1021" s="9">
        <v>19.053000000000001</v>
      </c>
      <c r="R1021" s="9"/>
      <c r="S1021" s="11"/>
    </row>
    <row r="1022" spans="1:19" ht="15.75">
      <c r="A1022" s="13">
        <v>72989</v>
      </c>
      <c r="B1022" s="8">
        <f>48.6063 * CHOOSE(CONTROL!$C$12, $D$11, 100%, $F$11)</f>
        <v>39.079465200000001</v>
      </c>
      <c r="C1022" s="8">
        <f>48.6168 * CHOOSE(CONTROL!$C$12, $D$11, 100%, $F$11)</f>
        <v>39.087907200000004</v>
      </c>
      <c r="D1022" s="8">
        <f>48.6083 * CHOOSE( CONTROL!$C$12, $D$11, 100%, $F$11)</f>
        <v>39.081073199999999</v>
      </c>
      <c r="E1022" s="12">
        <f>48.61 * CHOOSE( CONTROL!$C$12, $D$11, 100%, $F$11)</f>
        <v>39.082440000000005</v>
      </c>
      <c r="F1022" s="4">
        <f>49.5953 * CHOOSE(CONTROL!$C$12, $D$11, 100%, $F$11)</f>
        <v>39.874621200000007</v>
      </c>
      <c r="G1022" s="8">
        <f>47.368 * CHOOSE( CONTROL!$C$12, $D$11, 100%, $F$11)</f>
        <v>38.083872000000007</v>
      </c>
      <c r="H1022" s="4">
        <f>48.2678 * CHOOSE(CONTROL!$C$12, $D$11, 100%, $F$11)</f>
        <v>38.807311200000001</v>
      </c>
      <c r="I1022" s="8">
        <f>46.6527 * CHOOSE(CONTROL!$C$12, $D$11, 100%, $F$11)</f>
        <v>37.508770800000008</v>
      </c>
      <c r="J1022" s="4">
        <f>46.5698 * CHOOSE(CONTROL!$C$12, $D$11, 100%, $F$11)</f>
        <v>37.4421192</v>
      </c>
      <c r="K1022" s="4"/>
      <c r="L1022" s="9">
        <v>28.921800000000001</v>
      </c>
      <c r="M1022" s="9">
        <v>12.063700000000001</v>
      </c>
      <c r="N1022" s="9">
        <v>4.9444999999999997</v>
      </c>
      <c r="O1022" s="9">
        <v>0.37459999999999999</v>
      </c>
      <c r="P1022" s="9">
        <v>1.2192000000000001</v>
      </c>
      <c r="Q1022" s="9">
        <v>19.688099999999999</v>
      </c>
      <c r="R1022" s="9"/>
      <c r="S1022" s="11"/>
    </row>
    <row r="1023" spans="1:19" ht="15.75">
      <c r="A1023" s="13">
        <v>73019</v>
      </c>
      <c r="B1023" s="8">
        <f>52.422 * CHOOSE(CONTROL!$C$12, $D$11, 100%, $F$11)</f>
        <v>42.147288000000003</v>
      </c>
      <c r="C1023" s="8">
        <f>52.4324 * CHOOSE(CONTROL!$C$12, $D$11, 100%, $F$11)</f>
        <v>42.155649600000004</v>
      </c>
      <c r="D1023" s="8">
        <f>52.4127 * CHOOSE( CONTROL!$C$12, $D$11, 100%, $F$11)</f>
        <v>42.139810800000006</v>
      </c>
      <c r="E1023" s="12">
        <f>52.4188 * CHOOSE( CONTROL!$C$12, $D$11, 100%, $F$11)</f>
        <v>42.1447152</v>
      </c>
      <c r="F1023" s="4">
        <f>53.4136 * CHOOSE(CONTROL!$C$12, $D$11, 100%, $F$11)</f>
        <v>42.944534400000002</v>
      </c>
      <c r="G1023" s="8">
        <f>51.1064 * CHOOSE( CONTROL!$C$12, $D$11, 100%, $F$11)</f>
        <v>41.089545600000001</v>
      </c>
      <c r="H1023" s="4">
        <f>51.9898 * CHOOSE(CONTROL!$C$12, $D$11, 100%, $F$11)</f>
        <v>41.799799200000002</v>
      </c>
      <c r="I1023" s="8">
        <f>50.3409 * CHOOSE(CONTROL!$C$12, $D$11, 100%, $F$11)</f>
        <v>40.4740836</v>
      </c>
      <c r="J1023" s="4">
        <f>50.226 * CHOOSE(CONTROL!$C$12, $D$11, 100%, $F$11)</f>
        <v>40.381703999999999</v>
      </c>
      <c r="K1023" s="4"/>
      <c r="L1023" s="9">
        <v>26.515499999999999</v>
      </c>
      <c r="M1023" s="9">
        <v>11.6745</v>
      </c>
      <c r="N1023" s="9">
        <v>4.7850000000000001</v>
      </c>
      <c r="O1023" s="9">
        <v>0.36249999999999999</v>
      </c>
      <c r="P1023" s="9">
        <v>1.2522</v>
      </c>
      <c r="Q1023" s="9">
        <v>19.053000000000001</v>
      </c>
      <c r="R1023" s="9"/>
      <c r="S1023" s="11"/>
    </row>
    <row r="1024" spans="1:19" ht="15.75">
      <c r="A1024" s="13">
        <v>73050</v>
      </c>
      <c r="B1024" s="8">
        <f>52.3266 * CHOOSE(CONTROL!$C$12, $D$11, 100%, $F$11)</f>
        <v>42.070586400000003</v>
      </c>
      <c r="C1024" s="8">
        <f>52.3371 * CHOOSE(CONTROL!$C$12, $D$11, 100%, $F$11)</f>
        <v>42.079028400000006</v>
      </c>
      <c r="D1024" s="8">
        <f>52.3192 * CHOOSE( CONTROL!$C$12, $D$11, 100%, $F$11)</f>
        <v>42.064636800000002</v>
      </c>
      <c r="E1024" s="12">
        <f>52.3246 * CHOOSE( CONTROL!$C$12, $D$11, 100%, $F$11)</f>
        <v>42.068978399999999</v>
      </c>
      <c r="F1024" s="4">
        <f>53.3182 * CHOOSE(CONTROL!$C$12, $D$11, 100%, $F$11)</f>
        <v>42.867832800000002</v>
      </c>
      <c r="G1024" s="8">
        <f>51.0149 * CHOOSE( CONTROL!$C$12, $D$11, 100%, $F$11)</f>
        <v>41.015979600000001</v>
      </c>
      <c r="H1024" s="4">
        <f>51.8968 * CHOOSE(CONTROL!$C$12, $D$11, 100%, $F$11)</f>
        <v>41.7250272</v>
      </c>
      <c r="I1024" s="8">
        <f>50.2564 * CHOOSE(CONTROL!$C$12, $D$11, 100%, $F$11)</f>
        <v>40.406145600000002</v>
      </c>
      <c r="J1024" s="4">
        <f>50.1346 * CHOOSE(CONTROL!$C$12, $D$11, 100%, $F$11)</f>
        <v>40.308218400000001</v>
      </c>
      <c r="K1024" s="4"/>
      <c r="L1024" s="9">
        <v>27.3993</v>
      </c>
      <c r="M1024" s="9">
        <v>12.063700000000001</v>
      </c>
      <c r="N1024" s="9">
        <v>4.9444999999999997</v>
      </c>
      <c r="O1024" s="9">
        <v>0.37459999999999999</v>
      </c>
      <c r="P1024" s="9">
        <v>1.2939000000000001</v>
      </c>
      <c r="Q1024" s="9">
        <v>19.688099999999999</v>
      </c>
      <c r="R1024" s="9"/>
      <c r="S1024" s="11"/>
    </row>
    <row r="1025" spans="1:19" ht="15.75">
      <c r="A1025" s="13">
        <v>73081</v>
      </c>
      <c r="B1025" s="8">
        <f>54.3263 * CHOOSE(CONTROL!$C$12, $D$11, 100%, $F$11)</f>
        <v>43.678345200000003</v>
      </c>
      <c r="C1025" s="8">
        <f>54.3368 * CHOOSE(CONTROL!$C$12, $D$11, 100%, $F$11)</f>
        <v>43.686787199999998</v>
      </c>
      <c r="D1025" s="8">
        <f>54.3344 * CHOOSE( CONTROL!$C$12, $D$11, 100%, $F$11)</f>
        <v>43.684857600000008</v>
      </c>
      <c r="E1025" s="12">
        <f>54.3342 * CHOOSE( CONTROL!$C$12, $D$11, 100%, $F$11)</f>
        <v>43.684696800000005</v>
      </c>
      <c r="F1025" s="4">
        <f>55.3492 * CHOOSE(CONTROL!$C$12, $D$11, 100%, $F$11)</f>
        <v>44.500756800000005</v>
      </c>
      <c r="G1025" s="8">
        <f>52.9832 * CHOOSE( CONTROL!$C$12, $D$11, 100%, $F$11)</f>
        <v>42.598492800000002</v>
      </c>
      <c r="H1025" s="4">
        <f>53.8766 * CHOOSE(CONTROL!$C$12, $D$11, 100%, $F$11)</f>
        <v>43.316786400000005</v>
      </c>
      <c r="I1025" s="8">
        <f>52.1854 * CHOOSE(CONTROL!$C$12, $D$11, 100%, $F$11)</f>
        <v>41.957061600000003</v>
      </c>
      <c r="J1025" s="4">
        <f>52.0507 * CHOOSE(CONTROL!$C$12, $D$11, 100%, $F$11)</f>
        <v>41.848762800000003</v>
      </c>
      <c r="K1025" s="4"/>
      <c r="L1025" s="9">
        <v>27.3993</v>
      </c>
      <c r="M1025" s="9">
        <v>12.063700000000001</v>
      </c>
      <c r="N1025" s="9">
        <v>4.9444999999999997</v>
      </c>
      <c r="O1025" s="9">
        <v>0.37459999999999999</v>
      </c>
      <c r="P1025" s="9">
        <v>1.2939000000000001</v>
      </c>
      <c r="Q1025" s="9">
        <v>19.688099999999999</v>
      </c>
      <c r="R1025" s="9"/>
      <c r="S1025" s="11"/>
    </row>
    <row r="1026" spans="1:19" ht="15.75">
      <c r="A1026" s="13">
        <v>73109</v>
      </c>
      <c r="B1026" s="8">
        <f>50.8146 * CHOOSE(CONTROL!$C$12, $D$11, 100%, $F$11)</f>
        <v>40.854938400000002</v>
      </c>
      <c r="C1026" s="8">
        <f>50.825 * CHOOSE(CONTROL!$C$12, $D$11, 100%, $F$11)</f>
        <v>40.863300000000002</v>
      </c>
      <c r="D1026" s="8">
        <f>50.825 * CHOOSE( CONTROL!$C$12, $D$11, 100%, $F$11)</f>
        <v>40.863300000000002</v>
      </c>
      <c r="E1026" s="12">
        <f>50.8239 * CHOOSE( CONTROL!$C$12, $D$11, 100%, $F$11)</f>
        <v>40.862415600000006</v>
      </c>
      <c r="F1026" s="4">
        <f>51.8296 * CHOOSE(CONTROL!$C$12, $D$11, 100%, $F$11)</f>
        <v>41.670998400000002</v>
      </c>
      <c r="G1026" s="8">
        <f>49.5599 * CHOOSE( CONTROL!$C$12, $D$11, 100%, $F$11)</f>
        <v>39.8461596</v>
      </c>
      <c r="H1026" s="4">
        <f>50.4458 * CHOOSE(CONTROL!$C$12, $D$11, 100%, $F$11)</f>
        <v>40.5584232</v>
      </c>
      <c r="I1026" s="8">
        <f>48.8078 * CHOOSE(CONTROL!$C$12, $D$11, 100%, $F$11)</f>
        <v>39.241471199999999</v>
      </c>
      <c r="J1026" s="4">
        <f>48.6857 * CHOOSE(CONTROL!$C$12, $D$11, 100%, $F$11)</f>
        <v>39.143302800000001</v>
      </c>
      <c r="K1026" s="4"/>
      <c r="L1026" s="9">
        <v>24.747800000000002</v>
      </c>
      <c r="M1026" s="9">
        <v>10.8962</v>
      </c>
      <c r="N1026" s="9">
        <v>4.4660000000000002</v>
      </c>
      <c r="O1026" s="9">
        <v>0.33829999999999999</v>
      </c>
      <c r="P1026" s="9">
        <v>1.1687000000000001</v>
      </c>
      <c r="Q1026" s="9">
        <v>17.782800000000002</v>
      </c>
      <c r="R1026" s="9"/>
      <c r="S1026" s="11"/>
    </row>
    <row r="1027" spans="1:19" ht="15.75">
      <c r="A1027" s="13">
        <v>73140</v>
      </c>
      <c r="B1027" s="8">
        <f>49.7329 * CHOOSE(CONTROL!$C$12, $D$11, 100%, $F$11)</f>
        <v>39.985251600000005</v>
      </c>
      <c r="C1027" s="8">
        <f>49.7434 * CHOOSE(CONTROL!$C$12, $D$11, 100%, $F$11)</f>
        <v>39.9936936</v>
      </c>
      <c r="D1027" s="8">
        <f>49.7232 * CHOOSE( CONTROL!$C$12, $D$11, 100%, $F$11)</f>
        <v>39.977452800000002</v>
      </c>
      <c r="E1027" s="12">
        <f>49.7295 * CHOOSE( CONTROL!$C$12, $D$11, 100%, $F$11)</f>
        <v>39.982518000000006</v>
      </c>
      <c r="F1027" s="4">
        <f>50.7318 * CHOOSE(CONTROL!$C$12, $D$11, 100%, $F$11)</f>
        <v>40.788367200000003</v>
      </c>
      <c r="G1027" s="8">
        <f>48.4851 * CHOOSE( CONTROL!$C$12, $D$11, 100%, $F$11)</f>
        <v>38.982020400000003</v>
      </c>
      <c r="H1027" s="4">
        <f>49.3757 * CHOOSE(CONTROL!$C$12, $D$11, 100%, $F$11)</f>
        <v>39.698062800000002</v>
      </c>
      <c r="I1027" s="8">
        <f>47.7313 * CHOOSE(CONTROL!$C$12, $D$11, 100%, $F$11)</f>
        <v>38.375965200000003</v>
      </c>
      <c r="J1027" s="4">
        <f>47.6493 * CHOOSE(CONTROL!$C$12, $D$11, 100%, $F$11)</f>
        <v>38.310037199999996</v>
      </c>
      <c r="K1027" s="4"/>
      <c r="L1027" s="9">
        <v>27.3993</v>
      </c>
      <c r="M1027" s="9">
        <v>12.063700000000001</v>
      </c>
      <c r="N1027" s="9">
        <v>4.9444999999999997</v>
      </c>
      <c r="O1027" s="9">
        <v>0.37459999999999999</v>
      </c>
      <c r="P1027" s="9">
        <v>1.2939000000000001</v>
      </c>
      <c r="Q1027" s="9">
        <v>19.688099999999999</v>
      </c>
      <c r="R1027" s="9"/>
      <c r="S1027" s="11"/>
    </row>
    <row r="1028" spans="1:19" ht="15.75">
      <c r="A1028" s="13">
        <v>73170</v>
      </c>
      <c r="B1028" s="8">
        <f>50.4887 * CHOOSE(CONTROL!$C$12, $D$11, 100%, $F$11)</f>
        <v>40.592914800000003</v>
      </c>
      <c r="C1028" s="8">
        <f>50.4992 * CHOOSE(CONTROL!$C$12, $D$11, 100%, $F$11)</f>
        <v>40.601356800000005</v>
      </c>
      <c r="D1028" s="8">
        <f>50.5024 * CHOOSE( CONTROL!$C$12, $D$11, 100%, $F$11)</f>
        <v>40.603929600000001</v>
      </c>
      <c r="E1028" s="12">
        <f>50.5001 * CHOOSE( CONTROL!$C$12, $D$11, 100%, $F$11)</f>
        <v>40.602080400000006</v>
      </c>
      <c r="F1028" s="4">
        <f>51.496 * CHOOSE(CONTROL!$C$12, $D$11, 100%, $F$11)</f>
        <v>41.402784000000004</v>
      </c>
      <c r="G1028" s="8">
        <f>49.2097 * CHOOSE( CONTROL!$C$12, $D$11, 100%, $F$11)</f>
        <v>39.564598799999999</v>
      </c>
      <c r="H1028" s="4">
        <f>50.1206 * CHOOSE(CONTROL!$C$12, $D$11, 100%, $F$11)</f>
        <v>40.296962400000005</v>
      </c>
      <c r="I1028" s="8">
        <f>48.446 * CHOOSE(CONTROL!$C$12, $D$11, 100%, $F$11)</f>
        <v>38.950583999999999</v>
      </c>
      <c r="J1028" s="4">
        <f>48.3736 * CHOOSE(CONTROL!$C$12, $D$11, 100%, $F$11)</f>
        <v>38.892374400000008</v>
      </c>
      <c r="K1028" s="4"/>
      <c r="L1028" s="9">
        <v>27.988800000000001</v>
      </c>
      <c r="M1028" s="9">
        <v>11.6745</v>
      </c>
      <c r="N1028" s="9">
        <v>4.7850000000000001</v>
      </c>
      <c r="O1028" s="9">
        <v>0.36249999999999999</v>
      </c>
      <c r="P1028" s="9">
        <v>1.1798</v>
      </c>
      <c r="Q1028" s="9">
        <v>19.053000000000001</v>
      </c>
      <c r="R1028" s="9"/>
      <c r="S1028" s="11"/>
    </row>
    <row r="1029" spans="1:19" ht="15.75">
      <c r="A1029" s="13">
        <v>73201</v>
      </c>
      <c r="B1029" s="8">
        <f>CHOOSE( CONTROL!$C$29, 51.8386, 51.8339) * CHOOSE(CONTROL!$C$12, $D$11, 100%, $F$11)</f>
        <v>41.678234400000001</v>
      </c>
      <c r="C1029" s="8">
        <f>CHOOSE( CONTROL!$C$29, 51.8491, 51.8444) * CHOOSE(CONTROL!$C$12, $D$11, 100%, $F$11)</f>
        <v>41.686676400000003</v>
      </c>
      <c r="D1029" s="8">
        <f>CHOOSE( CONTROL!$C$29, 51.827, 51.8223) * CHOOSE( CONTROL!$C$12, $D$11, 100%, $F$11)</f>
        <v>41.668908000000002</v>
      </c>
      <c r="E1029" s="12">
        <f>CHOOSE( CONTROL!$C$29, 51.8334, 51.8287) * CHOOSE( CONTROL!$C$12, $D$11, 100%, $F$11)</f>
        <v>41.674053600000001</v>
      </c>
      <c r="F1029" s="4">
        <f>CHOOSE( CONTROL!$C$29, 52.8135, 52.8088) * CHOOSE(CONTROL!$C$12, $D$11, 100%, $F$11)</f>
        <v>42.462054000000002</v>
      </c>
      <c r="G1029" s="8">
        <f>CHOOSE( CONTROL!$C$29, 50.5068, 50.5023) * CHOOSE( CONTROL!$C$12, $D$11, 100%, $F$11)</f>
        <v>40.607467200000002</v>
      </c>
      <c r="H1029" s="4">
        <f>CHOOSE( CONTROL!$C$29, 51.4049, 51.4003) * CHOOSE(CONTROL!$C$12, $D$11, 100%, $F$11)</f>
        <v>41.329539600000004</v>
      </c>
      <c r="I1029" s="8">
        <f>CHOOSE( CONTROL!$C$29, 49.7186, 49.714) * CHOOSE(CONTROL!$C$12, $D$11, 100%, $F$11)</f>
        <v>39.973754400000004</v>
      </c>
      <c r="J1029" s="4">
        <f>CHOOSE( CONTROL!$C$29, 49.667, 49.6625) * CHOOSE(CONTROL!$C$12, $D$11, 100%, $F$11)</f>
        <v>39.932268000000001</v>
      </c>
      <c r="K1029" s="4"/>
      <c r="L1029" s="9">
        <v>29.520499999999998</v>
      </c>
      <c r="M1029" s="9">
        <v>12.063700000000001</v>
      </c>
      <c r="N1029" s="9">
        <v>4.9444999999999997</v>
      </c>
      <c r="O1029" s="9">
        <v>0.37459999999999999</v>
      </c>
      <c r="P1029" s="9">
        <v>1.2192000000000001</v>
      </c>
      <c r="Q1029" s="9">
        <v>19.688099999999999</v>
      </c>
      <c r="R1029" s="9"/>
      <c r="S1029" s="11"/>
    </row>
    <row r="1030" spans="1:19" ht="15.75">
      <c r="A1030" s="13">
        <v>73231</v>
      </c>
      <c r="B1030" s="8">
        <f>CHOOSE( CONTROL!$C$29, 51.0053, 51.0006) * CHOOSE(CONTROL!$C$12, $D$11, 100%, $F$11)</f>
        <v>41.0082612</v>
      </c>
      <c r="C1030" s="8">
        <f>CHOOSE( CONTROL!$C$29, 51.0158, 51.0111) * CHOOSE(CONTROL!$C$12, $D$11, 100%, $F$11)</f>
        <v>41.016703200000002</v>
      </c>
      <c r="D1030" s="8">
        <f>CHOOSE( CONTROL!$C$29, 50.9881, 50.9834) * CHOOSE( CONTROL!$C$12, $D$11, 100%, $F$11)</f>
        <v>40.994432400000008</v>
      </c>
      <c r="E1030" s="12">
        <f>CHOOSE( CONTROL!$C$29, 50.9965, 50.9918) * CHOOSE( CONTROL!$C$12, $D$11, 100%, $F$11)</f>
        <v>41.001185999999997</v>
      </c>
      <c r="F1030" s="4">
        <f>CHOOSE( CONTROL!$C$29, 51.9698, 51.9651) * CHOOSE(CONTROL!$C$12, $D$11, 100%, $F$11)</f>
        <v>41.7837192</v>
      </c>
      <c r="G1030" s="8">
        <f>CHOOSE( CONTROL!$C$29, 49.6933, 49.6887) * CHOOSE( CONTROL!$C$12, $D$11, 100%, $F$11)</f>
        <v>39.9534132</v>
      </c>
      <c r="H1030" s="4">
        <f>CHOOSE( CONTROL!$C$29, 50.5824, 50.5778) * CHOOSE(CONTROL!$C$12, $D$11, 100%, $F$11)</f>
        <v>40.668249600000003</v>
      </c>
      <c r="I1030" s="8">
        <f>CHOOSE( CONTROL!$C$29, 48.9219, 48.9174) * CHOOSE(CONTROL!$C$12, $D$11, 100%, $F$11)</f>
        <v>39.333207600000001</v>
      </c>
      <c r="J1030" s="4">
        <f>CHOOSE( CONTROL!$C$29, 48.8686, 48.864) * CHOOSE(CONTROL!$C$12, $D$11, 100%, $F$11)</f>
        <v>39.290354400000005</v>
      </c>
      <c r="K1030" s="4"/>
      <c r="L1030" s="9">
        <v>28.568200000000001</v>
      </c>
      <c r="M1030" s="9">
        <v>11.6745</v>
      </c>
      <c r="N1030" s="9">
        <v>4.7850000000000001</v>
      </c>
      <c r="O1030" s="9">
        <v>0.36249999999999999</v>
      </c>
      <c r="P1030" s="9">
        <v>1.1798</v>
      </c>
      <c r="Q1030" s="9">
        <v>19.053000000000001</v>
      </c>
      <c r="R1030" s="9"/>
      <c r="S1030" s="11"/>
    </row>
    <row r="1031" spans="1:19" ht="15.75">
      <c r="A1031" s="13">
        <v>73262</v>
      </c>
      <c r="B1031" s="8">
        <f>CHOOSE( CONTROL!$C$29, 53.1997, 53.195) * CHOOSE(CONTROL!$C$12, $D$11, 100%, $F$11)</f>
        <v>42.772558800000006</v>
      </c>
      <c r="C1031" s="8">
        <f>CHOOSE( CONTROL!$C$29, 53.2101, 53.2054) * CHOOSE(CONTROL!$C$12, $D$11, 100%, $F$11)</f>
        <v>42.780920399999999</v>
      </c>
      <c r="D1031" s="8">
        <f>CHOOSE( CONTROL!$C$29, 53.2017, 53.197) * CHOOSE( CONTROL!$C$12, $D$11, 100%, $F$11)</f>
        <v>42.774166800000003</v>
      </c>
      <c r="E1031" s="12">
        <f>CHOOSE( CONTROL!$C$29, 53.2032, 53.1985) * CHOOSE( CONTROL!$C$12, $D$11, 100%, $F$11)</f>
        <v>42.775372800000007</v>
      </c>
      <c r="F1031" s="4">
        <f>CHOOSE( CONTROL!$C$29, 54.1913, 54.1866) * CHOOSE(CONTROL!$C$12, $D$11, 100%, $F$11)</f>
        <v>43.569805200000005</v>
      </c>
      <c r="G1031" s="8">
        <f>CHOOSE( CONTROL!$C$29, 51.845, 51.8404) * CHOOSE( CONTROL!$C$12, $D$11, 100%, $F$11)</f>
        <v>41.68338</v>
      </c>
      <c r="H1031" s="4">
        <f>CHOOSE( CONTROL!$C$29, 52.7479, 52.7433) * CHOOSE(CONTROL!$C$12, $D$11, 100%, $F$11)</f>
        <v>42.409311600000002</v>
      </c>
      <c r="I1031" s="8">
        <f>CHOOSE( CONTROL!$C$29, 51.0483, 51.0438) * CHOOSE(CONTROL!$C$12, $D$11, 100%, $F$11)</f>
        <v>41.042833200000004</v>
      </c>
      <c r="J1031" s="4">
        <f>CHOOSE( CONTROL!$C$29, 50.9712, 50.9667) * CHOOSE(CONTROL!$C$12, $D$11, 100%, $F$11)</f>
        <v>40.980844800000007</v>
      </c>
      <c r="K1031" s="4"/>
      <c r="L1031" s="9">
        <v>29.520499999999998</v>
      </c>
      <c r="M1031" s="9">
        <v>12.063700000000001</v>
      </c>
      <c r="N1031" s="9">
        <v>4.9444999999999997</v>
      </c>
      <c r="O1031" s="9">
        <v>0.37459999999999999</v>
      </c>
      <c r="P1031" s="9">
        <v>1.2192000000000001</v>
      </c>
      <c r="Q1031" s="9">
        <v>19.688099999999999</v>
      </c>
      <c r="R1031" s="9"/>
      <c r="S1031" s="11"/>
    </row>
    <row r="1032" spans="1:19" ht="15.75">
      <c r="A1032" s="13">
        <v>73293</v>
      </c>
      <c r="B1032" s="8">
        <f>CHOOSE( CONTROL!$C$29, 49.0938, 49.0891) * CHOOSE(CONTROL!$C$12, $D$11, 100%, $F$11)</f>
        <v>39.471415200000003</v>
      </c>
      <c r="C1032" s="8">
        <f>CHOOSE( CONTROL!$C$29, 49.1042, 49.0995) * CHOOSE(CONTROL!$C$12, $D$11, 100%, $F$11)</f>
        <v>39.479776800000003</v>
      </c>
      <c r="D1032" s="8">
        <f>CHOOSE( CONTROL!$C$29, 49.0991, 49.0944) * CHOOSE( CONTROL!$C$12, $D$11, 100%, $F$11)</f>
        <v>39.475676400000005</v>
      </c>
      <c r="E1032" s="12">
        <f>CHOOSE( CONTROL!$C$29, 49.0994, 49.0947) * CHOOSE( CONTROL!$C$12, $D$11, 100%, $F$11)</f>
        <v>39.475917600000002</v>
      </c>
      <c r="F1032" s="4">
        <f>CHOOSE( CONTROL!$C$29, 50.0906, 50.0859) * CHOOSE(CONTROL!$C$12, $D$11, 100%, $F$11)</f>
        <v>40.272842400000002</v>
      </c>
      <c r="G1032" s="8">
        <f>CHOOSE( CONTROL!$C$29, 47.8448, 47.8402) * CHOOSE( CONTROL!$C$12, $D$11, 100%, $F$11)</f>
        <v>38.467219200000002</v>
      </c>
      <c r="H1032" s="4">
        <f>CHOOSE( CONTROL!$C$29, 48.7507, 48.7461) * CHOOSE(CONTROL!$C$12, $D$11, 100%, $F$11)</f>
        <v>39.195562800000005</v>
      </c>
      <c r="I1032" s="8">
        <f>CHOOSE( CONTROL!$C$29, 47.1167, 47.1122) * CHOOSE(CONTROL!$C$12, $D$11, 100%, $F$11)</f>
        <v>37.881826800000006</v>
      </c>
      <c r="J1032" s="4">
        <f>CHOOSE( CONTROL!$C$29, 47.0369, 47.0324) * CHOOSE(CONTROL!$C$12, $D$11, 100%, $F$11)</f>
        <v>37.817667600000007</v>
      </c>
      <c r="K1032" s="4"/>
      <c r="L1032" s="9">
        <v>29.520499999999998</v>
      </c>
      <c r="M1032" s="9">
        <v>12.063700000000001</v>
      </c>
      <c r="N1032" s="9">
        <v>4.9444999999999997</v>
      </c>
      <c r="O1032" s="9">
        <v>0.37459999999999999</v>
      </c>
      <c r="P1032" s="9">
        <v>1.2192000000000001</v>
      </c>
      <c r="Q1032" s="9">
        <v>19.688099999999999</v>
      </c>
      <c r="R1032" s="9"/>
      <c r="S1032" s="11"/>
    </row>
    <row r="1033" spans="1:19" ht="15.75">
      <c r="A1033" s="13">
        <v>73323</v>
      </c>
      <c r="B1033" s="8">
        <f>CHOOSE( CONTROL!$C$29, 48.0657, 48.0609) * CHOOSE(CONTROL!$C$12, $D$11, 100%, $F$11)</f>
        <v>38.6448228</v>
      </c>
      <c r="C1033" s="8">
        <f>CHOOSE( CONTROL!$C$29, 48.0761, 48.0714) * CHOOSE(CONTROL!$C$12, $D$11, 100%, $F$11)</f>
        <v>38.653184400000001</v>
      </c>
      <c r="D1033" s="8">
        <f>CHOOSE( CONTROL!$C$29, 48.0668, 48.0621) * CHOOSE( CONTROL!$C$12, $D$11, 100%, $F$11)</f>
        <v>38.645707200000004</v>
      </c>
      <c r="E1033" s="12">
        <f>CHOOSE( CONTROL!$C$29, 48.0686, 48.0639) * CHOOSE( CONTROL!$C$12, $D$11, 100%, $F$11)</f>
        <v>38.647154400000005</v>
      </c>
      <c r="F1033" s="4">
        <f>CHOOSE( CONTROL!$C$29, 49.0546, 49.0499) * CHOOSE(CONTROL!$C$12, $D$11, 100%, $F$11)</f>
        <v>39.439898400000004</v>
      </c>
      <c r="G1033" s="8">
        <f>CHOOSE( CONTROL!$C$29, 46.8413, 46.8367) * CHOOSE( CONTROL!$C$12, $D$11, 100%, $F$11)</f>
        <v>37.6604052</v>
      </c>
      <c r="H1033" s="4">
        <f>CHOOSE( CONTROL!$C$29, 47.7408, 47.7362) * CHOOSE(CONTROL!$C$12, $D$11, 100%, $F$11)</f>
        <v>38.383603200000003</v>
      </c>
      <c r="I1033" s="8">
        <f>CHOOSE( CONTROL!$C$29, 46.1323, 46.1278) * CHOOSE(CONTROL!$C$12, $D$11, 100%, $F$11)</f>
        <v>37.090369200000005</v>
      </c>
      <c r="J1033" s="4">
        <f>CHOOSE( CONTROL!$C$29, 46.0518, 46.0472) * CHOOSE(CONTROL!$C$12, $D$11, 100%, $F$11)</f>
        <v>37.025647200000002</v>
      </c>
      <c r="K1033" s="4"/>
      <c r="L1033" s="9">
        <v>28.568200000000001</v>
      </c>
      <c r="M1033" s="9">
        <v>11.6745</v>
      </c>
      <c r="N1033" s="9">
        <v>4.7850000000000001</v>
      </c>
      <c r="O1033" s="9">
        <v>0.36249999999999999</v>
      </c>
      <c r="P1033" s="9">
        <v>1.1798</v>
      </c>
      <c r="Q1033" s="9">
        <v>19.053000000000001</v>
      </c>
      <c r="R1033" s="9"/>
      <c r="S1033" s="11"/>
    </row>
    <row r="1034" spans="1:19" ht="15.75">
      <c r="A1034" s="13">
        <v>73354</v>
      </c>
      <c r="B1034" s="8">
        <f>50.1958 * CHOOSE(CONTROL!$C$12, $D$11, 100%, $F$11)</f>
        <v>40.357423199999999</v>
      </c>
      <c r="C1034" s="8">
        <f>50.2062 * CHOOSE(CONTROL!$C$12, $D$11, 100%, $F$11)</f>
        <v>40.365784800000007</v>
      </c>
      <c r="D1034" s="8">
        <f>50.1978 * CHOOSE( CONTROL!$C$12, $D$11, 100%, $F$11)</f>
        <v>40.359031200000004</v>
      </c>
      <c r="E1034" s="12">
        <f>50.1995 * CHOOSE( CONTROL!$C$12, $D$11, 100%, $F$11)</f>
        <v>40.360398000000004</v>
      </c>
      <c r="F1034" s="4">
        <f>51.1848 * CHOOSE(CONTROL!$C$12, $D$11, 100%, $F$11)</f>
        <v>41.152579200000005</v>
      </c>
      <c r="G1034" s="8">
        <f>48.9173 * CHOOSE( CONTROL!$C$12, $D$11, 100%, $F$11)</f>
        <v>39.329509199999997</v>
      </c>
      <c r="H1034" s="4">
        <f>49.8172 * CHOOSE(CONTROL!$C$12, $D$11, 100%, $F$11)</f>
        <v>40.0530288</v>
      </c>
      <c r="I1034" s="8">
        <f>48.1765 * CHOOSE(CONTROL!$C$12, $D$11, 100%, $F$11)</f>
        <v>38.733905999999998</v>
      </c>
      <c r="J1034" s="4">
        <f>48.0928 * CHOOSE(CONTROL!$C$12, $D$11, 100%, $F$11)</f>
        <v>38.666611199999998</v>
      </c>
      <c r="K1034" s="4"/>
      <c r="L1034" s="9">
        <v>28.921800000000001</v>
      </c>
      <c r="M1034" s="9">
        <v>12.063700000000001</v>
      </c>
      <c r="N1034" s="9">
        <v>4.9444999999999997</v>
      </c>
      <c r="O1034" s="9">
        <v>0.37459999999999999</v>
      </c>
      <c r="P1034" s="9">
        <v>1.2192000000000001</v>
      </c>
      <c r="Q1034" s="9">
        <v>19.688099999999999</v>
      </c>
      <c r="R1034" s="9"/>
      <c r="S1034" s="11"/>
    </row>
    <row r="1035" spans="1:19" ht="15.75">
      <c r="A1035" s="13">
        <v>73384</v>
      </c>
      <c r="B1035" s="8">
        <f>54.1362 * CHOOSE(CONTROL!$C$12, $D$11, 100%, $F$11)</f>
        <v>43.525504800000007</v>
      </c>
      <c r="C1035" s="8">
        <f>54.1466 * CHOOSE(CONTROL!$C$12, $D$11, 100%, $F$11)</f>
        <v>43.533866400000001</v>
      </c>
      <c r="D1035" s="8">
        <f>54.1269 * CHOOSE( CONTROL!$C$12, $D$11, 100%, $F$11)</f>
        <v>43.518027600000003</v>
      </c>
      <c r="E1035" s="12">
        <f>54.133 * CHOOSE( CONTROL!$C$12, $D$11, 100%, $F$11)</f>
        <v>43.522932000000004</v>
      </c>
      <c r="F1035" s="4">
        <f>55.1278 * CHOOSE(CONTROL!$C$12, $D$11, 100%, $F$11)</f>
        <v>44.322751200000006</v>
      </c>
      <c r="G1035" s="8">
        <f>52.7774 * CHOOSE( CONTROL!$C$12, $D$11, 100%, $F$11)</f>
        <v>42.433029600000005</v>
      </c>
      <c r="H1035" s="4">
        <f>53.6607 * CHOOSE(CONTROL!$C$12, $D$11, 100%, $F$11)</f>
        <v>43.143202800000005</v>
      </c>
      <c r="I1035" s="8">
        <f>51.9843 * CHOOSE(CONTROL!$C$12, $D$11, 100%, $F$11)</f>
        <v>41.795377199999997</v>
      </c>
      <c r="J1035" s="4">
        <f>51.8686 * CHOOSE(CONTROL!$C$12, $D$11, 100%, $F$11)</f>
        <v>41.702354400000004</v>
      </c>
      <c r="K1035" s="4"/>
      <c r="L1035" s="9">
        <v>26.515499999999999</v>
      </c>
      <c r="M1035" s="9">
        <v>11.6745</v>
      </c>
      <c r="N1035" s="9">
        <v>4.7850000000000001</v>
      </c>
      <c r="O1035" s="9">
        <v>0.36249999999999999</v>
      </c>
      <c r="P1035" s="9">
        <v>1.2522</v>
      </c>
      <c r="Q1035" s="9">
        <v>19.053000000000001</v>
      </c>
      <c r="R1035" s="9"/>
      <c r="S1035" s="11"/>
    </row>
    <row r="1036" spans="1:19" ht="15.75">
      <c r="A1036" s="13">
        <v>73415</v>
      </c>
      <c r="B1036" s="8">
        <f>54.0378 * CHOOSE(CONTROL!$C$12, $D$11, 100%, $F$11)</f>
        <v>43.446391200000001</v>
      </c>
      <c r="C1036" s="8">
        <f>54.0482 * CHOOSE(CONTROL!$C$12, $D$11, 100%, $F$11)</f>
        <v>43.454752800000001</v>
      </c>
      <c r="D1036" s="8">
        <f>54.0304 * CHOOSE( CONTROL!$C$12, $D$11, 100%, $F$11)</f>
        <v>43.4404416</v>
      </c>
      <c r="E1036" s="12">
        <f>54.0358 * CHOOSE( CONTROL!$C$12, $D$11, 100%, $F$11)</f>
        <v>43.444783200000003</v>
      </c>
      <c r="F1036" s="4">
        <f>55.0293 * CHOOSE(CONTROL!$C$12, $D$11, 100%, $F$11)</f>
        <v>44.243557200000005</v>
      </c>
      <c r="G1036" s="8">
        <f>52.6829 * CHOOSE( CONTROL!$C$12, $D$11, 100%, $F$11)</f>
        <v>42.357051599999998</v>
      </c>
      <c r="H1036" s="4">
        <f>53.5648 * CHOOSE(CONTROL!$C$12, $D$11, 100%, $F$11)</f>
        <v>43.066099200000004</v>
      </c>
      <c r="I1036" s="8">
        <f>51.8968 * CHOOSE(CONTROL!$C$12, $D$11, 100%, $F$11)</f>
        <v>41.7250272</v>
      </c>
      <c r="J1036" s="4">
        <f>51.7742 * CHOOSE(CONTROL!$C$12, $D$11, 100%, $F$11)</f>
        <v>41.6264568</v>
      </c>
      <c r="K1036" s="4"/>
      <c r="L1036" s="9">
        <v>27.3993</v>
      </c>
      <c r="M1036" s="9">
        <v>12.063700000000001</v>
      </c>
      <c r="N1036" s="9">
        <v>4.9444999999999997</v>
      </c>
      <c r="O1036" s="9">
        <v>0.37459999999999999</v>
      </c>
      <c r="P1036" s="9">
        <v>1.2939000000000001</v>
      </c>
      <c r="Q1036" s="9">
        <v>19.688099999999999</v>
      </c>
      <c r="R1036" s="9"/>
      <c r="S1036" s="11"/>
    </row>
    <row r="1037" spans="1:19">
      <c r="A1037" s="10"/>
      <c r="F1037" s="1"/>
      <c r="H1037" s="1"/>
      <c r="Q1037" s="9"/>
    </row>
    <row r="1038" spans="1:19" ht="15" customHeight="1">
      <c r="A1038" s="3">
        <v>2016</v>
      </c>
      <c r="B1038" s="8">
        <f t="shared" ref="B1038:H1038" si="1">AVERAGE(B17:B28)</f>
        <v>1.9781549000000005</v>
      </c>
      <c r="C1038" s="8">
        <f t="shared" si="1"/>
        <v>1.9865433000000001</v>
      </c>
      <c r="D1038" s="8">
        <f t="shared" si="1"/>
        <v>1.9731098000000002</v>
      </c>
      <c r="E1038" s="8">
        <f t="shared" si="1"/>
        <v>1.9766406999999999</v>
      </c>
      <c r="F1038" s="4">
        <f t="shared" si="1"/>
        <v>2.7776659000000006</v>
      </c>
      <c r="G1038" s="8">
        <f t="shared" si="1"/>
        <v>1.9267994000000002</v>
      </c>
      <c r="H1038" s="4">
        <f t="shared" si="1"/>
        <v>2.6462989999999995</v>
      </c>
      <c r="I1038" s="8"/>
      <c r="J1038" s="4">
        <f>AVERAGE(J17:J28)</f>
        <v>1.8916445000000002</v>
      </c>
      <c r="K1038" s="5"/>
      <c r="L1038" s="5">
        <f>SUM(L17:L28)</f>
        <v>376.69149999999996</v>
      </c>
      <c r="M1038" s="5">
        <f>SUM(M17:M28)</f>
        <v>142.42920000000001</v>
      </c>
      <c r="N1038" s="5">
        <f>SUM(N17:N28)</f>
        <v>58.377000000000002</v>
      </c>
      <c r="O1038" s="5">
        <f>SUM(O17:O28)</f>
        <v>5.3671999999999995</v>
      </c>
      <c r="P1038" s="5">
        <f>SUM(P17:P28)</f>
        <v>16.520199999999999</v>
      </c>
      <c r="Q1038" s="5"/>
      <c r="R1038" s="5">
        <f>SUM(R17:R28)</f>
        <v>4.8</v>
      </c>
      <c r="S1038" s="5"/>
    </row>
    <row r="1039" spans="1:19" ht="15" customHeight="1">
      <c r="A1039" s="3">
        <v>2017</v>
      </c>
      <c r="B1039" s="8">
        <f t="shared" ref="B1039:J1039" si="2">AVERAGE(B29:B40)</f>
        <v>2.5418058000000001</v>
      </c>
      <c r="C1039" s="8">
        <f t="shared" si="2"/>
        <v>2.5501942</v>
      </c>
      <c r="D1039" s="8">
        <f t="shared" si="2"/>
        <v>2.5355882000000003</v>
      </c>
      <c r="E1039" s="8">
        <f t="shared" si="2"/>
        <v>2.5397623</v>
      </c>
      <c r="F1039" s="4">
        <f t="shared" si="2"/>
        <v>3.3413234999999997</v>
      </c>
      <c r="G1039" s="8">
        <f t="shared" si="2"/>
        <v>2.4760654</v>
      </c>
      <c r="H1039" s="4">
        <f t="shared" si="2"/>
        <v>3.1957257999999999</v>
      </c>
      <c r="I1039" s="8">
        <f t="shared" si="2"/>
        <v>2.4540492</v>
      </c>
      <c r="J1039" s="4">
        <f t="shared" si="2"/>
        <v>2.4317315000000002</v>
      </c>
      <c r="K1039" s="4"/>
      <c r="L1039" s="5">
        <f t="shared" ref="L1039:Q1039" si="3">SUM(L29:L40)</f>
        <v>353.74759999999998</v>
      </c>
      <c r="M1039" s="5">
        <f t="shared" si="3"/>
        <v>142.0401</v>
      </c>
      <c r="N1039" s="5">
        <f t="shared" si="3"/>
        <v>58.217499999999994</v>
      </c>
      <c r="O1039" s="5">
        <f t="shared" si="3"/>
        <v>4.4104999999999999</v>
      </c>
      <c r="P1039" s="5">
        <f t="shared" si="3"/>
        <v>20.8202</v>
      </c>
      <c r="Q1039" s="5">
        <f t="shared" si="3"/>
        <v>198.18529999999998</v>
      </c>
      <c r="R1039" s="5"/>
      <c r="S1039" s="4"/>
    </row>
    <row r="1040" spans="1:19" ht="15" customHeight="1">
      <c r="A1040" s="3">
        <v>2018</v>
      </c>
      <c r="B1040" s="8">
        <f t="shared" ref="B1040:J1040" si="4">AVERAGE(B41:B52)</f>
        <v>2.5542544000000005</v>
      </c>
      <c r="C1040" s="8">
        <f t="shared" si="4"/>
        <v>2.5626495</v>
      </c>
      <c r="D1040" s="8">
        <f t="shared" si="4"/>
        <v>2.5533967999999998</v>
      </c>
      <c r="E1040" s="8">
        <f t="shared" si="4"/>
        <v>2.5556882000000001</v>
      </c>
      <c r="F1040" s="4">
        <f t="shared" si="4"/>
        <v>3.3537721000000005</v>
      </c>
      <c r="G1040" s="8">
        <f t="shared" si="4"/>
        <v>2.4882124999999999</v>
      </c>
      <c r="H1040" s="4">
        <f t="shared" si="4"/>
        <v>3.2078661999999998</v>
      </c>
      <c r="I1040" s="8">
        <f t="shared" si="4"/>
        <v>2.4971101</v>
      </c>
      <c r="J1040" s="4">
        <f t="shared" si="4"/>
        <v>2.4436575</v>
      </c>
      <c r="K1040" s="4"/>
      <c r="L1040" s="5">
        <f t="shared" ref="L1040:Q1040" si="5">SUM(L41:L52)</f>
        <v>353.74759999999998</v>
      </c>
      <c r="M1040" s="5">
        <f t="shared" si="5"/>
        <v>142.0401</v>
      </c>
      <c r="N1040" s="5">
        <f t="shared" si="5"/>
        <v>58.217499999999994</v>
      </c>
      <c r="O1040" s="5">
        <f t="shared" si="5"/>
        <v>4.4104999999999999</v>
      </c>
      <c r="P1040" s="5">
        <f t="shared" si="5"/>
        <v>14.718800000000003</v>
      </c>
      <c r="Q1040" s="5">
        <f t="shared" si="5"/>
        <v>293.19730000000004</v>
      </c>
      <c r="R1040" s="5"/>
      <c r="S1040" s="4"/>
    </row>
    <row r="1041" spans="1:19" ht="15" customHeight="1">
      <c r="A1041" s="3">
        <v>2019</v>
      </c>
      <c r="B1041" s="8">
        <f t="shared" ref="B1041:J1041" si="6">AVERAGE(B53:B64)</f>
        <v>3.0502956000000001</v>
      </c>
      <c r="C1041" s="8">
        <f t="shared" si="6"/>
        <v>3.0587040999999999</v>
      </c>
      <c r="D1041" s="8">
        <f t="shared" si="6"/>
        <v>3.0494379999999999</v>
      </c>
      <c r="E1041" s="8">
        <f t="shared" si="6"/>
        <v>3.0517360999999998</v>
      </c>
      <c r="F1041" s="4">
        <f t="shared" si="6"/>
        <v>3.8498199999999998</v>
      </c>
      <c r="G1041" s="8">
        <f t="shared" si="6"/>
        <v>2.9717515000000003</v>
      </c>
      <c r="H1041" s="4">
        <f t="shared" si="6"/>
        <v>3.6913918000000003</v>
      </c>
      <c r="I1041" s="8">
        <f t="shared" si="6"/>
        <v>2.9726761000000006</v>
      </c>
      <c r="J1041" s="4">
        <f t="shared" si="6"/>
        <v>2.9189756</v>
      </c>
      <c r="K1041" s="4"/>
      <c r="L1041" s="5">
        <f t="shared" ref="L1041:Q1041" si="7">SUM(L53:L64)</f>
        <v>353.74759999999998</v>
      </c>
      <c r="M1041" s="5">
        <f t="shared" si="7"/>
        <v>142.0401</v>
      </c>
      <c r="N1041" s="5">
        <f t="shared" si="7"/>
        <v>58.217499999999994</v>
      </c>
      <c r="O1041" s="5">
        <f t="shared" si="7"/>
        <v>4.4104999999999999</v>
      </c>
      <c r="P1041" s="5">
        <f t="shared" si="7"/>
        <v>14.718800000000003</v>
      </c>
      <c r="Q1041" s="5">
        <f t="shared" si="7"/>
        <v>290.24799999999999</v>
      </c>
      <c r="R1041" s="5"/>
      <c r="S1041" s="4"/>
    </row>
    <row r="1042" spans="1:19" ht="15" customHeight="1">
      <c r="A1042" s="3">
        <v>2020</v>
      </c>
      <c r="B1042" s="8">
        <f t="shared" ref="B1042:J1042" si="8">AVERAGE(B65:B76)</f>
        <v>3.0403394000000001</v>
      </c>
      <c r="C1042" s="8">
        <f t="shared" si="8"/>
        <v>3.0487278</v>
      </c>
      <c r="D1042" s="8">
        <f t="shared" si="8"/>
        <v>3.0394818000000003</v>
      </c>
      <c r="E1042" s="8">
        <f t="shared" si="8"/>
        <v>3.0417866</v>
      </c>
      <c r="F1042" s="4">
        <f t="shared" si="8"/>
        <v>3.8398637999999998</v>
      </c>
      <c r="G1042" s="8">
        <f t="shared" si="8"/>
        <v>2.9620231000000001</v>
      </c>
      <c r="H1042" s="4">
        <f t="shared" si="8"/>
        <v>3.6816700999999998</v>
      </c>
      <c r="I1042" s="8">
        <f t="shared" si="8"/>
        <v>2.9631219000000004</v>
      </c>
      <c r="J1042" s="4">
        <f t="shared" si="8"/>
        <v>2.9094348000000001</v>
      </c>
      <c r="K1042" s="4"/>
      <c r="L1042" s="5">
        <f t="shared" ref="L1042:Q1042" si="9">SUM(L65:L76)</f>
        <v>354.68099999999998</v>
      </c>
      <c r="M1042" s="5">
        <f t="shared" si="9"/>
        <v>142.42920000000001</v>
      </c>
      <c r="N1042" s="5">
        <f t="shared" si="9"/>
        <v>58.377000000000002</v>
      </c>
      <c r="O1042" s="5">
        <f t="shared" si="9"/>
        <v>4.4226000000000001</v>
      </c>
      <c r="P1042" s="5">
        <f t="shared" si="9"/>
        <v>14.760600000000004</v>
      </c>
      <c r="Q1042" s="5">
        <f t="shared" si="9"/>
        <v>349.04309999999998</v>
      </c>
      <c r="R1042" s="5"/>
      <c r="S1042" s="4"/>
    </row>
    <row r="1043" spans="1:19" ht="15" customHeight="1">
      <c r="A1043" s="3">
        <v>2021</v>
      </c>
      <c r="B1043" s="8">
        <f t="shared" ref="B1043:J1043" si="10">AVERAGE(B77:B88)</f>
        <v>3.4014158000000001</v>
      </c>
      <c r="C1043" s="8">
        <f t="shared" si="10"/>
        <v>3.4098243000000004</v>
      </c>
      <c r="D1043" s="8">
        <f t="shared" si="10"/>
        <v>3.4005649000000004</v>
      </c>
      <c r="E1043" s="8">
        <f t="shared" si="10"/>
        <v>3.4028630000000004</v>
      </c>
      <c r="F1043" s="4">
        <f t="shared" si="10"/>
        <v>4.2009402000000007</v>
      </c>
      <c r="G1043" s="8">
        <f t="shared" si="10"/>
        <v>3.3139941999999998</v>
      </c>
      <c r="H1043" s="4">
        <f t="shared" si="10"/>
        <v>4.0336546000000002</v>
      </c>
      <c r="I1043" s="8">
        <f t="shared" si="10"/>
        <v>3.3092840999999993</v>
      </c>
      <c r="J1043" s="4">
        <f t="shared" si="10"/>
        <v>3.2554161000000001</v>
      </c>
      <c r="K1043" s="4"/>
      <c r="L1043" s="5">
        <f t="shared" ref="L1043:Q1043" si="11">SUM(L77:L88)</f>
        <v>353.74759999999998</v>
      </c>
      <c r="M1043" s="5">
        <f t="shared" si="11"/>
        <v>142.0401</v>
      </c>
      <c r="N1043" s="5">
        <f t="shared" si="11"/>
        <v>58.217499999999994</v>
      </c>
      <c r="O1043" s="5">
        <f t="shared" si="11"/>
        <v>4.4104999999999999</v>
      </c>
      <c r="P1043" s="5">
        <f t="shared" si="11"/>
        <v>14.718800000000003</v>
      </c>
      <c r="Q1043" s="5">
        <f t="shared" si="11"/>
        <v>388.68129999999996</v>
      </c>
      <c r="R1043" s="5"/>
      <c r="S1043" s="4"/>
    </row>
    <row r="1044" spans="1:19" ht="15" customHeight="1">
      <c r="A1044" s="3">
        <v>2022</v>
      </c>
      <c r="B1044" s="8">
        <f t="shared" ref="B1044:J1044" si="12">AVERAGE(B89:B100)</f>
        <v>3.3731284000000006</v>
      </c>
      <c r="C1044" s="8">
        <f t="shared" si="12"/>
        <v>3.3815168</v>
      </c>
      <c r="D1044" s="8">
        <f t="shared" si="12"/>
        <v>3.3722775000000005</v>
      </c>
      <c r="E1044" s="8">
        <f t="shared" si="12"/>
        <v>3.3745823000000001</v>
      </c>
      <c r="F1044" s="4">
        <f t="shared" si="12"/>
        <v>4.1726460999999997</v>
      </c>
      <c r="G1044" s="8">
        <f t="shared" si="12"/>
        <v>3.2864170000000001</v>
      </c>
      <c r="H1044" s="4">
        <f t="shared" si="12"/>
        <v>4.0060774000000006</v>
      </c>
      <c r="I1044" s="8">
        <f t="shared" si="12"/>
        <v>3.2821424000000001</v>
      </c>
      <c r="J1044" s="4">
        <f t="shared" si="12"/>
        <v>3.2282945000000005</v>
      </c>
      <c r="K1044" s="4"/>
      <c r="L1044" s="5">
        <f t="shared" ref="L1044:Q1044" si="13">SUM(L89:L100)</f>
        <v>346.2867</v>
      </c>
      <c r="M1044" s="5">
        <f t="shared" si="13"/>
        <v>142.0401</v>
      </c>
      <c r="N1044" s="5">
        <f t="shared" si="13"/>
        <v>58.217499999999994</v>
      </c>
      <c r="O1044" s="5">
        <f t="shared" si="13"/>
        <v>4.4104999999999999</v>
      </c>
      <c r="P1044" s="5">
        <f t="shared" si="13"/>
        <v>14.718800000000003</v>
      </c>
      <c r="Q1044" s="5">
        <f t="shared" si="13"/>
        <v>386.33820000000003</v>
      </c>
      <c r="R1044" s="5"/>
      <c r="S1044" s="4"/>
    </row>
    <row r="1045" spans="1:19" ht="15" customHeight="1">
      <c r="A1045" s="3">
        <v>2023</v>
      </c>
      <c r="B1045" s="8">
        <f t="shared" ref="B1045:J1045" si="14">AVERAGE(B101:B112)</f>
        <v>3.6367666999999995</v>
      </c>
      <c r="C1045" s="8">
        <f t="shared" si="14"/>
        <v>3.6451417000000004</v>
      </c>
      <c r="D1045" s="8">
        <f t="shared" si="14"/>
        <v>3.6358957000000003</v>
      </c>
      <c r="E1045" s="8">
        <f t="shared" si="14"/>
        <v>3.6381938000000003</v>
      </c>
      <c r="F1045" s="4">
        <f t="shared" si="14"/>
        <v>4.4362776999999989</v>
      </c>
      <c r="G1045" s="8">
        <f t="shared" si="14"/>
        <v>3.5433955000000004</v>
      </c>
      <c r="H1045" s="4">
        <f t="shared" si="14"/>
        <v>4.2630626000000005</v>
      </c>
      <c r="I1045" s="8">
        <f t="shared" si="14"/>
        <v>3.5348864999999994</v>
      </c>
      <c r="J1045" s="4">
        <f t="shared" si="14"/>
        <v>3.4809179999999995</v>
      </c>
      <c r="K1045" s="4"/>
      <c r="L1045" s="5">
        <f t="shared" ref="L1045:Q1045" si="15">SUM(L101:L112)</f>
        <v>336.06969999999995</v>
      </c>
      <c r="M1045" s="5">
        <f t="shared" si="15"/>
        <v>142.0401</v>
      </c>
      <c r="N1045" s="5">
        <f t="shared" si="15"/>
        <v>58.217499999999994</v>
      </c>
      <c r="O1045" s="5">
        <f t="shared" si="15"/>
        <v>4.4104999999999999</v>
      </c>
      <c r="P1045" s="5">
        <f t="shared" si="15"/>
        <v>14.718800000000003</v>
      </c>
      <c r="Q1045" s="5">
        <f t="shared" si="15"/>
        <v>384.12599999999998</v>
      </c>
      <c r="R1045" s="5"/>
      <c r="S1045" s="4"/>
    </row>
    <row r="1046" spans="1:19" ht="15" customHeight="1">
      <c r="A1046" s="3">
        <v>2024</v>
      </c>
      <c r="B1046" s="8">
        <f t="shared" ref="B1046:J1046" si="16">AVERAGE(B113:B124)</f>
        <v>3.8595349999999997</v>
      </c>
      <c r="C1046" s="8">
        <f t="shared" si="16"/>
        <v>3.8679234</v>
      </c>
      <c r="D1046" s="8">
        <f t="shared" si="16"/>
        <v>3.8586774000000008</v>
      </c>
      <c r="E1046" s="8">
        <f t="shared" si="16"/>
        <v>3.8609754999999999</v>
      </c>
      <c r="F1046" s="4">
        <f t="shared" si="16"/>
        <v>4.6590594000000012</v>
      </c>
      <c r="G1046" s="8">
        <f t="shared" si="16"/>
        <v>3.7605491999999998</v>
      </c>
      <c r="H1046" s="4">
        <f t="shared" si="16"/>
        <v>4.4802096000000002</v>
      </c>
      <c r="I1046" s="8">
        <f t="shared" si="16"/>
        <v>3.7484624000000006</v>
      </c>
      <c r="J1046" s="4">
        <f t="shared" si="16"/>
        <v>3.6943867000000004</v>
      </c>
      <c r="K1046" s="4"/>
      <c r="L1046" s="5">
        <f t="shared" ref="L1046:Q1046" si="17">SUM(L113:L124)</f>
        <v>336.95349999999996</v>
      </c>
      <c r="M1046" s="5">
        <f t="shared" si="17"/>
        <v>142.42920000000001</v>
      </c>
      <c r="N1046" s="5">
        <f t="shared" si="17"/>
        <v>58.377000000000002</v>
      </c>
      <c r="O1046" s="5">
        <f t="shared" si="17"/>
        <v>4.4226000000000001</v>
      </c>
      <c r="P1046" s="5">
        <f t="shared" si="17"/>
        <v>14.760600000000004</v>
      </c>
      <c r="Q1046" s="5">
        <f t="shared" si="17"/>
        <v>383.00459999999998</v>
      </c>
      <c r="R1046" s="5"/>
      <c r="S1046" s="4"/>
    </row>
    <row r="1047" spans="1:19" ht="15" customHeight="1">
      <c r="A1047" s="3">
        <v>2025</v>
      </c>
      <c r="B1047" s="8">
        <f t="shared" ref="B1047:J1047" si="18">AVERAGE(B125:B136)</f>
        <v>4.0387198</v>
      </c>
      <c r="C1047" s="8">
        <f t="shared" si="18"/>
        <v>4.0471082000000003</v>
      </c>
      <c r="D1047" s="8">
        <f t="shared" si="18"/>
        <v>4.0378622000000002</v>
      </c>
      <c r="E1047" s="8">
        <f t="shared" si="18"/>
        <v>4.0401603000000001</v>
      </c>
      <c r="F1047" s="4">
        <f t="shared" si="18"/>
        <v>4.8382375</v>
      </c>
      <c r="G1047" s="8">
        <f t="shared" si="18"/>
        <v>3.9352115000000008</v>
      </c>
      <c r="H1047" s="4">
        <f t="shared" si="18"/>
        <v>4.654871899999999</v>
      </c>
      <c r="I1047" s="8">
        <f t="shared" si="18"/>
        <v>3.9202370000000002</v>
      </c>
      <c r="J1047" s="4">
        <f t="shared" si="18"/>
        <v>3.8660809</v>
      </c>
      <c r="K1047" s="4"/>
      <c r="L1047" s="5">
        <f t="shared" ref="L1047:Q1047" si="19">SUM(L125:L136)</f>
        <v>336.06969999999995</v>
      </c>
      <c r="M1047" s="5">
        <f t="shared" si="19"/>
        <v>142.0401</v>
      </c>
      <c r="N1047" s="5">
        <f t="shared" si="19"/>
        <v>58.217499999999994</v>
      </c>
      <c r="O1047" s="5">
        <f t="shared" si="19"/>
        <v>4.4104999999999999</v>
      </c>
      <c r="P1047" s="5">
        <f t="shared" si="19"/>
        <v>14.718800000000003</v>
      </c>
      <c r="Q1047" s="5">
        <f t="shared" si="19"/>
        <v>379.76819999999998</v>
      </c>
      <c r="R1047" s="5"/>
      <c r="S1047" s="4"/>
    </row>
    <row r="1048" spans="1:19" ht="15" customHeight="1">
      <c r="A1048" s="3">
        <v>2026</v>
      </c>
      <c r="B1048" s="8">
        <f t="shared" ref="B1048:J1048" si="20">AVERAGE(B137:B148)</f>
        <v>4.1714468000000009</v>
      </c>
      <c r="C1048" s="8">
        <f t="shared" si="20"/>
        <v>4.1798486000000006</v>
      </c>
      <c r="D1048" s="8">
        <f t="shared" si="20"/>
        <v>4.1706092999999997</v>
      </c>
      <c r="E1048" s="8">
        <f t="shared" si="20"/>
        <v>4.1729007000000005</v>
      </c>
      <c r="F1048" s="4">
        <f t="shared" si="20"/>
        <v>4.9709779000000003</v>
      </c>
      <c r="G1048" s="8">
        <f t="shared" si="20"/>
        <v>4.0646152999999989</v>
      </c>
      <c r="H1048" s="4">
        <f t="shared" si="20"/>
        <v>4.7842556000000007</v>
      </c>
      <c r="I1048" s="8">
        <f t="shared" si="20"/>
        <v>4.0474834</v>
      </c>
      <c r="J1048" s="4">
        <f t="shared" si="20"/>
        <v>3.9932669999999999</v>
      </c>
      <c r="K1048" s="4"/>
      <c r="L1048" s="5">
        <f t="shared" ref="L1048:Q1048" si="21">SUM(L137:L148)</f>
        <v>336.06969999999995</v>
      </c>
      <c r="M1048" s="5">
        <f t="shared" si="21"/>
        <v>142.0401</v>
      </c>
      <c r="N1048" s="5">
        <f t="shared" si="21"/>
        <v>58.217499999999994</v>
      </c>
      <c r="O1048" s="5">
        <f t="shared" si="21"/>
        <v>4.4104999999999999</v>
      </c>
      <c r="P1048" s="5">
        <f t="shared" si="21"/>
        <v>14.718800000000003</v>
      </c>
      <c r="Q1048" s="5">
        <f t="shared" si="21"/>
        <v>377.59969999999987</v>
      </c>
      <c r="R1048" s="5"/>
      <c r="S1048" s="4"/>
    </row>
    <row r="1049" spans="1:19" ht="15" customHeight="1">
      <c r="A1049" s="3">
        <v>2027</v>
      </c>
      <c r="B1049" s="8">
        <f t="shared" ref="B1049:J1049" si="22">AVERAGE(B149:B160)</f>
        <v>4.3078922999999998</v>
      </c>
      <c r="C1049" s="8">
        <f t="shared" si="22"/>
        <v>4.3162672999999998</v>
      </c>
      <c r="D1049" s="8">
        <f t="shared" si="22"/>
        <v>4.3070481000000003</v>
      </c>
      <c r="E1049" s="8">
        <f t="shared" si="22"/>
        <v>4.3093395000000001</v>
      </c>
      <c r="F1049" s="4">
        <f t="shared" si="22"/>
        <v>5.1074033000000005</v>
      </c>
      <c r="G1049" s="8">
        <f t="shared" si="22"/>
        <v>4.1975969000000006</v>
      </c>
      <c r="H1049" s="4">
        <f t="shared" si="22"/>
        <v>4.9172506000000009</v>
      </c>
      <c r="I1049" s="8">
        <f t="shared" si="22"/>
        <v>4.1782808000000005</v>
      </c>
      <c r="J1049" s="4">
        <f t="shared" si="22"/>
        <v>4.123984000000001</v>
      </c>
      <c r="K1049" s="4"/>
      <c r="L1049" s="5">
        <f t="shared" ref="L1049:Q1049" si="23">SUM(L149:L160)</f>
        <v>336.06969999999995</v>
      </c>
      <c r="M1049" s="5">
        <f t="shared" si="23"/>
        <v>142.0401</v>
      </c>
      <c r="N1049" s="5">
        <f t="shared" si="23"/>
        <v>58.217499999999994</v>
      </c>
      <c r="O1049" s="5">
        <f t="shared" si="23"/>
        <v>4.4104999999999999</v>
      </c>
      <c r="P1049" s="5">
        <f t="shared" si="23"/>
        <v>14.718800000000003</v>
      </c>
      <c r="Q1049" s="5">
        <f t="shared" si="23"/>
        <v>375.43180000000001</v>
      </c>
      <c r="R1049" s="5"/>
      <c r="S1049" s="4"/>
    </row>
    <row r="1050" spans="1:19" ht="15" customHeight="1">
      <c r="A1050" s="3">
        <v>2028</v>
      </c>
      <c r="B1050" s="8">
        <f t="shared" ref="B1050:J1050" si="24">AVERAGE(B161:B172)</f>
        <v>4.4481232999999998</v>
      </c>
      <c r="C1050" s="8">
        <f t="shared" si="24"/>
        <v>4.4565050000000008</v>
      </c>
      <c r="D1050" s="8">
        <f t="shared" si="24"/>
        <v>4.4472657</v>
      </c>
      <c r="E1050" s="8">
        <f t="shared" si="24"/>
        <v>4.4495638</v>
      </c>
      <c r="F1050" s="4">
        <f t="shared" si="24"/>
        <v>5.2476410000000007</v>
      </c>
      <c r="G1050" s="8">
        <f t="shared" si="24"/>
        <v>4.3342836</v>
      </c>
      <c r="H1050" s="4">
        <f t="shared" si="24"/>
        <v>5.0539239</v>
      </c>
      <c r="I1050" s="8">
        <f t="shared" si="24"/>
        <v>4.3127096000000007</v>
      </c>
      <c r="J1050" s="4">
        <f t="shared" si="24"/>
        <v>4.2583457999999998</v>
      </c>
      <c r="K1050" s="4"/>
      <c r="L1050" s="5">
        <f t="shared" ref="L1050:Q1050" si="25">SUM(L161:L172)</f>
        <v>336.95349999999996</v>
      </c>
      <c r="M1050" s="5">
        <f t="shared" si="25"/>
        <v>142.42920000000001</v>
      </c>
      <c r="N1050" s="5">
        <f t="shared" si="25"/>
        <v>58.377000000000002</v>
      </c>
      <c r="O1050" s="5">
        <f t="shared" si="25"/>
        <v>4.4226000000000001</v>
      </c>
      <c r="P1050" s="5">
        <f t="shared" si="25"/>
        <v>14.760600000000004</v>
      </c>
      <c r="Q1050" s="5">
        <f t="shared" si="25"/>
        <v>374.28599999999994</v>
      </c>
      <c r="R1050" s="5"/>
      <c r="S1050" s="4"/>
    </row>
    <row r="1051" spans="1:19" ht="15" customHeight="1">
      <c r="A1051" s="3">
        <v>2029</v>
      </c>
      <c r="B1051" s="8">
        <f t="shared" ref="B1051:J1051" si="26">AVERAGE(B173:B184)</f>
        <v>4.5369586000000002</v>
      </c>
      <c r="C1051" s="8">
        <f t="shared" si="26"/>
        <v>4.5453536999999997</v>
      </c>
      <c r="D1051" s="8">
        <f t="shared" si="26"/>
        <v>4.5361076999999996</v>
      </c>
      <c r="E1051" s="8">
        <f t="shared" si="26"/>
        <v>4.5384058000000005</v>
      </c>
      <c r="F1051" s="4">
        <f t="shared" si="26"/>
        <v>5.3364830000000012</v>
      </c>
      <c r="G1051" s="8">
        <f t="shared" si="26"/>
        <v>4.4208878</v>
      </c>
      <c r="H1051" s="4">
        <f t="shared" si="26"/>
        <v>5.1405415000000003</v>
      </c>
      <c r="I1051" s="8">
        <f t="shared" si="26"/>
        <v>4.3978934000000001</v>
      </c>
      <c r="J1051" s="4">
        <f t="shared" si="26"/>
        <v>4.3434960999999994</v>
      </c>
      <c r="K1051" s="4"/>
      <c r="L1051" s="5">
        <f t="shared" ref="L1051:Q1051" si="27">SUM(L173:L184)</f>
        <v>336.06969999999995</v>
      </c>
      <c r="M1051" s="5">
        <f t="shared" si="27"/>
        <v>142.0401</v>
      </c>
      <c r="N1051" s="5">
        <f t="shared" si="27"/>
        <v>58.217499999999994</v>
      </c>
      <c r="O1051" s="5">
        <f t="shared" si="27"/>
        <v>4.4104999999999999</v>
      </c>
      <c r="P1051" s="5">
        <f t="shared" si="27"/>
        <v>14.718800000000003</v>
      </c>
      <c r="Q1051" s="5">
        <f t="shared" si="27"/>
        <v>371.09549999999996</v>
      </c>
      <c r="R1051" s="5"/>
      <c r="S1051" s="4"/>
    </row>
    <row r="1052" spans="1:19" ht="15" customHeight="1">
      <c r="A1052" s="3">
        <v>2030</v>
      </c>
      <c r="B1052" s="8">
        <f t="shared" ref="B1052:J1052" si="28">AVERAGE(B185:B196)</f>
        <v>4.6275895</v>
      </c>
      <c r="C1052" s="8">
        <f t="shared" si="28"/>
        <v>4.6359779000000012</v>
      </c>
      <c r="D1052" s="8">
        <f t="shared" si="28"/>
        <v>4.626725200000001</v>
      </c>
      <c r="E1052" s="8">
        <f t="shared" si="28"/>
        <v>4.6290233000000001</v>
      </c>
      <c r="F1052" s="4">
        <f t="shared" si="28"/>
        <v>5.4271138999999993</v>
      </c>
      <c r="G1052" s="8">
        <f t="shared" si="28"/>
        <v>4.5092273</v>
      </c>
      <c r="H1052" s="4">
        <f t="shared" si="28"/>
        <v>5.2288944000000006</v>
      </c>
      <c r="I1052" s="8">
        <f t="shared" si="28"/>
        <v>4.4847857000000007</v>
      </c>
      <c r="J1052" s="4">
        <f t="shared" si="28"/>
        <v>4.4303280999999997</v>
      </c>
      <c r="K1052" s="4"/>
      <c r="L1052" s="5">
        <f t="shared" ref="L1052:Q1052" si="29">SUM(L185:L196)</f>
        <v>336.06969999999995</v>
      </c>
      <c r="M1052" s="5">
        <f t="shared" si="29"/>
        <v>142.0401</v>
      </c>
      <c r="N1052" s="5">
        <f t="shared" si="29"/>
        <v>58.217499999999994</v>
      </c>
      <c r="O1052" s="5">
        <f t="shared" si="29"/>
        <v>4.4104999999999999</v>
      </c>
      <c r="P1052" s="5">
        <f t="shared" si="29"/>
        <v>14.718800000000003</v>
      </c>
      <c r="Q1052" s="5">
        <f t="shared" si="29"/>
        <v>368.9276999999999</v>
      </c>
      <c r="R1052" s="5"/>
      <c r="S1052" s="4"/>
    </row>
    <row r="1053" spans="1:19" ht="15" customHeight="1">
      <c r="A1053" s="3">
        <v>2031</v>
      </c>
      <c r="B1053" s="8">
        <f t="shared" ref="B1053:J1053" si="30">AVERAGE(B197:B208)</f>
        <v>4.7200427999999999</v>
      </c>
      <c r="C1053" s="8">
        <f t="shared" si="30"/>
        <v>4.7284111000000006</v>
      </c>
      <c r="D1053" s="8">
        <f t="shared" si="30"/>
        <v>4.7191851999999992</v>
      </c>
      <c r="E1053" s="8">
        <f t="shared" si="30"/>
        <v>4.7214765999999999</v>
      </c>
      <c r="F1053" s="4">
        <f t="shared" si="30"/>
        <v>5.5195672</v>
      </c>
      <c r="G1053" s="8">
        <f t="shared" si="30"/>
        <v>4.5993356000000007</v>
      </c>
      <c r="H1053" s="4">
        <f t="shared" si="30"/>
        <v>5.3189960000000003</v>
      </c>
      <c r="I1053" s="8">
        <f t="shared" si="30"/>
        <v>4.5733931999999999</v>
      </c>
      <c r="J1053" s="4">
        <f t="shared" si="30"/>
        <v>4.5189088000000002</v>
      </c>
      <c r="K1053" s="4"/>
      <c r="L1053" s="5">
        <f t="shared" ref="L1053:Q1053" si="31">SUM(L197:L208)</f>
        <v>336.06969999999995</v>
      </c>
      <c r="M1053" s="5">
        <f t="shared" si="31"/>
        <v>142.0401</v>
      </c>
      <c r="N1053" s="5">
        <f t="shared" si="31"/>
        <v>58.217499999999994</v>
      </c>
      <c r="O1053" s="5">
        <f t="shared" si="31"/>
        <v>4.4104999999999999</v>
      </c>
      <c r="P1053" s="5">
        <f t="shared" si="31"/>
        <v>14.718800000000003</v>
      </c>
      <c r="Q1053" s="5">
        <f t="shared" si="31"/>
        <v>365.31420000000003</v>
      </c>
      <c r="R1053" s="5"/>
      <c r="S1053" s="4"/>
    </row>
    <row r="1054" spans="1:19" ht="15" customHeight="1">
      <c r="A1054" s="3">
        <v>2032</v>
      </c>
      <c r="B1054" s="8">
        <f t="shared" ref="B1054:J1054" si="32">AVERAGE(B209:B220)</f>
        <v>4.8143184999999997</v>
      </c>
      <c r="C1054" s="8">
        <f t="shared" si="32"/>
        <v>4.8227002000000008</v>
      </c>
      <c r="D1054" s="8">
        <f t="shared" si="32"/>
        <v>4.8134676000000001</v>
      </c>
      <c r="E1054" s="8">
        <f t="shared" si="32"/>
        <v>4.8157657</v>
      </c>
      <c r="F1054" s="4">
        <f t="shared" si="32"/>
        <v>5.6138429000000007</v>
      </c>
      <c r="G1054" s="8">
        <f t="shared" si="32"/>
        <v>4.6912528999999994</v>
      </c>
      <c r="H1054" s="4">
        <f t="shared" si="32"/>
        <v>5.4109066000000006</v>
      </c>
      <c r="I1054" s="8">
        <f t="shared" si="32"/>
        <v>4.6637896000000003</v>
      </c>
      <c r="J1054" s="4">
        <f t="shared" si="32"/>
        <v>4.6092516000000003</v>
      </c>
      <c r="K1054" s="4"/>
      <c r="L1054" s="5">
        <f t="shared" ref="L1054:Q1054" si="33">SUM(L209:L220)</f>
        <v>336.95349999999996</v>
      </c>
      <c r="M1054" s="5">
        <f t="shared" si="33"/>
        <v>142.42920000000001</v>
      </c>
      <c r="N1054" s="5">
        <f t="shared" si="33"/>
        <v>58.377000000000002</v>
      </c>
      <c r="O1054" s="5">
        <f t="shared" si="33"/>
        <v>4.4226000000000001</v>
      </c>
      <c r="P1054" s="5">
        <f t="shared" si="33"/>
        <v>14.760600000000004</v>
      </c>
      <c r="Q1054" s="5">
        <f t="shared" si="33"/>
        <v>364.46999999999997</v>
      </c>
      <c r="R1054" s="5"/>
      <c r="S1054" s="4"/>
    </row>
    <row r="1055" spans="1:19" ht="15" customHeight="1">
      <c r="A1055" s="3">
        <v>2033</v>
      </c>
      <c r="B1055" s="8">
        <f t="shared" ref="B1055:J1055" si="34">AVERAGE(B221:B232)</f>
        <v>4.9104903000000002</v>
      </c>
      <c r="C1055" s="8">
        <f t="shared" si="34"/>
        <v>4.9188920999999999</v>
      </c>
      <c r="D1055" s="8">
        <f t="shared" si="34"/>
        <v>4.9096394000000005</v>
      </c>
      <c r="E1055" s="8">
        <f t="shared" si="34"/>
        <v>4.9119374999999996</v>
      </c>
      <c r="F1055" s="4">
        <f t="shared" si="34"/>
        <v>5.7100080000000011</v>
      </c>
      <c r="G1055" s="8">
        <f t="shared" si="34"/>
        <v>4.7849926000000007</v>
      </c>
      <c r="H1055" s="4">
        <f t="shared" si="34"/>
        <v>5.5046597000000004</v>
      </c>
      <c r="I1055" s="8">
        <f t="shared" si="34"/>
        <v>4.7559950000000013</v>
      </c>
      <c r="J1055" s="4">
        <f t="shared" si="34"/>
        <v>4.7014101000000004</v>
      </c>
      <c r="K1055" s="4"/>
      <c r="L1055" s="5">
        <f t="shared" ref="L1055:Q1055" si="35">SUM(L221:L232)</f>
        <v>336.06969999999995</v>
      </c>
      <c r="M1055" s="5">
        <f t="shared" si="35"/>
        <v>142.0401</v>
      </c>
      <c r="N1055" s="5">
        <f t="shared" si="35"/>
        <v>58.217499999999994</v>
      </c>
      <c r="O1055" s="5">
        <f t="shared" si="35"/>
        <v>4.4104999999999999</v>
      </c>
      <c r="P1055" s="5">
        <f t="shared" si="35"/>
        <v>14.718800000000003</v>
      </c>
      <c r="Q1055" s="5">
        <f t="shared" si="35"/>
        <v>362.33550000000002</v>
      </c>
      <c r="R1055" s="5"/>
      <c r="S1055" s="4"/>
    </row>
    <row r="1056" spans="1:19" ht="15" customHeight="1">
      <c r="A1056" s="3">
        <v>2034</v>
      </c>
      <c r="B1056" s="8">
        <f t="shared" ref="B1056:J1056" si="36">AVERAGE(B233:B244)</f>
        <v>5.0085850000000001</v>
      </c>
      <c r="C1056" s="8">
        <f t="shared" si="36"/>
        <v>5.0169801000000005</v>
      </c>
      <c r="D1056" s="8">
        <f t="shared" si="36"/>
        <v>5.0077341000000004</v>
      </c>
      <c r="E1056" s="8">
        <f t="shared" si="36"/>
        <v>5.0100322000000004</v>
      </c>
      <c r="F1056" s="4">
        <f t="shared" si="36"/>
        <v>5.8081027000000018</v>
      </c>
      <c r="G1056" s="8">
        <f t="shared" si="36"/>
        <v>4.8806217000000016</v>
      </c>
      <c r="H1056" s="4">
        <f t="shared" si="36"/>
        <v>5.6002820999999985</v>
      </c>
      <c r="I1056" s="8">
        <f t="shared" si="36"/>
        <v>4.8500361999999999</v>
      </c>
      <c r="J1056" s="4">
        <f t="shared" si="36"/>
        <v>4.7954110999999999</v>
      </c>
      <c r="K1056" s="4"/>
      <c r="L1056" s="5">
        <f t="shared" ref="L1056:Q1056" si="37">SUM(L233:L244)</f>
        <v>336.06969999999995</v>
      </c>
      <c r="M1056" s="5">
        <f t="shared" si="37"/>
        <v>142.0401</v>
      </c>
      <c r="N1056" s="5">
        <f t="shared" si="37"/>
        <v>58.217499999999994</v>
      </c>
      <c r="O1056" s="5">
        <f t="shared" si="37"/>
        <v>4.4104999999999999</v>
      </c>
      <c r="P1056" s="5">
        <f t="shared" si="37"/>
        <v>14.718800000000003</v>
      </c>
      <c r="Q1056" s="5">
        <f t="shared" si="37"/>
        <v>361.59120000000007</v>
      </c>
      <c r="R1056" s="5"/>
      <c r="S1056" s="4"/>
    </row>
    <row r="1057" spans="1:19" ht="15" customHeight="1">
      <c r="A1057" s="3">
        <v>2035</v>
      </c>
      <c r="B1057" s="8">
        <f t="shared" ref="B1057:J1057" si="38">AVERAGE(B245:B256)</f>
        <v>5.1086495000000003</v>
      </c>
      <c r="C1057" s="8">
        <f t="shared" si="38"/>
        <v>5.1170513</v>
      </c>
      <c r="D1057" s="8">
        <f t="shared" si="38"/>
        <v>5.1078052999999999</v>
      </c>
      <c r="E1057" s="8">
        <f t="shared" si="38"/>
        <v>5.1100899999999996</v>
      </c>
      <c r="F1057" s="4">
        <f t="shared" si="38"/>
        <v>5.9081672000000003</v>
      </c>
      <c r="G1057" s="8">
        <f t="shared" si="38"/>
        <v>4.9781602999999999</v>
      </c>
      <c r="H1057" s="4">
        <f t="shared" si="38"/>
        <v>5.6978207000000012</v>
      </c>
      <c r="I1057" s="8">
        <f t="shared" si="38"/>
        <v>4.9459466999999995</v>
      </c>
      <c r="J1057" s="4">
        <f t="shared" si="38"/>
        <v>4.8912881000000006</v>
      </c>
      <c r="K1057" s="4"/>
      <c r="L1057" s="5">
        <f t="shared" ref="L1057:Q1057" si="39">SUM(L245:L256)</f>
        <v>336.06969999999995</v>
      </c>
      <c r="M1057" s="5">
        <f t="shared" si="39"/>
        <v>142.0401</v>
      </c>
      <c r="N1057" s="5">
        <f t="shared" si="39"/>
        <v>58.217499999999994</v>
      </c>
      <c r="O1057" s="5">
        <f t="shared" si="39"/>
        <v>4.4104999999999999</v>
      </c>
      <c r="P1057" s="5">
        <f t="shared" si="39"/>
        <v>14.718800000000003</v>
      </c>
      <c r="Q1057" s="5">
        <f t="shared" si="39"/>
        <v>360.82469999999995</v>
      </c>
      <c r="R1057" s="5"/>
      <c r="S1057" s="4"/>
    </row>
    <row r="1058" spans="1:19" ht="15" customHeight="1">
      <c r="A1058" s="3">
        <v>2036</v>
      </c>
      <c r="B1058" s="8">
        <f t="shared" ref="B1058:J1058" si="40">AVERAGE(B257:B268)</f>
        <v>5.2755464999999999</v>
      </c>
      <c r="C1058" s="8">
        <f t="shared" si="40"/>
        <v>5.2839348999999993</v>
      </c>
      <c r="D1058" s="8">
        <f t="shared" si="40"/>
        <v>5.2746822</v>
      </c>
      <c r="E1058" s="8">
        <f t="shared" si="40"/>
        <v>5.2769870000000001</v>
      </c>
      <c r="F1058" s="4">
        <f t="shared" si="40"/>
        <v>6.0750574999999998</v>
      </c>
      <c r="G1058" s="8">
        <f t="shared" si="40"/>
        <v>5.1408497000000013</v>
      </c>
      <c r="H1058" s="4">
        <f t="shared" si="40"/>
        <v>5.8604900000000013</v>
      </c>
      <c r="I1058" s="8">
        <f t="shared" si="40"/>
        <v>5.1059627999999995</v>
      </c>
      <c r="J1058" s="4">
        <f t="shared" si="40"/>
        <v>5.0511969999999993</v>
      </c>
      <c r="K1058" s="4"/>
      <c r="L1058" s="5">
        <f t="shared" ref="L1058:Q1058" si="41">SUM(L257:L268)</f>
        <v>336.95349999999996</v>
      </c>
      <c r="M1058" s="5">
        <f t="shared" si="41"/>
        <v>142.42920000000001</v>
      </c>
      <c r="N1058" s="5">
        <f t="shared" si="41"/>
        <v>58.377000000000002</v>
      </c>
      <c r="O1058" s="5">
        <f t="shared" si="41"/>
        <v>4.4226000000000001</v>
      </c>
      <c r="P1058" s="5">
        <f t="shared" si="41"/>
        <v>14.760600000000004</v>
      </c>
      <c r="Q1058" s="5">
        <f t="shared" si="41"/>
        <v>361.0446</v>
      </c>
      <c r="R1058" s="5"/>
      <c r="S1058" s="4"/>
    </row>
    <row r="1059" spans="1:19" ht="15" customHeight="1">
      <c r="A1059" s="3">
        <v>2037</v>
      </c>
      <c r="B1059" s="8">
        <f t="shared" ref="B1059:J1059" si="42">AVERAGE(B269:B280)</f>
        <v>5.4478839000000008</v>
      </c>
      <c r="C1059" s="8">
        <f t="shared" si="42"/>
        <v>5.4562723000000011</v>
      </c>
      <c r="D1059" s="8">
        <f t="shared" si="42"/>
        <v>5.4470263000000001</v>
      </c>
      <c r="E1059" s="8">
        <f t="shared" si="42"/>
        <v>5.4493311000000011</v>
      </c>
      <c r="F1059" s="4">
        <f t="shared" si="42"/>
        <v>6.2474150000000011</v>
      </c>
      <c r="G1059" s="8">
        <f t="shared" si="42"/>
        <v>5.3088321000000009</v>
      </c>
      <c r="H1059" s="4">
        <f t="shared" si="42"/>
        <v>6.0284924999999996</v>
      </c>
      <c r="I1059" s="8">
        <f t="shared" si="42"/>
        <v>5.2711848000000003</v>
      </c>
      <c r="J1059" s="4">
        <f t="shared" si="42"/>
        <v>5.2163586999999998</v>
      </c>
      <c r="K1059" s="4"/>
      <c r="L1059" s="5">
        <f t="shared" ref="L1059:Q1059" si="43">SUM(L269:L280)</f>
        <v>336.06969999999995</v>
      </c>
      <c r="M1059" s="5">
        <f t="shared" si="43"/>
        <v>142.0401</v>
      </c>
      <c r="N1059" s="5">
        <f t="shared" si="43"/>
        <v>58.217499999999994</v>
      </c>
      <c r="O1059" s="5">
        <f t="shared" si="43"/>
        <v>4.4104999999999999</v>
      </c>
      <c r="P1059" s="5">
        <f t="shared" si="43"/>
        <v>14.718800000000003</v>
      </c>
      <c r="Q1059" s="5">
        <f t="shared" si="43"/>
        <v>359.29169999999999</v>
      </c>
      <c r="R1059" s="5"/>
      <c r="S1059" s="4"/>
    </row>
    <row r="1060" spans="1:19" ht="15" customHeight="1">
      <c r="A1060" s="3">
        <f t="shared" ref="A1060:A1091" si="44">A1059+1</f>
        <v>2038</v>
      </c>
      <c r="B1060" s="8">
        <f t="shared" ref="B1060:J1060" si="45">AVERAGE(B281:B292)</f>
        <v>5.6258694</v>
      </c>
      <c r="C1060" s="8">
        <f t="shared" si="45"/>
        <v>5.6342778999999998</v>
      </c>
      <c r="D1060" s="8">
        <f t="shared" si="45"/>
        <v>5.6250184999999995</v>
      </c>
      <c r="E1060" s="8">
        <f t="shared" si="45"/>
        <v>5.6273166000000003</v>
      </c>
      <c r="F1060" s="4">
        <f t="shared" si="45"/>
        <v>6.4253871000000009</v>
      </c>
      <c r="G1060" s="8">
        <f t="shared" si="45"/>
        <v>5.4823352999999999</v>
      </c>
      <c r="H1060" s="4">
        <f t="shared" si="45"/>
        <v>6.2019823000000001</v>
      </c>
      <c r="I1060" s="8">
        <f t="shared" si="45"/>
        <v>5.441820400000001</v>
      </c>
      <c r="J1060" s="4">
        <f t="shared" si="45"/>
        <v>5.3868871</v>
      </c>
      <c r="K1060" s="4"/>
      <c r="L1060" s="5">
        <f t="shared" ref="L1060:Q1060" si="46">SUM(L281:L292)</f>
        <v>336.06969999999995</v>
      </c>
      <c r="M1060" s="5">
        <f t="shared" si="46"/>
        <v>142.0401</v>
      </c>
      <c r="N1060" s="5">
        <f t="shared" si="46"/>
        <v>58.217499999999994</v>
      </c>
      <c r="O1060" s="5">
        <f t="shared" si="46"/>
        <v>4.4104999999999999</v>
      </c>
      <c r="P1060" s="5">
        <f t="shared" si="46"/>
        <v>14.718800000000003</v>
      </c>
      <c r="Q1060" s="5">
        <f t="shared" si="46"/>
        <v>358.54670000000004</v>
      </c>
      <c r="R1060" s="5"/>
      <c r="S1060" s="4"/>
    </row>
    <row r="1061" spans="1:19" ht="15" customHeight="1">
      <c r="A1061" s="3">
        <f t="shared" si="44"/>
        <v>2039</v>
      </c>
      <c r="B1061" s="8">
        <f t="shared" ref="B1061:J1061" si="47">AVERAGE(B293:B304)</f>
        <v>5.8096838999999996</v>
      </c>
      <c r="C1061" s="8">
        <f t="shared" si="47"/>
        <v>5.8180722999999999</v>
      </c>
      <c r="D1061" s="8">
        <f t="shared" si="47"/>
        <v>5.8088397000000009</v>
      </c>
      <c r="E1061" s="8">
        <f t="shared" si="47"/>
        <v>5.8111243999999997</v>
      </c>
      <c r="F1061" s="4">
        <f t="shared" si="47"/>
        <v>6.6092083000000015</v>
      </c>
      <c r="G1061" s="8">
        <f t="shared" si="47"/>
        <v>5.6615067000000003</v>
      </c>
      <c r="H1061" s="4">
        <f t="shared" si="47"/>
        <v>6.3811469999999995</v>
      </c>
      <c r="I1061" s="8">
        <f t="shared" si="47"/>
        <v>5.6180236999999993</v>
      </c>
      <c r="J1061" s="4">
        <f t="shared" si="47"/>
        <v>5.5630100000000011</v>
      </c>
      <c r="K1061" s="7"/>
      <c r="L1061" s="5">
        <f t="shared" ref="L1061:Q1061" si="48">SUM(L293:L304)</f>
        <v>336.06969999999995</v>
      </c>
      <c r="M1061" s="5">
        <f t="shared" si="48"/>
        <v>142.0401</v>
      </c>
      <c r="N1061" s="5">
        <f t="shared" si="48"/>
        <v>58.217499999999994</v>
      </c>
      <c r="O1061" s="5">
        <f t="shared" si="48"/>
        <v>4.4104999999999999</v>
      </c>
      <c r="P1061" s="5">
        <f t="shared" si="48"/>
        <v>14.718800000000003</v>
      </c>
      <c r="Q1061" s="5">
        <f t="shared" si="48"/>
        <v>357.78019999999998</v>
      </c>
      <c r="R1061" s="5"/>
      <c r="S1061" s="6"/>
    </row>
    <row r="1062" spans="1:19" ht="15" customHeight="1">
      <c r="A1062" s="3">
        <f t="shared" si="44"/>
        <v>2040</v>
      </c>
      <c r="B1062" s="8">
        <f t="shared" ref="B1062:J1062" si="49">AVERAGE(B305:B316)</f>
        <v>5.9995016000000012</v>
      </c>
      <c r="C1062" s="8">
        <f t="shared" si="49"/>
        <v>6.0078766000000021</v>
      </c>
      <c r="D1062" s="8">
        <f t="shared" si="49"/>
        <v>5.9986372999999995</v>
      </c>
      <c r="E1062" s="8">
        <f t="shared" si="49"/>
        <v>6.0009420999999996</v>
      </c>
      <c r="F1062" s="4">
        <f t="shared" si="49"/>
        <v>6.7990193000000012</v>
      </c>
      <c r="G1062" s="8">
        <f t="shared" si="49"/>
        <v>5.8465473000000001</v>
      </c>
      <c r="H1062" s="4">
        <f t="shared" si="49"/>
        <v>6.5661809</v>
      </c>
      <c r="I1062" s="8">
        <f t="shared" si="49"/>
        <v>5.7999822999999999</v>
      </c>
      <c r="J1062" s="4">
        <f t="shared" si="49"/>
        <v>5.7449015999999995</v>
      </c>
      <c r="K1062" s="7"/>
      <c r="L1062" s="5">
        <f t="shared" ref="L1062:Q1062" si="50">SUM(L305:L316)</f>
        <v>336.95349999999996</v>
      </c>
      <c r="M1062" s="5">
        <f t="shared" si="50"/>
        <v>142.42920000000001</v>
      </c>
      <c r="N1062" s="5">
        <f t="shared" si="50"/>
        <v>58.377000000000002</v>
      </c>
      <c r="O1062" s="5">
        <f t="shared" si="50"/>
        <v>4.4226000000000001</v>
      </c>
      <c r="P1062" s="5">
        <f t="shared" si="50"/>
        <v>14.760600000000004</v>
      </c>
      <c r="Q1062" s="5">
        <f t="shared" si="50"/>
        <v>357.99180000000001</v>
      </c>
      <c r="R1062" s="5"/>
      <c r="S1062" s="6"/>
    </row>
    <row r="1063" spans="1:19" ht="15" customHeight="1">
      <c r="A1063" s="3">
        <f t="shared" si="44"/>
        <v>2041</v>
      </c>
      <c r="B1063" s="8">
        <f t="shared" ref="B1063:J1063" si="51">AVERAGE(B317:B328)</f>
        <v>6.1955168000000009</v>
      </c>
      <c r="C1063" s="8">
        <f t="shared" si="51"/>
        <v>6.2039119000000014</v>
      </c>
      <c r="D1063" s="8">
        <f t="shared" si="51"/>
        <v>6.1946592000000003</v>
      </c>
      <c r="E1063" s="8">
        <f t="shared" si="51"/>
        <v>6.196950600000001</v>
      </c>
      <c r="F1063" s="4">
        <f t="shared" si="51"/>
        <v>6.9950344999999992</v>
      </c>
      <c r="G1063" s="8">
        <f t="shared" si="51"/>
        <v>6.0376112000000006</v>
      </c>
      <c r="H1063" s="4">
        <f t="shared" si="51"/>
        <v>6.7572716000000002</v>
      </c>
      <c r="I1063" s="8">
        <f t="shared" si="51"/>
        <v>5.9879240000000005</v>
      </c>
      <c r="J1063" s="4">
        <f t="shared" si="51"/>
        <v>5.9327360999999996</v>
      </c>
      <c r="K1063" s="7"/>
      <c r="L1063" s="5">
        <f t="shared" ref="L1063:Q1063" si="52">SUM(L317:L328)</f>
        <v>336.06969999999995</v>
      </c>
      <c r="M1063" s="5">
        <f t="shared" si="52"/>
        <v>142.0401</v>
      </c>
      <c r="N1063" s="5">
        <f t="shared" si="52"/>
        <v>58.217499999999994</v>
      </c>
      <c r="O1063" s="5">
        <f t="shared" si="52"/>
        <v>4.4104999999999999</v>
      </c>
      <c r="P1063" s="5">
        <f t="shared" si="52"/>
        <v>14.718800000000003</v>
      </c>
      <c r="Q1063" s="5">
        <f t="shared" si="52"/>
        <v>356.26930000000004</v>
      </c>
      <c r="R1063" s="5"/>
      <c r="S1063" s="6"/>
    </row>
    <row r="1064" spans="1:19" ht="15" customHeight="1">
      <c r="A1064" s="3">
        <f t="shared" si="44"/>
        <v>2042</v>
      </c>
      <c r="B1064" s="8">
        <f t="shared" ref="B1064:J1064" si="53">AVERAGE(B329:B340)</f>
        <v>6.3979573000000007</v>
      </c>
      <c r="C1064" s="8">
        <f t="shared" si="53"/>
        <v>6.4063323000000016</v>
      </c>
      <c r="D1064" s="8">
        <f t="shared" si="53"/>
        <v>6.3971063999999993</v>
      </c>
      <c r="E1064" s="8">
        <f t="shared" si="53"/>
        <v>6.3993978</v>
      </c>
      <c r="F1064" s="4">
        <f t="shared" si="53"/>
        <v>7.1974817000000009</v>
      </c>
      <c r="G1064" s="8">
        <f t="shared" si="53"/>
        <v>6.2349396000000006</v>
      </c>
      <c r="H1064" s="4">
        <f t="shared" si="53"/>
        <v>6.9545732000000013</v>
      </c>
      <c r="I1064" s="8">
        <f t="shared" si="53"/>
        <v>6.1819962000000004</v>
      </c>
      <c r="J1064" s="4">
        <f t="shared" si="53"/>
        <v>6.1266810000000005</v>
      </c>
      <c r="K1064" s="7"/>
      <c r="L1064" s="5">
        <f t="shared" ref="L1064:Q1064" si="54">SUM(L329:L340)</f>
        <v>336.06969999999995</v>
      </c>
      <c r="M1064" s="5">
        <f t="shared" si="54"/>
        <v>142.0401</v>
      </c>
      <c r="N1064" s="5">
        <f t="shared" si="54"/>
        <v>58.217499999999994</v>
      </c>
      <c r="O1064" s="5">
        <f t="shared" si="54"/>
        <v>4.4104999999999999</v>
      </c>
      <c r="P1064" s="5">
        <f t="shared" si="54"/>
        <v>14.718800000000003</v>
      </c>
      <c r="Q1064" s="5">
        <f t="shared" si="54"/>
        <v>242.47669999999997</v>
      </c>
      <c r="R1064" s="5"/>
      <c r="S1064" s="6"/>
    </row>
    <row r="1065" spans="1:19" ht="15" customHeight="1">
      <c r="A1065" s="3">
        <f t="shared" si="44"/>
        <v>2043</v>
      </c>
      <c r="B1065" s="8">
        <f t="shared" ref="B1065:J1065" si="55">AVERAGE(B341:B352)</f>
        <v>6.6069973000000006</v>
      </c>
      <c r="C1065" s="8">
        <f t="shared" si="55"/>
        <v>6.6153990999999985</v>
      </c>
      <c r="D1065" s="8">
        <f t="shared" si="55"/>
        <v>6.6061463999999992</v>
      </c>
      <c r="E1065" s="8">
        <f t="shared" si="55"/>
        <v>6.6084512000000002</v>
      </c>
      <c r="F1065" s="4">
        <f t="shared" si="55"/>
        <v>7.4065283999999991</v>
      </c>
      <c r="G1065" s="8">
        <f t="shared" si="55"/>
        <v>6.4387134000000001</v>
      </c>
      <c r="H1065" s="4">
        <f t="shared" si="55"/>
        <v>7.1583804999999998</v>
      </c>
      <c r="I1065" s="8">
        <f t="shared" si="55"/>
        <v>6.3823932000000001</v>
      </c>
      <c r="J1065" s="4">
        <f t="shared" si="55"/>
        <v>6.3270042999999996</v>
      </c>
      <c r="K1065" s="7"/>
      <c r="L1065" s="5">
        <f t="shared" ref="L1065:Q1065" si="56">SUM(L341:L352)</f>
        <v>336.06969999999995</v>
      </c>
      <c r="M1065" s="5">
        <f t="shared" si="56"/>
        <v>142.0401</v>
      </c>
      <c r="N1065" s="5">
        <f t="shared" si="56"/>
        <v>58.217499999999994</v>
      </c>
      <c r="O1065" s="5">
        <f t="shared" si="56"/>
        <v>4.4104999999999999</v>
      </c>
      <c r="P1065" s="5">
        <f t="shared" si="56"/>
        <v>14.718800000000003</v>
      </c>
      <c r="Q1065" s="5">
        <f t="shared" si="56"/>
        <v>241.71019999999996</v>
      </c>
      <c r="R1065" s="5"/>
      <c r="S1065" s="6"/>
    </row>
    <row r="1066" spans="1:19" ht="15" customHeight="1">
      <c r="A1066" s="3">
        <f t="shared" si="44"/>
        <v>2044</v>
      </c>
      <c r="B1066" s="8">
        <f t="shared" ref="B1066:J1066" si="57">AVERAGE(B353:B364)</f>
        <v>6.8228981000000006</v>
      </c>
      <c r="C1066" s="8">
        <f t="shared" si="57"/>
        <v>6.8312932000000002</v>
      </c>
      <c r="D1066" s="8">
        <f t="shared" si="57"/>
        <v>6.8220404999999991</v>
      </c>
      <c r="E1066" s="8">
        <f t="shared" si="57"/>
        <v>6.8243319000000007</v>
      </c>
      <c r="F1066" s="4">
        <f t="shared" si="57"/>
        <v>7.6224091000000014</v>
      </c>
      <c r="G1066" s="8">
        <f t="shared" si="57"/>
        <v>6.6491604000000004</v>
      </c>
      <c r="H1066" s="4">
        <f t="shared" si="57"/>
        <v>7.3688208000000008</v>
      </c>
      <c r="I1066" s="8">
        <f t="shared" si="57"/>
        <v>6.5893763000000005</v>
      </c>
      <c r="J1066" s="4">
        <f t="shared" si="57"/>
        <v>6.5338734999999994</v>
      </c>
      <c r="K1066" s="7"/>
      <c r="L1066" s="5">
        <f t="shared" ref="L1066:Q1066" si="58">SUM(L353:L364)</f>
        <v>336.95349999999996</v>
      </c>
      <c r="M1066" s="5">
        <f t="shared" si="58"/>
        <v>142.42920000000001</v>
      </c>
      <c r="N1066" s="5">
        <f t="shared" si="58"/>
        <v>58.377000000000002</v>
      </c>
      <c r="O1066" s="5">
        <f t="shared" si="58"/>
        <v>4.4226000000000001</v>
      </c>
      <c r="P1066" s="5">
        <f t="shared" si="58"/>
        <v>14.760600000000004</v>
      </c>
      <c r="Q1066" s="5">
        <f t="shared" si="58"/>
        <v>241.58220000000006</v>
      </c>
      <c r="R1066" s="5"/>
      <c r="S1066" s="6"/>
    </row>
    <row r="1067" spans="1:19" ht="15" customHeight="1">
      <c r="A1067" s="3">
        <f t="shared" si="44"/>
        <v>2045</v>
      </c>
      <c r="B1067" s="8">
        <f t="shared" ref="B1067:J1067" si="59">AVERAGE(B365:B376)</f>
        <v>7.0458539999999994</v>
      </c>
      <c r="C1067" s="8">
        <f t="shared" si="59"/>
        <v>7.0542490999999998</v>
      </c>
      <c r="D1067" s="8">
        <f t="shared" si="59"/>
        <v>7.0450031000000015</v>
      </c>
      <c r="E1067" s="8">
        <f t="shared" si="59"/>
        <v>7.0473012000000006</v>
      </c>
      <c r="F1067" s="4">
        <f t="shared" si="59"/>
        <v>7.8453784000000013</v>
      </c>
      <c r="G1067" s="8">
        <f t="shared" si="59"/>
        <v>6.8664950000000005</v>
      </c>
      <c r="H1067" s="4">
        <f t="shared" si="59"/>
        <v>7.5861352999999996</v>
      </c>
      <c r="I1067" s="8">
        <f t="shared" si="59"/>
        <v>6.8031197000000008</v>
      </c>
      <c r="J1067" s="4">
        <f t="shared" si="59"/>
        <v>6.7475097000000011</v>
      </c>
      <c r="K1067" s="7"/>
      <c r="L1067" s="5">
        <f t="shared" ref="L1067:Q1067" si="60">SUM(L365:L376)</f>
        <v>336.06969999999995</v>
      </c>
      <c r="M1067" s="5">
        <f t="shared" si="60"/>
        <v>142.0401</v>
      </c>
      <c r="N1067" s="5">
        <f t="shared" si="60"/>
        <v>58.217499999999994</v>
      </c>
      <c r="O1067" s="5">
        <f t="shared" si="60"/>
        <v>4.4104999999999999</v>
      </c>
      <c r="P1067" s="5">
        <f t="shared" si="60"/>
        <v>14.718800000000003</v>
      </c>
      <c r="Q1067" s="5">
        <f t="shared" si="60"/>
        <v>240.15570000000002</v>
      </c>
      <c r="R1067" s="5"/>
      <c r="S1067" s="6"/>
    </row>
    <row r="1068" spans="1:19" ht="15" customHeight="1">
      <c r="A1068" s="3">
        <f t="shared" si="44"/>
        <v>2046</v>
      </c>
      <c r="B1068" s="8">
        <f t="shared" ref="B1068:J1068" si="61">AVERAGE(B377:B388)</f>
        <v>7.2760928000000007</v>
      </c>
      <c r="C1068" s="8">
        <f t="shared" si="61"/>
        <v>7.2844879000000011</v>
      </c>
      <c r="D1068" s="8">
        <f t="shared" si="61"/>
        <v>7.2752486000000003</v>
      </c>
      <c r="E1068" s="8">
        <f t="shared" si="61"/>
        <v>7.2775332999999991</v>
      </c>
      <c r="F1068" s="4">
        <f t="shared" si="61"/>
        <v>8.0756172000000017</v>
      </c>
      <c r="G1068" s="8">
        <f t="shared" si="61"/>
        <v>7.0909182000000008</v>
      </c>
      <c r="H1068" s="4">
        <f t="shared" si="61"/>
        <v>7.8105718999999993</v>
      </c>
      <c r="I1068" s="8">
        <f t="shared" si="61"/>
        <v>7.0238377999999999</v>
      </c>
      <c r="J1068" s="4">
        <f t="shared" si="61"/>
        <v>6.968140700000002</v>
      </c>
      <c r="K1068" s="7"/>
      <c r="L1068" s="5">
        <f t="shared" ref="L1068:Q1068" si="62">SUM(L377:L388)</f>
        <v>336.06969999999995</v>
      </c>
      <c r="M1068" s="5">
        <f t="shared" si="62"/>
        <v>142.0401</v>
      </c>
      <c r="N1068" s="5">
        <f t="shared" si="62"/>
        <v>58.217499999999994</v>
      </c>
      <c r="O1068" s="5">
        <f t="shared" si="62"/>
        <v>4.4104999999999999</v>
      </c>
      <c r="P1068" s="5">
        <f t="shared" si="62"/>
        <v>14.718800000000003</v>
      </c>
      <c r="Q1068" s="5">
        <f t="shared" si="62"/>
        <v>239.38920000000005</v>
      </c>
      <c r="R1068" s="5"/>
      <c r="S1068" s="6"/>
    </row>
    <row r="1069" spans="1:19" ht="15" customHeight="1">
      <c r="A1069" s="3">
        <f t="shared" si="44"/>
        <v>2047</v>
      </c>
      <c r="B1069" s="8">
        <f t="shared" ref="B1069:J1069" si="63">AVERAGE(B389:B400)</f>
        <v>7.513875800000001</v>
      </c>
      <c r="C1069" s="8">
        <f t="shared" si="63"/>
        <v>7.522250800000001</v>
      </c>
      <c r="D1069" s="8">
        <f t="shared" si="63"/>
        <v>7.5130249000000005</v>
      </c>
      <c r="E1069" s="8">
        <f t="shared" si="63"/>
        <v>7.515309600000001</v>
      </c>
      <c r="F1069" s="4">
        <f t="shared" si="63"/>
        <v>8.3134002000000002</v>
      </c>
      <c r="G1069" s="8">
        <f t="shared" si="63"/>
        <v>7.3226912999999998</v>
      </c>
      <c r="H1069" s="4">
        <f t="shared" si="63"/>
        <v>8.0423449999999992</v>
      </c>
      <c r="I1069" s="8">
        <f t="shared" si="63"/>
        <v>7.2517918999999997</v>
      </c>
      <c r="J1069" s="4">
        <f t="shared" si="63"/>
        <v>7.195967500000001</v>
      </c>
      <c r="K1069" s="7"/>
      <c r="L1069" s="5">
        <f t="shared" ref="L1069:Q1069" si="64">SUM(L389:L400)</f>
        <v>336.06969999999995</v>
      </c>
      <c r="M1069" s="5">
        <f t="shared" si="64"/>
        <v>142.0401</v>
      </c>
      <c r="N1069" s="5">
        <f t="shared" si="64"/>
        <v>58.217499999999994</v>
      </c>
      <c r="O1069" s="5">
        <f t="shared" si="64"/>
        <v>4.4104999999999999</v>
      </c>
      <c r="P1069" s="5">
        <f t="shared" si="64"/>
        <v>14.718800000000003</v>
      </c>
      <c r="Q1069" s="5">
        <f t="shared" si="64"/>
        <v>238.62270000000004</v>
      </c>
      <c r="R1069" s="5"/>
      <c r="S1069" s="6"/>
    </row>
    <row r="1070" spans="1:19" ht="15" customHeight="1">
      <c r="A1070" s="3">
        <f t="shared" si="44"/>
        <v>2048</v>
      </c>
      <c r="B1070" s="8">
        <f t="shared" ref="B1070:J1070" si="65">AVERAGE(B401:B412)</f>
        <v>7.7594241000000013</v>
      </c>
      <c r="C1070" s="8">
        <f t="shared" si="65"/>
        <v>7.7678125000000007</v>
      </c>
      <c r="D1070" s="8">
        <f t="shared" si="65"/>
        <v>7.7585798999999982</v>
      </c>
      <c r="E1070" s="8">
        <f t="shared" si="65"/>
        <v>7.7608779999999991</v>
      </c>
      <c r="F1070" s="4">
        <f t="shared" si="65"/>
        <v>8.5589551999999998</v>
      </c>
      <c r="G1070" s="8">
        <f t="shared" si="65"/>
        <v>7.5620555000000005</v>
      </c>
      <c r="H1070" s="4">
        <f t="shared" si="65"/>
        <v>8.2817092000000017</v>
      </c>
      <c r="I1070" s="8">
        <f t="shared" si="65"/>
        <v>7.4872031000000012</v>
      </c>
      <c r="J1070" s="4">
        <f t="shared" si="65"/>
        <v>7.4312581</v>
      </c>
      <c r="K1070" s="7"/>
      <c r="L1070" s="5">
        <f t="shared" ref="L1070:Q1070" si="66">SUM(L401:L412)</f>
        <v>336.95349999999996</v>
      </c>
      <c r="M1070" s="5">
        <f t="shared" si="66"/>
        <v>142.42920000000001</v>
      </c>
      <c r="N1070" s="5">
        <f t="shared" si="66"/>
        <v>58.377000000000002</v>
      </c>
      <c r="O1070" s="5">
        <f t="shared" si="66"/>
        <v>4.4226000000000001</v>
      </c>
      <c r="P1070" s="5">
        <f t="shared" si="66"/>
        <v>14.760600000000004</v>
      </c>
      <c r="Q1070" s="5">
        <f t="shared" si="66"/>
        <v>238.50780000000003</v>
      </c>
      <c r="R1070" s="5"/>
      <c r="S1070" s="6"/>
    </row>
    <row r="1071" spans="1:19" ht="15" customHeight="1">
      <c r="A1071" s="3">
        <f t="shared" si="44"/>
        <v>2049</v>
      </c>
      <c r="B1071" s="8">
        <f t="shared" ref="B1071:J1071" si="67">AVERAGE(B413:B424)</f>
        <v>8.0129923000000005</v>
      </c>
      <c r="C1071" s="8">
        <f t="shared" si="67"/>
        <v>8.0214008000000003</v>
      </c>
      <c r="D1071" s="8">
        <f t="shared" si="67"/>
        <v>8.0121347000000025</v>
      </c>
      <c r="E1071" s="8">
        <f t="shared" si="67"/>
        <v>8.0144394999999999</v>
      </c>
      <c r="F1071" s="4">
        <f t="shared" si="67"/>
        <v>8.8125100000000014</v>
      </c>
      <c r="G1071" s="8">
        <f t="shared" si="67"/>
        <v>7.8092385999999996</v>
      </c>
      <c r="H1071" s="4">
        <f t="shared" si="67"/>
        <v>8.5288923000000008</v>
      </c>
      <c r="I1071" s="8">
        <f t="shared" si="67"/>
        <v>7.7302858000000008</v>
      </c>
      <c r="J1071" s="4">
        <f t="shared" si="67"/>
        <v>7.6742336000000009</v>
      </c>
      <c r="K1071" s="7"/>
      <c r="L1071" s="5">
        <f t="shared" ref="L1071:Q1071" si="68">SUM(L413:L424)</f>
        <v>336.06969999999995</v>
      </c>
      <c r="M1071" s="5">
        <f t="shared" si="68"/>
        <v>142.0401</v>
      </c>
      <c r="N1071" s="5">
        <f t="shared" si="68"/>
        <v>58.217499999999994</v>
      </c>
      <c r="O1071" s="5">
        <f t="shared" si="68"/>
        <v>4.4104999999999999</v>
      </c>
      <c r="P1071" s="5">
        <f t="shared" si="68"/>
        <v>14.718800000000003</v>
      </c>
      <c r="Q1071" s="5">
        <f t="shared" si="68"/>
        <v>237.08969999999999</v>
      </c>
      <c r="R1071" s="5"/>
      <c r="S1071" s="6"/>
    </row>
    <row r="1072" spans="1:19" ht="15" customHeight="1">
      <c r="A1072" s="3">
        <f t="shared" si="44"/>
        <v>2050</v>
      </c>
      <c r="B1072" s="8">
        <f t="shared" ref="B1072:J1072" si="69">AVERAGE(B425:B436)</f>
        <v>8.2748819000000022</v>
      </c>
      <c r="C1072" s="8">
        <f t="shared" si="69"/>
        <v>8.2832703000000016</v>
      </c>
      <c r="D1072" s="8">
        <f t="shared" si="69"/>
        <v>8.2740176000000023</v>
      </c>
      <c r="E1072" s="8">
        <f t="shared" si="69"/>
        <v>8.2763156999999996</v>
      </c>
      <c r="F1072" s="4">
        <f t="shared" si="69"/>
        <v>9.0743929000000012</v>
      </c>
      <c r="G1072" s="8">
        <f t="shared" si="69"/>
        <v>8.0644952000000014</v>
      </c>
      <c r="H1072" s="4">
        <f t="shared" si="69"/>
        <v>8.7841488999999999</v>
      </c>
      <c r="I1072" s="8">
        <f t="shared" si="69"/>
        <v>7.9813549000000004</v>
      </c>
      <c r="J1072" s="4">
        <f t="shared" si="69"/>
        <v>7.9251553000000001</v>
      </c>
      <c r="K1072" s="7"/>
      <c r="L1072" s="5">
        <f t="shared" ref="L1072:Q1072" si="70">SUM(L425:L436)</f>
        <v>336.06969999999995</v>
      </c>
      <c r="M1072" s="5">
        <f t="shared" si="70"/>
        <v>142.0401</v>
      </c>
      <c r="N1072" s="5">
        <f t="shared" si="70"/>
        <v>58.217499999999994</v>
      </c>
      <c r="O1072" s="5">
        <f t="shared" si="70"/>
        <v>4.4104999999999999</v>
      </c>
      <c r="P1072" s="5">
        <f t="shared" si="70"/>
        <v>14.718800000000003</v>
      </c>
      <c r="Q1072" s="5">
        <f t="shared" si="70"/>
        <v>236.32320000000004</v>
      </c>
      <c r="R1072" s="5"/>
      <c r="S1072" s="6"/>
    </row>
    <row r="1073" spans="1:19" ht="15" customHeight="1">
      <c r="A1073" s="3">
        <f t="shared" si="44"/>
        <v>2051</v>
      </c>
      <c r="B1073" s="8">
        <f t="shared" ref="B1073:J1073" si="71">AVERAGE(B437:B448)</f>
        <v>8.5453072999999993</v>
      </c>
      <c r="C1073" s="8">
        <f t="shared" si="71"/>
        <v>8.5537024000000006</v>
      </c>
      <c r="D1073" s="8">
        <f t="shared" si="71"/>
        <v>8.5444630999999998</v>
      </c>
      <c r="E1073" s="8">
        <f t="shared" si="71"/>
        <v>8.5467544999999987</v>
      </c>
      <c r="F1073" s="4">
        <f t="shared" si="71"/>
        <v>9.3448384000000004</v>
      </c>
      <c r="G1073" s="8">
        <f t="shared" si="71"/>
        <v>8.3281133999999994</v>
      </c>
      <c r="H1073" s="4">
        <f t="shared" si="71"/>
        <v>9.0477670999999997</v>
      </c>
      <c r="I1073" s="8">
        <f t="shared" si="71"/>
        <v>8.2406113999999988</v>
      </c>
      <c r="J1073" s="4">
        <f t="shared" si="71"/>
        <v>8.1842845000000022</v>
      </c>
      <c r="K1073" s="7"/>
      <c r="L1073" s="5">
        <f t="shared" ref="L1073:Q1073" si="72">SUM(L437:L448)</f>
        <v>336.06969999999995</v>
      </c>
      <c r="M1073" s="5">
        <f t="shared" si="72"/>
        <v>142.0401</v>
      </c>
      <c r="N1073" s="5">
        <f t="shared" si="72"/>
        <v>58.217499999999994</v>
      </c>
      <c r="O1073" s="5">
        <f t="shared" si="72"/>
        <v>4.4104999999999999</v>
      </c>
      <c r="P1073" s="5">
        <f t="shared" si="72"/>
        <v>14.718800000000003</v>
      </c>
      <c r="Q1073" s="5">
        <f t="shared" si="72"/>
        <v>235.57820000000007</v>
      </c>
      <c r="R1073" s="5"/>
      <c r="S1073" s="6"/>
    </row>
    <row r="1074" spans="1:19" ht="15" customHeight="1">
      <c r="A1074" s="3">
        <f t="shared" si="44"/>
        <v>2052</v>
      </c>
      <c r="B1074" s="8">
        <f t="shared" ref="B1074:J1074" si="73">AVERAGE(B449:B460)</f>
        <v>8.8245901000000018</v>
      </c>
      <c r="C1074" s="8">
        <f t="shared" si="73"/>
        <v>8.832971800000001</v>
      </c>
      <c r="D1074" s="8">
        <f t="shared" si="73"/>
        <v>8.8237392000000003</v>
      </c>
      <c r="E1074" s="8">
        <f t="shared" si="73"/>
        <v>8.8260372999999994</v>
      </c>
      <c r="F1074" s="4">
        <f t="shared" si="73"/>
        <v>9.6241144999999992</v>
      </c>
      <c r="G1074" s="8">
        <f t="shared" si="73"/>
        <v>8.6003477999999998</v>
      </c>
      <c r="H1074" s="4">
        <f t="shared" si="73"/>
        <v>9.3200081999999984</v>
      </c>
      <c r="I1074" s="8">
        <f t="shared" si="73"/>
        <v>8.5083634999999997</v>
      </c>
      <c r="J1074" s="4">
        <f t="shared" si="73"/>
        <v>8.4519026000000022</v>
      </c>
      <c r="K1074" s="7"/>
      <c r="L1074" s="5">
        <f t="shared" ref="L1074:Q1074" si="74">SUM(L449:L460)</f>
        <v>336.95349999999996</v>
      </c>
      <c r="M1074" s="5">
        <f t="shared" si="74"/>
        <v>142.42920000000001</v>
      </c>
      <c r="N1074" s="5">
        <f t="shared" si="74"/>
        <v>58.377000000000002</v>
      </c>
      <c r="O1074" s="5">
        <f t="shared" si="74"/>
        <v>4.4226000000000001</v>
      </c>
      <c r="P1074" s="5">
        <f t="shared" si="74"/>
        <v>14.760600000000004</v>
      </c>
      <c r="Q1074" s="5">
        <f t="shared" si="74"/>
        <v>235.45500000000004</v>
      </c>
      <c r="R1074" s="5"/>
      <c r="S1074" s="6"/>
    </row>
    <row r="1075" spans="1:19" ht="15" customHeight="1">
      <c r="A1075" s="3">
        <f t="shared" si="44"/>
        <v>2053</v>
      </c>
      <c r="B1075" s="8">
        <f t="shared" ref="B1075:J1075" si="75">AVERAGE(B461:B472)</f>
        <v>9.1130049999999994</v>
      </c>
      <c r="C1075" s="8">
        <f t="shared" si="75"/>
        <v>9.1214001000000007</v>
      </c>
      <c r="D1075" s="8">
        <f t="shared" si="75"/>
        <v>9.1121608000000016</v>
      </c>
      <c r="E1075" s="8">
        <f t="shared" si="75"/>
        <v>9.1144522000000023</v>
      </c>
      <c r="F1075" s="4">
        <f t="shared" si="75"/>
        <v>9.9125160000000001</v>
      </c>
      <c r="G1075" s="8">
        <f t="shared" si="75"/>
        <v>8.8814931999999995</v>
      </c>
      <c r="H1075" s="4">
        <f t="shared" si="75"/>
        <v>9.6011536</v>
      </c>
      <c r="I1075" s="8">
        <f t="shared" si="75"/>
        <v>8.7848524000000001</v>
      </c>
      <c r="J1075" s="4">
        <f t="shared" si="75"/>
        <v>8.7282709000000001</v>
      </c>
      <c r="K1075" s="7"/>
      <c r="L1075" s="5">
        <f t="shared" ref="L1075:Q1075" si="76">SUM(L461:L472)</f>
        <v>336.06969999999995</v>
      </c>
      <c r="M1075" s="5">
        <f t="shared" si="76"/>
        <v>142.0401</v>
      </c>
      <c r="N1075" s="5">
        <f t="shared" si="76"/>
        <v>58.217499999999994</v>
      </c>
      <c r="O1075" s="5">
        <f t="shared" si="76"/>
        <v>4.4104999999999999</v>
      </c>
      <c r="P1075" s="5">
        <f t="shared" si="76"/>
        <v>14.718800000000003</v>
      </c>
      <c r="Q1075" s="5">
        <f t="shared" si="76"/>
        <v>234.04520000000002</v>
      </c>
      <c r="R1075" s="5"/>
      <c r="S1075" s="6"/>
    </row>
    <row r="1076" spans="1:19" ht="15" customHeight="1">
      <c r="A1076" s="3">
        <f t="shared" si="44"/>
        <v>2054</v>
      </c>
      <c r="B1076" s="8">
        <f t="shared" ref="B1076:J1076" si="77">AVERAGE(B473:B484)</f>
        <v>9.4108468000000016</v>
      </c>
      <c r="C1076" s="8">
        <f t="shared" si="77"/>
        <v>9.4192351999999993</v>
      </c>
      <c r="D1076" s="8">
        <f t="shared" si="77"/>
        <v>9.4099959000000002</v>
      </c>
      <c r="E1076" s="8">
        <f t="shared" si="77"/>
        <v>9.4122873000000009</v>
      </c>
      <c r="F1076" s="4">
        <f t="shared" si="77"/>
        <v>10.210357800000001</v>
      </c>
      <c r="G1076" s="8">
        <f t="shared" si="77"/>
        <v>9.1718176000000007</v>
      </c>
      <c r="H1076" s="4">
        <f t="shared" si="77"/>
        <v>9.891471300000001</v>
      </c>
      <c r="I1076" s="8">
        <f t="shared" si="77"/>
        <v>9.070393000000001</v>
      </c>
      <c r="J1076" s="4">
        <f t="shared" si="77"/>
        <v>9.0136507000000012</v>
      </c>
      <c r="K1076" s="7"/>
      <c r="L1076" s="5">
        <f t="shared" ref="L1076:Q1076" si="78">SUM(L473:L484)</f>
        <v>336.06969999999995</v>
      </c>
      <c r="M1076" s="5">
        <f t="shared" si="78"/>
        <v>142.0401</v>
      </c>
      <c r="N1076" s="5">
        <f t="shared" si="78"/>
        <v>58.217499999999994</v>
      </c>
      <c r="O1076" s="5">
        <f t="shared" si="78"/>
        <v>4.4104999999999999</v>
      </c>
      <c r="P1076" s="5">
        <f t="shared" si="78"/>
        <v>14.718800000000003</v>
      </c>
      <c r="Q1076" s="5">
        <f t="shared" si="78"/>
        <v>233.30079999999998</v>
      </c>
      <c r="R1076" s="5"/>
      <c r="S1076" s="6"/>
    </row>
    <row r="1077" spans="1:19" ht="15" customHeight="1">
      <c r="A1077" s="3">
        <f t="shared" si="44"/>
        <v>2055</v>
      </c>
      <c r="B1077" s="8">
        <f t="shared" ref="B1077:J1077" si="79">AVERAGE(B485:B496)</f>
        <v>9.7184371000000009</v>
      </c>
      <c r="C1077" s="8">
        <f t="shared" si="79"/>
        <v>9.726818800000002</v>
      </c>
      <c r="D1077" s="8">
        <f t="shared" si="79"/>
        <v>9.7175929000000014</v>
      </c>
      <c r="E1077" s="8">
        <f t="shared" si="79"/>
        <v>9.7198843000000021</v>
      </c>
      <c r="F1077" s="4">
        <f t="shared" si="79"/>
        <v>10.517961500000002</v>
      </c>
      <c r="G1077" s="8">
        <f t="shared" si="79"/>
        <v>9.4716560000000012</v>
      </c>
      <c r="H1077" s="4">
        <f t="shared" si="79"/>
        <v>10.191303000000001</v>
      </c>
      <c r="I1077" s="8">
        <f t="shared" si="79"/>
        <v>9.3652801000000014</v>
      </c>
      <c r="J1077" s="4">
        <f t="shared" si="79"/>
        <v>9.3083770000000001</v>
      </c>
      <c r="K1077" s="7"/>
      <c r="L1077" s="5">
        <f t="shared" ref="L1077:Q1077" si="80">SUM(L485:L496)</f>
        <v>336.06969999999995</v>
      </c>
      <c r="M1077" s="5">
        <f t="shared" si="80"/>
        <v>142.0401</v>
      </c>
      <c r="N1077" s="5">
        <f t="shared" si="80"/>
        <v>58.217499999999994</v>
      </c>
      <c r="O1077" s="5">
        <f t="shared" si="80"/>
        <v>4.4104999999999999</v>
      </c>
      <c r="P1077" s="5">
        <f t="shared" si="80"/>
        <v>14.718800000000003</v>
      </c>
      <c r="Q1077" s="5">
        <f t="shared" si="80"/>
        <v>232.55579999999998</v>
      </c>
      <c r="R1077" s="5"/>
      <c r="S1077" s="6"/>
    </row>
    <row r="1078" spans="1:19" ht="15" customHeight="1">
      <c r="A1078" s="3">
        <f t="shared" si="44"/>
        <v>2056</v>
      </c>
      <c r="B1078" s="8">
        <f t="shared" ref="B1078:J1078" si="81">AVERAGE(B497:B508)</f>
        <v>10.0360908</v>
      </c>
      <c r="C1078" s="8">
        <f t="shared" si="81"/>
        <v>10.044472500000001</v>
      </c>
      <c r="D1078" s="8">
        <f t="shared" si="81"/>
        <v>10.035239900000001</v>
      </c>
      <c r="E1078" s="8">
        <f t="shared" si="81"/>
        <v>10.037531299999999</v>
      </c>
      <c r="F1078" s="4">
        <f t="shared" si="81"/>
        <v>10.835608500000001</v>
      </c>
      <c r="G1078" s="8">
        <f t="shared" si="81"/>
        <v>9.7812764000000012</v>
      </c>
      <c r="H1078" s="4">
        <f t="shared" si="81"/>
        <v>10.5009368</v>
      </c>
      <c r="I1078" s="8">
        <f t="shared" si="81"/>
        <v>9.6697883999999998</v>
      </c>
      <c r="J1078" s="4">
        <f t="shared" si="81"/>
        <v>9.612744600000001</v>
      </c>
      <c r="K1078" s="7"/>
      <c r="L1078" s="5">
        <f t="shared" ref="L1078:Q1078" si="82">SUM(L497:L508)</f>
        <v>336.95349999999996</v>
      </c>
      <c r="M1078" s="5">
        <f t="shared" si="82"/>
        <v>142.42920000000001</v>
      </c>
      <c r="N1078" s="5">
        <f t="shared" si="82"/>
        <v>58.377000000000002</v>
      </c>
      <c r="O1078" s="5">
        <f t="shared" si="82"/>
        <v>4.4226000000000001</v>
      </c>
      <c r="P1078" s="5">
        <f t="shared" si="82"/>
        <v>14.760600000000004</v>
      </c>
      <c r="Q1078" s="5">
        <f t="shared" si="82"/>
        <v>232.44659999999996</v>
      </c>
      <c r="R1078" s="5"/>
      <c r="S1078" s="6"/>
    </row>
    <row r="1079" spans="1:19" ht="15" customHeight="1">
      <c r="A1079" s="3">
        <f t="shared" si="44"/>
        <v>2057</v>
      </c>
      <c r="B1079" s="8">
        <f t="shared" ref="B1079:J1079" si="83">AVERAGE(B509:B520)</f>
        <v>10.364122799999999</v>
      </c>
      <c r="C1079" s="8">
        <f t="shared" si="83"/>
        <v>10.3725112</v>
      </c>
      <c r="D1079" s="8">
        <f t="shared" si="83"/>
        <v>10.363265200000001</v>
      </c>
      <c r="E1079" s="8">
        <f t="shared" si="83"/>
        <v>10.3655633</v>
      </c>
      <c r="F1079" s="4">
        <f t="shared" si="83"/>
        <v>11.1636539</v>
      </c>
      <c r="G1079" s="8">
        <f t="shared" si="83"/>
        <v>10.101033899999999</v>
      </c>
      <c r="H1079" s="4">
        <f t="shared" si="83"/>
        <v>10.820707700000002</v>
      </c>
      <c r="I1079" s="8">
        <f t="shared" si="83"/>
        <v>9.9842596000000015</v>
      </c>
      <c r="J1079" s="4">
        <f t="shared" si="83"/>
        <v>9.9270751000000015</v>
      </c>
      <c r="K1079" s="7"/>
      <c r="L1079" s="5">
        <f t="shared" ref="L1079:Q1079" si="84">SUM(L509:L520)</f>
        <v>336.06969999999995</v>
      </c>
      <c r="M1079" s="5">
        <f t="shared" si="84"/>
        <v>142.0401</v>
      </c>
      <c r="N1079" s="5">
        <f t="shared" si="84"/>
        <v>58.217499999999994</v>
      </c>
      <c r="O1079" s="5">
        <f t="shared" si="84"/>
        <v>4.4104999999999999</v>
      </c>
      <c r="P1079" s="5">
        <f t="shared" si="84"/>
        <v>14.718800000000003</v>
      </c>
      <c r="Q1079" s="5">
        <f t="shared" si="84"/>
        <v>231.81149999999997</v>
      </c>
      <c r="R1079" s="5"/>
      <c r="S1079" s="6"/>
    </row>
    <row r="1080" spans="1:19" ht="15" customHeight="1">
      <c r="A1080" s="3">
        <f t="shared" si="44"/>
        <v>2058</v>
      </c>
      <c r="B1080" s="8">
        <f t="shared" ref="B1080:J1080" si="85">AVERAGE(B521:B532)</f>
        <v>10.702881500000002</v>
      </c>
      <c r="C1080" s="8">
        <f t="shared" si="85"/>
        <v>10.711263200000003</v>
      </c>
      <c r="D1080" s="8">
        <f t="shared" si="85"/>
        <v>10.702037300000001</v>
      </c>
      <c r="E1080" s="8">
        <f t="shared" si="85"/>
        <v>10.704321999999999</v>
      </c>
      <c r="F1080" s="4">
        <f t="shared" si="85"/>
        <v>11.5024126</v>
      </c>
      <c r="G1080" s="8">
        <f t="shared" si="85"/>
        <v>10.431270200000002</v>
      </c>
      <c r="H1080" s="4">
        <f t="shared" si="85"/>
        <v>11.150910500000002</v>
      </c>
      <c r="I1080" s="8">
        <f t="shared" si="85"/>
        <v>10.309035400000001</v>
      </c>
      <c r="J1080" s="4">
        <f t="shared" si="85"/>
        <v>10.251683400000003</v>
      </c>
      <c r="K1080" s="7"/>
      <c r="L1080" s="5">
        <f t="shared" ref="L1080:Q1080" si="86">SUM(L521:L532)</f>
        <v>336.06969999999995</v>
      </c>
      <c r="M1080" s="5">
        <f t="shared" si="86"/>
        <v>142.0401</v>
      </c>
      <c r="N1080" s="5">
        <f t="shared" si="86"/>
        <v>58.217499999999994</v>
      </c>
      <c r="O1080" s="5">
        <f t="shared" si="86"/>
        <v>4.4104999999999999</v>
      </c>
      <c r="P1080" s="5">
        <f t="shared" si="86"/>
        <v>14.718800000000003</v>
      </c>
      <c r="Q1080" s="5">
        <f t="shared" si="86"/>
        <v>231.81149999999997</v>
      </c>
      <c r="R1080" s="5"/>
      <c r="S1080" s="6"/>
    </row>
    <row r="1081" spans="1:19" ht="15" customHeight="1">
      <c r="A1081" s="3">
        <f t="shared" si="44"/>
        <v>2059</v>
      </c>
      <c r="B1081" s="8">
        <f t="shared" ref="B1081:J1081" si="87">AVERAGE(B533:B544)</f>
        <v>11.052715300000001</v>
      </c>
      <c r="C1081" s="8">
        <f t="shared" si="87"/>
        <v>11.061123800000003</v>
      </c>
      <c r="D1081" s="8">
        <f t="shared" si="87"/>
        <v>11.051871100000001</v>
      </c>
      <c r="E1081" s="8">
        <f t="shared" si="87"/>
        <v>11.054169200000002</v>
      </c>
      <c r="F1081" s="4">
        <f t="shared" si="87"/>
        <v>11.852232999999998</v>
      </c>
      <c r="G1081" s="8">
        <f t="shared" si="87"/>
        <v>10.772273400000001</v>
      </c>
      <c r="H1081" s="4">
        <f t="shared" si="87"/>
        <v>11.4919204</v>
      </c>
      <c r="I1081" s="8">
        <f t="shared" si="87"/>
        <v>10.644423999999999</v>
      </c>
      <c r="J1081" s="4">
        <f t="shared" si="87"/>
        <v>10.586897799999999</v>
      </c>
      <c r="K1081" s="4"/>
      <c r="L1081" s="5">
        <f>SUM(L533:L544)</f>
        <v>336.06969999999995</v>
      </c>
      <c r="M1081" s="5">
        <f>SUM(M533:M544)</f>
        <v>142.0401</v>
      </c>
      <c r="N1081" s="5">
        <f>SUM(N533:N544)</f>
        <v>58.217499999999994</v>
      </c>
      <c r="O1081" s="5">
        <f>SUM(O522:O533)</f>
        <v>4.4104999999999999</v>
      </c>
      <c r="P1081" s="5">
        <f>SUM(P533:P544)</f>
        <v>14.718800000000003</v>
      </c>
      <c r="Q1081" s="5">
        <f>SUM(Q533:Q544)</f>
        <v>231.81149999999997</v>
      </c>
      <c r="R1081" s="5"/>
      <c r="S1081" s="4"/>
    </row>
    <row r="1082" spans="1:19" ht="15" customHeight="1">
      <c r="A1082" s="3">
        <f t="shared" si="44"/>
        <v>2060</v>
      </c>
      <c r="B1082" s="8">
        <f t="shared" ref="B1082:J1082" si="88">AVERAGE(B545:B556)</f>
        <v>11.414019500000002</v>
      </c>
      <c r="C1082" s="8">
        <f t="shared" si="88"/>
        <v>11.422394500000003</v>
      </c>
      <c r="D1082" s="8">
        <f t="shared" si="88"/>
        <v>11.413168600000001</v>
      </c>
      <c r="E1082" s="8">
        <f t="shared" si="88"/>
        <v>11.415466699999998</v>
      </c>
      <c r="F1082" s="4">
        <f t="shared" si="88"/>
        <v>12.213530499999999</v>
      </c>
      <c r="G1082" s="8">
        <f t="shared" si="88"/>
        <v>11.1244321</v>
      </c>
      <c r="H1082" s="4">
        <f t="shared" si="88"/>
        <v>11.8440992</v>
      </c>
      <c r="I1082" s="8">
        <f t="shared" si="88"/>
        <v>10.990773799999999</v>
      </c>
      <c r="J1082" s="4">
        <f t="shared" si="88"/>
        <v>10.9330801</v>
      </c>
      <c r="K1082" s="7"/>
      <c r="L1082" s="5">
        <f>SUM(L545:L556)</f>
        <v>336.95349999999996</v>
      </c>
      <c r="M1082" s="5">
        <f>SUM(M545:M556)</f>
        <v>142.42920000000001</v>
      </c>
      <c r="N1082" s="5">
        <f>SUM(N545:N556)</f>
        <v>58.377000000000002</v>
      </c>
      <c r="O1082" s="5">
        <f>SUM(O523:O534)</f>
        <v>4.4104999999999999</v>
      </c>
      <c r="P1082" s="5">
        <f>SUM(P545:P556)</f>
        <v>14.760600000000004</v>
      </c>
      <c r="Q1082" s="5">
        <f>SUM(Q545:Q556)</f>
        <v>232.44659999999996</v>
      </c>
      <c r="R1082" s="5"/>
      <c r="S1082" s="6"/>
    </row>
    <row r="1083" spans="1:19" ht="15" customHeight="1">
      <c r="A1083" s="3">
        <f t="shared" si="44"/>
        <v>2061</v>
      </c>
      <c r="B1083" s="8">
        <f t="shared" ref="B1083:J1083" si="89">AVERAGE(B557:B568)</f>
        <v>11.787115700000001</v>
      </c>
      <c r="C1083" s="8">
        <f t="shared" si="89"/>
        <v>11.7954974</v>
      </c>
      <c r="D1083" s="8">
        <f t="shared" si="89"/>
        <v>11.7862581</v>
      </c>
      <c r="E1083" s="8">
        <f t="shared" si="89"/>
        <v>11.788556200000002</v>
      </c>
      <c r="F1083" s="4">
        <f t="shared" si="89"/>
        <v>12.586640100000002</v>
      </c>
      <c r="G1083" s="8">
        <f t="shared" si="89"/>
        <v>11.4881282</v>
      </c>
      <c r="H1083" s="4">
        <f t="shared" si="89"/>
        <v>12.207781900000001</v>
      </c>
      <c r="I1083" s="8">
        <f t="shared" si="89"/>
        <v>11.348460000000001</v>
      </c>
      <c r="J1083" s="4">
        <f t="shared" si="89"/>
        <v>11.290585399999999</v>
      </c>
      <c r="K1083" s="7"/>
      <c r="L1083" s="5">
        <f>SUM(L557:L568)</f>
        <v>336.06969999999995</v>
      </c>
      <c r="M1083" s="5">
        <f>SUM(M557:M568)</f>
        <v>142.0401</v>
      </c>
      <c r="N1083" s="5">
        <f>SUM(N557:N568)</f>
        <v>58.217499999999994</v>
      </c>
      <c r="O1083" s="5">
        <f>SUM(O524:O535)</f>
        <v>4.4104999999999999</v>
      </c>
      <c r="P1083" s="5">
        <f>SUM(P557:P568)</f>
        <v>14.718800000000003</v>
      </c>
      <c r="Q1083" s="5">
        <f>SUM(Q557:Q568)</f>
        <v>231.81149999999997</v>
      </c>
      <c r="R1083" s="5"/>
      <c r="S1083" s="6"/>
    </row>
    <row r="1084" spans="1:19" ht="15" customHeight="1">
      <c r="A1084" s="3">
        <f t="shared" si="44"/>
        <v>2062</v>
      </c>
      <c r="B1084" s="4">
        <f t="shared" ref="B1084:J1093" ca="1" si="90">AVERAGE(OFFSET(B$569,($A1084-$A$1084)*12,0,12,1))</f>
        <v>12.172399200000001</v>
      </c>
      <c r="C1084" s="4">
        <f t="shared" ca="1" si="90"/>
        <v>12.180807700000001</v>
      </c>
      <c r="D1084" s="4">
        <f t="shared" ca="1" si="90"/>
        <v>12.171548300000003</v>
      </c>
      <c r="E1084" s="4">
        <f t="shared" ca="1" si="90"/>
        <v>12.1738397</v>
      </c>
      <c r="F1084" s="4">
        <f t="shared" ca="1" si="90"/>
        <v>12.971916900000002</v>
      </c>
      <c r="G1084" s="4">
        <f t="shared" ca="1" si="90"/>
        <v>11.863690000000004</v>
      </c>
      <c r="H1084" s="4">
        <f t="shared" ca="1" si="90"/>
        <v>12.583357100000002</v>
      </c>
      <c r="I1084" s="4">
        <f t="shared" ca="1" si="90"/>
        <v>11.717837700000002</v>
      </c>
      <c r="J1084" s="4">
        <f t="shared" ca="1" si="90"/>
        <v>11.6597822</v>
      </c>
      <c r="K1084" s="4"/>
      <c r="L1084" s="5">
        <f t="shared" ref="L1084:Q1093" ca="1" si="91">SUM(OFFSET(L$569,($A1084-$A$1084)*12,0,12,1))</f>
        <v>336.06969999999995</v>
      </c>
      <c r="M1084" s="5">
        <f t="shared" ca="1" si="91"/>
        <v>142.0401</v>
      </c>
      <c r="N1084" s="5">
        <f t="shared" ca="1" si="91"/>
        <v>58.217499999999994</v>
      </c>
      <c r="O1084" s="5">
        <f t="shared" ca="1" si="91"/>
        <v>4.4104999999999999</v>
      </c>
      <c r="P1084" s="5">
        <f t="shared" ca="1" si="91"/>
        <v>14.718800000000003</v>
      </c>
      <c r="Q1084" s="5">
        <f t="shared" ca="1" si="91"/>
        <v>231.81149999999997</v>
      </c>
      <c r="R1084" s="4"/>
      <c r="S1084" s="4"/>
    </row>
    <row r="1085" spans="1:19" ht="15" customHeight="1">
      <c r="A1085" s="3">
        <f t="shared" si="44"/>
        <v>2063</v>
      </c>
      <c r="B1085" s="4">
        <f t="shared" ca="1" si="90"/>
        <v>12.570305500000002</v>
      </c>
      <c r="C1085" s="4">
        <f t="shared" ca="1" si="90"/>
        <v>12.578693899999999</v>
      </c>
      <c r="D1085" s="4">
        <f t="shared" ca="1" si="90"/>
        <v>12.5694546</v>
      </c>
      <c r="E1085" s="4">
        <f t="shared" ca="1" si="90"/>
        <v>12.571745999999999</v>
      </c>
      <c r="F1085" s="4">
        <f t="shared" ca="1" si="90"/>
        <v>13.369823199999999</v>
      </c>
      <c r="G1085" s="4">
        <f t="shared" ca="1" si="90"/>
        <v>12.2515664</v>
      </c>
      <c r="H1085" s="4">
        <f t="shared" ca="1" si="90"/>
        <v>12.971220099999998</v>
      </c>
      <c r="I1085" s="4">
        <f t="shared" ca="1" si="90"/>
        <v>12.099302200000002</v>
      </c>
      <c r="J1085" s="4">
        <f t="shared" ca="1" si="90"/>
        <v>12.041039</v>
      </c>
      <c r="K1085" s="4"/>
      <c r="L1085" s="5">
        <f t="shared" ca="1" si="91"/>
        <v>336.06969999999995</v>
      </c>
      <c r="M1085" s="5">
        <f t="shared" ca="1" si="91"/>
        <v>142.0401</v>
      </c>
      <c r="N1085" s="5">
        <f t="shared" ca="1" si="91"/>
        <v>58.217499999999994</v>
      </c>
      <c r="O1085" s="5">
        <f t="shared" ca="1" si="91"/>
        <v>4.4104999999999999</v>
      </c>
      <c r="P1085" s="5">
        <f t="shared" ca="1" si="91"/>
        <v>14.718800000000003</v>
      </c>
      <c r="Q1085" s="5">
        <f t="shared" ca="1" si="91"/>
        <v>231.81149999999997</v>
      </c>
      <c r="R1085" s="4"/>
      <c r="S1085" s="4"/>
    </row>
    <row r="1086" spans="1:19" ht="15" customHeight="1">
      <c r="A1086" s="3">
        <f t="shared" si="44"/>
        <v>2064</v>
      </c>
      <c r="B1086" s="4">
        <f t="shared" ca="1" si="90"/>
        <v>12.981229900000001</v>
      </c>
      <c r="C1086" s="4">
        <f t="shared" ca="1" si="90"/>
        <v>12.989618300000002</v>
      </c>
      <c r="D1086" s="4">
        <f t="shared" ca="1" si="90"/>
        <v>12.980378999999999</v>
      </c>
      <c r="E1086" s="4">
        <f t="shared" ca="1" si="90"/>
        <v>12.982670400000003</v>
      </c>
      <c r="F1086" s="4">
        <f t="shared" ca="1" si="90"/>
        <v>13.780754300000003</v>
      </c>
      <c r="G1086" s="4">
        <f t="shared" ca="1" si="90"/>
        <v>12.652125900000001</v>
      </c>
      <c r="H1086" s="4">
        <f t="shared" ca="1" si="90"/>
        <v>13.371779600000002</v>
      </c>
      <c r="I1086" s="4">
        <f t="shared" ca="1" si="90"/>
        <v>12.493235399999998</v>
      </c>
      <c r="J1086" s="4">
        <f t="shared" ca="1" si="90"/>
        <v>12.4347846</v>
      </c>
      <c r="K1086" s="4"/>
      <c r="L1086" s="5">
        <f t="shared" ca="1" si="91"/>
        <v>336.95349999999996</v>
      </c>
      <c r="M1086" s="5">
        <f t="shared" ca="1" si="91"/>
        <v>142.42920000000001</v>
      </c>
      <c r="N1086" s="5">
        <f t="shared" ca="1" si="91"/>
        <v>58.377000000000002</v>
      </c>
      <c r="O1086" s="5">
        <f t="shared" ca="1" si="91"/>
        <v>4.4226000000000001</v>
      </c>
      <c r="P1086" s="5">
        <f t="shared" ca="1" si="91"/>
        <v>14.760600000000004</v>
      </c>
      <c r="Q1086" s="5">
        <f t="shared" ca="1" si="91"/>
        <v>232.44659999999996</v>
      </c>
      <c r="R1086" s="4"/>
      <c r="S1086" s="4"/>
    </row>
    <row r="1087" spans="1:19" ht="15" customHeight="1">
      <c r="A1087" s="3">
        <f t="shared" si="44"/>
        <v>2065</v>
      </c>
      <c r="B1087" s="4">
        <f t="shared" ca="1" si="90"/>
        <v>13.405581100000001</v>
      </c>
      <c r="C1087" s="4">
        <f t="shared" ca="1" si="90"/>
        <v>13.413956100000002</v>
      </c>
      <c r="D1087" s="4">
        <f t="shared" ca="1" si="90"/>
        <v>13.404730200000001</v>
      </c>
      <c r="E1087" s="4">
        <f t="shared" ca="1" si="90"/>
        <v>13.407028300000002</v>
      </c>
      <c r="F1087" s="4">
        <f t="shared" ca="1" si="90"/>
        <v>14.205092100000002</v>
      </c>
      <c r="G1087" s="4">
        <f t="shared" ca="1" si="90"/>
        <v>13.065757100000004</v>
      </c>
      <c r="H1087" s="4">
        <f t="shared" ca="1" si="90"/>
        <v>13.785424200000001</v>
      </c>
      <c r="I1087" s="4">
        <f t="shared" ca="1" si="90"/>
        <v>12.900052700000002</v>
      </c>
      <c r="J1087" s="4">
        <f t="shared" ca="1" si="90"/>
        <v>12.841400899999998</v>
      </c>
      <c r="K1087" s="4"/>
      <c r="L1087" s="5">
        <f t="shared" ca="1" si="91"/>
        <v>336.06969999999995</v>
      </c>
      <c r="M1087" s="5">
        <f t="shared" ca="1" si="91"/>
        <v>142.0401</v>
      </c>
      <c r="N1087" s="5">
        <f t="shared" ca="1" si="91"/>
        <v>58.217499999999994</v>
      </c>
      <c r="O1087" s="5">
        <f t="shared" ca="1" si="91"/>
        <v>4.4104999999999999</v>
      </c>
      <c r="P1087" s="5">
        <f t="shared" ca="1" si="91"/>
        <v>14.718800000000003</v>
      </c>
      <c r="Q1087" s="5">
        <f t="shared" ca="1" si="91"/>
        <v>231.81149999999997</v>
      </c>
      <c r="R1087" s="4"/>
      <c r="S1087" s="4"/>
    </row>
    <row r="1088" spans="1:19" ht="15" customHeight="1">
      <c r="A1088" s="3">
        <f t="shared" si="44"/>
        <v>2066</v>
      </c>
      <c r="B1088" s="4">
        <f t="shared" ca="1" si="90"/>
        <v>13.843814700000005</v>
      </c>
      <c r="C1088" s="4">
        <f t="shared" ca="1" si="90"/>
        <v>13.852189700000004</v>
      </c>
      <c r="D1088" s="4">
        <f t="shared" ca="1" si="90"/>
        <v>13.8429638</v>
      </c>
      <c r="E1088" s="4">
        <f t="shared" ca="1" si="90"/>
        <v>13.845255200000002</v>
      </c>
      <c r="F1088" s="4">
        <f t="shared" ca="1" si="90"/>
        <v>14.643319</v>
      </c>
      <c r="G1088" s="4">
        <f t="shared" ca="1" si="90"/>
        <v>13.492935699999999</v>
      </c>
      <c r="H1088" s="4">
        <f t="shared" ca="1" si="90"/>
        <v>14.212609499999999</v>
      </c>
      <c r="I1088" s="4">
        <f t="shared" ca="1" si="90"/>
        <v>13.320176200000001</v>
      </c>
      <c r="J1088" s="4">
        <f t="shared" ca="1" si="90"/>
        <v>13.261309999999996</v>
      </c>
      <c r="K1088" s="4"/>
      <c r="L1088" s="5">
        <f t="shared" ca="1" si="91"/>
        <v>336.06969999999995</v>
      </c>
      <c r="M1088" s="5">
        <f t="shared" ca="1" si="91"/>
        <v>142.0401</v>
      </c>
      <c r="N1088" s="5">
        <f t="shared" ca="1" si="91"/>
        <v>58.217499999999994</v>
      </c>
      <c r="O1088" s="5">
        <f t="shared" ca="1" si="91"/>
        <v>4.4104999999999999</v>
      </c>
      <c r="P1088" s="5">
        <f t="shared" ca="1" si="91"/>
        <v>14.718800000000003</v>
      </c>
      <c r="Q1088" s="5">
        <f t="shared" ca="1" si="91"/>
        <v>231.81149999999997</v>
      </c>
      <c r="R1088" s="4"/>
      <c r="S1088" s="4"/>
    </row>
    <row r="1089" spans="1:19" ht="15" customHeight="1">
      <c r="A1089" s="3">
        <f t="shared" si="44"/>
        <v>2067</v>
      </c>
      <c r="B1089" s="4">
        <f t="shared" ca="1" si="90"/>
        <v>14.2963662</v>
      </c>
      <c r="C1089" s="4">
        <f t="shared" ca="1" si="90"/>
        <v>14.304761299999997</v>
      </c>
      <c r="D1089" s="4">
        <f t="shared" ca="1" si="90"/>
        <v>14.2955153</v>
      </c>
      <c r="E1089" s="4">
        <f t="shared" ca="1" si="90"/>
        <v>14.297820100000001</v>
      </c>
      <c r="F1089" s="4">
        <f t="shared" ca="1" si="90"/>
        <v>15.095877200000002</v>
      </c>
      <c r="G1089" s="4">
        <f t="shared" ca="1" si="90"/>
        <v>13.934083799999998</v>
      </c>
      <c r="H1089" s="4">
        <f t="shared" ca="1" si="90"/>
        <v>14.6537375</v>
      </c>
      <c r="I1089" s="4">
        <f t="shared" ca="1" si="90"/>
        <v>13.754041400000004</v>
      </c>
      <c r="J1089" s="4">
        <f t="shared" ca="1" si="90"/>
        <v>13.694947399999998</v>
      </c>
      <c r="K1089" s="4"/>
      <c r="L1089" s="5">
        <f t="shared" ca="1" si="91"/>
        <v>336.06969999999995</v>
      </c>
      <c r="M1089" s="5">
        <f t="shared" ca="1" si="91"/>
        <v>142.0401</v>
      </c>
      <c r="N1089" s="5">
        <f t="shared" ca="1" si="91"/>
        <v>58.217499999999994</v>
      </c>
      <c r="O1089" s="5">
        <f t="shared" ca="1" si="91"/>
        <v>4.4104999999999999</v>
      </c>
      <c r="P1089" s="5">
        <f t="shared" ca="1" si="91"/>
        <v>14.718800000000003</v>
      </c>
      <c r="Q1089" s="5">
        <f t="shared" ca="1" si="91"/>
        <v>231.81149999999997</v>
      </c>
      <c r="R1089" s="4"/>
      <c r="S1089" s="4"/>
    </row>
    <row r="1090" spans="1:19" ht="15" customHeight="1">
      <c r="A1090" s="3">
        <f t="shared" si="44"/>
        <v>2068</v>
      </c>
      <c r="B1090" s="4">
        <f t="shared" ca="1" si="90"/>
        <v>14.763731399999999</v>
      </c>
      <c r="C1090" s="4">
        <f t="shared" ca="1" si="90"/>
        <v>14.772126500000001</v>
      </c>
      <c r="D1090" s="4">
        <f t="shared" ca="1" si="90"/>
        <v>14.762873800000003</v>
      </c>
      <c r="E1090" s="4">
        <f t="shared" ca="1" si="90"/>
        <v>14.7651786</v>
      </c>
      <c r="F1090" s="4">
        <f t="shared" ca="1" si="90"/>
        <v>15.563242400000002</v>
      </c>
      <c r="G1090" s="4">
        <f t="shared" ca="1" si="90"/>
        <v>14.389657000000001</v>
      </c>
      <c r="H1090" s="4">
        <f t="shared" ca="1" si="90"/>
        <v>15.109304000000003</v>
      </c>
      <c r="I1090" s="4">
        <f t="shared" ca="1" si="90"/>
        <v>14.202077100000002</v>
      </c>
      <c r="J1090" s="4">
        <f t="shared" ca="1" si="90"/>
        <v>14.1427821</v>
      </c>
      <c r="K1090" s="4"/>
      <c r="L1090" s="5">
        <f t="shared" ca="1" si="91"/>
        <v>336.95349999999996</v>
      </c>
      <c r="M1090" s="5">
        <f t="shared" ca="1" si="91"/>
        <v>142.42920000000001</v>
      </c>
      <c r="N1090" s="5">
        <f t="shared" ca="1" si="91"/>
        <v>58.377000000000002</v>
      </c>
      <c r="O1090" s="5">
        <f t="shared" ca="1" si="91"/>
        <v>4.4226000000000001</v>
      </c>
      <c r="P1090" s="5">
        <f t="shared" ca="1" si="91"/>
        <v>14.760600000000004</v>
      </c>
      <c r="Q1090" s="5">
        <f t="shared" ca="1" si="91"/>
        <v>232.44659999999996</v>
      </c>
      <c r="R1090" s="4"/>
      <c r="S1090" s="4"/>
    </row>
    <row r="1091" spans="1:19" ht="15" customHeight="1">
      <c r="A1091" s="3">
        <f t="shared" si="44"/>
        <v>2069</v>
      </c>
      <c r="B1091" s="4">
        <f t="shared" ca="1" si="90"/>
        <v>15.246386000000001</v>
      </c>
      <c r="C1091" s="4">
        <f t="shared" ca="1" si="90"/>
        <v>15.254761000000002</v>
      </c>
      <c r="D1091" s="4">
        <f t="shared" ca="1" si="90"/>
        <v>15.2455418</v>
      </c>
      <c r="E1091" s="4">
        <f t="shared" ca="1" si="90"/>
        <v>15.2478265</v>
      </c>
      <c r="F1091" s="4">
        <f t="shared" ca="1" si="90"/>
        <v>16.045903700000007</v>
      </c>
      <c r="G1091" s="4">
        <f t="shared" ca="1" si="90"/>
        <v>14.860124300000003</v>
      </c>
      <c r="H1091" s="4">
        <f t="shared" ca="1" si="90"/>
        <v>15.579777999999999</v>
      </c>
      <c r="I1091" s="4">
        <f t="shared" ca="1" si="90"/>
        <v>14.664779099999999</v>
      </c>
      <c r="J1091" s="4">
        <f t="shared" ca="1" si="90"/>
        <v>14.6052496</v>
      </c>
      <c r="K1091" s="4"/>
      <c r="L1091" s="5">
        <f t="shared" ca="1" si="91"/>
        <v>336.06969999999995</v>
      </c>
      <c r="M1091" s="5">
        <f t="shared" ca="1" si="91"/>
        <v>142.0401</v>
      </c>
      <c r="N1091" s="5">
        <f t="shared" ca="1" si="91"/>
        <v>58.217499999999994</v>
      </c>
      <c r="O1091" s="5">
        <f t="shared" ca="1" si="91"/>
        <v>4.4104999999999999</v>
      </c>
      <c r="P1091" s="5">
        <f t="shared" ca="1" si="91"/>
        <v>14.718800000000003</v>
      </c>
      <c r="Q1091" s="5">
        <f t="shared" ca="1" si="91"/>
        <v>231.81149999999997</v>
      </c>
      <c r="R1091" s="4"/>
      <c r="S1091" s="4"/>
    </row>
    <row r="1092" spans="1:19" ht="15" customHeight="1">
      <c r="A1092" s="3">
        <f t="shared" ref="A1092:A1122" si="92">A1091+1</f>
        <v>2070</v>
      </c>
      <c r="B1092" s="4">
        <f t="shared" ca="1" si="90"/>
        <v>15.744805700000001</v>
      </c>
      <c r="C1092" s="4">
        <f t="shared" ca="1" si="90"/>
        <v>15.753200800000002</v>
      </c>
      <c r="D1092" s="4">
        <f t="shared" ca="1" si="90"/>
        <v>15.743961500000003</v>
      </c>
      <c r="E1092" s="4">
        <f t="shared" ca="1" si="90"/>
        <v>15.746259600000004</v>
      </c>
      <c r="F1092" s="4">
        <f t="shared" ca="1" si="90"/>
        <v>16.5443301</v>
      </c>
      <c r="G1092" s="4">
        <f t="shared" ca="1" si="90"/>
        <v>15.345988200000001</v>
      </c>
      <c r="H1092" s="4">
        <f t="shared" ca="1" si="90"/>
        <v>16.065628499999999</v>
      </c>
      <c r="I1092" s="4">
        <f t="shared" ca="1" si="90"/>
        <v>15.142623100000002</v>
      </c>
      <c r="J1092" s="4">
        <f t="shared" ca="1" si="90"/>
        <v>15.0828457</v>
      </c>
      <c r="K1092" s="4"/>
      <c r="L1092" s="5">
        <f t="shared" ca="1" si="91"/>
        <v>336.06969999999995</v>
      </c>
      <c r="M1092" s="5">
        <f t="shared" ca="1" si="91"/>
        <v>142.0401</v>
      </c>
      <c r="N1092" s="5">
        <f t="shared" ca="1" si="91"/>
        <v>58.217499999999994</v>
      </c>
      <c r="O1092" s="5">
        <f t="shared" ca="1" si="91"/>
        <v>4.4104999999999999</v>
      </c>
      <c r="P1092" s="5">
        <f t="shared" ca="1" si="91"/>
        <v>14.718800000000003</v>
      </c>
      <c r="Q1092" s="5">
        <f t="shared" ca="1" si="91"/>
        <v>231.81149999999997</v>
      </c>
      <c r="R1092" s="4"/>
      <c r="S1092" s="4"/>
    </row>
    <row r="1093" spans="1:19" ht="15" customHeight="1">
      <c r="A1093" s="3">
        <f t="shared" si="92"/>
        <v>2071</v>
      </c>
      <c r="B1093" s="4">
        <f t="shared" ca="1" si="90"/>
        <v>16.2595466</v>
      </c>
      <c r="C1093" s="4">
        <f t="shared" ca="1" si="90"/>
        <v>16.267935000000001</v>
      </c>
      <c r="D1093" s="4">
        <f t="shared" ca="1" si="90"/>
        <v>16.258689000000004</v>
      </c>
      <c r="E1093" s="4">
        <f t="shared" ca="1" si="90"/>
        <v>16.260987100000001</v>
      </c>
      <c r="F1093" s="4">
        <f t="shared" ca="1" si="90"/>
        <v>17.059070999999999</v>
      </c>
      <c r="G1093" s="4">
        <f t="shared" ca="1" si="90"/>
        <v>15.847717699999999</v>
      </c>
      <c r="H1093" s="4">
        <f t="shared" ca="1" si="90"/>
        <v>16.567384800000003</v>
      </c>
      <c r="I1093" s="4">
        <f t="shared" ca="1" si="90"/>
        <v>15.636084799999999</v>
      </c>
      <c r="J1093" s="4">
        <f t="shared" ca="1" si="90"/>
        <v>15.576059500000001</v>
      </c>
      <c r="K1093" s="4"/>
      <c r="L1093" s="5">
        <f t="shared" ca="1" si="91"/>
        <v>336.06969999999995</v>
      </c>
      <c r="M1093" s="5">
        <f t="shared" ca="1" si="91"/>
        <v>142.0401</v>
      </c>
      <c r="N1093" s="5">
        <f t="shared" ca="1" si="91"/>
        <v>58.217499999999994</v>
      </c>
      <c r="O1093" s="5">
        <f t="shared" ca="1" si="91"/>
        <v>4.4104999999999999</v>
      </c>
      <c r="P1093" s="5">
        <f t="shared" ca="1" si="91"/>
        <v>14.718800000000003</v>
      </c>
      <c r="Q1093" s="5">
        <f t="shared" ca="1" si="91"/>
        <v>231.81149999999997</v>
      </c>
      <c r="R1093" s="4"/>
      <c r="S1093" s="4"/>
    </row>
    <row r="1094" spans="1:19" ht="15" customHeight="1">
      <c r="A1094" s="3">
        <f t="shared" si="92"/>
        <v>2072</v>
      </c>
      <c r="B1094" s="4">
        <f t="shared" ref="B1094:J1103" ca="1" si="93">AVERAGE(OFFSET(B$569,($A1094-$A$1084)*12,0,12,1))</f>
        <v>16.791097799999999</v>
      </c>
      <c r="C1094" s="4">
        <f t="shared" ca="1" si="93"/>
        <v>16.799513000000001</v>
      </c>
      <c r="D1094" s="4">
        <f t="shared" ca="1" si="93"/>
        <v>16.790246900000003</v>
      </c>
      <c r="E1094" s="4">
        <f t="shared" ca="1" si="93"/>
        <v>16.792545000000004</v>
      </c>
      <c r="F1094" s="4">
        <f t="shared" ca="1" si="93"/>
        <v>17.590628900000002</v>
      </c>
      <c r="G1094" s="4">
        <f t="shared" ca="1" si="93"/>
        <v>16.365868900000002</v>
      </c>
      <c r="H1094" s="4">
        <f t="shared" ca="1" si="93"/>
        <v>17.085529300000005</v>
      </c>
      <c r="I1094" s="4">
        <f t="shared" ca="1" si="93"/>
        <v>16.1456868</v>
      </c>
      <c r="J1094" s="4">
        <f t="shared" ca="1" si="93"/>
        <v>16.085426999999999</v>
      </c>
      <c r="K1094" s="4"/>
      <c r="L1094" s="5">
        <f t="shared" ref="L1094:Q1103" ca="1" si="94">SUM(OFFSET(L$569,($A1094-$A$1084)*12,0,12,1))</f>
        <v>336.95349999999996</v>
      </c>
      <c r="M1094" s="5">
        <f t="shared" ca="1" si="94"/>
        <v>142.42920000000001</v>
      </c>
      <c r="N1094" s="5">
        <f t="shared" ca="1" si="94"/>
        <v>58.377000000000002</v>
      </c>
      <c r="O1094" s="5">
        <f t="shared" ca="1" si="94"/>
        <v>4.4226000000000001</v>
      </c>
      <c r="P1094" s="5">
        <f t="shared" ca="1" si="94"/>
        <v>14.760600000000004</v>
      </c>
      <c r="Q1094" s="5">
        <f t="shared" ca="1" si="94"/>
        <v>232.44659999999996</v>
      </c>
      <c r="R1094" s="4"/>
      <c r="S1094" s="4"/>
    </row>
    <row r="1095" spans="1:19" ht="15" customHeight="1">
      <c r="A1095" s="3">
        <f t="shared" si="92"/>
        <v>2073</v>
      </c>
      <c r="B1095" s="4">
        <f t="shared" ca="1" si="93"/>
        <v>17.340062300000003</v>
      </c>
      <c r="C1095" s="4">
        <f t="shared" ca="1" si="93"/>
        <v>17.348444000000004</v>
      </c>
      <c r="D1095" s="4">
        <f t="shared" ca="1" si="93"/>
        <v>17.339198</v>
      </c>
      <c r="E1095" s="4">
        <f t="shared" ca="1" si="93"/>
        <v>17.341502800000004</v>
      </c>
      <c r="F1095" s="4">
        <f t="shared" ca="1" si="93"/>
        <v>18.139579999999999</v>
      </c>
      <c r="G1095" s="4">
        <f t="shared" ca="1" si="93"/>
        <v>16.900971100000003</v>
      </c>
      <c r="H1095" s="4">
        <f t="shared" ca="1" si="93"/>
        <v>17.620631499999998</v>
      </c>
      <c r="I1095" s="4">
        <f t="shared" ca="1" si="93"/>
        <v>16.671951700000005</v>
      </c>
      <c r="J1095" s="4">
        <f t="shared" ca="1" si="93"/>
        <v>16.611410500000002</v>
      </c>
      <c r="K1095" s="4"/>
      <c r="L1095" s="5">
        <f t="shared" ca="1" si="94"/>
        <v>336.06969999999995</v>
      </c>
      <c r="M1095" s="5">
        <f t="shared" ca="1" si="94"/>
        <v>142.0401</v>
      </c>
      <c r="N1095" s="5">
        <f t="shared" ca="1" si="94"/>
        <v>58.217499999999994</v>
      </c>
      <c r="O1095" s="5">
        <f t="shared" ca="1" si="94"/>
        <v>4.4104999999999999</v>
      </c>
      <c r="P1095" s="5">
        <f t="shared" ca="1" si="94"/>
        <v>14.718800000000003</v>
      </c>
      <c r="Q1095" s="5">
        <f t="shared" ca="1" si="94"/>
        <v>231.81149999999997</v>
      </c>
      <c r="R1095" s="4"/>
      <c r="S1095" s="4"/>
    </row>
    <row r="1096" spans="1:19" ht="15" customHeight="1">
      <c r="A1096" s="3">
        <f t="shared" si="92"/>
        <v>2074</v>
      </c>
      <c r="B1096" s="4">
        <f t="shared" ca="1" si="93"/>
        <v>17.906969400000001</v>
      </c>
      <c r="C1096" s="4">
        <f t="shared" ca="1" si="93"/>
        <v>17.915351099999999</v>
      </c>
      <c r="D1096" s="4">
        <f t="shared" ca="1" si="93"/>
        <v>17.906118500000002</v>
      </c>
      <c r="E1096" s="4">
        <f t="shared" ca="1" si="93"/>
        <v>17.908409899999999</v>
      </c>
      <c r="F1096" s="4">
        <f t="shared" ca="1" si="93"/>
        <v>18.7064737</v>
      </c>
      <c r="G1096" s="4">
        <f t="shared" ca="1" si="93"/>
        <v>17.453573700000003</v>
      </c>
      <c r="H1096" s="4">
        <f t="shared" ca="1" si="93"/>
        <v>18.173227400000002</v>
      </c>
      <c r="I1096" s="4">
        <f t="shared" ca="1" si="93"/>
        <v>17.215442300000003</v>
      </c>
      <c r="J1096" s="4">
        <f t="shared" ca="1" si="93"/>
        <v>17.154613000000001</v>
      </c>
      <c r="K1096" s="4"/>
      <c r="L1096" s="5">
        <f t="shared" ca="1" si="94"/>
        <v>336.06969999999995</v>
      </c>
      <c r="M1096" s="5">
        <f t="shared" ca="1" si="94"/>
        <v>142.0401</v>
      </c>
      <c r="N1096" s="5">
        <f t="shared" ca="1" si="94"/>
        <v>58.217499999999994</v>
      </c>
      <c r="O1096" s="5">
        <f t="shared" ca="1" si="94"/>
        <v>4.4104999999999999</v>
      </c>
      <c r="P1096" s="5">
        <f t="shared" ca="1" si="94"/>
        <v>14.718800000000003</v>
      </c>
      <c r="Q1096" s="5">
        <f t="shared" ca="1" si="94"/>
        <v>231.81149999999997</v>
      </c>
      <c r="R1096" s="4"/>
      <c r="S1096" s="4"/>
    </row>
    <row r="1097" spans="1:19" ht="15" customHeight="1">
      <c r="A1097" s="3">
        <f t="shared" si="92"/>
        <v>2075</v>
      </c>
      <c r="B1097" s="4">
        <f t="shared" ca="1" si="93"/>
        <v>18.492408700000002</v>
      </c>
      <c r="C1097" s="4">
        <f t="shared" ca="1" si="93"/>
        <v>18.500783700000003</v>
      </c>
      <c r="D1097" s="4">
        <f t="shared" ca="1" si="93"/>
        <v>18.491557799999999</v>
      </c>
      <c r="E1097" s="4">
        <f t="shared" ca="1" si="93"/>
        <v>18.4938559</v>
      </c>
      <c r="F1097" s="4">
        <f t="shared" ca="1" si="93"/>
        <v>19.291926400000001</v>
      </c>
      <c r="G1097" s="4">
        <f t="shared" ca="1" si="93"/>
        <v>18.024252900000004</v>
      </c>
      <c r="H1097" s="4">
        <f t="shared" ca="1" si="93"/>
        <v>18.743906599999999</v>
      </c>
      <c r="I1097" s="4">
        <f t="shared" ca="1" si="93"/>
        <v>17.776667800000002</v>
      </c>
      <c r="J1097" s="4">
        <f t="shared" ca="1" si="93"/>
        <v>17.715590600000002</v>
      </c>
      <c r="K1097" s="4"/>
      <c r="L1097" s="5">
        <f t="shared" ca="1" si="94"/>
        <v>336.06969999999995</v>
      </c>
      <c r="M1097" s="5">
        <f t="shared" ca="1" si="94"/>
        <v>142.0401</v>
      </c>
      <c r="N1097" s="5">
        <f t="shared" ca="1" si="94"/>
        <v>58.217499999999994</v>
      </c>
      <c r="O1097" s="5">
        <f t="shared" ca="1" si="94"/>
        <v>4.4104999999999999</v>
      </c>
      <c r="P1097" s="5">
        <f t="shared" ca="1" si="94"/>
        <v>14.718800000000003</v>
      </c>
      <c r="Q1097" s="5">
        <f t="shared" ca="1" si="94"/>
        <v>231.81149999999997</v>
      </c>
      <c r="R1097" s="4"/>
      <c r="S1097" s="4"/>
    </row>
    <row r="1098" spans="1:19" ht="15" customHeight="1">
      <c r="A1098" s="3">
        <f t="shared" si="92"/>
        <v>2076</v>
      </c>
      <c r="B1098" s="4">
        <f t="shared" ca="1" si="93"/>
        <v>19.096996600000004</v>
      </c>
      <c r="C1098" s="4">
        <f t="shared" ca="1" si="93"/>
        <v>19.105385000000002</v>
      </c>
      <c r="D1098" s="4">
        <f t="shared" ca="1" si="93"/>
        <v>19.096139000000001</v>
      </c>
      <c r="E1098" s="4">
        <f t="shared" ca="1" si="93"/>
        <v>19.098437100000002</v>
      </c>
      <c r="F1098" s="4">
        <f t="shared" ca="1" si="93"/>
        <v>19.896507600000003</v>
      </c>
      <c r="G1098" s="4">
        <f t="shared" ca="1" si="93"/>
        <v>18.613571500000003</v>
      </c>
      <c r="H1098" s="4">
        <f t="shared" ca="1" si="93"/>
        <v>19.333245300000002</v>
      </c>
      <c r="I1098" s="4">
        <f t="shared" ca="1" si="93"/>
        <v>18.356278100000001</v>
      </c>
      <c r="J1098" s="4">
        <f t="shared" ca="1" si="93"/>
        <v>18.294906100000002</v>
      </c>
      <c r="K1098" s="4"/>
      <c r="L1098" s="5">
        <f t="shared" ca="1" si="94"/>
        <v>336.95349999999996</v>
      </c>
      <c r="M1098" s="5">
        <f t="shared" ca="1" si="94"/>
        <v>142.42920000000001</v>
      </c>
      <c r="N1098" s="5">
        <f t="shared" ca="1" si="94"/>
        <v>58.377000000000002</v>
      </c>
      <c r="O1098" s="5">
        <f t="shared" ca="1" si="94"/>
        <v>4.4226000000000001</v>
      </c>
      <c r="P1098" s="5">
        <f t="shared" ca="1" si="94"/>
        <v>14.760600000000004</v>
      </c>
      <c r="Q1098" s="5">
        <f t="shared" ca="1" si="94"/>
        <v>232.44659999999996</v>
      </c>
      <c r="R1098" s="4"/>
      <c r="S1098" s="4"/>
    </row>
    <row r="1099" spans="1:19" ht="15" customHeight="1">
      <c r="A1099" s="3">
        <f t="shared" si="92"/>
        <v>2077</v>
      </c>
      <c r="B1099" s="4">
        <f t="shared" ca="1" si="93"/>
        <v>19.721342799999999</v>
      </c>
      <c r="C1099" s="4">
        <f t="shared" ca="1" si="93"/>
        <v>19.729758</v>
      </c>
      <c r="D1099" s="4">
        <f t="shared" ca="1" si="93"/>
        <v>19.720491899999999</v>
      </c>
      <c r="E1099" s="4">
        <f t="shared" ca="1" si="93"/>
        <v>19.722783300000003</v>
      </c>
      <c r="F1099" s="4">
        <f t="shared" ca="1" si="93"/>
        <v>20.520867200000005</v>
      </c>
      <c r="G1099" s="4">
        <f t="shared" ca="1" si="93"/>
        <v>19.222199500000002</v>
      </c>
      <c r="H1099" s="4">
        <f t="shared" ca="1" si="93"/>
        <v>19.941853200000001</v>
      </c>
      <c r="I1099" s="4">
        <f t="shared" ca="1" si="93"/>
        <v>18.954856100000004</v>
      </c>
      <c r="J1099" s="4">
        <f t="shared" ca="1" si="93"/>
        <v>18.893175900000003</v>
      </c>
      <c r="K1099" s="4"/>
      <c r="L1099" s="5">
        <f t="shared" ca="1" si="94"/>
        <v>336.06969999999995</v>
      </c>
      <c r="M1099" s="5">
        <f t="shared" ca="1" si="94"/>
        <v>142.0401</v>
      </c>
      <c r="N1099" s="5">
        <f t="shared" ca="1" si="94"/>
        <v>58.217499999999994</v>
      </c>
      <c r="O1099" s="5">
        <f t="shared" ca="1" si="94"/>
        <v>4.4104999999999999</v>
      </c>
      <c r="P1099" s="5">
        <f t="shared" ca="1" si="94"/>
        <v>14.718800000000003</v>
      </c>
      <c r="Q1099" s="5">
        <f t="shared" ca="1" si="94"/>
        <v>231.81149999999997</v>
      </c>
      <c r="R1099" s="4"/>
      <c r="S1099" s="4"/>
    </row>
    <row r="1100" spans="1:19" ht="15" customHeight="1">
      <c r="A1100" s="3">
        <f t="shared" si="92"/>
        <v>2078</v>
      </c>
      <c r="B1100" s="4">
        <f t="shared" ca="1" si="93"/>
        <v>20.366117300000003</v>
      </c>
      <c r="C1100" s="4">
        <f t="shared" ca="1" si="93"/>
        <v>20.374519100000004</v>
      </c>
      <c r="D1100" s="4">
        <f t="shared" ca="1" si="93"/>
        <v>20.365273100000003</v>
      </c>
      <c r="E1100" s="4">
        <f t="shared" ca="1" si="93"/>
        <v>20.367557800000004</v>
      </c>
      <c r="F1100" s="4">
        <f t="shared" ca="1" si="93"/>
        <v>21.165641700000005</v>
      </c>
      <c r="G1100" s="4">
        <f t="shared" ca="1" si="93"/>
        <v>19.8507131</v>
      </c>
      <c r="H1100" s="4">
        <f t="shared" ca="1" si="93"/>
        <v>20.570366799999999</v>
      </c>
      <c r="I1100" s="4">
        <f t="shared" ca="1" si="93"/>
        <v>19.572978000000003</v>
      </c>
      <c r="J1100" s="4">
        <f t="shared" ca="1" si="93"/>
        <v>19.511009699999999</v>
      </c>
      <c r="K1100" s="4"/>
      <c r="L1100" s="5">
        <f t="shared" ca="1" si="94"/>
        <v>336.06969999999995</v>
      </c>
      <c r="M1100" s="5">
        <f t="shared" ca="1" si="94"/>
        <v>142.0401</v>
      </c>
      <c r="N1100" s="5">
        <f t="shared" ca="1" si="94"/>
        <v>58.217499999999994</v>
      </c>
      <c r="O1100" s="5">
        <f t="shared" ca="1" si="94"/>
        <v>4.4104999999999999</v>
      </c>
      <c r="P1100" s="5">
        <f t="shared" ca="1" si="94"/>
        <v>14.718800000000003</v>
      </c>
      <c r="Q1100" s="5">
        <f t="shared" ca="1" si="94"/>
        <v>231.81149999999997</v>
      </c>
      <c r="R1100" s="4"/>
      <c r="S1100" s="4"/>
    </row>
    <row r="1101" spans="1:19" ht="15" customHeight="1">
      <c r="A1101" s="3">
        <f t="shared" si="92"/>
        <v>2079</v>
      </c>
      <c r="B1101" s="4">
        <f t="shared" ca="1" si="93"/>
        <v>21.031996800000005</v>
      </c>
      <c r="C1101" s="4">
        <f t="shared" ca="1" si="93"/>
        <v>21.040391900000007</v>
      </c>
      <c r="D1101" s="4">
        <f t="shared" ca="1" si="93"/>
        <v>21.031125800000002</v>
      </c>
      <c r="E1101" s="4">
        <f t="shared" ca="1" si="93"/>
        <v>21.033423900000003</v>
      </c>
      <c r="F1101" s="4">
        <f t="shared" ca="1" si="93"/>
        <v>21.831514499999997</v>
      </c>
      <c r="G1101" s="4">
        <f t="shared" ca="1" si="93"/>
        <v>20.499762200000003</v>
      </c>
      <c r="H1101" s="4">
        <f t="shared" ca="1" si="93"/>
        <v>21.219429299999998</v>
      </c>
      <c r="I1101" s="4">
        <f t="shared" ca="1" si="93"/>
        <v>20.211347300000003</v>
      </c>
      <c r="J1101" s="4">
        <f t="shared" ca="1" si="93"/>
        <v>20.1490239</v>
      </c>
      <c r="K1101" s="4"/>
      <c r="L1101" s="5">
        <f t="shared" ca="1" si="94"/>
        <v>336.06969999999995</v>
      </c>
      <c r="M1101" s="5">
        <f t="shared" ca="1" si="94"/>
        <v>142.0401</v>
      </c>
      <c r="N1101" s="5">
        <f t="shared" ca="1" si="94"/>
        <v>58.217499999999994</v>
      </c>
      <c r="O1101" s="5">
        <f t="shared" ca="1" si="94"/>
        <v>4.4104999999999999</v>
      </c>
      <c r="P1101" s="5">
        <f t="shared" ca="1" si="94"/>
        <v>14.718800000000003</v>
      </c>
      <c r="Q1101" s="5">
        <f t="shared" ca="1" si="94"/>
        <v>231.81149999999997</v>
      </c>
      <c r="R1101" s="4"/>
      <c r="S1101" s="4"/>
    </row>
    <row r="1102" spans="1:19" ht="15" customHeight="1">
      <c r="A1102" s="3">
        <f t="shared" si="92"/>
        <v>2080</v>
      </c>
      <c r="B1102" s="4">
        <f t="shared" ca="1" si="93"/>
        <v>21.719631199999998</v>
      </c>
      <c r="C1102" s="4">
        <f t="shared" ca="1" si="93"/>
        <v>21.7280196</v>
      </c>
      <c r="D1102" s="4">
        <f t="shared" ca="1" si="93"/>
        <v>21.718787000000003</v>
      </c>
      <c r="E1102" s="4">
        <f t="shared" ca="1" si="93"/>
        <v>21.7210784</v>
      </c>
      <c r="F1102" s="4">
        <f t="shared" ca="1" si="93"/>
        <v>22.519162300000005</v>
      </c>
      <c r="G1102" s="4">
        <f t="shared" ca="1" si="93"/>
        <v>21.1700637</v>
      </c>
      <c r="H1102" s="4">
        <f t="shared" ca="1" si="93"/>
        <v>21.889730799999999</v>
      </c>
      <c r="I1102" s="4">
        <f t="shared" ca="1" si="93"/>
        <v>20.870560300000005</v>
      </c>
      <c r="J1102" s="4">
        <f t="shared" ca="1" si="93"/>
        <v>20.807942100000002</v>
      </c>
      <c r="K1102" s="4"/>
      <c r="L1102" s="5">
        <f t="shared" ca="1" si="94"/>
        <v>336.95349999999996</v>
      </c>
      <c r="M1102" s="5">
        <f t="shared" ca="1" si="94"/>
        <v>142.42920000000001</v>
      </c>
      <c r="N1102" s="5">
        <f t="shared" ca="1" si="94"/>
        <v>58.377000000000002</v>
      </c>
      <c r="O1102" s="5">
        <f t="shared" ca="1" si="94"/>
        <v>4.4226000000000001</v>
      </c>
      <c r="P1102" s="5">
        <f t="shared" ca="1" si="94"/>
        <v>14.760600000000004</v>
      </c>
      <c r="Q1102" s="5">
        <f t="shared" ca="1" si="94"/>
        <v>232.44659999999996</v>
      </c>
      <c r="R1102" s="4"/>
      <c r="S1102" s="4"/>
    </row>
    <row r="1103" spans="1:19" ht="15" customHeight="1">
      <c r="A1103" s="3">
        <f t="shared" si="92"/>
        <v>2081</v>
      </c>
      <c r="B1103" s="4">
        <f t="shared" ca="1" si="93"/>
        <v>22.429770900000005</v>
      </c>
      <c r="C1103" s="4">
        <f t="shared" ca="1" si="93"/>
        <v>22.438152600000006</v>
      </c>
      <c r="D1103" s="4">
        <f t="shared" ca="1" si="93"/>
        <v>22.428913300000005</v>
      </c>
      <c r="E1103" s="4">
        <f t="shared" ca="1" si="93"/>
        <v>22.431204700000006</v>
      </c>
      <c r="F1103" s="4">
        <f t="shared" ca="1" si="93"/>
        <v>23.229281900000004</v>
      </c>
      <c r="G1103" s="4">
        <f t="shared" ca="1" si="93"/>
        <v>21.862280900000005</v>
      </c>
      <c r="H1103" s="4">
        <f t="shared" ca="1" si="93"/>
        <v>22.5819279</v>
      </c>
      <c r="I1103" s="4">
        <f t="shared" ca="1" si="93"/>
        <v>21.5513607</v>
      </c>
      <c r="J1103" s="4">
        <f t="shared" ca="1" si="93"/>
        <v>21.488380700000004</v>
      </c>
      <c r="K1103" s="4"/>
      <c r="L1103" s="5">
        <f t="shared" ca="1" si="94"/>
        <v>336.06969999999995</v>
      </c>
      <c r="M1103" s="5">
        <f t="shared" ca="1" si="94"/>
        <v>142.0401</v>
      </c>
      <c r="N1103" s="5">
        <f t="shared" ca="1" si="94"/>
        <v>58.217499999999994</v>
      </c>
      <c r="O1103" s="5">
        <f t="shared" ca="1" si="94"/>
        <v>4.4104999999999999</v>
      </c>
      <c r="P1103" s="5">
        <f t="shared" ca="1" si="94"/>
        <v>14.718800000000003</v>
      </c>
      <c r="Q1103" s="5">
        <f t="shared" ca="1" si="94"/>
        <v>231.81149999999997</v>
      </c>
      <c r="R1103" s="4"/>
      <c r="S1103" s="4"/>
    </row>
    <row r="1104" spans="1:19" ht="15" customHeight="1">
      <c r="A1104" s="3">
        <f t="shared" si="92"/>
        <v>2082</v>
      </c>
      <c r="B1104" s="4">
        <f t="shared" ref="B1104:J1113" ca="1" si="95">AVERAGE(OFFSET(B$569,($A1104-$A$1084)*12,0,12,1))</f>
        <v>23.163119399999999</v>
      </c>
      <c r="C1104" s="4">
        <f t="shared" ca="1" si="95"/>
        <v>23.171514500000001</v>
      </c>
      <c r="D1104" s="4">
        <f t="shared" ca="1" si="95"/>
        <v>23.1622618</v>
      </c>
      <c r="E1104" s="4">
        <f t="shared" ca="1" si="95"/>
        <v>23.1645599</v>
      </c>
      <c r="F1104" s="4">
        <f t="shared" ca="1" si="95"/>
        <v>23.962637100000006</v>
      </c>
      <c r="G1104" s="4">
        <f t="shared" ca="1" si="95"/>
        <v>22.577130700000001</v>
      </c>
      <c r="H1104" s="4">
        <f t="shared" ca="1" si="95"/>
        <v>23.296791100000004</v>
      </c>
      <c r="I1104" s="4">
        <f t="shared" ca="1" si="95"/>
        <v>22.2544185</v>
      </c>
      <c r="J1104" s="4">
        <f t="shared" ca="1" si="95"/>
        <v>22.191070000000007</v>
      </c>
      <c r="K1104" s="4"/>
      <c r="L1104" s="5">
        <f t="shared" ref="L1104:Q1113" ca="1" si="96">SUM(OFFSET(L$569,($A1104-$A$1084)*12,0,12,1))</f>
        <v>336.06969999999995</v>
      </c>
      <c r="M1104" s="5">
        <f t="shared" ca="1" si="96"/>
        <v>142.0401</v>
      </c>
      <c r="N1104" s="5">
        <f t="shared" ca="1" si="96"/>
        <v>58.217499999999994</v>
      </c>
      <c r="O1104" s="5">
        <f t="shared" ca="1" si="96"/>
        <v>4.4104999999999999</v>
      </c>
      <c r="P1104" s="5">
        <f t="shared" ca="1" si="96"/>
        <v>14.718800000000003</v>
      </c>
      <c r="Q1104" s="5">
        <f t="shared" ca="1" si="96"/>
        <v>231.81149999999997</v>
      </c>
      <c r="R1104" s="4"/>
      <c r="S1104" s="4"/>
    </row>
    <row r="1105" spans="1:19" ht="15" customHeight="1">
      <c r="A1105" s="3">
        <f t="shared" si="92"/>
        <v>2083</v>
      </c>
      <c r="B1105" s="4">
        <f t="shared" ca="1" si="95"/>
        <v>23.920460600000002</v>
      </c>
      <c r="C1105" s="4">
        <f t="shared" ca="1" si="95"/>
        <v>23.9288557</v>
      </c>
      <c r="D1105" s="4">
        <f t="shared" ca="1" si="95"/>
        <v>23.919602999999999</v>
      </c>
      <c r="E1105" s="4">
        <f t="shared" ca="1" si="95"/>
        <v>23.921901100000003</v>
      </c>
      <c r="F1105" s="4">
        <f t="shared" ca="1" si="95"/>
        <v>24.719978299999998</v>
      </c>
      <c r="G1105" s="4">
        <f t="shared" ca="1" si="95"/>
        <v>23.3153702</v>
      </c>
      <c r="H1105" s="4">
        <f t="shared" ca="1" si="95"/>
        <v>24.035023900000002</v>
      </c>
      <c r="I1105" s="4">
        <f t="shared" ca="1" si="95"/>
        <v>22.980457299999998</v>
      </c>
      <c r="J1105" s="4">
        <f t="shared" ca="1" si="95"/>
        <v>22.916760400000001</v>
      </c>
      <c r="K1105" s="4"/>
      <c r="L1105" s="5">
        <f t="shared" ca="1" si="96"/>
        <v>336.06969999999995</v>
      </c>
      <c r="M1105" s="5">
        <f t="shared" ca="1" si="96"/>
        <v>142.0401</v>
      </c>
      <c r="N1105" s="5">
        <f t="shared" ca="1" si="96"/>
        <v>58.217499999999994</v>
      </c>
      <c r="O1105" s="5">
        <f t="shared" ca="1" si="96"/>
        <v>4.4104999999999999</v>
      </c>
      <c r="P1105" s="5">
        <f t="shared" ca="1" si="96"/>
        <v>14.718800000000003</v>
      </c>
      <c r="Q1105" s="5">
        <f t="shared" ca="1" si="96"/>
        <v>231.81149999999997</v>
      </c>
      <c r="R1105" s="4"/>
      <c r="S1105" s="4"/>
    </row>
    <row r="1106" spans="1:19" ht="15" customHeight="1">
      <c r="A1106" s="3">
        <f t="shared" si="92"/>
        <v>2084</v>
      </c>
      <c r="B1106" s="4">
        <f t="shared" ca="1" si="95"/>
        <v>24.702558300000003</v>
      </c>
      <c r="C1106" s="4">
        <f t="shared" ca="1" si="95"/>
        <v>24.710960100000005</v>
      </c>
      <c r="D1106" s="4">
        <f t="shared" ca="1" si="95"/>
        <v>24.7017141</v>
      </c>
      <c r="E1106" s="4">
        <f t="shared" ca="1" si="95"/>
        <v>24.704005500000005</v>
      </c>
      <c r="F1106" s="4">
        <f t="shared" ca="1" si="95"/>
        <v>25.502096100000003</v>
      </c>
      <c r="G1106" s="4">
        <f t="shared" ca="1" si="95"/>
        <v>24.077736400000003</v>
      </c>
      <c r="H1106" s="4">
        <f t="shared" ca="1" si="95"/>
        <v>24.797390100000001</v>
      </c>
      <c r="I1106" s="4">
        <f t="shared" ca="1" si="95"/>
        <v>23.730234200000002</v>
      </c>
      <c r="J1106" s="4">
        <f t="shared" ca="1" si="95"/>
        <v>23.666168799999998</v>
      </c>
      <c r="K1106" s="4"/>
      <c r="L1106" s="5">
        <f t="shared" ca="1" si="96"/>
        <v>336.95349999999996</v>
      </c>
      <c r="M1106" s="5">
        <f t="shared" ca="1" si="96"/>
        <v>142.42920000000001</v>
      </c>
      <c r="N1106" s="5">
        <f t="shared" ca="1" si="96"/>
        <v>58.377000000000002</v>
      </c>
      <c r="O1106" s="5">
        <f t="shared" ca="1" si="96"/>
        <v>4.4226000000000001</v>
      </c>
      <c r="P1106" s="5">
        <f t="shared" ca="1" si="96"/>
        <v>14.760600000000004</v>
      </c>
      <c r="Q1106" s="5">
        <f t="shared" ca="1" si="96"/>
        <v>232.44659999999996</v>
      </c>
      <c r="R1106" s="4"/>
      <c r="S1106" s="4"/>
    </row>
    <row r="1107" spans="1:19" ht="15" customHeight="1">
      <c r="A1107" s="3">
        <f t="shared" si="92"/>
        <v>2085</v>
      </c>
      <c r="B1107" s="4">
        <f t="shared" ca="1" si="95"/>
        <v>25.510249999999999</v>
      </c>
      <c r="C1107" s="4">
        <f t="shared" ca="1" si="95"/>
        <v>25.5186317</v>
      </c>
      <c r="D1107" s="4">
        <f t="shared" ca="1" si="95"/>
        <v>25.5093991</v>
      </c>
      <c r="E1107" s="4">
        <f t="shared" ca="1" si="95"/>
        <v>25.5116972</v>
      </c>
      <c r="F1107" s="4">
        <f t="shared" ca="1" si="95"/>
        <v>26.309767700000005</v>
      </c>
      <c r="G1107" s="4">
        <f t="shared" ca="1" si="95"/>
        <v>24.865046700000004</v>
      </c>
      <c r="H1107" s="4">
        <f t="shared" ca="1" si="95"/>
        <v>25.584700400000003</v>
      </c>
      <c r="I1107" s="4">
        <f t="shared" ca="1" si="95"/>
        <v>24.504553200000004</v>
      </c>
      <c r="J1107" s="4">
        <f t="shared" ca="1" si="95"/>
        <v>24.440105899999995</v>
      </c>
      <c r="K1107" s="4"/>
      <c r="L1107" s="5">
        <f t="shared" ca="1" si="96"/>
        <v>336.06969999999995</v>
      </c>
      <c r="M1107" s="5">
        <f t="shared" ca="1" si="96"/>
        <v>142.0401</v>
      </c>
      <c r="N1107" s="5">
        <f t="shared" ca="1" si="96"/>
        <v>58.217499999999994</v>
      </c>
      <c r="O1107" s="5">
        <f t="shared" ca="1" si="96"/>
        <v>4.4104999999999999</v>
      </c>
      <c r="P1107" s="5">
        <f t="shared" ca="1" si="96"/>
        <v>14.718800000000003</v>
      </c>
      <c r="Q1107" s="5">
        <f t="shared" ca="1" si="96"/>
        <v>231.81149999999997</v>
      </c>
      <c r="R1107" s="4"/>
      <c r="S1107" s="4"/>
    </row>
    <row r="1108" spans="1:19" ht="15" customHeight="1">
      <c r="A1108" s="3">
        <f t="shared" si="92"/>
        <v>2086</v>
      </c>
      <c r="B1108" s="4">
        <f t="shared" ca="1" si="95"/>
        <v>26.344339699999995</v>
      </c>
      <c r="C1108" s="4">
        <f t="shared" ca="1" si="95"/>
        <v>26.352741499999997</v>
      </c>
      <c r="D1108" s="4">
        <f t="shared" ca="1" si="95"/>
        <v>26.343495500000003</v>
      </c>
      <c r="E1108" s="4">
        <f t="shared" ca="1" si="95"/>
        <v>26.345793599999997</v>
      </c>
      <c r="F1108" s="4">
        <f t="shared" ca="1" si="95"/>
        <v>27.143857400000002</v>
      </c>
      <c r="G1108" s="4">
        <f t="shared" ca="1" si="95"/>
        <v>25.678111800000007</v>
      </c>
      <c r="H1108" s="4">
        <f t="shared" ca="1" si="95"/>
        <v>26.397745400000005</v>
      </c>
      <c r="I1108" s="4">
        <f t="shared" ca="1" si="95"/>
        <v>25.304178100000001</v>
      </c>
      <c r="J1108" s="4">
        <f t="shared" ca="1" si="95"/>
        <v>25.239335500000006</v>
      </c>
      <c r="K1108" s="4"/>
      <c r="L1108" s="5">
        <f t="shared" ca="1" si="96"/>
        <v>336.06969999999995</v>
      </c>
      <c r="M1108" s="5">
        <f t="shared" ca="1" si="96"/>
        <v>142.0401</v>
      </c>
      <c r="N1108" s="5">
        <f t="shared" ca="1" si="96"/>
        <v>58.217499999999994</v>
      </c>
      <c r="O1108" s="5">
        <f t="shared" ca="1" si="96"/>
        <v>4.4104999999999999</v>
      </c>
      <c r="P1108" s="5">
        <f t="shared" ca="1" si="96"/>
        <v>14.718800000000003</v>
      </c>
      <c r="Q1108" s="5">
        <f t="shared" ca="1" si="96"/>
        <v>231.81149999999997</v>
      </c>
      <c r="R1108" s="4"/>
      <c r="S1108" s="4"/>
    </row>
    <row r="1109" spans="1:19" ht="15" customHeight="1">
      <c r="A1109" s="3">
        <f t="shared" si="92"/>
        <v>2087</v>
      </c>
      <c r="B1109" s="4">
        <f t="shared" ca="1" si="95"/>
        <v>27.205718500000003</v>
      </c>
      <c r="C1109" s="4">
        <f t="shared" ca="1" si="95"/>
        <v>27.214120300000001</v>
      </c>
      <c r="D1109" s="4">
        <f t="shared" ca="1" si="95"/>
        <v>27.2048743</v>
      </c>
      <c r="E1109" s="4">
        <f t="shared" ca="1" si="95"/>
        <v>27.207159000000004</v>
      </c>
      <c r="F1109" s="4">
        <f t="shared" ca="1" si="95"/>
        <v>28.005236199999999</v>
      </c>
      <c r="G1109" s="4">
        <f t="shared" ca="1" si="95"/>
        <v>26.517749100000003</v>
      </c>
      <c r="H1109" s="4">
        <f t="shared" ca="1" si="95"/>
        <v>27.237402799999998</v>
      </c>
      <c r="I1109" s="4">
        <f t="shared" ca="1" si="95"/>
        <v>26.129959799999998</v>
      </c>
      <c r="J1109" s="4">
        <f t="shared" ca="1" si="95"/>
        <v>26.064695099999998</v>
      </c>
      <c r="K1109" s="4"/>
      <c r="L1109" s="5">
        <f t="shared" ca="1" si="96"/>
        <v>336.06969999999995</v>
      </c>
      <c r="M1109" s="5">
        <f t="shared" ca="1" si="96"/>
        <v>142.0401</v>
      </c>
      <c r="N1109" s="5">
        <f t="shared" ca="1" si="96"/>
        <v>58.217499999999994</v>
      </c>
      <c r="O1109" s="5">
        <f t="shared" ca="1" si="96"/>
        <v>4.4104999999999999</v>
      </c>
      <c r="P1109" s="5">
        <f t="shared" ca="1" si="96"/>
        <v>14.718800000000003</v>
      </c>
      <c r="Q1109" s="5">
        <f t="shared" ca="1" si="96"/>
        <v>231.81149999999997</v>
      </c>
      <c r="R1109" s="4"/>
      <c r="S1109" s="4"/>
    </row>
    <row r="1110" spans="1:19" ht="15" customHeight="1">
      <c r="A1110" s="3">
        <f t="shared" si="92"/>
        <v>2088</v>
      </c>
      <c r="B1110" s="4">
        <f t="shared" ca="1" si="95"/>
        <v>28.095277499999998</v>
      </c>
      <c r="C1110" s="4">
        <f t="shared" ca="1" si="95"/>
        <v>28.103665899999999</v>
      </c>
      <c r="D1110" s="4">
        <f t="shared" ca="1" si="95"/>
        <v>28.094419900000002</v>
      </c>
      <c r="E1110" s="4">
        <f t="shared" ca="1" si="95"/>
        <v>28.096711299999996</v>
      </c>
      <c r="F1110" s="4">
        <f t="shared" ca="1" si="95"/>
        <v>28.894788500000004</v>
      </c>
      <c r="G1110" s="4">
        <f t="shared" ca="1" si="95"/>
        <v>27.384863100000004</v>
      </c>
      <c r="H1110" s="4">
        <f t="shared" ca="1" si="95"/>
        <v>28.104516799999995</v>
      </c>
      <c r="I1110" s="4">
        <f t="shared" ca="1" si="95"/>
        <v>26.982762600000001</v>
      </c>
      <c r="J1110" s="4">
        <f t="shared" ca="1" si="95"/>
        <v>26.917055700000002</v>
      </c>
      <c r="K1110" s="4"/>
      <c r="L1110" s="5">
        <f t="shared" ca="1" si="96"/>
        <v>336.95349999999996</v>
      </c>
      <c r="M1110" s="5">
        <f t="shared" ca="1" si="96"/>
        <v>142.42920000000001</v>
      </c>
      <c r="N1110" s="5">
        <f t="shared" ca="1" si="96"/>
        <v>58.377000000000002</v>
      </c>
      <c r="O1110" s="5">
        <f t="shared" ca="1" si="96"/>
        <v>4.4226000000000001</v>
      </c>
      <c r="P1110" s="5">
        <f t="shared" ca="1" si="96"/>
        <v>14.760600000000004</v>
      </c>
      <c r="Q1110" s="5">
        <f t="shared" ca="1" si="96"/>
        <v>232.44659999999996</v>
      </c>
      <c r="R1110" s="4"/>
      <c r="S1110" s="4"/>
    </row>
    <row r="1111" spans="1:19" ht="15" customHeight="1">
      <c r="A1111" s="3">
        <f t="shared" si="92"/>
        <v>2089</v>
      </c>
      <c r="B1111" s="4">
        <f t="shared" ca="1" si="95"/>
        <v>29.013894400000002</v>
      </c>
      <c r="C1111" s="4">
        <f t="shared" ca="1" si="95"/>
        <v>29.022296200000003</v>
      </c>
      <c r="D1111" s="4">
        <f t="shared" ca="1" si="95"/>
        <v>29.013043500000006</v>
      </c>
      <c r="E1111" s="4">
        <f t="shared" ca="1" si="95"/>
        <v>29.015334900000003</v>
      </c>
      <c r="F1111" s="4">
        <f t="shared" ca="1" si="95"/>
        <v>29.813418799999997</v>
      </c>
      <c r="G1111" s="4">
        <f t="shared" ca="1" si="95"/>
        <v>28.280298000000002</v>
      </c>
      <c r="H1111" s="4">
        <f t="shared" ca="1" si="95"/>
        <v>28.999971800000001</v>
      </c>
      <c r="I1111" s="4">
        <f t="shared" ca="1" si="95"/>
        <v>27.863437399999999</v>
      </c>
      <c r="J1111" s="4">
        <f t="shared" ca="1" si="95"/>
        <v>27.797281599999994</v>
      </c>
      <c r="K1111" s="4"/>
      <c r="L1111" s="5">
        <f t="shared" ca="1" si="96"/>
        <v>336.06969999999995</v>
      </c>
      <c r="M1111" s="5">
        <f t="shared" ca="1" si="96"/>
        <v>142.0401</v>
      </c>
      <c r="N1111" s="5">
        <f t="shared" ca="1" si="96"/>
        <v>58.217499999999994</v>
      </c>
      <c r="O1111" s="5">
        <f t="shared" ca="1" si="96"/>
        <v>4.4104999999999999</v>
      </c>
      <c r="P1111" s="5">
        <f t="shared" ca="1" si="96"/>
        <v>14.718800000000003</v>
      </c>
      <c r="Q1111" s="5">
        <f t="shared" ca="1" si="96"/>
        <v>231.81149999999997</v>
      </c>
      <c r="R1111" s="4"/>
      <c r="S1111" s="4"/>
    </row>
    <row r="1112" spans="1:19" ht="15" customHeight="1">
      <c r="A1112" s="3">
        <f t="shared" si="92"/>
        <v>2090</v>
      </c>
      <c r="B1112" s="4">
        <f t="shared" ca="1" si="95"/>
        <v>29.962587600000003</v>
      </c>
      <c r="C1112" s="4">
        <f t="shared" ca="1" si="95"/>
        <v>29.970969300000004</v>
      </c>
      <c r="D1112" s="4">
        <f t="shared" ca="1" si="95"/>
        <v>29.961736700000003</v>
      </c>
      <c r="E1112" s="4">
        <f t="shared" ca="1" si="95"/>
        <v>29.964034799999997</v>
      </c>
      <c r="F1112" s="4">
        <f t="shared" ca="1" si="95"/>
        <v>30.762105300000002</v>
      </c>
      <c r="G1112" s="4">
        <f t="shared" ca="1" si="95"/>
        <v>29.2050521</v>
      </c>
      <c r="H1112" s="4">
        <f t="shared" ca="1" si="95"/>
        <v>29.924712500000002</v>
      </c>
      <c r="I1112" s="4">
        <f t="shared" ca="1" si="95"/>
        <v>28.7729155</v>
      </c>
      <c r="J1112" s="4">
        <f t="shared" ca="1" si="95"/>
        <v>28.706317500000001</v>
      </c>
      <c r="K1112" s="4"/>
      <c r="L1112" s="5">
        <f t="shared" ca="1" si="96"/>
        <v>336.06969999999995</v>
      </c>
      <c r="M1112" s="5">
        <f t="shared" ca="1" si="96"/>
        <v>142.0401</v>
      </c>
      <c r="N1112" s="5">
        <f t="shared" ca="1" si="96"/>
        <v>58.217499999999994</v>
      </c>
      <c r="O1112" s="5">
        <f t="shared" ca="1" si="96"/>
        <v>4.4104999999999999</v>
      </c>
      <c r="P1112" s="5">
        <f t="shared" ca="1" si="96"/>
        <v>14.718800000000003</v>
      </c>
      <c r="Q1112" s="5">
        <f t="shared" ca="1" si="96"/>
        <v>231.81149999999997</v>
      </c>
      <c r="R1112" s="4"/>
      <c r="S1112" s="4"/>
    </row>
    <row r="1113" spans="1:19" ht="15" customHeight="1">
      <c r="A1113" s="3">
        <f t="shared" si="92"/>
        <v>2091</v>
      </c>
      <c r="B1113" s="4">
        <f t="shared" ca="1" si="95"/>
        <v>30.942301800000006</v>
      </c>
      <c r="C1113" s="4">
        <f t="shared" ca="1" si="95"/>
        <v>30.950676800000007</v>
      </c>
      <c r="D1113" s="4">
        <f t="shared" ca="1" si="95"/>
        <v>30.941450899999996</v>
      </c>
      <c r="E1113" s="4">
        <f t="shared" ca="1" si="95"/>
        <v>30.943749000000011</v>
      </c>
      <c r="F1113" s="4">
        <f t="shared" ca="1" si="95"/>
        <v>31.741806100000002</v>
      </c>
      <c r="G1113" s="4">
        <f t="shared" ca="1" si="95"/>
        <v>30.160036600000002</v>
      </c>
      <c r="H1113" s="4">
        <f t="shared" ca="1" si="95"/>
        <v>30.879703700000004</v>
      </c>
      <c r="I1113" s="4">
        <f t="shared" ca="1" si="95"/>
        <v>29.712148299999996</v>
      </c>
      <c r="J1113" s="4">
        <f t="shared" ca="1" si="95"/>
        <v>29.645088000000001</v>
      </c>
      <c r="K1113" s="4"/>
      <c r="L1113" s="5">
        <f t="shared" ca="1" si="96"/>
        <v>336.06969999999995</v>
      </c>
      <c r="M1113" s="5">
        <f t="shared" ca="1" si="96"/>
        <v>142.0401</v>
      </c>
      <c r="N1113" s="5">
        <f t="shared" ca="1" si="96"/>
        <v>58.217499999999994</v>
      </c>
      <c r="O1113" s="5">
        <f t="shared" ca="1" si="96"/>
        <v>4.4104999999999999</v>
      </c>
      <c r="P1113" s="5">
        <f t="shared" ca="1" si="96"/>
        <v>14.718800000000003</v>
      </c>
      <c r="Q1113" s="5">
        <f t="shared" ca="1" si="96"/>
        <v>231.81149999999997</v>
      </c>
      <c r="R1113" s="4"/>
      <c r="S1113" s="4"/>
    </row>
    <row r="1114" spans="1:19" ht="15" customHeight="1">
      <c r="A1114" s="3">
        <f t="shared" si="92"/>
        <v>2092</v>
      </c>
      <c r="B1114" s="4">
        <f t="shared" ref="B1114:J1122" ca="1" si="97">AVERAGE(OFFSET(B$569,($A1114-$A$1084)*12,0,12,1))</f>
        <v>31.954035300000005</v>
      </c>
      <c r="C1114" s="4">
        <f t="shared" ca="1" si="97"/>
        <v>31.962423699999999</v>
      </c>
      <c r="D1114" s="4">
        <f t="shared" ca="1" si="97"/>
        <v>31.953184400000001</v>
      </c>
      <c r="E1114" s="4">
        <f t="shared" ca="1" si="97"/>
        <v>31.955469100000006</v>
      </c>
      <c r="F1114" s="4">
        <f t="shared" ca="1" si="97"/>
        <v>32.753553000000004</v>
      </c>
      <c r="G1114" s="4">
        <f t="shared" ca="1" si="97"/>
        <v>31.146263200000007</v>
      </c>
      <c r="H1114" s="4">
        <f t="shared" ca="1" si="97"/>
        <v>31.865916900000002</v>
      </c>
      <c r="I1114" s="4">
        <f t="shared" ca="1" si="97"/>
        <v>30.682080499999998</v>
      </c>
      <c r="J1114" s="4">
        <f t="shared" ca="1" si="97"/>
        <v>30.614531100000004</v>
      </c>
      <c r="K1114" s="4"/>
      <c r="L1114" s="5">
        <f t="shared" ref="L1114:Q1122" ca="1" si="98">SUM(OFFSET(L$569,($A1114-$A$1084)*12,0,12,1))</f>
        <v>336.95349999999996</v>
      </c>
      <c r="M1114" s="5">
        <f t="shared" ca="1" si="98"/>
        <v>142.42920000000001</v>
      </c>
      <c r="N1114" s="5">
        <f t="shared" ca="1" si="98"/>
        <v>58.377000000000002</v>
      </c>
      <c r="O1114" s="5">
        <f t="shared" ca="1" si="98"/>
        <v>4.4226000000000001</v>
      </c>
      <c r="P1114" s="5">
        <f t="shared" ca="1" si="98"/>
        <v>14.760600000000004</v>
      </c>
      <c r="Q1114" s="5">
        <f t="shared" ca="1" si="98"/>
        <v>232.44659999999996</v>
      </c>
      <c r="R1114" s="4"/>
      <c r="S1114" s="4"/>
    </row>
    <row r="1115" spans="1:19" ht="15" customHeight="1">
      <c r="A1115" s="3">
        <f t="shared" si="92"/>
        <v>2093</v>
      </c>
      <c r="B1115" s="4">
        <f t="shared" ca="1" si="97"/>
        <v>32.998873500000009</v>
      </c>
      <c r="C1115" s="4">
        <f t="shared" ca="1" si="97"/>
        <v>33.007255200000003</v>
      </c>
      <c r="D1115" s="4">
        <f t="shared" ca="1" si="97"/>
        <v>32.998022600000006</v>
      </c>
      <c r="E1115" s="4">
        <f t="shared" ca="1" si="97"/>
        <v>33.000320700000003</v>
      </c>
      <c r="F1115" s="4">
        <f t="shared" ca="1" si="97"/>
        <v>33.798391199999998</v>
      </c>
      <c r="G1115" s="4">
        <f t="shared" ca="1" si="97"/>
        <v>32.164743600000001</v>
      </c>
      <c r="H1115" s="4">
        <f t="shared" ca="1" si="97"/>
        <v>32.88439730000001</v>
      </c>
      <c r="I1115" s="4">
        <f t="shared" ca="1" si="97"/>
        <v>31.6837439</v>
      </c>
      <c r="J1115" s="4">
        <f t="shared" ca="1" si="97"/>
        <v>31.615691999999999</v>
      </c>
      <c r="K1115" s="4"/>
      <c r="L1115" s="5">
        <f t="shared" ca="1" si="98"/>
        <v>336.06969999999995</v>
      </c>
      <c r="M1115" s="5">
        <f t="shared" ca="1" si="98"/>
        <v>142.0401</v>
      </c>
      <c r="N1115" s="5">
        <f t="shared" ca="1" si="98"/>
        <v>58.217499999999994</v>
      </c>
      <c r="O1115" s="5">
        <f t="shared" ca="1" si="98"/>
        <v>4.4104999999999999</v>
      </c>
      <c r="P1115" s="5">
        <f t="shared" ca="1" si="98"/>
        <v>14.718800000000003</v>
      </c>
      <c r="Q1115" s="5">
        <f t="shared" ca="1" si="98"/>
        <v>231.81149999999997</v>
      </c>
      <c r="R1115" s="4"/>
      <c r="S1115" s="4"/>
    </row>
    <row r="1116" spans="1:19" ht="15" customHeight="1">
      <c r="A1116" s="3">
        <f t="shared" si="92"/>
        <v>2094</v>
      </c>
      <c r="B1116" s="4">
        <f t="shared" ca="1" si="97"/>
        <v>34.077868299999999</v>
      </c>
      <c r="C1116" s="4">
        <f t="shared" ca="1" si="97"/>
        <v>34.0862701</v>
      </c>
      <c r="D1116" s="4">
        <f t="shared" ca="1" si="97"/>
        <v>34.077030799999996</v>
      </c>
      <c r="E1116" s="4">
        <f t="shared" ca="1" si="97"/>
        <v>34.079315500000007</v>
      </c>
      <c r="F1116" s="4">
        <f t="shared" ca="1" si="97"/>
        <v>34.877399400000002</v>
      </c>
      <c r="G1116" s="4">
        <f t="shared" ca="1" si="97"/>
        <v>33.216523000000002</v>
      </c>
      <c r="H1116" s="4">
        <f t="shared" ca="1" si="97"/>
        <v>33.936176700000004</v>
      </c>
      <c r="I1116" s="4">
        <f t="shared" ca="1" si="97"/>
        <v>32.718150199999997</v>
      </c>
      <c r="J1116" s="4">
        <f t="shared" ca="1" si="97"/>
        <v>32.6495958</v>
      </c>
      <c r="K1116" s="4"/>
      <c r="L1116" s="5">
        <f t="shared" ca="1" si="98"/>
        <v>336.06969999999995</v>
      </c>
      <c r="M1116" s="5">
        <f t="shared" ca="1" si="98"/>
        <v>142.0401</v>
      </c>
      <c r="N1116" s="5">
        <f t="shared" ca="1" si="98"/>
        <v>58.217499999999994</v>
      </c>
      <c r="O1116" s="5">
        <f t="shared" ca="1" si="98"/>
        <v>4.4104999999999999</v>
      </c>
      <c r="P1116" s="5">
        <f t="shared" ca="1" si="98"/>
        <v>14.718800000000003</v>
      </c>
      <c r="Q1116" s="5">
        <f t="shared" ca="1" si="98"/>
        <v>231.81149999999997</v>
      </c>
      <c r="R1116" s="4"/>
      <c r="S1116" s="4"/>
    </row>
    <row r="1117" spans="1:19" ht="15" customHeight="1">
      <c r="A1117" s="3">
        <f t="shared" si="92"/>
        <v>2095</v>
      </c>
      <c r="B1117" s="4">
        <f t="shared" ca="1" si="97"/>
        <v>35.192172100000001</v>
      </c>
      <c r="C1117" s="4">
        <f t="shared" ca="1" si="97"/>
        <v>35.200560500000002</v>
      </c>
      <c r="D1117" s="4">
        <f t="shared" ca="1" si="97"/>
        <v>35.191321200000004</v>
      </c>
      <c r="E1117" s="4">
        <f t="shared" ca="1" si="97"/>
        <v>35.193612600000002</v>
      </c>
      <c r="F1117" s="4">
        <f t="shared" ca="1" si="97"/>
        <v>35.991696500000003</v>
      </c>
      <c r="G1117" s="4">
        <f t="shared" ca="1" si="97"/>
        <v>34.302700199999997</v>
      </c>
      <c r="H1117" s="4">
        <f t="shared" ca="1" si="97"/>
        <v>35.022360600000006</v>
      </c>
      <c r="I1117" s="4">
        <f t="shared" ca="1" si="97"/>
        <v>33.786404900000001</v>
      </c>
      <c r="J1117" s="4">
        <f t="shared" ca="1" si="97"/>
        <v>33.717314500000008</v>
      </c>
      <c r="K1117" s="4"/>
      <c r="L1117" s="5">
        <f t="shared" ca="1" si="98"/>
        <v>336.06969999999995</v>
      </c>
      <c r="M1117" s="5">
        <f t="shared" ca="1" si="98"/>
        <v>142.0401</v>
      </c>
      <c r="N1117" s="5">
        <f t="shared" ca="1" si="98"/>
        <v>58.217499999999994</v>
      </c>
      <c r="O1117" s="5">
        <f t="shared" ca="1" si="98"/>
        <v>4.4104999999999999</v>
      </c>
      <c r="P1117" s="5">
        <f t="shared" ca="1" si="98"/>
        <v>14.718800000000003</v>
      </c>
      <c r="Q1117" s="5">
        <f t="shared" ca="1" si="98"/>
        <v>231.81149999999997</v>
      </c>
      <c r="R1117" s="4"/>
      <c r="S1117" s="4"/>
    </row>
    <row r="1118" spans="1:19" ht="15" customHeight="1">
      <c r="A1118" s="3">
        <f t="shared" si="92"/>
        <v>2096</v>
      </c>
      <c r="B1118" s="4">
        <f t="shared" ca="1" si="97"/>
        <v>36.342897100000009</v>
      </c>
      <c r="C1118" s="4">
        <f t="shared" ca="1" si="97"/>
        <v>36.35129890000001</v>
      </c>
      <c r="D1118" s="4">
        <f t="shared" ca="1" si="97"/>
        <v>36.342046200000006</v>
      </c>
      <c r="E1118" s="4">
        <f t="shared" ca="1" si="97"/>
        <v>36.34435100000001</v>
      </c>
      <c r="F1118" s="4">
        <f t="shared" ca="1" si="97"/>
        <v>37.142421500000005</v>
      </c>
      <c r="G1118" s="4">
        <f t="shared" ca="1" si="97"/>
        <v>35.424414200000001</v>
      </c>
      <c r="H1118" s="4">
        <f t="shared" ca="1" si="97"/>
        <v>36.144054500000003</v>
      </c>
      <c r="I1118" s="4">
        <f t="shared" ca="1" si="97"/>
        <v>34.889600100000003</v>
      </c>
      <c r="J1118" s="4">
        <f t="shared" ca="1" si="97"/>
        <v>34.819940199999998</v>
      </c>
      <c r="K1118" s="4"/>
      <c r="L1118" s="5">
        <f t="shared" ca="1" si="98"/>
        <v>336.95349999999996</v>
      </c>
      <c r="M1118" s="5">
        <f t="shared" ca="1" si="98"/>
        <v>142.42920000000001</v>
      </c>
      <c r="N1118" s="5">
        <f t="shared" ca="1" si="98"/>
        <v>58.377000000000002</v>
      </c>
      <c r="O1118" s="5">
        <f t="shared" ca="1" si="98"/>
        <v>4.4226000000000001</v>
      </c>
      <c r="P1118" s="5">
        <f t="shared" ca="1" si="98"/>
        <v>14.760600000000004</v>
      </c>
      <c r="Q1118" s="5">
        <f t="shared" ca="1" si="98"/>
        <v>232.44659999999996</v>
      </c>
      <c r="R1118" s="4"/>
      <c r="S1118" s="4"/>
    </row>
    <row r="1119" spans="1:19" ht="15" customHeight="1">
      <c r="A1119" s="3">
        <f t="shared" si="92"/>
        <v>2097</v>
      </c>
      <c r="B1119" s="4">
        <f t="shared" ca="1" si="97"/>
        <v>37.531262700000006</v>
      </c>
      <c r="C1119" s="4">
        <f t="shared" ca="1" si="97"/>
        <v>37.539657800000008</v>
      </c>
      <c r="D1119" s="4">
        <f t="shared" ca="1" si="97"/>
        <v>37.530405100000003</v>
      </c>
      <c r="E1119" s="4">
        <f t="shared" ca="1" si="97"/>
        <v>37.532696500000007</v>
      </c>
      <c r="F1119" s="4">
        <f t="shared" ca="1" si="97"/>
        <v>38.330780400000002</v>
      </c>
      <c r="G1119" s="4">
        <f t="shared" ca="1" si="97"/>
        <v>36.582777200000002</v>
      </c>
      <c r="H1119" s="4">
        <f t="shared" ca="1" si="97"/>
        <v>37.302437599999998</v>
      </c>
      <c r="I1119" s="4">
        <f t="shared" ca="1" si="97"/>
        <v>36.028854699999997</v>
      </c>
      <c r="J1119" s="4">
        <f t="shared" ca="1" si="97"/>
        <v>35.958638700000002</v>
      </c>
      <c r="K1119" s="4"/>
      <c r="L1119" s="5">
        <f t="shared" ca="1" si="98"/>
        <v>336.06969999999995</v>
      </c>
      <c r="M1119" s="5">
        <f t="shared" ca="1" si="98"/>
        <v>142.0401</v>
      </c>
      <c r="N1119" s="5">
        <f t="shared" ca="1" si="98"/>
        <v>58.217499999999994</v>
      </c>
      <c r="O1119" s="5">
        <f t="shared" ca="1" si="98"/>
        <v>4.4104999999999999</v>
      </c>
      <c r="P1119" s="5">
        <f t="shared" ca="1" si="98"/>
        <v>14.718800000000003</v>
      </c>
      <c r="Q1119" s="5">
        <f t="shared" ca="1" si="98"/>
        <v>231.81149999999997</v>
      </c>
      <c r="R1119" s="4"/>
      <c r="S1119" s="4"/>
    </row>
    <row r="1120" spans="1:19" ht="15" customHeight="1">
      <c r="A1120" s="3">
        <f t="shared" si="92"/>
        <v>2098</v>
      </c>
      <c r="B1120" s="4">
        <f t="shared" ca="1" si="97"/>
        <v>38.758488300000003</v>
      </c>
      <c r="C1120" s="4">
        <f t="shared" ca="1" si="97"/>
        <v>38.766883399999998</v>
      </c>
      <c r="D1120" s="4">
        <f t="shared" ca="1" si="97"/>
        <v>38.7576441</v>
      </c>
      <c r="E1120" s="4">
        <f t="shared" ca="1" si="97"/>
        <v>38.759928800000004</v>
      </c>
      <c r="F1120" s="4">
        <f t="shared" ca="1" si="97"/>
        <v>39.558019400000006</v>
      </c>
      <c r="G1120" s="4">
        <f t="shared" ca="1" si="97"/>
        <v>37.779055500000005</v>
      </c>
      <c r="H1120" s="4">
        <f t="shared" ca="1" si="97"/>
        <v>38.498709200000008</v>
      </c>
      <c r="I1120" s="4">
        <f t="shared" ca="1" si="97"/>
        <v>37.2053747</v>
      </c>
      <c r="J1120" s="4">
        <f t="shared" ca="1" si="97"/>
        <v>37.1345758</v>
      </c>
      <c r="K1120" s="4"/>
      <c r="L1120" s="5">
        <f t="shared" ca="1" si="98"/>
        <v>336.06969999999995</v>
      </c>
      <c r="M1120" s="5">
        <f t="shared" ca="1" si="98"/>
        <v>142.0401</v>
      </c>
      <c r="N1120" s="5">
        <f t="shared" ca="1" si="98"/>
        <v>58.217499999999994</v>
      </c>
      <c r="O1120" s="5">
        <f t="shared" ca="1" si="98"/>
        <v>4.4104999999999999</v>
      </c>
      <c r="P1120" s="5">
        <f t="shared" ca="1" si="98"/>
        <v>14.718800000000003</v>
      </c>
      <c r="Q1120" s="5">
        <f t="shared" ca="1" si="98"/>
        <v>231.81149999999997</v>
      </c>
      <c r="R1120" s="4"/>
      <c r="S1120" s="4"/>
    </row>
    <row r="1121" spans="1:19" ht="15" customHeight="1">
      <c r="A1121" s="3">
        <f t="shared" si="92"/>
        <v>2099</v>
      </c>
      <c r="B1121" s="4">
        <f t="shared" ca="1" si="97"/>
        <v>40.025853600000012</v>
      </c>
      <c r="C1121" s="4">
        <f t="shared" ca="1" si="97"/>
        <v>40.034242000000006</v>
      </c>
      <c r="D1121" s="4">
        <f t="shared" ca="1" si="97"/>
        <v>40.025009400000002</v>
      </c>
      <c r="E1121" s="4">
        <f t="shared" ca="1" si="97"/>
        <v>40.027300800000006</v>
      </c>
      <c r="F1121" s="4">
        <f t="shared" ca="1" si="97"/>
        <v>40.825384700000008</v>
      </c>
      <c r="G1121" s="4">
        <f t="shared" ca="1" si="97"/>
        <v>39.014441699999999</v>
      </c>
      <c r="H1121" s="4">
        <f t="shared" ca="1" si="97"/>
        <v>39.734095400000008</v>
      </c>
      <c r="I1121" s="4">
        <f t="shared" ca="1" si="97"/>
        <v>38.420379500000003</v>
      </c>
      <c r="J1121" s="4">
        <f t="shared" ca="1" si="97"/>
        <v>38.348957500000004</v>
      </c>
      <c r="K1121" s="4"/>
      <c r="L1121" s="5">
        <f t="shared" ca="1" si="98"/>
        <v>336.06969999999995</v>
      </c>
      <c r="M1121" s="5">
        <f t="shared" ca="1" si="98"/>
        <v>142.0401</v>
      </c>
      <c r="N1121" s="5">
        <f t="shared" ca="1" si="98"/>
        <v>58.217499999999994</v>
      </c>
      <c r="O1121" s="5">
        <f t="shared" ca="1" si="98"/>
        <v>4.4104999999999999</v>
      </c>
      <c r="P1121" s="5">
        <f t="shared" ca="1" si="98"/>
        <v>14.718800000000003</v>
      </c>
      <c r="Q1121" s="5">
        <f t="shared" ca="1" si="98"/>
        <v>231.81149999999997</v>
      </c>
      <c r="R1121" s="4"/>
      <c r="S1121" s="4"/>
    </row>
    <row r="1122" spans="1:19" ht="15" customHeight="1">
      <c r="A1122" s="3">
        <f t="shared" si="92"/>
        <v>2100</v>
      </c>
      <c r="B1122" s="4">
        <f t="shared" ca="1" si="97"/>
        <v>41.334671800000002</v>
      </c>
      <c r="C1122" s="4">
        <f t="shared" ca="1" si="97"/>
        <v>41.343066900000004</v>
      </c>
      <c r="D1122" s="4">
        <f t="shared" ca="1" si="97"/>
        <v>41.333827599999999</v>
      </c>
      <c r="E1122" s="4">
        <f t="shared" ca="1" si="97"/>
        <v>41.336125700000004</v>
      </c>
      <c r="F1122" s="4">
        <f t="shared" ca="1" si="97"/>
        <v>42.134176100000005</v>
      </c>
      <c r="G1122" s="4">
        <f t="shared" ca="1" si="97"/>
        <v>40.290228900000002</v>
      </c>
      <c r="H1122" s="4">
        <f t="shared" ca="1" si="97"/>
        <v>41.009902699999998</v>
      </c>
      <c r="I1122" s="4">
        <f t="shared" ca="1" si="97"/>
        <v>39.675115300000002</v>
      </c>
      <c r="J1122" s="4">
        <f t="shared" ca="1" si="97"/>
        <v>39.603056799999997</v>
      </c>
      <c r="K1122" s="4"/>
      <c r="L1122" s="5">
        <f t="shared" ca="1" si="98"/>
        <v>336.06969999999995</v>
      </c>
      <c r="M1122" s="5">
        <f t="shared" ca="1" si="98"/>
        <v>142.0401</v>
      </c>
      <c r="N1122" s="5">
        <f t="shared" ca="1" si="98"/>
        <v>58.217499999999994</v>
      </c>
      <c r="O1122" s="5">
        <f t="shared" ca="1" si="98"/>
        <v>4.4104999999999999</v>
      </c>
      <c r="P1122" s="5">
        <f t="shared" ca="1" si="98"/>
        <v>14.718800000000003</v>
      </c>
      <c r="Q1122" s="5">
        <f t="shared" ca="1" si="98"/>
        <v>231.81149999999997</v>
      </c>
      <c r="R1122" s="4"/>
      <c r="S1122" s="4"/>
    </row>
    <row r="1123" spans="1:19">
      <c r="A1123" s="3"/>
    </row>
    <row r="1124" spans="1:19">
      <c r="A1124" s="3"/>
    </row>
    <row r="1125" spans="1:19">
      <c r="A1125" s="3"/>
    </row>
    <row r="1126" spans="1:19">
      <c r="A1126" s="3"/>
    </row>
    <row r="1127" spans="1:19">
      <c r="A1127" s="3"/>
    </row>
    <row r="1128" spans="1:19">
      <c r="A1128" s="3"/>
    </row>
    <row r="1129" spans="1:19">
      <c r="A1129" s="3"/>
    </row>
    <row r="1130" spans="1:19">
      <c r="A1130" s="3"/>
    </row>
    <row r="1131" spans="1:19">
      <c r="A1131" s="3"/>
    </row>
    <row r="1132" spans="1:19">
      <c r="A1132" s="3"/>
    </row>
    <row r="1133" spans="1:19">
      <c r="A1133" s="3"/>
    </row>
    <row r="1134" spans="1:19">
      <c r="A1134" s="3"/>
    </row>
    <row r="1135" spans="1:19">
      <c r="A1135" s="3"/>
    </row>
    <row r="1136" spans="1:19">
      <c r="A1136" s="3"/>
    </row>
    <row r="1137" spans="1:1">
      <c r="A1137" s="3"/>
    </row>
  </sheetData>
  <mergeCells count="2">
    <mergeCell ref="L13:S13"/>
    <mergeCell ref="L14:S14"/>
  </mergeCells>
  <pageMargins left="0.25" right="0.25" top="0.5" bottom="0.5" header="0.25" footer="0.25"/>
  <pageSetup paperSize="119" scale="90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locked="0" defaultSize="0" autoLine="0" autoPict="0">
                <anchor moveWithCells="1">
                  <from>
                    <xdr:col>3</xdr:col>
                    <xdr:colOff>0</xdr:colOff>
                    <xdr:row>11</xdr:row>
                    <xdr:rowOff>142875</xdr:rowOff>
                  </from>
                  <to>
                    <xdr:col>4</xdr:col>
                    <xdr:colOff>533400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locked="0" defaultSize="0" autoLine="0" autoPict="0">
                <anchor moveWithCells="1">
                  <from>
                    <xdr:col>4</xdr:col>
                    <xdr:colOff>533400</xdr:colOff>
                    <xdr:row>11</xdr:row>
                    <xdr:rowOff>142875</xdr:rowOff>
                  </from>
                  <to>
                    <xdr:col>6</xdr:col>
                    <xdr:colOff>257175</xdr:colOff>
                    <xdr:row>13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T1142"/>
  <sheetViews>
    <sheetView zoomScale="70" zoomScaleNormal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7.88671875" style="30" customWidth="1"/>
    <col min="3" max="7" width="11.33203125" style="29" customWidth="1"/>
    <col min="8" max="8" width="12.77734375" style="29" bestFit="1" customWidth="1"/>
    <col min="9" max="9" width="13.21875" style="29" customWidth="1"/>
    <col min="10" max="10" width="12.77734375" style="29" customWidth="1"/>
    <col min="11" max="11" width="7.77734375" style="29" customWidth="1"/>
    <col min="12" max="16384" width="7.109375" style="29"/>
  </cols>
  <sheetData>
    <row r="1" spans="1:10" ht="15.75">
      <c r="A1" s="81" t="s">
        <v>64</v>
      </c>
    </row>
    <row r="2" spans="1:10" ht="15.75">
      <c r="A2" s="81" t="s">
        <v>65</v>
      </c>
    </row>
    <row r="3" spans="1:10" ht="15.75">
      <c r="A3" s="81" t="s">
        <v>66</v>
      </c>
    </row>
    <row r="4" spans="1:10" ht="15.75">
      <c r="A4" s="81" t="s">
        <v>67</v>
      </c>
    </row>
    <row r="5" spans="1:10" ht="15.75">
      <c r="A5" s="81" t="s">
        <v>68</v>
      </c>
    </row>
    <row r="6" spans="1:10" ht="15.75">
      <c r="A6" s="81" t="s">
        <v>70</v>
      </c>
    </row>
    <row r="8" spans="1:10" ht="20.25">
      <c r="A8" s="28" t="s">
        <v>35</v>
      </c>
    </row>
    <row r="9" spans="1:10" ht="15.75">
      <c r="A9" s="27" t="s">
        <v>25</v>
      </c>
    </row>
    <row r="11" spans="1:10">
      <c r="A11" s="29"/>
    </row>
    <row r="12" spans="1:10" ht="15.75">
      <c r="A12" s="29"/>
      <c r="B12" s="27"/>
      <c r="C12" s="50"/>
      <c r="I12" s="21"/>
    </row>
    <row r="13" spans="1:10" ht="15.75">
      <c r="A13" s="27"/>
      <c r="B13" s="27"/>
      <c r="C13" s="50"/>
      <c r="I13" s="21"/>
    </row>
    <row r="14" spans="1:10" ht="15.75">
      <c r="A14" s="27"/>
      <c r="C14" s="83" t="s">
        <v>34</v>
      </c>
      <c r="D14" s="83"/>
      <c r="E14" s="83"/>
      <c r="F14" s="49"/>
      <c r="G14" s="48"/>
      <c r="H14" s="47"/>
      <c r="I14" s="46"/>
    </row>
    <row r="15" spans="1:10" ht="97.9" customHeight="1">
      <c r="A15" s="15"/>
      <c r="B15" s="15"/>
      <c r="C15" s="18" t="s">
        <v>20</v>
      </c>
      <c r="D15" s="45" t="s">
        <v>19</v>
      </c>
      <c r="E15" s="18" t="s">
        <v>33</v>
      </c>
      <c r="F15" s="18" t="s">
        <v>32</v>
      </c>
      <c r="G15" s="18" t="s">
        <v>16</v>
      </c>
      <c r="H15" s="44" t="s">
        <v>31</v>
      </c>
      <c r="I15" s="18" t="s">
        <v>30</v>
      </c>
      <c r="J15" s="18" t="s">
        <v>29</v>
      </c>
    </row>
    <row r="16" spans="1:10" ht="15.75">
      <c r="A16" s="17" t="s">
        <v>2</v>
      </c>
      <c r="B16" s="17" t="s">
        <v>28</v>
      </c>
      <c r="C16" s="17" t="s">
        <v>27</v>
      </c>
      <c r="D16" s="17" t="s">
        <v>27</v>
      </c>
      <c r="E16" s="17" t="s">
        <v>27</v>
      </c>
      <c r="F16" s="17" t="s">
        <v>27</v>
      </c>
      <c r="G16" s="17" t="s">
        <v>27</v>
      </c>
      <c r="H16" s="43" t="s">
        <v>27</v>
      </c>
      <c r="I16" s="17" t="s">
        <v>27</v>
      </c>
      <c r="J16" s="17" t="s">
        <v>27</v>
      </c>
    </row>
    <row r="17" spans="1:20" ht="15.75">
      <c r="A17" s="13">
        <v>42370</v>
      </c>
      <c r="B17" s="41">
        <v>31</v>
      </c>
      <c r="C17" s="32">
        <v>122.58</v>
      </c>
      <c r="D17" s="32">
        <v>297.94099999999997</v>
      </c>
      <c r="E17" s="38">
        <v>729.47900000000004</v>
      </c>
      <c r="F17" s="32">
        <v>1150</v>
      </c>
      <c r="G17" s="32">
        <v>100</v>
      </c>
      <c r="H17" s="40"/>
      <c r="I17" s="32">
        <v>695</v>
      </c>
      <c r="J17" s="32">
        <v>50</v>
      </c>
      <c r="K17" s="33"/>
      <c r="L17" s="42"/>
      <c r="M17" s="33"/>
      <c r="N17" s="33"/>
      <c r="O17" s="33"/>
      <c r="P17" s="33"/>
      <c r="Q17" s="33"/>
      <c r="R17" s="33"/>
      <c r="S17" s="33"/>
      <c r="T17" s="33"/>
    </row>
    <row r="18" spans="1:20" ht="15.75">
      <c r="A18" s="13">
        <v>42401</v>
      </c>
      <c r="B18" s="41">
        <v>29</v>
      </c>
      <c r="C18" s="32">
        <v>122.58</v>
      </c>
      <c r="D18" s="32">
        <v>297.94099999999997</v>
      </c>
      <c r="E18" s="38">
        <v>729.47900000000004</v>
      </c>
      <c r="F18" s="32">
        <v>1150</v>
      </c>
      <c r="G18" s="32">
        <v>100</v>
      </c>
      <c r="H18" s="40"/>
      <c r="I18" s="32">
        <v>695</v>
      </c>
      <c r="J18" s="32">
        <v>50</v>
      </c>
      <c r="K18" s="33"/>
      <c r="L18" s="42"/>
      <c r="M18" s="33"/>
      <c r="N18" s="33"/>
      <c r="O18" s="33"/>
      <c r="P18" s="33"/>
      <c r="Q18" s="33"/>
      <c r="R18" s="33"/>
      <c r="S18" s="33"/>
      <c r="T18" s="33"/>
    </row>
    <row r="19" spans="1:20" ht="15.75">
      <c r="A19" s="13">
        <v>42430</v>
      </c>
      <c r="B19" s="41">
        <v>31</v>
      </c>
      <c r="C19" s="32">
        <v>122.58</v>
      </c>
      <c r="D19" s="32">
        <v>297.94099999999997</v>
      </c>
      <c r="E19" s="38">
        <v>729.47900000000004</v>
      </c>
      <c r="F19" s="32">
        <v>1150</v>
      </c>
      <c r="G19" s="32">
        <v>100</v>
      </c>
      <c r="H19" s="40"/>
      <c r="I19" s="32">
        <v>695</v>
      </c>
      <c r="J19" s="32">
        <v>50</v>
      </c>
      <c r="K19" s="33"/>
      <c r="L19" s="42"/>
      <c r="M19" s="33"/>
      <c r="N19" s="33"/>
      <c r="O19" s="33"/>
      <c r="P19" s="33"/>
      <c r="Q19" s="33"/>
      <c r="R19" s="33"/>
      <c r="S19" s="33"/>
      <c r="T19" s="33"/>
    </row>
    <row r="20" spans="1:20" ht="15.75">
      <c r="A20" s="13">
        <v>42461</v>
      </c>
      <c r="B20" s="41">
        <v>30</v>
      </c>
      <c r="C20" s="32">
        <v>141.29300000000001</v>
      </c>
      <c r="D20" s="32">
        <v>267.99299999999999</v>
      </c>
      <c r="E20" s="38">
        <v>829.71400000000006</v>
      </c>
      <c r="F20" s="32">
        <v>1239</v>
      </c>
      <c r="G20" s="32">
        <v>100</v>
      </c>
      <c r="H20" s="40"/>
      <c r="I20" s="32">
        <v>695</v>
      </c>
      <c r="J20" s="32">
        <v>50</v>
      </c>
      <c r="K20" s="33"/>
      <c r="L20" s="42"/>
      <c r="M20" s="33"/>
      <c r="N20" s="33"/>
      <c r="O20" s="33"/>
      <c r="P20" s="33"/>
      <c r="Q20" s="33"/>
      <c r="R20" s="33"/>
      <c r="S20" s="33"/>
      <c r="T20" s="33"/>
    </row>
    <row r="21" spans="1:20" ht="15.75">
      <c r="A21" s="13">
        <v>42491</v>
      </c>
      <c r="B21" s="41">
        <v>31</v>
      </c>
      <c r="C21" s="32">
        <v>194.20500000000001</v>
      </c>
      <c r="D21" s="32">
        <v>267.46600000000001</v>
      </c>
      <c r="E21" s="38">
        <v>932.32899999999995</v>
      </c>
      <c r="F21" s="32">
        <v>1394</v>
      </c>
      <c r="G21" s="32">
        <v>75</v>
      </c>
      <c r="H21" s="40"/>
      <c r="I21" s="32">
        <v>695</v>
      </c>
      <c r="J21" s="32">
        <v>50</v>
      </c>
      <c r="K21" s="33"/>
      <c r="L21" s="42"/>
      <c r="M21" s="33"/>
      <c r="N21" s="33"/>
      <c r="O21" s="33"/>
      <c r="P21" s="33"/>
      <c r="Q21" s="33"/>
      <c r="R21" s="33"/>
      <c r="S21" s="33"/>
      <c r="T21" s="33"/>
    </row>
    <row r="22" spans="1:20" ht="15.75">
      <c r="A22" s="13">
        <v>42522</v>
      </c>
      <c r="B22" s="41">
        <v>30</v>
      </c>
      <c r="C22" s="32">
        <v>194.20500000000001</v>
      </c>
      <c r="D22" s="32">
        <v>267.46600000000001</v>
      </c>
      <c r="E22" s="38">
        <v>932.32899999999995</v>
      </c>
      <c r="F22" s="32">
        <v>1394</v>
      </c>
      <c r="G22" s="32">
        <v>50</v>
      </c>
      <c r="H22" s="40"/>
      <c r="I22" s="32">
        <v>695</v>
      </c>
      <c r="J22" s="32">
        <v>50</v>
      </c>
      <c r="K22" s="33"/>
      <c r="L22" s="42"/>
      <c r="M22" s="33"/>
      <c r="N22" s="33"/>
      <c r="O22" s="33"/>
      <c r="P22" s="33"/>
      <c r="Q22" s="33"/>
      <c r="R22" s="33"/>
      <c r="S22" s="33"/>
      <c r="T22" s="33"/>
    </row>
    <row r="23" spans="1:20" ht="15.75">
      <c r="A23" s="13">
        <v>42552</v>
      </c>
      <c r="B23" s="41">
        <v>31</v>
      </c>
      <c r="C23" s="32">
        <v>194.20500000000001</v>
      </c>
      <c r="D23" s="32">
        <v>267.46600000000001</v>
      </c>
      <c r="E23" s="38">
        <v>932.32899999999995</v>
      </c>
      <c r="F23" s="32">
        <v>1394</v>
      </c>
      <c r="G23" s="32">
        <v>50</v>
      </c>
      <c r="H23" s="40"/>
      <c r="I23" s="32">
        <v>695</v>
      </c>
      <c r="J23" s="32">
        <v>0</v>
      </c>
      <c r="K23" s="33"/>
      <c r="L23" s="42"/>
      <c r="M23" s="33"/>
      <c r="N23" s="33"/>
      <c r="O23" s="33"/>
      <c r="P23" s="33"/>
      <c r="Q23" s="33"/>
      <c r="R23" s="33"/>
      <c r="S23" s="33"/>
      <c r="T23" s="33"/>
    </row>
    <row r="24" spans="1:20" ht="15.75">
      <c r="A24" s="13">
        <v>42583</v>
      </c>
      <c r="B24" s="41">
        <v>31</v>
      </c>
      <c r="C24" s="32">
        <v>194.20500000000001</v>
      </c>
      <c r="D24" s="32">
        <v>267.46600000000001</v>
      </c>
      <c r="E24" s="38">
        <v>932.32899999999995</v>
      </c>
      <c r="F24" s="32">
        <v>1394</v>
      </c>
      <c r="G24" s="32">
        <v>50</v>
      </c>
      <c r="H24" s="40"/>
      <c r="I24" s="32">
        <v>695</v>
      </c>
      <c r="J24" s="32">
        <v>0</v>
      </c>
      <c r="K24" s="33"/>
      <c r="L24" s="42"/>
      <c r="M24" s="33"/>
      <c r="N24" s="33"/>
      <c r="O24" s="33"/>
      <c r="P24" s="33"/>
      <c r="Q24" s="33"/>
      <c r="R24" s="33"/>
      <c r="S24" s="33"/>
      <c r="T24" s="33"/>
    </row>
    <row r="25" spans="1:20" ht="15.75">
      <c r="A25" s="13">
        <v>42614</v>
      </c>
      <c r="B25" s="41">
        <v>30</v>
      </c>
      <c r="C25" s="32">
        <v>194.20500000000001</v>
      </c>
      <c r="D25" s="32">
        <v>267.46600000000001</v>
      </c>
      <c r="E25" s="38">
        <v>932.32899999999995</v>
      </c>
      <c r="F25" s="32">
        <v>1394</v>
      </c>
      <c r="G25" s="32">
        <v>50</v>
      </c>
      <c r="H25" s="40"/>
      <c r="I25" s="32">
        <v>695</v>
      </c>
      <c r="J25" s="32">
        <v>0</v>
      </c>
      <c r="K25" s="33"/>
      <c r="L25" s="42"/>
      <c r="M25" s="33"/>
      <c r="N25" s="33"/>
      <c r="O25" s="33"/>
      <c r="P25" s="33"/>
      <c r="Q25" s="33"/>
      <c r="R25" s="33"/>
      <c r="S25" s="33"/>
      <c r="T25" s="33"/>
    </row>
    <row r="26" spans="1:20" ht="15.75">
      <c r="A26" s="13">
        <v>42644</v>
      </c>
      <c r="B26" s="41">
        <v>31</v>
      </c>
      <c r="C26" s="32">
        <v>131.881</v>
      </c>
      <c r="D26" s="32">
        <v>277.16699999999997</v>
      </c>
      <c r="E26" s="38">
        <v>949.952</v>
      </c>
      <c r="F26" s="32">
        <v>1359</v>
      </c>
      <c r="G26" s="32">
        <v>75</v>
      </c>
      <c r="H26" s="40"/>
      <c r="I26" s="32">
        <v>695</v>
      </c>
      <c r="J26" s="32">
        <v>0</v>
      </c>
      <c r="K26" s="33"/>
      <c r="L26" s="42"/>
      <c r="M26" s="33"/>
      <c r="N26" s="33"/>
      <c r="O26" s="33"/>
      <c r="P26" s="33"/>
      <c r="Q26" s="33"/>
      <c r="R26" s="33"/>
      <c r="S26" s="33"/>
      <c r="T26" s="33"/>
    </row>
    <row r="27" spans="1:20" ht="15.75">
      <c r="A27" s="13">
        <v>42675</v>
      </c>
      <c r="B27" s="41">
        <v>30</v>
      </c>
      <c r="C27" s="32">
        <v>122.58</v>
      </c>
      <c r="D27" s="32">
        <v>297.94099999999997</v>
      </c>
      <c r="E27" s="38">
        <v>729.47900000000004</v>
      </c>
      <c r="F27" s="32">
        <v>1150</v>
      </c>
      <c r="G27" s="32">
        <v>100</v>
      </c>
      <c r="H27" s="40"/>
      <c r="I27" s="32">
        <v>695</v>
      </c>
      <c r="J27" s="32">
        <v>50</v>
      </c>
      <c r="K27" s="33"/>
      <c r="L27" s="42"/>
      <c r="M27" s="33"/>
      <c r="N27" s="33"/>
      <c r="O27" s="33"/>
      <c r="P27" s="33"/>
      <c r="Q27" s="33"/>
      <c r="R27" s="33"/>
      <c r="S27" s="33"/>
      <c r="T27" s="33"/>
    </row>
    <row r="28" spans="1:20" ht="15.75">
      <c r="A28" s="13">
        <v>42705</v>
      </c>
      <c r="B28" s="41">
        <v>31</v>
      </c>
      <c r="C28" s="32">
        <v>122.58</v>
      </c>
      <c r="D28" s="32">
        <v>297.94099999999997</v>
      </c>
      <c r="E28" s="38">
        <v>729.47900000000004</v>
      </c>
      <c r="F28" s="32">
        <v>1150</v>
      </c>
      <c r="G28" s="32">
        <v>100</v>
      </c>
      <c r="H28" s="40"/>
      <c r="I28" s="32">
        <v>695</v>
      </c>
      <c r="J28" s="32">
        <v>50</v>
      </c>
      <c r="K28" s="33"/>
      <c r="L28" s="42"/>
      <c r="M28" s="33"/>
      <c r="N28" s="33"/>
      <c r="O28" s="33"/>
      <c r="P28" s="33"/>
      <c r="Q28" s="33"/>
      <c r="R28" s="33"/>
      <c r="S28" s="33"/>
      <c r="T28" s="33"/>
    </row>
    <row r="29" spans="1:20" ht="15.75">
      <c r="A29" s="13">
        <v>42736</v>
      </c>
      <c r="B29" s="41">
        <v>31</v>
      </c>
      <c r="C29" s="32">
        <v>122.58</v>
      </c>
      <c r="D29" s="32">
        <v>297.94099999999997</v>
      </c>
      <c r="E29" s="38">
        <v>729.47900000000004</v>
      </c>
      <c r="F29" s="32">
        <v>1150</v>
      </c>
      <c r="G29" s="32">
        <v>100</v>
      </c>
      <c r="H29" s="40"/>
      <c r="I29" s="32">
        <v>695</v>
      </c>
      <c r="J29" s="32">
        <v>50</v>
      </c>
      <c r="K29" s="33"/>
      <c r="L29" s="42"/>
      <c r="M29" s="33"/>
      <c r="N29" s="33"/>
      <c r="O29" s="33"/>
      <c r="P29" s="33"/>
      <c r="Q29" s="33"/>
      <c r="R29" s="33"/>
      <c r="S29" s="33"/>
      <c r="T29" s="33"/>
    </row>
    <row r="30" spans="1:20" ht="15.75">
      <c r="A30" s="13">
        <v>42767</v>
      </c>
      <c r="B30" s="41">
        <v>28</v>
      </c>
      <c r="C30" s="32">
        <v>122.58</v>
      </c>
      <c r="D30" s="32">
        <v>297.94099999999997</v>
      </c>
      <c r="E30" s="38">
        <v>729.47900000000004</v>
      </c>
      <c r="F30" s="32">
        <v>1150</v>
      </c>
      <c r="G30" s="32">
        <v>100</v>
      </c>
      <c r="H30" s="40"/>
      <c r="I30" s="32">
        <v>695</v>
      </c>
      <c r="J30" s="32">
        <v>50</v>
      </c>
      <c r="K30" s="33"/>
      <c r="L30" s="42"/>
      <c r="M30" s="33"/>
      <c r="N30" s="33"/>
      <c r="O30" s="33"/>
      <c r="P30" s="33"/>
      <c r="Q30" s="33"/>
      <c r="R30" s="33"/>
      <c r="S30" s="33"/>
      <c r="T30" s="33"/>
    </row>
    <row r="31" spans="1:20" ht="15.75">
      <c r="A31" s="13">
        <v>42795</v>
      </c>
      <c r="B31" s="41">
        <v>31</v>
      </c>
      <c r="C31" s="32">
        <v>122.58</v>
      </c>
      <c r="D31" s="32">
        <v>297.94099999999997</v>
      </c>
      <c r="E31" s="38">
        <v>729.47900000000004</v>
      </c>
      <c r="F31" s="32">
        <v>1150</v>
      </c>
      <c r="G31" s="32">
        <v>100</v>
      </c>
      <c r="H31" s="40"/>
      <c r="I31" s="32">
        <v>695</v>
      </c>
      <c r="J31" s="32">
        <v>50</v>
      </c>
      <c r="K31" s="33"/>
      <c r="L31" s="42"/>
      <c r="M31" s="33"/>
      <c r="N31" s="33"/>
      <c r="O31" s="33"/>
      <c r="P31" s="33"/>
      <c r="Q31" s="33"/>
      <c r="R31" s="33"/>
      <c r="S31" s="33"/>
      <c r="T31" s="33"/>
    </row>
    <row r="32" spans="1:20" ht="15.75">
      <c r="A32" s="13">
        <v>42826</v>
      </c>
      <c r="B32" s="41">
        <v>30</v>
      </c>
      <c r="C32" s="32">
        <v>141.29300000000001</v>
      </c>
      <c r="D32" s="32">
        <v>267.99299999999999</v>
      </c>
      <c r="E32" s="38">
        <v>829.71400000000006</v>
      </c>
      <c r="F32" s="32">
        <v>1239</v>
      </c>
      <c r="G32" s="32">
        <v>100</v>
      </c>
      <c r="H32" s="40"/>
      <c r="I32" s="32">
        <v>695</v>
      </c>
      <c r="J32" s="32">
        <v>50</v>
      </c>
      <c r="K32" s="33"/>
      <c r="L32" s="42"/>
      <c r="M32" s="33"/>
      <c r="N32" s="33"/>
      <c r="O32" s="33"/>
      <c r="P32" s="33"/>
      <c r="Q32" s="33"/>
      <c r="R32" s="33"/>
      <c r="S32" s="33"/>
      <c r="T32" s="33"/>
    </row>
    <row r="33" spans="1:20" ht="15.75">
      <c r="A33" s="13">
        <v>42856</v>
      </c>
      <c r="B33" s="41">
        <v>31</v>
      </c>
      <c r="C33" s="32">
        <v>194.20500000000001</v>
      </c>
      <c r="D33" s="32">
        <v>267.46600000000001</v>
      </c>
      <c r="E33" s="38">
        <v>812.32899999999995</v>
      </c>
      <c r="F33" s="32">
        <v>1274</v>
      </c>
      <c r="G33" s="32">
        <v>75</v>
      </c>
      <c r="H33" s="40">
        <v>400</v>
      </c>
      <c r="I33" s="32">
        <v>695</v>
      </c>
      <c r="J33" s="32">
        <v>50</v>
      </c>
      <c r="K33" s="33"/>
      <c r="L33" s="42"/>
      <c r="M33" s="33"/>
      <c r="N33" s="33"/>
      <c r="O33" s="33"/>
      <c r="P33" s="33"/>
      <c r="Q33" s="33"/>
      <c r="R33" s="33"/>
      <c r="S33" s="33"/>
      <c r="T33" s="33"/>
    </row>
    <row r="34" spans="1:20" ht="15.75">
      <c r="A34" s="13">
        <v>42887</v>
      </c>
      <c r="B34" s="41">
        <v>30</v>
      </c>
      <c r="C34" s="32">
        <v>194.20500000000001</v>
      </c>
      <c r="D34" s="32">
        <v>267.46600000000001</v>
      </c>
      <c r="E34" s="38">
        <v>812.32899999999995</v>
      </c>
      <c r="F34" s="32">
        <v>1274</v>
      </c>
      <c r="G34" s="32">
        <v>50</v>
      </c>
      <c r="H34" s="40">
        <v>400</v>
      </c>
      <c r="I34" s="32">
        <v>695</v>
      </c>
      <c r="J34" s="32">
        <v>50</v>
      </c>
      <c r="K34" s="33"/>
      <c r="L34" s="42"/>
      <c r="M34" s="33"/>
      <c r="N34" s="33"/>
      <c r="O34" s="33"/>
      <c r="P34" s="33"/>
      <c r="Q34" s="33"/>
      <c r="R34" s="33"/>
      <c r="S34" s="33"/>
      <c r="T34" s="33"/>
    </row>
    <row r="35" spans="1:20" ht="15.75">
      <c r="A35" s="13">
        <v>42917</v>
      </c>
      <c r="B35" s="41">
        <v>31</v>
      </c>
      <c r="C35" s="32">
        <v>194.20500000000001</v>
      </c>
      <c r="D35" s="32">
        <v>267.46600000000001</v>
      </c>
      <c r="E35" s="38">
        <v>812.32899999999995</v>
      </c>
      <c r="F35" s="32">
        <v>1274</v>
      </c>
      <c r="G35" s="32">
        <v>50</v>
      </c>
      <c r="H35" s="40">
        <v>400</v>
      </c>
      <c r="I35" s="32">
        <v>695</v>
      </c>
      <c r="J35" s="32">
        <v>0</v>
      </c>
      <c r="K35" s="33"/>
      <c r="L35" s="42"/>
      <c r="M35" s="33"/>
      <c r="N35" s="33"/>
      <c r="O35" s="33"/>
      <c r="P35" s="33"/>
      <c r="Q35" s="33"/>
      <c r="R35" s="33"/>
      <c r="S35" s="33"/>
      <c r="T35" s="33"/>
    </row>
    <row r="36" spans="1:20" ht="15.75">
      <c r="A36" s="13">
        <v>42948</v>
      </c>
      <c r="B36" s="41">
        <v>31</v>
      </c>
      <c r="C36" s="32">
        <v>194.20500000000001</v>
      </c>
      <c r="D36" s="32">
        <v>267.46600000000001</v>
      </c>
      <c r="E36" s="38">
        <v>812.32899999999995</v>
      </c>
      <c r="F36" s="32">
        <v>1274</v>
      </c>
      <c r="G36" s="32">
        <v>50</v>
      </c>
      <c r="H36" s="40">
        <v>400</v>
      </c>
      <c r="I36" s="32">
        <v>695</v>
      </c>
      <c r="J36" s="32">
        <v>0</v>
      </c>
      <c r="K36" s="33"/>
      <c r="L36" s="42"/>
      <c r="M36" s="33"/>
      <c r="N36" s="33"/>
      <c r="O36" s="33"/>
      <c r="P36" s="33"/>
      <c r="Q36" s="33"/>
      <c r="R36" s="33"/>
      <c r="S36" s="33"/>
      <c r="T36" s="33"/>
    </row>
    <row r="37" spans="1:20" ht="15.75">
      <c r="A37" s="13">
        <v>42979</v>
      </c>
      <c r="B37" s="41">
        <v>30</v>
      </c>
      <c r="C37" s="32">
        <v>194.20500000000001</v>
      </c>
      <c r="D37" s="32">
        <v>267.46600000000001</v>
      </c>
      <c r="E37" s="38">
        <v>812.32899999999995</v>
      </c>
      <c r="F37" s="32">
        <v>1274</v>
      </c>
      <c r="G37" s="32">
        <v>50</v>
      </c>
      <c r="H37" s="40">
        <v>400</v>
      </c>
      <c r="I37" s="32">
        <v>695</v>
      </c>
      <c r="J37" s="32">
        <v>0</v>
      </c>
      <c r="K37" s="33"/>
      <c r="L37" s="42"/>
      <c r="M37" s="33"/>
      <c r="N37" s="33"/>
      <c r="O37" s="33"/>
      <c r="P37" s="33"/>
      <c r="Q37" s="33"/>
      <c r="R37" s="33"/>
      <c r="S37" s="33"/>
      <c r="T37" s="33"/>
    </row>
    <row r="38" spans="1:20" ht="15.75">
      <c r="A38" s="13">
        <v>43009</v>
      </c>
      <c r="B38" s="41">
        <v>31</v>
      </c>
      <c r="C38" s="32">
        <v>131.881</v>
      </c>
      <c r="D38" s="32">
        <v>277.16699999999997</v>
      </c>
      <c r="E38" s="38">
        <v>829.952</v>
      </c>
      <c r="F38" s="32">
        <v>1239</v>
      </c>
      <c r="G38" s="32">
        <v>75</v>
      </c>
      <c r="H38" s="40">
        <v>400</v>
      </c>
      <c r="I38" s="32">
        <v>695</v>
      </c>
      <c r="J38" s="32">
        <v>0</v>
      </c>
      <c r="K38" s="33"/>
      <c r="L38" s="42"/>
      <c r="M38" s="33"/>
      <c r="N38" s="33"/>
      <c r="O38" s="33"/>
      <c r="P38" s="33"/>
      <c r="Q38" s="33"/>
      <c r="R38" s="33"/>
      <c r="S38" s="33"/>
      <c r="T38" s="33"/>
    </row>
    <row r="39" spans="1:20" ht="15.75">
      <c r="A39" s="13">
        <v>43040</v>
      </c>
      <c r="B39" s="41">
        <v>30</v>
      </c>
      <c r="C39" s="32">
        <v>122.58</v>
      </c>
      <c r="D39" s="32">
        <v>297.94099999999997</v>
      </c>
      <c r="E39" s="38">
        <v>729.47900000000004</v>
      </c>
      <c r="F39" s="32">
        <v>1150</v>
      </c>
      <c r="G39" s="32">
        <v>100</v>
      </c>
      <c r="H39" s="40">
        <v>400</v>
      </c>
      <c r="I39" s="32">
        <v>695</v>
      </c>
      <c r="J39" s="32">
        <v>50</v>
      </c>
      <c r="K39" s="33"/>
      <c r="L39" s="42"/>
      <c r="M39" s="33"/>
      <c r="N39" s="33"/>
      <c r="O39" s="33"/>
      <c r="P39" s="33"/>
      <c r="Q39" s="33"/>
      <c r="R39" s="33"/>
      <c r="S39" s="33"/>
      <c r="T39" s="33"/>
    </row>
    <row r="40" spans="1:20" ht="15.75">
      <c r="A40" s="13">
        <v>43070</v>
      </c>
      <c r="B40" s="41">
        <v>31</v>
      </c>
      <c r="C40" s="32">
        <v>122.58</v>
      </c>
      <c r="D40" s="32">
        <v>297.94099999999997</v>
      </c>
      <c r="E40" s="38">
        <v>729.47900000000004</v>
      </c>
      <c r="F40" s="32">
        <v>1150</v>
      </c>
      <c r="G40" s="32">
        <v>100</v>
      </c>
      <c r="H40" s="40">
        <v>400</v>
      </c>
      <c r="I40" s="32">
        <v>695</v>
      </c>
      <c r="J40" s="32">
        <v>50</v>
      </c>
      <c r="K40" s="33"/>
      <c r="L40" s="42"/>
      <c r="M40" s="33"/>
      <c r="N40" s="33"/>
      <c r="O40" s="33"/>
      <c r="P40" s="33"/>
      <c r="Q40" s="33"/>
      <c r="R40" s="33"/>
      <c r="S40" s="33"/>
      <c r="T40" s="33"/>
    </row>
    <row r="41" spans="1:20" ht="15.75">
      <c r="A41" s="13">
        <v>43101</v>
      </c>
      <c r="B41" s="41">
        <v>31</v>
      </c>
      <c r="C41" s="32">
        <v>122.58</v>
      </c>
      <c r="D41" s="32">
        <v>297.94099999999997</v>
      </c>
      <c r="E41" s="38">
        <v>729.47900000000004</v>
      </c>
      <c r="F41" s="32">
        <v>1150</v>
      </c>
      <c r="G41" s="32">
        <v>100</v>
      </c>
      <c r="H41" s="40">
        <v>400</v>
      </c>
      <c r="I41" s="32">
        <v>695</v>
      </c>
      <c r="J41" s="32">
        <v>50</v>
      </c>
      <c r="K41" s="33"/>
      <c r="L41" s="42"/>
      <c r="M41" s="33"/>
      <c r="N41" s="33"/>
      <c r="O41" s="33"/>
      <c r="P41" s="33"/>
      <c r="Q41" s="33"/>
      <c r="R41" s="33"/>
      <c r="S41" s="33"/>
      <c r="T41" s="33"/>
    </row>
    <row r="42" spans="1:20" ht="15.75">
      <c r="A42" s="13">
        <v>43132</v>
      </c>
      <c r="B42" s="41">
        <v>28</v>
      </c>
      <c r="C42" s="32">
        <v>122.58</v>
      </c>
      <c r="D42" s="32">
        <v>297.94099999999997</v>
      </c>
      <c r="E42" s="38">
        <v>729.47900000000004</v>
      </c>
      <c r="F42" s="32">
        <v>1150</v>
      </c>
      <c r="G42" s="32">
        <v>100</v>
      </c>
      <c r="H42" s="40">
        <v>400</v>
      </c>
      <c r="I42" s="32">
        <v>695</v>
      </c>
      <c r="J42" s="32">
        <v>50</v>
      </c>
      <c r="K42" s="33"/>
      <c r="L42" s="42"/>
      <c r="M42" s="33"/>
      <c r="N42" s="33"/>
      <c r="O42" s="33"/>
      <c r="P42" s="33"/>
      <c r="Q42" s="33"/>
      <c r="R42" s="33"/>
      <c r="S42" s="33"/>
      <c r="T42" s="33"/>
    </row>
    <row r="43" spans="1:20" ht="15.75">
      <c r="A43" s="13">
        <v>43160</v>
      </c>
      <c r="B43" s="41">
        <v>31</v>
      </c>
      <c r="C43" s="32">
        <v>122.58</v>
      </c>
      <c r="D43" s="32">
        <v>297.94099999999997</v>
      </c>
      <c r="E43" s="38">
        <v>729.47900000000004</v>
      </c>
      <c r="F43" s="32">
        <v>1150</v>
      </c>
      <c r="G43" s="32">
        <v>100</v>
      </c>
      <c r="H43" s="40">
        <v>400</v>
      </c>
      <c r="I43" s="32">
        <v>695</v>
      </c>
      <c r="J43" s="32">
        <v>50</v>
      </c>
      <c r="K43" s="33"/>
      <c r="L43" s="42"/>
      <c r="M43" s="33"/>
      <c r="N43" s="33"/>
      <c r="O43" s="33"/>
      <c r="P43" s="33"/>
      <c r="Q43" s="33"/>
      <c r="R43" s="33"/>
      <c r="S43" s="33"/>
      <c r="T43" s="33"/>
    </row>
    <row r="44" spans="1:20" ht="15.75">
      <c r="A44" s="13">
        <v>43191</v>
      </c>
      <c r="B44" s="41">
        <v>30</v>
      </c>
      <c r="C44" s="32">
        <v>141.29300000000001</v>
      </c>
      <c r="D44" s="32">
        <v>267.99299999999999</v>
      </c>
      <c r="E44" s="38">
        <v>829.71400000000006</v>
      </c>
      <c r="F44" s="32">
        <v>1239</v>
      </c>
      <c r="G44" s="32">
        <v>100</v>
      </c>
      <c r="H44" s="40">
        <v>400</v>
      </c>
      <c r="I44" s="32">
        <v>695</v>
      </c>
      <c r="J44" s="32">
        <v>50</v>
      </c>
      <c r="K44" s="33"/>
      <c r="L44" s="42"/>
      <c r="M44" s="33"/>
      <c r="N44" s="33"/>
      <c r="O44" s="33"/>
      <c r="P44" s="33"/>
      <c r="Q44" s="33"/>
      <c r="R44" s="33"/>
      <c r="S44" s="33"/>
      <c r="T44" s="33"/>
    </row>
    <row r="45" spans="1:20" ht="15.75">
      <c r="A45" s="13">
        <v>43221</v>
      </c>
      <c r="B45" s="41">
        <v>31</v>
      </c>
      <c r="C45" s="32">
        <v>194.20500000000001</v>
      </c>
      <c r="D45" s="32">
        <v>267.46600000000001</v>
      </c>
      <c r="E45" s="38">
        <v>812.32899999999995</v>
      </c>
      <c r="F45" s="32">
        <v>1274</v>
      </c>
      <c r="G45" s="32">
        <v>75</v>
      </c>
      <c r="H45" s="40">
        <v>400</v>
      </c>
      <c r="I45" s="32">
        <v>695</v>
      </c>
      <c r="J45" s="32">
        <v>50</v>
      </c>
      <c r="K45" s="33"/>
      <c r="L45" s="42"/>
      <c r="M45" s="33"/>
      <c r="N45" s="33"/>
      <c r="O45" s="33"/>
      <c r="P45" s="33"/>
      <c r="Q45" s="33"/>
      <c r="R45" s="33"/>
      <c r="S45" s="33"/>
      <c r="T45" s="33"/>
    </row>
    <row r="46" spans="1:20" ht="15.75">
      <c r="A46" s="13">
        <v>43252</v>
      </c>
      <c r="B46" s="41">
        <v>30</v>
      </c>
      <c r="C46" s="32">
        <v>194.20500000000001</v>
      </c>
      <c r="D46" s="32">
        <v>267.46600000000001</v>
      </c>
      <c r="E46" s="38">
        <v>812.32899999999995</v>
      </c>
      <c r="F46" s="32">
        <v>1274</v>
      </c>
      <c r="G46" s="32">
        <v>50</v>
      </c>
      <c r="H46" s="40">
        <v>400</v>
      </c>
      <c r="I46" s="32">
        <v>695</v>
      </c>
      <c r="J46" s="32">
        <v>50</v>
      </c>
      <c r="K46" s="33"/>
      <c r="L46" s="42"/>
      <c r="M46" s="33"/>
      <c r="N46" s="33"/>
      <c r="O46" s="33"/>
      <c r="P46" s="33"/>
      <c r="Q46" s="33"/>
      <c r="R46" s="33"/>
      <c r="S46" s="33"/>
      <c r="T46" s="33"/>
    </row>
    <row r="47" spans="1:20" ht="15.75">
      <c r="A47" s="13">
        <v>43282</v>
      </c>
      <c r="B47" s="41">
        <v>31</v>
      </c>
      <c r="C47" s="32">
        <v>194.20500000000001</v>
      </c>
      <c r="D47" s="32">
        <v>267.46600000000001</v>
      </c>
      <c r="E47" s="38">
        <v>812.32899999999995</v>
      </c>
      <c r="F47" s="32">
        <v>1274</v>
      </c>
      <c r="G47" s="32">
        <v>50</v>
      </c>
      <c r="H47" s="40">
        <v>400</v>
      </c>
      <c r="I47" s="32">
        <v>695</v>
      </c>
      <c r="J47" s="32">
        <v>0</v>
      </c>
      <c r="K47" s="33"/>
      <c r="L47" s="42"/>
      <c r="M47" s="33"/>
      <c r="N47" s="33"/>
      <c r="O47" s="33"/>
      <c r="P47" s="33"/>
      <c r="Q47" s="33"/>
      <c r="R47" s="33"/>
      <c r="S47" s="33"/>
      <c r="T47" s="33"/>
    </row>
    <row r="48" spans="1:20" ht="15.75">
      <c r="A48" s="13">
        <v>43313</v>
      </c>
      <c r="B48" s="41">
        <v>31</v>
      </c>
      <c r="C48" s="32">
        <v>194.20500000000001</v>
      </c>
      <c r="D48" s="32">
        <v>267.46600000000001</v>
      </c>
      <c r="E48" s="38">
        <v>812.32899999999995</v>
      </c>
      <c r="F48" s="32">
        <v>1274</v>
      </c>
      <c r="G48" s="32">
        <v>50</v>
      </c>
      <c r="H48" s="40">
        <v>400</v>
      </c>
      <c r="I48" s="32">
        <v>695</v>
      </c>
      <c r="J48" s="32">
        <v>0</v>
      </c>
      <c r="K48" s="33"/>
      <c r="L48" s="42"/>
      <c r="M48" s="33"/>
      <c r="N48" s="33"/>
      <c r="O48" s="33"/>
      <c r="P48" s="33"/>
      <c r="Q48" s="33"/>
      <c r="R48" s="33"/>
      <c r="S48" s="33"/>
      <c r="T48" s="33"/>
    </row>
    <row r="49" spans="1:20" ht="15.75">
      <c r="A49" s="13">
        <v>43344</v>
      </c>
      <c r="B49" s="41">
        <v>30</v>
      </c>
      <c r="C49" s="32">
        <v>194.20500000000001</v>
      </c>
      <c r="D49" s="32">
        <v>267.46600000000001</v>
      </c>
      <c r="E49" s="38">
        <v>812.32899999999995</v>
      </c>
      <c r="F49" s="32">
        <v>1274</v>
      </c>
      <c r="G49" s="32">
        <v>50</v>
      </c>
      <c r="H49" s="40">
        <v>400</v>
      </c>
      <c r="I49" s="32">
        <v>695</v>
      </c>
      <c r="J49" s="32">
        <v>0</v>
      </c>
      <c r="K49" s="33"/>
      <c r="L49" s="42"/>
      <c r="M49" s="33"/>
      <c r="N49" s="33"/>
      <c r="O49" s="33"/>
      <c r="P49" s="33"/>
      <c r="Q49" s="33"/>
      <c r="R49" s="33"/>
      <c r="S49" s="33"/>
      <c r="T49" s="33"/>
    </row>
    <row r="50" spans="1:20" ht="15.75">
      <c r="A50" s="13">
        <v>43374</v>
      </c>
      <c r="B50" s="41">
        <v>31</v>
      </c>
      <c r="C50" s="32">
        <v>131.881</v>
      </c>
      <c r="D50" s="32">
        <v>277.16699999999997</v>
      </c>
      <c r="E50" s="38">
        <v>829.952</v>
      </c>
      <c r="F50" s="32">
        <v>1239</v>
      </c>
      <c r="G50" s="32">
        <v>75</v>
      </c>
      <c r="H50" s="40">
        <v>400</v>
      </c>
      <c r="I50" s="32">
        <v>695</v>
      </c>
      <c r="J50" s="32">
        <v>0</v>
      </c>
      <c r="K50" s="33"/>
      <c r="L50" s="42"/>
      <c r="M50" s="33"/>
      <c r="N50" s="33"/>
      <c r="O50" s="33"/>
      <c r="P50" s="33"/>
      <c r="Q50" s="33"/>
      <c r="R50" s="33"/>
      <c r="S50" s="33"/>
      <c r="T50" s="33"/>
    </row>
    <row r="51" spans="1:20" ht="15.75">
      <c r="A51" s="13">
        <v>43405</v>
      </c>
      <c r="B51" s="41">
        <v>30</v>
      </c>
      <c r="C51" s="32">
        <v>122.58</v>
      </c>
      <c r="D51" s="32">
        <v>297.94099999999997</v>
      </c>
      <c r="E51" s="38">
        <v>729.47900000000004</v>
      </c>
      <c r="F51" s="32">
        <v>1150</v>
      </c>
      <c r="G51" s="32">
        <v>100</v>
      </c>
      <c r="H51" s="40">
        <v>400</v>
      </c>
      <c r="I51" s="32">
        <v>695</v>
      </c>
      <c r="J51" s="32">
        <v>50</v>
      </c>
      <c r="K51" s="33"/>
      <c r="L51" s="42"/>
      <c r="M51" s="33"/>
      <c r="N51" s="33"/>
      <c r="O51" s="33"/>
      <c r="P51" s="33"/>
      <c r="Q51" s="33"/>
      <c r="R51" s="33"/>
      <c r="S51" s="33"/>
      <c r="T51" s="33"/>
    </row>
    <row r="52" spans="1:20" ht="15.75">
      <c r="A52" s="13">
        <v>43435</v>
      </c>
      <c r="B52" s="41">
        <v>31</v>
      </c>
      <c r="C52" s="32">
        <v>122.58</v>
      </c>
      <c r="D52" s="32">
        <v>297.94099999999997</v>
      </c>
      <c r="E52" s="38">
        <v>729.47900000000004</v>
      </c>
      <c r="F52" s="32">
        <v>1150</v>
      </c>
      <c r="G52" s="32">
        <v>100</v>
      </c>
      <c r="H52" s="40">
        <v>400</v>
      </c>
      <c r="I52" s="32">
        <v>695</v>
      </c>
      <c r="J52" s="32">
        <v>50</v>
      </c>
      <c r="K52" s="33"/>
      <c r="L52" s="42"/>
      <c r="M52" s="33"/>
      <c r="N52" s="33"/>
      <c r="O52" s="33"/>
      <c r="P52" s="33"/>
      <c r="Q52" s="33"/>
      <c r="R52" s="33"/>
      <c r="S52" s="33"/>
      <c r="T52" s="33"/>
    </row>
    <row r="53" spans="1:20" ht="15.75">
      <c r="A53" s="13">
        <v>43466</v>
      </c>
      <c r="B53" s="41">
        <v>31</v>
      </c>
      <c r="C53" s="32">
        <v>122.58</v>
      </c>
      <c r="D53" s="32">
        <v>297.94099999999997</v>
      </c>
      <c r="E53" s="38">
        <v>729.47900000000004</v>
      </c>
      <c r="F53" s="32">
        <v>1150</v>
      </c>
      <c r="G53" s="32">
        <v>100</v>
      </c>
      <c r="H53" s="40">
        <v>400</v>
      </c>
      <c r="I53" s="32">
        <v>695</v>
      </c>
      <c r="J53" s="32">
        <v>50</v>
      </c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1:20" ht="15.75">
      <c r="A54" s="13">
        <v>43497</v>
      </c>
      <c r="B54" s="41">
        <v>28</v>
      </c>
      <c r="C54" s="32">
        <v>122.58</v>
      </c>
      <c r="D54" s="32">
        <v>297.94099999999997</v>
      </c>
      <c r="E54" s="38">
        <v>729.47900000000004</v>
      </c>
      <c r="F54" s="32">
        <v>1150</v>
      </c>
      <c r="G54" s="32">
        <v>100</v>
      </c>
      <c r="H54" s="40">
        <v>400</v>
      </c>
      <c r="I54" s="32">
        <v>695</v>
      </c>
      <c r="J54" s="32">
        <v>50</v>
      </c>
      <c r="K54" s="33"/>
      <c r="L54" s="33"/>
      <c r="M54" s="33"/>
      <c r="N54" s="33"/>
      <c r="O54" s="33"/>
      <c r="P54" s="33"/>
      <c r="Q54" s="33"/>
      <c r="R54" s="33"/>
      <c r="S54" s="33"/>
      <c r="T54" s="33"/>
    </row>
    <row r="55" spans="1:20" ht="15.75">
      <c r="A55" s="13">
        <v>43525</v>
      </c>
      <c r="B55" s="41">
        <v>31</v>
      </c>
      <c r="C55" s="32">
        <v>122.58</v>
      </c>
      <c r="D55" s="32">
        <v>297.94099999999997</v>
      </c>
      <c r="E55" s="38">
        <v>729.47900000000004</v>
      </c>
      <c r="F55" s="32">
        <v>1150</v>
      </c>
      <c r="G55" s="32">
        <v>100</v>
      </c>
      <c r="H55" s="40">
        <v>400</v>
      </c>
      <c r="I55" s="32">
        <v>695</v>
      </c>
      <c r="J55" s="32">
        <v>50</v>
      </c>
      <c r="K55" s="33"/>
      <c r="L55" s="33"/>
      <c r="M55" s="33"/>
      <c r="N55" s="33"/>
      <c r="O55" s="33"/>
      <c r="P55" s="33"/>
      <c r="Q55" s="33"/>
      <c r="R55" s="33"/>
      <c r="S55" s="33"/>
      <c r="T55" s="33"/>
    </row>
    <row r="56" spans="1:20" ht="15.75">
      <c r="A56" s="13">
        <v>43556</v>
      </c>
      <c r="B56" s="41">
        <v>30</v>
      </c>
      <c r="C56" s="32">
        <v>141.29300000000001</v>
      </c>
      <c r="D56" s="32">
        <v>267.99299999999999</v>
      </c>
      <c r="E56" s="38">
        <v>829.71400000000006</v>
      </c>
      <c r="F56" s="32">
        <v>1239</v>
      </c>
      <c r="G56" s="32">
        <v>100</v>
      </c>
      <c r="H56" s="40">
        <v>400</v>
      </c>
      <c r="I56" s="32">
        <v>695</v>
      </c>
      <c r="J56" s="32">
        <v>50</v>
      </c>
      <c r="K56" s="33"/>
      <c r="L56" s="33"/>
      <c r="M56" s="33"/>
      <c r="N56" s="33"/>
      <c r="O56" s="33"/>
      <c r="P56" s="33"/>
      <c r="Q56" s="33"/>
      <c r="R56" s="33"/>
      <c r="S56" s="33"/>
      <c r="T56" s="33"/>
    </row>
    <row r="57" spans="1:20" ht="15.75">
      <c r="A57" s="13">
        <v>43586</v>
      </c>
      <c r="B57" s="41">
        <v>31</v>
      </c>
      <c r="C57" s="32">
        <v>194.20500000000001</v>
      </c>
      <c r="D57" s="32">
        <v>267.46600000000001</v>
      </c>
      <c r="E57" s="38">
        <v>812.32899999999995</v>
      </c>
      <c r="F57" s="32">
        <v>1274</v>
      </c>
      <c r="G57" s="32">
        <v>75</v>
      </c>
      <c r="H57" s="40">
        <v>400</v>
      </c>
      <c r="I57" s="32">
        <v>695</v>
      </c>
      <c r="J57" s="32">
        <v>50</v>
      </c>
      <c r="K57" s="33"/>
      <c r="L57" s="33"/>
      <c r="M57" s="33"/>
      <c r="N57" s="33"/>
      <c r="O57" s="33"/>
      <c r="P57" s="33"/>
      <c r="Q57" s="33"/>
      <c r="R57" s="33"/>
      <c r="S57" s="33"/>
      <c r="T57" s="33"/>
    </row>
    <row r="58" spans="1:20" ht="15.75">
      <c r="A58" s="13">
        <v>43617</v>
      </c>
      <c r="B58" s="41">
        <v>30</v>
      </c>
      <c r="C58" s="32">
        <v>194.20500000000001</v>
      </c>
      <c r="D58" s="32">
        <v>267.46600000000001</v>
      </c>
      <c r="E58" s="38">
        <v>812.32899999999995</v>
      </c>
      <c r="F58" s="32">
        <v>1274</v>
      </c>
      <c r="G58" s="32">
        <v>50</v>
      </c>
      <c r="H58" s="40">
        <v>400</v>
      </c>
      <c r="I58" s="32">
        <v>695</v>
      </c>
      <c r="J58" s="32">
        <v>50</v>
      </c>
      <c r="K58" s="33"/>
      <c r="L58" s="33"/>
      <c r="M58" s="33"/>
      <c r="N58" s="33"/>
      <c r="O58" s="33"/>
      <c r="P58" s="33"/>
      <c r="Q58" s="33"/>
      <c r="R58" s="33"/>
      <c r="S58" s="33"/>
      <c r="T58" s="33"/>
    </row>
    <row r="59" spans="1:20" ht="15.75">
      <c r="A59" s="13">
        <v>43647</v>
      </c>
      <c r="B59" s="41">
        <v>31</v>
      </c>
      <c r="C59" s="32">
        <v>194.20500000000001</v>
      </c>
      <c r="D59" s="32">
        <v>267.46600000000001</v>
      </c>
      <c r="E59" s="38">
        <v>812.32899999999995</v>
      </c>
      <c r="F59" s="32">
        <v>1274</v>
      </c>
      <c r="G59" s="32">
        <v>50</v>
      </c>
      <c r="H59" s="40">
        <v>400</v>
      </c>
      <c r="I59" s="32">
        <v>695</v>
      </c>
      <c r="J59" s="32">
        <v>0</v>
      </c>
      <c r="K59" s="33"/>
      <c r="L59" s="33"/>
      <c r="M59" s="33"/>
      <c r="N59" s="33"/>
      <c r="O59" s="33"/>
      <c r="P59" s="33"/>
      <c r="Q59" s="33"/>
      <c r="R59" s="33"/>
      <c r="S59" s="33"/>
      <c r="T59" s="33"/>
    </row>
    <row r="60" spans="1:20" ht="15.75">
      <c r="A60" s="13">
        <v>43678</v>
      </c>
      <c r="B60" s="41">
        <v>31</v>
      </c>
      <c r="C60" s="32">
        <v>194.20500000000001</v>
      </c>
      <c r="D60" s="32">
        <v>267.46600000000001</v>
      </c>
      <c r="E60" s="38">
        <v>812.32899999999995</v>
      </c>
      <c r="F60" s="32">
        <v>1274</v>
      </c>
      <c r="G60" s="32">
        <v>50</v>
      </c>
      <c r="H60" s="40">
        <v>400</v>
      </c>
      <c r="I60" s="32">
        <v>695</v>
      </c>
      <c r="J60" s="32">
        <v>0</v>
      </c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1:20" ht="15.75">
      <c r="A61" s="13">
        <v>43709</v>
      </c>
      <c r="B61" s="41">
        <v>30</v>
      </c>
      <c r="C61" s="32">
        <v>194.20500000000001</v>
      </c>
      <c r="D61" s="32">
        <v>267.46600000000001</v>
      </c>
      <c r="E61" s="38">
        <v>812.32899999999995</v>
      </c>
      <c r="F61" s="32">
        <v>1274</v>
      </c>
      <c r="G61" s="32">
        <v>50</v>
      </c>
      <c r="H61" s="40">
        <v>400</v>
      </c>
      <c r="I61" s="32">
        <v>695</v>
      </c>
      <c r="J61" s="32">
        <v>0</v>
      </c>
      <c r="K61" s="33"/>
      <c r="L61" s="33"/>
      <c r="M61" s="33"/>
      <c r="N61" s="33"/>
      <c r="O61" s="33"/>
      <c r="P61" s="33"/>
      <c r="Q61" s="33"/>
      <c r="R61" s="33"/>
      <c r="S61" s="33"/>
      <c r="T61" s="33"/>
    </row>
    <row r="62" spans="1:20" ht="15.75">
      <c r="A62" s="13">
        <v>43739</v>
      </c>
      <c r="B62" s="41">
        <v>31</v>
      </c>
      <c r="C62" s="32">
        <v>131.881</v>
      </c>
      <c r="D62" s="32">
        <v>277.16699999999997</v>
      </c>
      <c r="E62" s="38">
        <v>829.952</v>
      </c>
      <c r="F62" s="32">
        <v>1239</v>
      </c>
      <c r="G62" s="32">
        <v>75</v>
      </c>
      <c r="H62" s="40">
        <v>400</v>
      </c>
      <c r="I62" s="32">
        <v>695</v>
      </c>
      <c r="J62" s="32">
        <v>0</v>
      </c>
      <c r="K62" s="33"/>
      <c r="L62" s="33"/>
      <c r="M62" s="33"/>
      <c r="N62" s="33"/>
      <c r="O62" s="33"/>
      <c r="P62" s="33"/>
      <c r="Q62" s="33"/>
      <c r="R62" s="33"/>
      <c r="S62" s="33"/>
      <c r="T62" s="33"/>
    </row>
    <row r="63" spans="1:20" ht="15.75">
      <c r="A63" s="13">
        <v>43770</v>
      </c>
      <c r="B63" s="41">
        <v>30</v>
      </c>
      <c r="C63" s="32">
        <v>122.58</v>
      </c>
      <c r="D63" s="32">
        <v>297.94099999999997</v>
      </c>
      <c r="E63" s="38">
        <v>729.47900000000004</v>
      </c>
      <c r="F63" s="32">
        <v>1150</v>
      </c>
      <c r="G63" s="32">
        <v>100</v>
      </c>
      <c r="H63" s="40">
        <v>400</v>
      </c>
      <c r="I63" s="32">
        <v>695</v>
      </c>
      <c r="J63" s="32">
        <v>50</v>
      </c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1:20" ht="15.75">
      <c r="A64" s="13">
        <v>43800</v>
      </c>
      <c r="B64" s="41">
        <v>31</v>
      </c>
      <c r="C64" s="32">
        <v>122.58</v>
      </c>
      <c r="D64" s="32">
        <v>297.94099999999997</v>
      </c>
      <c r="E64" s="38">
        <v>729.47900000000004</v>
      </c>
      <c r="F64" s="32">
        <v>1150</v>
      </c>
      <c r="G64" s="32">
        <v>100</v>
      </c>
      <c r="H64" s="40">
        <v>400</v>
      </c>
      <c r="I64" s="32">
        <v>695</v>
      </c>
      <c r="J64" s="32">
        <v>50</v>
      </c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1:20" ht="15.75">
      <c r="A65" s="13">
        <v>43831</v>
      </c>
      <c r="B65" s="41">
        <v>31</v>
      </c>
      <c r="C65" s="32">
        <v>122.58</v>
      </c>
      <c r="D65" s="32">
        <v>297.94099999999997</v>
      </c>
      <c r="E65" s="38">
        <v>729.47900000000004</v>
      </c>
      <c r="F65" s="32">
        <v>1150</v>
      </c>
      <c r="G65" s="32">
        <v>100</v>
      </c>
      <c r="H65" s="40">
        <v>400</v>
      </c>
      <c r="I65" s="32">
        <v>695</v>
      </c>
      <c r="J65" s="32">
        <v>50</v>
      </c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1:20" ht="15.75">
      <c r="A66" s="13">
        <v>43862</v>
      </c>
      <c r="B66" s="41">
        <v>29</v>
      </c>
      <c r="C66" s="32">
        <v>122.58</v>
      </c>
      <c r="D66" s="32">
        <v>297.94099999999997</v>
      </c>
      <c r="E66" s="38">
        <v>729.47900000000004</v>
      </c>
      <c r="F66" s="32">
        <v>1150</v>
      </c>
      <c r="G66" s="32">
        <v>100</v>
      </c>
      <c r="H66" s="40">
        <v>400</v>
      </c>
      <c r="I66" s="32">
        <v>695</v>
      </c>
      <c r="J66" s="32">
        <v>50</v>
      </c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1:20" ht="15.75">
      <c r="A67" s="13">
        <v>43891</v>
      </c>
      <c r="B67" s="41">
        <v>31</v>
      </c>
      <c r="C67" s="32">
        <v>122.58</v>
      </c>
      <c r="D67" s="32">
        <v>297.94099999999997</v>
      </c>
      <c r="E67" s="38">
        <v>729.47900000000004</v>
      </c>
      <c r="F67" s="32">
        <v>1150</v>
      </c>
      <c r="G67" s="32">
        <v>100</v>
      </c>
      <c r="H67" s="40">
        <v>400</v>
      </c>
      <c r="I67" s="32">
        <v>695</v>
      </c>
      <c r="J67" s="32">
        <v>50</v>
      </c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1:20" ht="15.75">
      <c r="A68" s="13">
        <v>43922</v>
      </c>
      <c r="B68" s="41">
        <v>30</v>
      </c>
      <c r="C68" s="32">
        <v>141.29300000000001</v>
      </c>
      <c r="D68" s="32">
        <v>267.99299999999999</v>
      </c>
      <c r="E68" s="38">
        <v>829.71400000000006</v>
      </c>
      <c r="F68" s="32">
        <v>1239</v>
      </c>
      <c r="G68" s="32">
        <v>100</v>
      </c>
      <c r="H68" s="40">
        <v>400</v>
      </c>
      <c r="I68" s="32">
        <v>695</v>
      </c>
      <c r="J68" s="32">
        <v>50</v>
      </c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1:20" ht="15.75">
      <c r="A69" s="13">
        <v>43952</v>
      </c>
      <c r="B69" s="41">
        <v>31</v>
      </c>
      <c r="C69" s="32">
        <v>194.20500000000001</v>
      </c>
      <c r="D69" s="32">
        <v>267.46600000000001</v>
      </c>
      <c r="E69" s="38">
        <v>812.32899999999995</v>
      </c>
      <c r="F69" s="32">
        <v>1274</v>
      </c>
      <c r="G69" s="32">
        <v>75</v>
      </c>
      <c r="H69" s="40">
        <v>600</v>
      </c>
      <c r="I69" s="32">
        <v>695</v>
      </c>
      <c r="J69" s="32">
        <v>50</v>
      </c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1:20" ht="15.75">
      <c r="A70" s="13">
        <v>43983</v>
      </c>
      <c r="B70" s="41">
        <v>30</v>
      </c>
      <c r="C70" s="32">
        <v>194.20500000000001</v>
      </c>
      <c r="D70" s="32">
        <v>267.46600000000001</v>
      </c>
      <c r="E70" s="38">
        <v>812.32899999999995</v>
      </c>
      <c r="F70" s="32">
        <v>1274</v>
      </c>
      <c r="G70" s="32">
        <v>50</v>
      </c>
      <c r="H70" s="40">
        <v>600</v>
      </c>
      <c r="I70" s="32">
        <v>695</v>
      </c>
      <c r="J70" s="32">
        <v>50</v>
      </c>
      <c r="K70" s="33"/>
      <c r="L70" s="33"/>
      <c r="M70" s="33"/>
      <c r="N70" s="33"/>
      <c r="O70" s="33"/>
      <c r="P70" s="33"/>
      <c r="Q70" s="33"/>
      <c r="R70" s="33"/>
      <c r="S70" s="33"/>
      <c r="T70" s="33"/>
    </row>
    <row r="71" spans="1:20" ht="15.75">
      <c r="A71" s="13">
        <v>44013</v>
      </c>
      <c r="B71" s="41">
        <v>31</v>
      </c>
      <c r="C71" s="32">
        <v>194.20500000000001</v>
      </c>
      <c r="D71" s="32">
        <v>267.46600000000001</v>
      </c>
      <c r="E71" s="38">
        <v>812.32899999999995</v>
      </c>
      <c r="F71" s="32">
        <v>1274</v>
      </c>
      <c r="G71" s="32">
        <v>50</v>
      </c>
      <c r="H71" s="40">
        <v>600</v>
      </c>
      <c r="I71" s="32">
        <v>695</v>
      </c>
      <c r="J71" s="32">
        <v>0</v>
      </c>
      <c r="K71" s="33"/>
      <c r="L71" s="33"/>
      <c r="M71" s="33"/>
      <c r="N71" s="33"/>
      <c r="O71" s="33"/>
      <c r="P71" s="33"/>
      <c r="Q71" s="33"/>
      <c r="R71" s="33"/>
      <c r="S71" s="33"/>
      <c r="T71" s="33"/>
    </row>
    <row r="72" spans="1:20" ht="15.75">
      <c r="A72" s="13">
        <v>44044</v>
      </c>
      <c r="B72" s="41">
        <v>31</v>
      </c>
      <c r="C72" s="32">
        <v>194.20500000000001</v>
      </c>
      <c r="D72" s="32">
        <v>267.46600000000001</v>
      </c>
      <c r="E72" s="38">
        <v>812.32899999999995</v>
      </c>
      <c r="F72" s="32">
        <v>1274</v>
      </c>
      <c r="G72" s="32">
        <v>50</v>
      </c>
      <c r="H72" s="40">
        <v>600</v>
      </c>
      <c r="I72" s="32">
        <v>695</v>
      </c>
      <c r="J72" s="32">
        <v>0</v>
      </c>
      <c r="K72" s="33"/>
      <c r="L72" s="33"/>
      <c r="M72" s="33"/>
      <c r="N72" s="33"/>
      <c r="O72" s="33"/>
      <c r="P72" s="33"/>
      <c r="Q72" s="33"/>
      <c r="R72" s="33"/>
      <c r="S72" s="33"/>
      <c r="T72" s="33"/>
    </row>
    <row r="73" spans="1:20" ht="15.75">
      <c r="A73" s="13">
        <v>44075</v>
      </c>
      <c r="B73" s="41">
        <v>30</v>
      </c>
      <c r="C73" s="32">
        <v>194.20500000000001</v>
      </c>
      <c r="D73" s="32">
        <v>267.46600000000001</v>
      </c>
      <c r="E73" s="38">
        <v>812.32899999999995</v>
      </c>
      <c r="F73" s="32">
        <v>1274</v>
      </c>
      <c r="G73" s="32">
        <v>50</v>
      </c>
      <c r="H73" s="40">
        <v>600</v>
      </c>
      <c r="I73" s="32">
        <v>695</v>
      </c>
      <c r="J73" s="32">
        <v>0</v>
      </c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1:20" ht="15.75">
      <c r="A74" s="13">
        <v>44105</v>
      </c>
      <c r="B74" s="41">
        <v>31</v>
      </c>
      <c r="C74" s="32">
        <v>131.881</v>
      </c>
      <c r="D74" s="32">
        <v>277.16699999999997</v>
      </c>
      <c r="E74" s="38">
        <v>829.952</v>
      </c>
      <c r="F74" s="32">
        <v>1239</v>
      </c>
      <c r="G74" s="32">
        <v>75</v>
      </c>
      <c r="H74" s="40">
        <v>600</v>
      </c>
      <c r="I74" s="32">
        <v>695</v>
      </c>
      <c r="J74" s="32">
        <v>0</v>
      </c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1:20" ht="15.75">
      <c r="A75" s="13">
        <v>44136</v>
      </c>
      <c r="B75" s="41">
        <v>30</v>
      </c>
      <c r="C75" s="32">
        <v>122.58</v>
      </c>
      <c r="D75" s="32">
        <v>297.94099999999997</v>
      </c>
      <c r="E75" s="38">
        <v>729.47900000000004</v>
      </c>
      <c r="F75" s="32">
        <v>1150</v>
      </c>
      <c r="G75" s="32">
        <v>100</v>
      </c>
      <c r="H75" s="40">
        <v>600</v>
      </c>
      <c r="I75" s="32">
        <v>695</v>
      </c>
      <c r="J75" s="32">
        <v>50</v>
      </c>
      <c r="K75" s="33"/>
      <c r="L75" s="33"/>
      <c r="M75" s="33"/>
      <c r="N75" s="33"/>
      <c r="O75" s="33"/>
      <c r="P75" s="33"/>
      <c r="Q75" s="33"/>
      <c r="R75" s="33"/>
      <c r="S75" s="33"/>
      <c r="T75" s="33"/>
    </row>
    <row r="76" spans="1:20" ht="15.75">
      <c r="A76" s="13">
        <v>44166</v>
      </c>
      <c r="B76" s="41">
        <v>31</v>
      </c>
      <c r="C76" s="32">
        <v>122.58</v>
      </c>
      <c r="D76" s="32">
        <v>297.94099999999997</v>
      </c>
      <c r="E76" s="38">
        <v>729.47900000000004</v>
      </c>
      <c r="F76" s="32">
        <v>1150</v>
      </c>
      <c r="G76" s="32">
        <v>100</v>
      </c>
      <c r="H76" s="40">
        <v>600</v>
      </c>
      <c r="I76" s="32">
        <v>695</v>
      </c>
      <c r="J76" s="32">
        <v>50</v>
      </c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5.75">
      <c r="A77" s="13">
        <v>44197</v>
      </c>
      <c r="B77" s="41">
        <v>31</v>
      </c>
      <c r="C77" s="32">
        <v>122.58</v>
      </c>
      <c r="D77" s="32">
        <v>297.94099999999997</v>
      </c>
      <c r="E77" s="38">
        <v>729.47900000000004</v>
      </c>
      <c r="F77" s="32">
        <v>1150</v>
      </c>
      <c r="G77" s="32">
        <v>100</v>
      </c>
      <c r="H77" s="40">
        <v>600</v>
      </c>
      <c r="I77" s="32">
        <v>695</v>
      </c>
      <c r="J77" s="32">
        <v>50</v>
      </c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5.75">
      <c r="A78" s="13">
        <v>44228</v>
      </c>
      <c r="B78" s="41">
        <v>28</v>
      </c>
      <c r="C78" s="32">
        <v>122.58</v>
      </c>
      <c r="D78" s="32">
        <v>297.94099999999997</v>
      </c>
      <c r="E78" s="38">
        <v>729.47900000000004</v>
      </c>
      <c r="F78" s="32">
        <v>1150</v>
      </c>
      <c r="G78" s="32">
        <v>100</v>
      </c>
      <c r="H78" s="40">
        <v>600</v>
      </c>
      <c r="I78" s="32">
        <v>695</v>
      </c>
      <c r="J78" s="32">
        <v>50</v>
      </c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5.75">
      <c r="A79" s="13">
        <v>44256</v>
      </c>
      <c r="B79" s="41">
        <v>31</v>
      </c>
      <c r="C79" s="32">
        <v>122.58</v>
      </c>
      <c r="D79" s="32">
        <v>297.94099999999997</v>
      </c>
      <c r="E79" s="38">
        <v>729.47900000000004</v>
      </c>
      <c r="F79" s="32">
        <v>1150</v>
      </c>
      <c r="G79" s="32">
        <v>100</v>
      </c>
      <c r="H79" s="40">
        <v>600</v>
      </c>
      <c r="I79" s="32">
        <v>695</v>
      </c>
      <c r="J79" s="32">
        <v>50</v>
      </c>
      <c r="K79" s="33"/>
      <c r="L79" s="33"/>
      <c r="M79" s="33"/>
      <c r="N79" s="33"/>
      <c r="O79" s="33"/>
      <c r="P79" s="33"/>
      <c r="Q79" s="33"/>
      <c r="R79" s="33"/>
      <c r="S79" s="33"/>
      <c r="T79" s="33"/>
    </row>
    <row r="80" spans="1:20" ht="15.75">
      <c r="A80" s="13">
        <v>44287</v>
      </c>
      <c r="B80" s="41">
        <v>30</v>
      </c>
      <c r="C80" s="32">
        <v>141.29300000000001</v>
      </c>
      <c r="D80" s="32">
        <v>267.99299999999999</v>
      </c>
      <c r="E80" s="38">
        <v>829.71400000000006</v>
      </c>
      <c r="F80" s="32">
        <v>1239</v>
      </c>
      <c r="G80" s="32">
        <v>100</v>
      </c>
      <c r="H80" s="40">
        <v>600</v>
      </c>
      <c r="I80" s="32">
        <v>695</v>
      </c>
      <c r="J80" s="32">
        <v>50</v>
      </c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1:20" ht="15.75">
      <c r="A81" s="13">
        <v>44317</v>
      </c>
      <c r="B81" s="41">
        <v>31</v>
      </c>
      <c r="C81" s="32">
        <v>194.20500000000001</v>
      </c>
      <c r="D81" s="32">
        <v>267.46600000000001</v>
      </c>
      <c r="E81" s="38">
        <v>812.32899999999995</v>
      </c>
      <c r="F81" s="32">
        <v>1274</v>
      </c>
      <c r="G81" s="32">
        <v>75</v>
      </c>
      <c r="H81" s="40">
        <v>600</v>
      </c>
      <c r="I81" s="32">
        <v>695</v>
      </c>
      <c r="J81" s="32">
        <v>50</v>
      </c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1:20" ht="15.75">
      <c r="A82" s="13">
        <v>44348</v>
      </c>
      <c r="B82" s="41">
        <v>30</v>
      </c>
      <c r="C82" s="32">
        <v>194.20500000000001</v>
      </c>
      <c r="D82" s="32">
        <v>267.46600000000001</v>
      </c>
      <c r="E82" s="38">
        <v>812.32899999999995</v>
      </c>
      <c r="F82" s="32">
        <v>1274</v>
      </c>
      <c r="G82" s="32">
        <v>50</v>
      </c>
      <c r="H82" s="40">
        <v>600</v>
      </c>
      <c r="I82" s="32">
        <v>695</v>
      </c>
      <c r="J82" s="32">
        <v>50</v>
      </c>
      <c r="K82" s="33"/>
      <c r="L82" s="33"/>
      <c r="M82" s="33"/>
      <c r="N82" s="33"/>
      <c r="O82" s="33"/>
      <c r="P82" s="33"/>
      <c r="Q82" s="33"/>
      <c r="R82" s="33"/>
      <c r="S82" s="33"/>
      <c r="T82" s="33"/>
    </row>
    <row r="83" spans="1:20" ht="15.75">
      <c r="A83" s="13">
        <v>44378</v>
      </c>
      <c r="B83" s="41">
        <v>31</v>
      </c>
      <c r="C83" s="32">
        <v>194.20500000000001</v>
      </c>
      <c r="D83" s="32">
        <v>267.46600000000001</v>
      </c>
      <c r="E83" s="38">
        <v>812.32899999999995</v>
      </c>
      <c r="F83" s="32">
        <v>1274</v>
      </c>
      <c r="G83" s="32">
        <v>50</v>
      </c>
      <c r="H83" s="40">
        <v>600</v>
      </c>
      <c r="I83" s="32">
        <v>695</v>
      </c>
      <c r="J83" s="32">
        <v>0</v>
      </c>
      <c r="K83" s="33"/>
      <c r="L83" s="33"/>
      <c r="M83" s="33"/>
      <c r="N83" s="33"/>
      <c r="O83" s="33"/>
      <c r="P83" s="33"/>
      <c r="Q83" s="33"/>
      <c r="R83" s="33"/>
      <c r="S83" s="33"/>
      <c r="T83" s="33"/>
    </row>
    <row r="84" spans="1:20" ht="15.75">
      <c r="A84" s="13">
        <v>44409</v>
      </c>
      <c r="B84" s="41">
        <v>31</v>
      </c>
      <c r="C84" s="32">
        <v>194.20500000000001</v>
      </c>
      <c r="D84" s="32">
        <v>267.46600000000001</v>
      </c>
      <c r="E84" s="38">
        <v>812.32899999999995</v>
      </c>
      <c r="F84" s="32">
        <v>1274</v>
      </c>
      <c r="G84" s="32">
        <v>50</v>
      </c>
      <c r="H84" s="40">
        <v>600</v>
      </c>
      <c r="I84" s="32">
        <v>695</v>
      </c>
      <c r="J84" s="32">
        <v>0</v>
      </c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1:20" ht="15.75">
      <c r="A85" s="13">
        <v>44440</v>
      </c>
      <c r="B85" s="41">
        <v>30</v>
      </c>
      <c r="C85" s="32">
        <v>194.20500000000001</v>
      </c>
      <c r="D85" s="32">
        <v>267.46600000000001</v>
      </c>
      <c r="E85" s="38">
        <v>812.32899999999995</v>
      </c>
      <c r="F85" s="32">
        <v>1274</v>
      </c>
      <c r="G85" s="32">
        <v>50</v>
      </c>
      <c r="H85" s="40">
        <v>600</v>
      </c>
      <c r="I85" s="32">
        <v>695</v>
      </c>
      <c r="J85" s="32">
        <v>0</v>
      </c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1:20" ht="15.75">
      <c r="A86" s="13">
        <v>44470</v>
      </c>
      <c r="B86" s="41">
        <v>31</v>
      </c>
      <c r="C86" s="32">
        <v>131.881</v>
      </c>
      <c r="D86" s="32">
        <v>277.16699999999997</v>
      </c>
      <c r="E86" s="38">
        <v>829.952</v>
      </c>
      <c r="F86" s="32">
        <v>1239</v>
      </c>
      <c r="G86" s="32">
        <v>75</v>
      </c>
      <c r="H86" s="40">
        <v>600</v>
      </c>
      <c r="I86" s="32">
        <v>695</v>
      </c>
      <c r="J86" s="32">
        <v>0</v>
      </c>
      <c r="K86" s="33"/>
      <c r="L86" s="33"/>
      <c r="M86" s="33"/>
      <c r="N86" s="33"/>
      <c r="O86" s="33"/>
      <c r="P86" s="33"/>
      <c r="Q86" s="33"/>
      <c r="R86" s="33"/>
      <c r="S86" s="33"/>
      <c r="T86" s="33"/>
    </row>
    <row r="87" spans="1:20" ht="15.75">
      <c r="A87" s="13">
        <v>44501</v>
      </c>
      <c r="B87" s="41">
        <v>30</v>
      </c>
      <c r="C87" s="32">
        <v>122.58</v>
      </c>
      <c r="D87" s="32">
        <v>297.94099999999997</v>
      </c>
      <c r="E87" s="38">
        <v>729.47900000000004</v>
      </c>
      <c r="F87" s="32">
        <v>1150</v>
      </c>
      <c r="G87" s="32">
        <v>100</v>
      </c>
      <c r="H87" s="40">
        <v>600</v>
      </c>
      <c r="I87" s="32">
        <v>695</v>
      </c>
      <c r="J87" s="32">
        <v>50</v>
      </c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1:20" ht="15.75">
      <c r="A88" s="13">
        <v>44531</v>
      </c>
      <c r="B88" s="41">
        <v>31</v>
      </c>
      <c r="C88" s="32">
        <v>122.58</v>
      </c>
      <c r="D88" s="32">
        <v>297.94099999999997</v>
      </c>
      <c r="E88" s="38">
        <v>729.47900000000004</v>
      </c>
      <c r="F88" s="32">
        <v>1150</v>
      </c>
      <c r="G88" s="32">
        <v>100</v>
      </c>
      <c r="H88" s="40">
        <v>600</v>
      </c>
      <c r="I88" s="32">
        <v>695</v>
      </c>
      <c r="J88" s="32">
        <v>50</v>
      </c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1:20" ht="15.75">
      <c r="A89" s="13">
        <v>44562</v>
      </c>
      <c r="B89" s="41">
        <v>31</v>
      </c>
      <c r="C89" s="32">
        <v>122.58</v>
      </c>
      <c r="D89" s="32">
        <v>297.94099999999997</v>
      </c>
      <c r="E89" s="38">
        <v>729.47900000000004</v>
      </c>
      <c r="F89" s="32">
        <v>1150</v>
      </c>
      <c r="G89" s="32">
        <v>100</v>
      </c>
      <c r="H89" s="40">
        <v>600</v>
      </c>
      <c r="I89" s="32">
        <v>695</v>
      </c>
      <c r="J89" s="32">
        <v>50</v>
      </c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1:20" ht="15.75">
      <c r="A90" s="13">
        <v>44593</v>
      </c>
      <c r="B90" s="41">
        <v>28</v>
      </c>
      <c r="C90" s="32">
        <v>122.58</v>
      </c>
      <c r="D90" s="32">
        <v>297.94099999999997</v>
      </c>
      <c r="E90" s="38">
        <v>729.47900000000004</v>
      </c>
      <c r="F90" s="32">
        <v>1150</v>
      </c>
      <c r="G90" s="32">
        <v>100</v>
      </c>
      <c r="H90" s="40">
        <v>600</v>
      </c>
      <c r="I90" s="32">
        <v>695</v>
      </c>
      <c r="J90" s="32">
        <v>50</v>
      </c>
      <c r="K90" s="33"/>
      <c r="L90" s="33"/>
      <c r="M90" s="33"/>
      <c r="N90" s="33"/>
      <c r="O90" s="33"/>
      <c r="P90" s="33"/>
      <c r="Q90" s="33"/>
      <c r="R90" s="33"/>
      <c r="S90" s="33"/>
      <c r="T90" s="33"/>
    </row>
    <row r="91" spans="1:20" ht="15.75">
      <c r="A91" s="13">
        <v>44621</v>
      </c>
      <c r="B91" s="41">
        <v>31</v>
      </c>
      <c r="C91" s="32">
        <v>122.58</v>
      </c>
      <c r="D91" s="32">
        <v>297.94099999999997</v>
      </c>
      <c r="E91" s="38">
        <v>729.47900000000004</v>
      </c>
      <c r="F91" s="32">
        <v>1150</v>
      </c>
      <c r="G91" s="32">
        <v>100</v>
      </c>
      <c r="H91" s="40">
        <v>600</v>
      </c>
      <c r="I91" s="32">
        <v>695</v>
      </c>
      <c r="J91" s="32">
        <v>50</v>
      </c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1:20" ht="15.75">
      <c r="A92" s="13">
        <v>44652</v>
      </c>
      <c r="B92" s="41">
        <v>30</v>
      </c>
      <c r="C92" s="32">
        <v>141.29300000000001</v>
      </c>
      <c r="D92" s="32">
        <v>267.99299999999999</v>
      </c>
      <c r="E92" s="38">
        <v>829.71400000000006</v>
      </c>
      <c r="F92" s="32">
        <v>1239</v>
      </c>
      <c r="G92" s="32">
        <v>100</v>
      </c>
      <c r="H92" s="40">
        <v>600</v>
      </c>
      <c r="I92" s="32">
        <v>695</v>
      </c>
      <c r="J92" s="32">
        <v>50</v>
      </c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1:20" ht="15.75">
      <c r="A93" s="13">
        <v>44682</v>
      </c>
      <c r="B93" s="41">
        <v>31</v>
      </c>
      <c r="C93" s="32">
        <v>194.20500000000001</v>
      </c>
      <c r="D93" s="32">
        <v>267.46600000000001</v>
      </c>
      <c r="E93" s="38">
        <v>812.32899999999995</v>
      </c>
      <c r="F93" s="32">
        <v>1274</v>
      </c>
      <c r="G93" s="32">
        <v>75</v>
      </c>
      <c r="H93" s="40">
        <v>600</v>
      </c>
      <c r="I93" s="32">
        <v>695</v>
      </c>
      <c r="J93" s="32">
        <v>50</v>
      </c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0" ht="15.75">
      <c r="A94" s="13">
        <v>44713</v>
      </c>
      <c r="B94" s="41">
        <v>30</v>
      </c>
      <c r="C94" s="32">
        <v>194.20500000000001</v>
      </c>
      <c r="D94" s="32">
        <v>267.46600000000001</v>
      </c>
      <c r="E94" s="38">
        <v>812.32899999999995</v>
      </c>
      <c r="F94" s="32">
        <v>1274</v>
      </c>
      <c r="G94" s="32">
        <v>50</v>
      </c>
      <c r="H94" s="40">
        <v>600</v>
      </c>
      <c r="I94" s="32">
        <v>695</v>
      </c>
      <c r="J94" s="32">
        <v>50</v>
      </c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0" ht="15.75">
      <c r="A95" s="13">
        <v>44743</v>
      </c>
      <c r="B95" s="41">
        <v>31</v>
      </c>
      <c r="C95" s="32">
        <v>194.20500000000001</v>
      </c>
      <c r="D95" s="32">
        <v>267.46600000000001</v>
      </c>
      <c r="E95" s="38">
        <v>812.32899999999995</v>
      </c>
      <c r="F95" s="32">
        <v>1274</v>
      </c>
      <c r="G95" s="32">
        <v>50</v>
      </c>
      <c r="H95" s="40">
        <v>600</v>
      </c>
      <c r="I95" s="32">
        <v>695</v>
      </c>
      <c r="J95" s="32">
        <v>0</v>
      </c>
      <c r="K95" s="33"/>
      <c r="L95" s="33"/>
      <c r="M95" s="33"/>
      <c r="N95" s="33"/>
      <c r="O95" s="33"/>
      <c r="P95" s="33"/>
      <c r="Q95" s="33"/>
      <c r="R95" s="33"/>
      <c r="S95" s="33"/>
      <c r="T95" s="33"/>
    </row>
    <row r="96" spans="1:20" ht="15.75">
      <c r="A96" s="13">
        <v>44774</v>
      </c>
      <c r="B96" s="41">
        <v>31</v>
      </c>
      <c r="C96" s="32">
        <v>194.20500000000001</v>
      </c>
      <c r="D96" s="32">
        <v>267.46600000000001</v>
      </c>
      <c r="E96" s="38">
        <v>812.32899999999995</v>
      </c>
      <c r="F96" s="32">
        <v>1274</v>
      </c>
      <c r="G96" s="32">
        <v>50</v>
      </c>
      <c r="H96" s="40">
        <v>600</v>
      </c>
      <c r="I96" s="32">
        <v>695</v>
      </c>
      <c r="J96" s="32">
        <v>0</v>
      </c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15.75">
      <c r="A97" s="13">
        <v>44805</v>
      </c>
      <c r="B97" s="41">
        <v>30</v>
      </c>
      <c r="C97" s="32">
        <v>194.20500000000001</v>
      </c>
      <c r="D97" s="32">
        <v>267.46600000000001</v>
      </c>
      <c r="E97" s="38">
        <v>812.32899999999995</v>
      </c>
      <c r="F97" s="32">
        <v>1274</v>
      </c>
      <c r="G97" s="32">
        <v>50</v>
      </c>
      <c r="H97" s="40">
        <v>600</v>
      </c>
      <c r="I97" s="32">
        <v>695</v>
      </c>
      <c r="J97" s="32">
        <v>0</v>
      </c>
      <c r="K97" s="33"/>
      <c r="L97" s="33"/>
      <c r="M97" s="33"/>
      <c r="N97" s="33"/>
      <c r="O97" s="33"/>
      <c r="P97" s="33"/>
      <c r="Q97" s="33"/>
      <c r="R97" s="33"/>
      <c r="S97" s="33"/>
      <c r="T97" s="33"/>
    </row>
    <row r="98" spans="1:20" ht="15.75">
      <c r="A98" s="13">
        <v>44835</v>
      </c>
      <c r="B98" s="41">
        <v>31</v>
      </c>
      <c r="C98" s="32">
        <v>131.881</v>
      </c>
      <c r="D98" s="32">
        <v>277.16699999999997</v>
      </c>
      <c r="E98" s="38">
        <v>829.952</v>
      </c>
      <c r="F98" s="32">
        <v>1239</v>
      </c>
      <c r="G98" s="32">
        <v>75</v>
      </c>
      <c r="H98" s="40">
        <v>600</v>
      </c>
      <c r="I98" s="32">
        <v>695</v>
      </c>
      <c r="J98" s="32">
        <v>0</v>
      </c>
      <c r="K98" s="33"/>
      <c r="L98" s="33"/>
      <c r="M98" s="33"/>
      <c r="N98" s="33"/>
      <c r="O98" s="33"/>
      <c r="P98" s="33"/>
      <c r="Q98" s="33"/>
      <c r="R98" s="33"/>
      <c r="S98" s="33"/>
      <c r="T98" s="33"/>
    </row>
    <row r="99" spans="1:20" ht="15.75">
      <c r="A99" s="13">
        <v>44866</v>
      </c>
      <c r="B99" s="41">
        <v>30</v>
      </c>
      <c r="C99" s="32">
        <v>122.58</v>
      </c>
      <c r="D99" s="32">
        <v>297.94099999999997</v>
      </c>
      <c r="E99" s="38">
        <v>729.47900000000004</v>
      </c>
      <c r="F99" s="32">
        <v>1150</v>
      </c>
      <c r="G99" s="32">
        <v>100</v>
      </c>
      <c r="H99" s="40">
        <v>600</v>
      </c>
      <c r="I99" s="32">
        <v>695</v>
      </c>
      <c r="J99" s="32">
        <v>50</v>
      </c>
      <c r="K99" s="33"/>
      <c r="L99" s="33"/>
      <c r="M99" s="33"/>
      <c r="N99" s="33"/>
      <c r="O99" s="33"/>
      <c r="P99" s="33"/>
      <c r="Q99" s="33"/>
      <c r="R99" s="33"/>
      <c r="S99" s="33"/>
      <c r="T99" s="33"/>
    </row>
    <row r="100" spans="1:20" ht="15.75">
      <c r="A100" s="13">
        <v>44896</v>
      </c>
      <c r="B100" s="41">
        <v>31</v>
      </c>
      <c r="C100" s="32">
        <v>122.58</v>
      </c>
      <c r="D100" s="32">
        <v>297.94099999999997</v>
      </c>
      <c r="E100" s="38">
        <v>729.47900000000004</v>
      </c>
      <c r="F100" s="32">
        <v>1150</v>
      </c>
      <c r="G100" s="32">
        <v>100</v>
      </c>
      <c r="H100" s="40">
        <v>600</v>
      </c>
      <c r="I100" s="32">
        <v>695</v>
      </c>
      <c r="J100" s="32">
        <v>50</v>
      </c>
      <c r="K100" s="33"/>
      <c r="L100" s="33"/>
      <c r="M100" s="33"/>
      <c r="N100" s="33"/>
      <c r="O100" s="33"/>
      <c r="P100" s="33"/>
      <c r="Q100" s="33"/>
      <c r="R100" s="33"/>
      <c r="S100" s="33"/>
      <c r="T100" s="33"/>
    </row>
    <row r="101" spans="1:20" ht="15.75">
      <c r="A101" s="13">
        <v>44927</v>
      </c>
      <c r="B101" s="41">
        <v>31</v>
      </c>
      <c r="C101" s="32">
        <v>122.58</v>
      </c>
      <c r="D101" s="32">
        <v>297.94099999999997</v>
      </c>
      <c r="E101" s="38">
        <v>729.47900000000004</v>
      </c>
      <c r="F101" s="32">
        <v>1150</v>
      </c>
      <c r="G101" s="32">
        <v>100</v>
      </c>
      <c r="H101" s="40">
        <v>600</v>
      </c>
      <c r="I101" s="32">
        <v>695</v>
      </c>
      <c r="J101" s="32">
        <v>50</v>
      </c>
      <c r="K101" s="33"/>
      <c r="L101" s="33"/>
      <c r="M101" s="33"/>
      <c r="N101" s="33"/>
      <c r="O101" s="33"/>
      <c r="P101" s="33"/>
      <c r="Q101" s="33"/>
      <c r="R101" s="33"/>
      <c r="S101" s="33"/>
      <c r="T101" s="33"/>
    </row>
    <row r="102" spans="1:20" ht="15.75">
      <c r="A102" s="13">
        <v>44958</v>
      </c>
      <c r="B102" s="41">
        <v>28</v>
      </c>
      <c r="C102" s="32">
        <v>122.58</v>
      </c>
      <c r="D102" s="32">
        <v>297.94099999999997</v>
      </c>
      <c r="E102" s="38">
        <v>729.47900000000004</v>
      </c>
      <c r="F102" s="32">
        <v>1150</v>
      </c>
      <c r="G102" s="32">
        <v>100</v>
      </c>
      <c r="H102" s="40">
        <v>600</v>
      </c>
      <c r="I102" s="32">
        <v>695</v>
      </c>
      <c r="J102" s="32">
        <v>50</v>
      </c>
      <c r="K102" s="33"/>
      <c r="L102" s="33"/>
      <c r="M102" s="33"/>
      <c r="N102" s="33"/>
      <c r="O102" s="33"/>
      <c r="P102" s="33"/>
      <c r="Q102" s="33"/>
      <c r="R102" s="33"/>
      <c r="S102" s="33"/>
      <c r="T102" s="33"/>
    </row>
    <row r="103" spans="1:20" ht="15.75">
      <c r="A103" s="13">
        <v>44986</v>
      </c>
      <c r="B103" s="41">
        <v>31</v>
      </c>
      <c r="C103" s="32">
        <v>122.58</v>
      </c>
      <c r="D103" s="32">
        <v>297.94099999999997</v>
      </c>
      <c r="E103" s="38">
        <v>729.47900000000004</v>
      </c>
      <c r="F103" s="32">
        <v>1150</v>
      </c>
      <c r="G103" s="32">
        <v>100</v>
      </c>
      <c r="H103" s="40">
        <v>600</v>
      </c>
      <c r="I103" s="32">
        <v>695</v>
      </c>
      <c r="J103" s="32">
        <v>50</v>
      </c>
      <c r="K103" s="33"/>
      <c r="L103" s="33"/>
      <c r="M103" s="33"/>
      <c r="N103" s="33"/>
      <c r="O103" s="33"/>
      <c r="P103" s="33"/>
      <c r="Q103" s="33"/>
      <c r="R103" s="33"/>
      <c r="S103" s="33"/>
      <c r="T103" s="33"/>
    </row>
    <row r="104" spans="1:20" ht="15.75">
      <c r="A104" s="13">
        <v>45017</v>
      </c>
      <c r="B104" s="41">
        <v>30</v>
      </c>
      <c r="C104" s="32">
        <v>141.29300000000001</v>
      </c>
      <c r="D104" s="32">
        <v>267.99299999999999</v>
      </c>
      <c r="E104" s="38">
        <v>829.71400000000006</v>
      </c>
      <c r="F104" s="32">
        <v>1239</v>
      </c>
      <c r="G104" s="32">
        <v>100</v>
      </c>
      <c r="H104" s="40">
        <v>600</v>
      </c>
      <c r="I104" s="32">
        <v>695</v>
      </c>
      <c r="J104" s="32">
        <v>50</v>
      </c>
      <c r="K104" s="33"/>
      <c r="L104" s="33"/>
      <c r="M104" s="33"/>
      <c r="N104" s="33"/>
      <c r="O104" s="33"/>
      <c r="P104" s="33"/>
      <c r="Q104" s="33"/>
      <c r="R104" s="33"/>
      <c r="S104" s="33"/>
      <c r="T104" s="33"/>
    </row>
    <row r="105" spans="1:20" ht="15.75">
      <c r="A105" s="13">
        <v>45047</v>
      </c>
      <c r="B105" s="41">
        <v>31</v>
      </c>
      <c r="C105" s="32">
        <v>194.20500000000001</v>
      </c>
      <c r="D105" s="32">
        <v>267.46600000000001</v>
      </c>
      <c r="E105" s="38">
        <v>812.32899999999995</v>
      </c>
      <c r="F105" s="32">
        <v>1274</v>
      </c>
      <c r="G105" s="32">
        <v>75</v>
      </c>
      <c r="H105" s="40">
        <v>600</v>
      </c>
      <c r="I105" s="32">
        <v>695</v>
      </c>
      <c r="J105" s="32">
        <v>50</v>
      </c>
      <c r="K105" s="33"/>
      <c r="L105" s="33"/>
      <c r="M105" s="33"/>
      <c r="N105" s="33"/>
      <c r="O105" s="33"/>
      <c r="P105" s="33"/>
      <c r="Q105" s="33"/>
      <c r="R105" s="33"/>
      <c r="S105" s="33"/>
      <c r="T105" s="33"/>
    </row>
    <row r="106" spans="1:20" ht="15.75">
      <c r="A106" s="13">
        <v>45078</v>
      </c>
      <c r="B106" s="41">
        <v>30</v>
      </c>
      <c r="C106" s="32">
        <v>194.20500000000001</v>
      </c>
      <c r="D106" s="32">
        <v>267.46600000000001</v>
      </c>
      <c r="E106" s="38">
        <v>812.32899999999995</v>
      </c>
      <c r="F106" s="32">
        <v>1274</v>
      </c>
      <c r="G106" s="32">
        <v>50</v>
      </c>
      <c r="H106" s="40">
        <v>600</v>
      </c>
      <c r="I106" s="32">
        <v>695</v>
      </c>
      <c r="J106" s="32">
        <v>50</v>
      </c>
      <c r="K106" s="33"/>
      <c r="L106" s="33"/>
      <c r="M106" s="33"/>
      <c r="N106" s="33"/>
      <c r="O106" s="33"/>
      <c r="P106" s="33"/>
      <c r="Q106" s="33"/>
      <c r="R106" s="33"/>
      <c r="S106" s="33"/>
      <c r="T106" s="33"/>
    </row>
    <row r="107" spans="1:20" ht="15.75">
      <c r="A107" s="13">
        <v>45108</v>
      </c>
      <c r="B107" s="41">
        <v>31</v>
      </c>
      <c r="C107" s="32">
        <v>194.20500000000001</v>
      </c>
      <c r="D107" s="32">
        <v>267.46600000000001</v>
      </c>
      <c r="E107" s="38">
        <v>812.32899999999995</v>
      </c>
      <c r="F107" s="32">
        <v>1274</v>
      </c>
      <c r="G107" s="32">
        <v>50</v>
      </c>
      <c r="H107" s="40">
        <v>600</v>
      </c>
      <c r="I107" s="32">
        <v>695</v>
      </c>
      <c r="J107" s="32">
        <v>0</v>
      </c>
      <c r="K107" s="33"/>
      <c r="L107" s="33"/>
      <c r="M107" s="33"/>
      <c r="N107" s="33"/>
      <c r="O107" s="33"/>
      <c r="P107" s="33"/>
      <c r="Q107" s="33"/>
      <c r="R107" s="33"/>
      <c r="S107" s="33"/>
      <c r="T107" s="33"/>
    </row>
    <row r="108" spans="1:20" ht="15.75">
      <c r="A108" s="13">
        <v>45139</v>
      </c>
      <c r="B108" s="41">
        <v>31</v>
      </c>
      <c r="C108" s="32">
        <v>194.20500000000001</v>
      </c>
      <c r="D108" s="32">
        <v>267.46600000000001</v>
      </c>
      <c r="E108" s="38">
        <v>812.32899999999995</v>
      </c>
      <c r="F108" s="32">
        <v>1274</v>
      </c>
      <c r="G108" s="32">
        <v>50</v>
      </c>
      <c r="H108" s="40">
        <v>600</v>
      </c>
      <c r="I108" s="32">
        <v>695</v>
      </c>
      <c r="J108" s="32">
        <v>0</v>
      </c>
      <c r="K108" s="33"/>
      <c r="L108" s="33"/>
      <c r="M108" s="33"/>
      <c r="N108" s="33"/>
      <c r="O108" s="33"/>
      <c r="P108" s="33"/>
      <c r="Q108" s="33"/>
      <c r="R108" s="33"/>
      <c r="S108" s="33"/>
      <c r="T108" s="33"/>
    </row>
    <row r="109" spans="1:20" ht="15.75">
      <c r="A109" s="13">
        <v>45170</v>
      </c>
      <c r="B109" s="41">
        <v>30</v>
      </c>
      <c r="C109" s="32">
        <v>194.20500000000001</v>
      </c>
      <c r="D109" s="32">
        <v>267.46600000000001</v>
      </c>
      <c r="E109" s="38">
        <v>812.32899999999995</v>
      </c>
      <c r="F109" s="32">
        <v>1274</v>
      </c>
      <c r="G109" s="32">
        <v>50</v>
      </c>
      <c r="H109" s="40">
        <v>600</v>
      </c>
      <c r="I109" s="32">
        <v>695</v>
      </c>
      <c r="J109" s="32">
        <v>0</v>
      </c>
      <c r="K109" s="33"/>
      <c r="L109" s="33"/>
      <c r="M109" s="33"/>
      <c r="N109" s="33"/>
      <c r="O109" s="33"/>
      <c r="P109" s="33"/>
      <c r="Q109" s="33"/>
      <c r="R109" s="33"/>
      <c r="S109" s="33"/>
      <c r="T109" s="33"/>
    </row>
    <row r="110" spans="1:20" ht="15.75">
      <c r="A110" s="13">
        <v>45200</v>
      </c>
      <c r="B110" s="41">
        <v>31</v>
      </c>
      <c r="C110" s="32">
        <v>131.881</v>
      </c>
      <c r="D110" s="32">
        <v>277.16699999999997</v>
      </c>
      <c r="E110" s="38">
        <v>829.952</v>
      </c>
      <c r="F110" s="32">
        <v>1239</v>
      </c>
      <c r="G110" s="32">
        <v>75</v>
      </c>
      <c r="H110" s="40">
        <v>600</v>
      </c>
      <c r="I110" s="32">
        <v>695</v>
      </c>
      <c r="J110" s="32">
        <v>0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</row>
    <row r="111" spans="1:20" ht="15.75">
      <c r="A111" s="13">
        <v>45231</v>
      </c>
      <c r="B111" s="41">
        <v>30</v>
      </c>
      <c r="C111" s="32">
        <v>122.58</v>
      </c>
      <c r="D111" s="32">
        <v>297.94099999999997</v>
      </c>
      <c r="E111" s="38">
        <v>729.47900000000004</v>
      </c>
      <c r="F111" s="32">
        <v>1150</v>
      </c>
      <c r="G111" s="32">
        <v>100</v>
      </c>
      <c r="H111" s="40">
        <v>600</v>
      </c>
      <c r="I111" s="32">
        <v>695</v>
      </c>
      <c r="J111" s="32">
        <v>50</v>
      </c>
      <c r="K111" s="33"/>
      <c r="L111" s="33"/>
      <c r="M111" s="33"/>
      <c r="N111" s="33"/>
      <c r="O111" s="33"/>
      <c r="P111" s="33"/>
      <c r="Q111" s="33"/>
      <c r="R111" s="33"/>
      <c r="S111" s="33"/>
      <c r="T111" s="33"/>
    </row>
    <row r="112" spans="1:20" ht="15.75">
      <c r="A112" s="13">
        <v>45261</v>
      </c>
      <c r="B112" s="41">
        <v>31</v>
      </c>
      <c r="C112" s="32">
        <v>122.58</v>
      </c>
      <c r="D112" s="32">
        <v>297.94099999999997</v>
      </c>
      <c r="E112" s="38">
        <v>729.47900000000004</v>
      </c>
      <c r="F112" s="32">
        <v>1150</v>
      </c>
      <c r="G112" s="32">
        <v>100</v>
      </c>
      <c r="H112" s="40">
        <v>600</v>
      </c>
      <c r="I112" s="32">
        <v>695</v>
      </c>
      <c r="J112" s="32">
        <v>50</v>
      </c>
      <c r="K112" s="33"/>
      <c r="L112" s="33"/>
      <c r="M112" s="33"/>
      <c r="N112" s="33"/>
      <c r="O112" s="33"/>
      <c r="P112" s="33"/>
      <c r="Q112" s="33"/>
      <c r="R112" s="33"/>
      <c r="S112" s="33"/>
      <c r="T112" s="33"/>
    </row>
    <row r="113" spans="1:20" ht="15.75">
      <c r="A113" s="13">
        <v>45292</v>
      </c>
      <c r="B113" s="41">
        <v>31</v>
      </c>
      <c r="C113" s="32">
        <v>122.58</v>
      </c>
      <c r="D113" s="32">
        <v>297.94099999999997</v>
      </c>
      <c r="E113" s="38">
        <v>729.47900000000004</v>
      </c>
      <c r="F113" s="32">
        <v>1150</v>
      </c>
      <c r="G113" s="32">
        <v>100</v>
      </c>
      <c r="H113" s="40">
        <v>600</v>
      </c>
      <c r="I113" s="32">
        <v>695</v>
      </c>
      <c r="J113" s="32">
        <v>50</v>
      </c>
      <c r="K113" s="33"/>
      <c r="L113" s="33"/>
      <c r="M113" s="33"/>
      <c r="N113" s="33"/>
      <c r="O113" s="33"/>
      <c r="P113" s="33"/>
      <c r="Q113" s="33"/>
      <c r="R113" s="33"/>
      <c r="S113" s="33"/>
      <c r="T113" s="33"/>
    </row>
    <row r="114" spans="1:20" ht="15.75">
      <c r="A114" s="13">
        <v>45323</v>
      </c>
      <c r="B114" s="41">
        <v>29</v>
      </c>
      <c r="C114" s="32">
        <v>122.58</v>
      </c>
      <c r="D114" s="32">
        <v>297.94099999999997</v>
      </c>
      <c r="E114" s="38">
        <v>729.47900000000004</v>
      </c>
      <c r="F114" s="32">
        <v>1150</v>
      </c>
      <c r="G114" s="32">
        <v>100</v>
      </c>
      <c r="H114" s="40">
        <v>600</v>
      </c>
      <c r="I114" s="32">
        <v>695</v>
      </c>
      <c r="J114" s="32">
        <v>50</v>
      </c>
      <c r="K114" s="33"/>
      <c r="L114" s="33"/>
      <c r="M114" s="33"/>
      <c r="N114" s="33"/>
      <c r="O114" s="33"/>
      <c r="P114" s="33"/>
      <c r="Q114" s="33"/>
      <c r="R114" s="33"/>
      <c r="S114" s="33"/>
      <c r="T114" s="33"/>
    </row>
    <row r="115" spans="1:20" ht="15.75">
      <c r="A115" s="13">
        <v>45352</v>
      </c>
      <c r="B115" s="41">
        <v>31</v>
      </c>
      <c r="C115" s="32">
        <v>122.58</v>
      </c>
      <c r="D115" s="32">
        <v>297.94099999999997</v>
      </c>
      <c r="E115" s="38">
        <v>729.47900000000004</v>
      </c>
      <c r="F115" s="32">
        <v>1150</v>
      </c>
      <c r="G115" s="32">
        <v>100</v>
      </c>
      <c r="H115" s="40">
        <v>600</v>
      </c>
      <c r="I115" s="32">
        <v>695</v>
      </c>
      <c r="J115" s="32">
        <v>50</v>
      </c>
      <c r="K115" s="33"/>
      <c r="L115" s="33"/>
      <c r="M115" s="33"/>
      <c r="N115" s="33"/>
      <c r="O115" s="33"/>
      <c r="P115" s="33"/>
      <c r="Q115" s="33"/>
      <c r="R115" s="33"/>
      <c r="S115" s="33"/>
      <c r="T115" s="33"/>
    </row>
    <row r="116" spans="1:20" ht="15.75">
      <c r="A116" s="13">
        <v>45383</v>
      </c>
      <c r="B116" s="41">
        <v>30</v>
      </c>
      <c r="C116" s="32">
        <v>141.29300000000001</v>
      </c>
      <c r="D116" s="32">
        <v>267.99299999999999</v>
      </c>
      <c r="E116" s="38">
        <v>829.71400000000006</v>
      </c>
      <c r="F116" s="32">
        <v>1239</v>
      </c>
      <c r="G116" s="32">
        <v>100</v>
      </c>
      <c r="H116" s="40">
        <v>600</v>
      </c>
      <c r="I116" s="32">
        <v>695</v>
      </c>
      <c r="J116" s="32">
        <v>50</v>
      </c>
      <c r="K116" s="33"/>
      <c r="L116" s="33"/>
      <c r="M116" s="33"/>
      <c r="N116" s="33"/>
      <c r="O116" s="33"/>
      <c r="P116" s="33"/>
      <c r="Q116" s="33"/>
      <c r="R116" s="33"/>
      <c r="S116" s="33"/>
      <c r="T116" s="33"/>
    </row>
    <row r="117" spans="1:20" ht="15.75">
      <c r="A117" s="13">
        <v>45413</v>
      </c>
      <c r="B117" s="41">
        <v>31</v>
      </c>
      <c r="C117" s="32">
        <v>194.20500000000001</v>
      </c>
      <c r="D117" s="32">
        <v>267.46600000000001</v>
      </c>
      <c r="E117" s="38">
        <v>812.32899999999995</v>
      </c>
      <c r="F117" s="32">
        <v>1274</v>
      </c>
      <c r="G117" s="32">
        <v>75</v>
      </c>
      <c r="H117" s="40">
        <v>600</v>
      </c>
      <c r="I117" s="32">
        <v>695</v>
      </c>
      <c r="J117" s="32">
        <v>50</v>
      </c>
      <c r="K117" s="33"/>
      <c r="L117" s="33"/>
      <c r="M117" s="33"/>
      <c r="N117" s="33"/>
      <c r="O117" s="33"/>
      <c r="P117" s="33"/>
      <c r="Q117" s="33"/>
      <c r="R117" s="33"/>
      <c r="S117" s="33"/>
      <c r="T117" s="33"/>
    </row>
    <row r="118" spans="1:20" ht="15.75">
      <c r="A118" s="13">
        <v>45444</v>
      </c>
      <c r="B118" s="41">
        <v>30</v>
      </c>
      <c r="C118" s="32">
        <v>194.20500000000001</v>
      </c>
      <c r="D118" s="32">
        <v>267.46600000000001</v>
      </c>
      <c r="E118" s="38">
        <v>812.32899999999995</v>
      </c>
      <c r="F118" s="32">
        <v>1274</v>
      </c>
      <c r="G118" s="32">
        <v>50</v>
      </c>
      <c r="H118" s="40">
        <v>600</v>
      </c>
      <c r="I118" s="32">
        <v>695</v>
      </c>
      <c r="J118" s="32">
        <v>50</v>
      </c>
      <c r="K118" s="33"/>
      <c r="L118" s="33"/>
      <c r="M118" s="33"/>
      <c r="N118" s="33"/>
      <c r="O118" s="33"/>
      <c r="P118" s="33"/>
      <c r="Q118" s="33"/>
      <c r="R118" s="33"/>
      <c r="S118" s="33"/>
      <c r="T118" s="33"/>
    </row>
    <row r="119" spans="1:20" ht="15.75">
      <c r="A119" s="13">
        <v>45474</v>
      </c>
      <c r="B119" s="41">
        <v>31</v>
      </c>
      <c r="C119" s="32">
        <v>194.20500000000001</v>
      </c>
      <c r="D119" s="32">
        <v>267.46600000000001</v>
      </c>
      <c r="E119" s="38">
        <v>812.32899999999995</v>
      </c>
      <c r="F119" s="32">
        <v>1274</v>
      </c>
      <c r="G119" s="32">
        <v>50</v>
      </c>
      <c r="H119" s="40">
        <v>600</v>
      </c>
      <c r="I119" s="32">
        <v>695</v>
      </c>
      <c r="J119" s="32">
        <v>0</v>
      </c>
      <c r="K119" s="33"/>
      <c r="L119" s="33"/>
      <c r="M119" s="33"/>
      <c r="N119" s="33"/>
      <c r="O119" s="33"/>
      <c r="P119" s="33"/>
      <c r="Q119" s="33"/>
      <c r="R119" s="33"/>
      <c r="S119" s="33"/>
      <c r="T119" s="33"/>
    </row>
    <row r="120" spans="1:20" ht="15.75">
      <c r="A120" s="13">
        <v>45505</v>
      </c>
      <c r="B120" s="41">
        <v>31</v>
      </c>
      <c r="C120" s="32">
        <v>194.20500000000001</v>
      </c>
      <c r="D120" s="32">
        <v>267.46600000000001</v>
      </c>
      <c r="E120" s="38">
        <v>812.32899999999995</v>
      </c>
      <c r="F120" s="32">
        <v>1274</v>
      </c>
      <c r="G120" s="32">
        <v>50</v>
      </c>
      <c r="H120" s="40">
        <v>600</v>
      </c>
      <c r="I120" s="32">
        <v>695</v>
      </c>
      <c r="J120" s="32">
        <v>0</v>
      </c>
      <c r="K120" s="33"/>
      <c r="L120" s="33"/>
      <c r="M120" s="33"/>
      <c r="N120" s="33"/>
      <c r="O120" s="33"/>
      <c r="P120" s="33"/>
      <c r="Q120" s="33"/>
      <c r="R120" s="33"/>
      <c r="S120" s="33"/>
      <c r="T120" s="33"/>
    </row>
    <row r="121" spans="1:20" ht="15.75">
      <c r="A121" s="13">
        <v>45536</v>
      </c>
      <c r="B121" s="41">
        <v>30</v>
      </c>
      <c r="C121" s="32">
        <v>194.20500000000001</v>
      </c>
      <c r="D121" s="32">
        <v>267.46600000000001</v>
      </c>
      <c r="E121" s="38">
        <v>812.32899999999995</v>
      </c>
      <c r="F121" s="32">
        <v>1274</v>
      </c>
      <c r="G121" s="32">
        <v>50</v>
      </c>
      <c r="H121" s="40">
        <v>600</v>
      </c>
      <c r="I121" s="32">
        <v>695</v>
      </c>
      <c r="J121" s="32">
        <v>0</v>
      </c>
      <c r="K121" s="33"/>
      <c r="L121" s="33"/>
      <c r="M121" s="33"/>
      <c r="N121" s="33"/>
      <c r="O121" s="33"/>
      <c r="P121" s="33"/>
      <c r="Q121" s="33"/>
      <c r="R121" s="33"/>
      <c r="S121" s="33"/>
      <c r="T121" s="33"/>
    </row>
    <row r="122" spans="1:20" ht="15.75">
      <c r="A122" s="13">
        <v>45566</v>
      </c>
      <c r="B122" s="41">
        <v>31</v>
      </c>
      <c r="C122" s="32">
        <v>131.881</v>
      </c>
      <c r="D122" s="32">
        <v>277.16699999999997</v>
      </c>
      <c r="E122" s="38">
        <v>829.952</v>
      </c>
      <c r="F122" s="32">
        <v>1239</v>
      </c>
      <c r="G122" s="32">
        <v>75</v>
      </c>
      <c r="H122" s="40">
        <v>600</v>
      </c>
      <c r="I122" s="32">
        <v>695</v>
      </c>
      <c r="J122" s="32">
        <v>0</v>
      </c>
      <c r="K122" s="33"/>
      <c r="L122" s="33"/>
      <c r="M122" s="33"/>
      <c r="N122" s="33"/>
      <c r="O122" s="33"/>
      <c r="P122" s="33"/>
      <c r="Q122" s="33"/>
      <c r="R122" s="33"/>
      <c r="S122" s="33"/>
      <c r="T122" s="33"/>
    </row>
    <row r="123" spans="1:20" ht="15.75">
      <c r="A123" s="13">
        <v>45597</v>
      </c>
      <c r="B123" s="41">
        <v>30</v>
      </c>
      <c r="C123" s="32">
        <v>122.58</v>
      </c>
      <c r="D123" s="32">
        <v>297.94099999999997</v>
      </c>
      <c r="E123" s="38">
        <v>729.47900000000004</v>
      </c>
      <c r="F123" s="32">
        <v>1150</v>
      </c>
      <c r="G123" s="32">
        <v>100</v>
      </c>
      <c r="H123" s="40">
        <v>600</v>
      </c>
      <c r="I123" s="32">
        <v>695</v>
      </c>
      <c r="J123" s="32">
        <v>50</v>
      </c>
      <c r="K123" s="33"/>
      <c r="L123" s="33"/>
      <c r="M123" s="33"/>
      <c r="N123" s="33"/>
      <c r="O123" s="33"/>
      <c r="P123" s="33"/>
      <c r="Q123" s="33"/>
      <c r="R123" s="33"/>
      <c r="S123" s="33"/>
      <c r="T123" s="33"/>
    </row>
    <row r="124" spans="1:20" ht="15.75">
      <c r="A124" s="13">
        <v>45627</v>
      </c>
      <c r="B124" s="41">
        <v>31</v>
      </c>
      <c r="C124" s="32">
        <v>122.58</v>
      </c>
      <c r="D124" s="32">
        <v>297.94099999999997</v>
      </c>
      <c r="E124" s="38">
        <v>729.47900000000004</v>
      </c>
      <c r="F124" s="32">
        <v>1150</v>
      </c>
      <c r="G124" s="32">
        <v>100</v>
      </c>
      <c r="H124" s="40">
        <v>600</v>
      </c>
      <c r="I124" s="32">
        <v>695</v>
      </c>
      <c r="J124" s="32">
        <v>50</v>
      </c>
      <c r="K124" s="33"/>
      <c r="L124" s="33"/>
      <c r="M124" s="33"/>
      <c r="N124" s="33"/>
      <c r="O124" s="33"/>
      <c r="P124" s="33"/>
      <c r="Q124" s="33"/>
      <c r="R124" s="33"/>
      <c r="S124" s="33"/>
      <c r="T124" s="33"/>
    </row>
    <row r="125" spans="1:20" ht="15.75">
      <c r="A125" s="13">
        <v>45658</v>
      </c>
      <c r="B125" s="41">
        <v>31</v>
      </c>
      <c r="C125" s="32">
        <v>122.58</v>
      </c>
      <c r="D125" s="32">
        <v>297.94099999999997</v>
      </c>
      <c r="E125" s="38">
        <v>729.47900000000004</v>
      </c>
      <c r="F125" s="32">
        <v>1150</v>
      </c>
      <c r="G125" s="32">
        <v>100</v>
      </c>
      <c r="H125" s="40">
        <v>600</v>
      </c>
      <c r="I125" s="32">
        <v>695</v>
      </c>
      <c r="J125" s="32">
        <v>50</v>
      </c>
      <c r="K125" s="33"/>
      <c r="L125" s="33"/>
      <c r="M125" s="33"/>
      <c r="N125" s="33"/>
      <c r="O125" s="33"/>
      <c r="P125" s="33"/>
      <c r="Q125" s="33"/>
      <c r="R125" s="33"/>
      <c r="S125" s="33"/>
      <c r="T125" s="33"/>
    </row>
    <row r="126" spans="1:20" ht="15.75">
      <c r="A126" s="13">
        <v>45689</v>
      </c>
      <c r="B126" s="41">
        <v>28</v>
      </c>
      <c r="C126" s="32">
        <v>122.58</v>
      </c>
      <c r="D126" s="32">
        <v>297.94099999999997</v>
      </c>
      <c r="E126" s="38">
        <v>729.47900000000004</v>
      </c>
      <c r="F126" s="32">
        <v>1150</v>
      </c>
      <c r="G126" s="32">
        <v>100</v>
      </c>
      <c r="H126" s="40">
        <v>600</v>
      </c>
      <c r="I126" s="32">
        <v>695</v>
      </c>
      <c r="J126" s="32">
        <v>50</v>
      </c>
      <c r="K126" s="33"/>
      <c r="L126" s="33"/>
      <c r="M126" s="33"/>
      <c r="N126" s="33"/>
      <c r="O126" s="33"/>
      <c r="P126" s="33"/>
      <c r="Q126" s="33"/>
      <c r="R126" s="33"/>
      <c r="S126" s="33"/>
      <c r="T126" s="33"/>
    </row>
    <row r="127" spans="1:20" ht="15.75">
      <c r="A127" s="13">
        <v>45717</v>
      </c>
      <c r="B127" s="41">
        <v>31</v>
      </c>
      <c r="C127" s="32">
        <v>122.58</v>
      </c>
      <c r="D127" s="32">
        <v>297.94099999999997</v>
      </c>
      <c r="E127" s="38">
        <v>729.47900000000004</v>
      </c>
      <c r="F127" s="32">
        <v>1150</v>
      </c>
      <c r="G127" s="32">
        <v>100</v>
      </c>
      <c r="H127" s="40">
        <v>600</v>
      </c>
      <c r="I127" s="32">
        <v>695</v>
      </c>
      <c r="J127" s="32">
        <v>50</v>
      </c>
      <c r="K127" s="33"/>
      <c r="L127" s="33"/>
      <c r="M127" s="33"/>
      <c r="N127" s="33"/>
      <c r="O127" s="33"/>
      <c r="P127" s="33"/>
      <c r="Q127" s="33"/>
      <c r="R127" s="33"/>
      <c r="S127" s="33"/>
      <c r="T127" s="33"/>
    </row>
    <row r="128" spans="1:20" ht="15.75">
      <c r="A128" s="13">
        <v>45748</v>
      </c>
      <c r="B128" s="41">
        <v>30</v>
      </c>
      <c r="C128" s="32">
        <v>141.29300000000001</v>
      </c>
      <c r="D128" s="32">
        <v>267.99299999999999</v>
      </c>
      <c r="E128" s="38">
        <v>829.71400000000006</v>
      </c>
      <c r="F128" s="32">
        <v>1239</v>
      </c>
      <c r="G128" s="32">
        <v>100</v>
      </c>
      <c r="H128" s="40">
        <v>600</v>
      </c>
      <c r="I128" s="32">
        <v>695</v>
      </c>
      <c r="J128" s="32">
        <v>50</v>
      </c>
      <c r="K128" s="33"/>
      <c r="L128" s="33"/>
      <c r="M128" s="33"/>
      <c r="N128" s="33"/>
      <c r="O128" s="33"/>
      <c r="P128" s="33"/>
      <c r="Q128" s="33"/>
      <c r="R128" s="33"/>
      <c r="S128" s="33"/>
      <c r="T128" s="33"/>
    </row>
    <row r="129" spans="1:20" ht="15.75">
      <c r="A129" s="13">
        <v>45778</v>
      </c>
      <c r="B129" s="41">
        <v>31</v>
      </c>
      <c r="C129" s="32">
        <v>194.20500000000001</v>
      </c>
      <c r="D129" s="32">
        <v>267.46600000000001</v>
      </c>
      <c r="E129" s="38">
        <v>812.32899999999995</v>
      </c>
      <c r="F129" s="32">
        <v>1274</v>
      </c>
      <c r="G129" s="32">
        <v>75</v>
      </c>
      <c r="H129" s="40">
        <v>600</v>
      </c>
      <c r="I129" s="32">
        <v>695</v>
      </c>
      <c r="J129" s="32">
        <v>50</v>
      </c>
      <c r="K129" s="33"/>
      <c r="L129" s="33"/>
      <c r="M129" s="33"/>
      <c r="N129" s="33"/>
      <c r="O129" s="33"/>
      <c r="P129" s="33"/>
      <c r="Q129" s="33"/>
      <c r="R129" s="33"/>
      <c r="S129" s="33"/>
      <c r="T129" s="33"/>
    </row>
    <row r="130" spans="1:20" ht="15.75">
      <c r="A130" s="13">
        <v>45809</v>
      </c>
      <c r="B130" s="41">
        <v>30</v>
      </c>
      <c r="C130" s="32">
        <v>194.20500000000001</v>
      </c>
      <c r="D130" s="32">
        <v>267.46600000000001</v>
      </c>
      <c r="E130" s="38">
        <v>812.32899999999995</v>
      </c>
      <c r="F130" s="32">
        <v>1274</v>
      </c>
      <c r="G130" s="32">
        <v>50</v>
      </c>
      <c r="H130" s="40">
        <v>600</v>
      </c>
      <c r="I130" s="32">
        <v>695</v>
      </c>
      <c r="J130" s="32">
        <v>50</v>
      </c>
      <c r="K130" s="33"/>
      <c r="L130" s="33"/>
      <c r="M130" s="33"/>
      <c r="N130" s="33"/>
      <c r="O130" s="33"/>
      <c r="P130" s="33"/>
      <c r="Q130" s="33"/>
      <c r="R130" s="33"/>
      <c r="S130" s="33"/>
      <c r="T130" s="33"/>
    </row>
    <row r="131" spans="1:20" ht="15.75">
      <c r="A131" s="13">
        <v>45839</v>
      </c>
      <c r="B131" s="41">
        <v>31</v>
      </c>
      <c r="C131" s="32">
        <v>194.20500000000001</v>
      </c>
      <c r="D131" s="32">
        <v>267.46600000000001</v>
      </c>
      <c r="E131" s="38">
        <v>812.32899999999995</v>
      </c>
      <c r="F131" s="32">
        <v>1274</v>
      </c>
      <c r="G131" s="32">
        <v>50</v>
      </c>
      <c r="H131" s="40">
        <v>600</v>
      </c>
      <c r="I131" s="32">
        <v>695</v>
      </c>
      <c r="J131" s="32">
        <v>0</v>
      </c>
      <c r="K131" s="33"/>
      <c r="L131" s="33"/>
      <c r="M131" s="33"/>
      <c r="N131" s="33"/>
      <c r="O131" s="33"/>
      <c r="P131" s="33"/>
      <c r="Q131" s="33"/>
      <c r="R131" s="33"/>
      <c r="S131" s="33"/>
      <c r="T131" s="33"/>
    </row>
    <row r="132" spans="1:20" ht="15.75">
      <c r="A132" s="13">
        <v>45870</v>
      </c>
      <c r="B132" s="41">
        <v>31</v>
      </c>
      <c r="C132" s="32">
        <v>194.20500000000001</v>
      </c>
      <c r="D132" s="32">
        <v>267.46600000000001</v>
      </c>
      <c r="E132" s="38">
        <v>812.32899999999995</v>
      </c>
      <c r="F132" s="32">
        <v>1274</v>
      </c>
      <c r="G132" s="32">
        <v>50</v>
      </c>
      <c r="H132" s="40">
        <v>600</v>
      </c>
      <c r="I132" s="32">
        <v>695</v>
      </c>
      <c r="J132" s="32">
        <v>0</v>
      </c>
      <c r="K132" s="33"/>
      <c r="L132" s="33"/>
      <c r="M132" s="33"/>
      <c r="N132" s="33"/>
      <c r="O132" s="33"/>
      <c r="P132" s="33"/>
      <c r="Q132" s="33"/>
      <c r="R132" s="33"/>
      <c r="S132" s="33"/>
      <c r="T132" s="33"/>
    </row>
    <row r="133" spans="1:20" ht="15.75">
      <c r="A133" s="13">
        <v>45901</v>
      </c>
      <c r="B133" s="41">
        <v>30</v>
      </c>
      <c r="C133" s="32">
        <v>194.20500000000001</v>
      </c>
      <c r="D133" s="32">
        <v>267.46600000000001</v>
      </c>
      <c r="E133" s="38">
        <v>812.32899999999995</v>
      </c>
      <c r="F133" s="32">
        <v>1274</v>
      </c>
      <c r="G133" s="32">
        <v>50</v>
      </c>
      <c r="H133" s="40">
        <v>600</v>
      </c>
      <c r="I133" s="32">
        <v>695</v>
      </c>
      <c r="J133" s="32">
        <v>0</v>
      </c>
      <c r="K133" s="33"/>
      <c r="L133" s="33"/>
      <c r="M133" s="33"/>
      <c r="N133" s="33"/>
      <c r="O133" s="33"/>
      <c r="P133" s="33"/>
      <c r="Q133" s="33"/>
      <c r="R133" s="33"/>
      <c r="S133" s="33"/>
      <c r="T133" s="33"/>
    </row>
    <row r="134" spans="1:20" ht="15.75">
      <c r="A134" s="13">
        <v>45931</v>
      </c>
      <c r="B134" s="41">
        <v>31</v>
      </c>
      <c r="C134" s="32">
        <v>131.881</v>
      </c>
      <c r="D134" s="32">
        <v>277.16699999999997</v>
      </c>
      <c r="E134" s="38">
        <v>829.952</v>
      </c>
      <c r="F134" s="32">
        <v>1239</v>
      </c>
      <c r="G134" s="32">
        <v>75</v>
      </c>
      <c r="H134" s="40">
        <v>600</v>
      </c>
      <c r="I134" s="32">
        <v>695</v>
      </c>
      <c r="J134" s="32">
        <v>0</v>
      </c>
      <c r="K134" s="33"/>
      <c r="L134" s="33"/>
      <c r="M134" s="33"/>
      <c r="N134" s="33"/>
      <c r="O134" s="33"/>
      <c r="P134" s="33"/>
      <c r="Q134" s="33"/>
      <c r="R134" s="33"/>
      <c r="S134" s="33"/>
      <c r="T134" s="33"/>
    </row>
    <row r="135" spans="1:20" ht="15.75">
      <c r="A135" s="13">
        <v>45962</v>
      </c>
      <c r="B135" s="41">
        <v>30</v>
      </c>
      <c r="C135" s="32">
        <v>122.58</v>
      </c>
      <c r="D135" s="32">
        <v>297.94099999999997</v>
      </c>
      <c r="E135" s="38">
        <v>729.47900000000004</v>
      </c>
      <c r="F135" s="32">
        <v>1150</v>
      </c>
      <c r="G135" s="32">
        <v>100</v>
      </c>
      <c r="H135" s="40">
        <v>600</v>
      </c>
      <c r="I135" s="32">
        <v>695</v>
      </c>
      <c r="J135" s="32">
        <v>50</v>
      </c>
      <c r="K135" s="33"/>
      <c r="L135" s="33"/>
      <c r="M135" s="33"/>
      <c r="N135" s="33"/>
      <c r="O135" s="33"/>
      <c r="P135" s="33"/>
      <c r="Q135" s="33"/>
      <c r="R135" s="33"/>
      <c r="S135" s="33"/>
      <c r="T135" s="33"/>
    </row>
    <row r="136" spans="1:20" ht="15.75">
      <c r="A136" s="13">
        <v>45992</v>
      </c>
      <c r="B136" s="41">
        <v>31</v>
      </c>
      <c r="C136" s="32">
        <v>122.58</v>
      </c>
      <c r="D136" s="32">
        <v>297.94099999999997</v>
      </c>
      <c r="E136" s="38">
        <v>729.47900000000004</v>
      </c>
      <c r="F136" s="32">
        <v>1150</v>
      </c>
      <c r="G136" s="32">
        <v>100</v>
      </c>
      <c r="H136" s="40">
        <v>600</v>
      </c>
      <c r="I136" s="32">
        <v>695</v>
      </c>
      <c r="J136" s="32">
        <v>50</v>
      </c>
      <c r="K136" s="33"/>
      <c r="L136" s="33"/>
      <c r="M136" s="33"/>
      <c r="N136" s="33"/>
      <c r="O136" s="33"/>
      <c r="P136" s="33"/>
      <c r="Q136" s="33"/>
      <c r="R136" s="33"/>
      <c r="S136" s="33"/>
      <c r="T136" s="33"/>
    </row>
    <row r="137" spans="1:20" ht="15.75">
      <c r="A137" s="13">
        <v>46023</v>
      </c>
      <c r="B137" s="41">
        <v>31</v>
      </c>
      <c r="C137" s="32">
        <v>122.58</v>
      </c>
      <c r="D137" s="32">
        <v>297.94099999999997</v>
      </c>
      <c r="E137" s="38">
        <v>729.47900000000004</v>
      </c>
      <c r="F137" s="32">
        <v>1150</v>
      </c>
      <c r="G137" s="32">
        <v>100</v>
      </c>
      <c r="H137" s="40">
        <v>600</v>
      </c>
      <c r="I137" s="32">
        <v>695</v>
      </c>
      <c r="J137" s="32">
        <v>50</v>
      </c>
      <c r="K137" s="33"/>
      <c r="L137" s="33"/>
      <c r="M137" s="33"/>
      <c r="N137" s="33"/>
      <c r="O137" s="33"/>
      <c r="P137" s="33"/>
      <c r="Q137" s="33"/>
      <c r="R137" s="33"/>
      <c r="S137" s="33"/>
      <c r="T137" s="33"/>
    </row>
    <row r="138" spans="1:20" ht="15.75">
      <c r="A138" s="13">
        <v>46054</v>
      </c>
      <c r="B138" s="41">
        <v>28</v>
      </c>
      <c r="C138" s="32">
        <v>122.58</v>
      </c>
      <c r="D138" s="32">
        <v>297.94099999999997</v>
      </c>
      <c r="E138" s="38">
        <v>729.47900000000004</v>
      </c>
      <c r="F138" s="32">
        <v>1150</v>
      </c>
      <c r="G138" s="32">
        <v>100</v>
      </c>
      <c r="H138" s="40">
        <v>600</v>
      </c>
      <c r="I138" s="32">
        <v>695</v>
      </c>
      <c r="J138" s="32">
        <v>50</v>
      </c>
      <c r="K138" s="33"/>
      <c r="L138" s="33"/>
      <c r="M138" s="33"/>
      <c r="N138" s="33"/>
      <c r="O138" s="33"/>
      <c r="P138" s="33"/>
      <c r="Q138" s="33"/>
      <c r="R138" s="33"/>
      <c r="S138" s="33"/>
      <c r="T138" s="33"/>
    </row>
    <row r="139" spans="1:20" ht="15.75">
      <c r="A139" s="13">
        <v>46082</v>
      </c>
      <c r="B139" s="41">
        <v>31</v>
      </c>
      <c r="C139" s="32">
        <v>122.58</v>
      </c>
      <c r="D139" s="32">
        <v>297.94099999999997</v>
      </c>
      <c r="E139" s="38">
        <v>729.47900000000004</v>
      </c>
      <c r="F139" s="32">
        <v>1150</v>
      </c>
      <c r="G139" s="32">
        <v>100</v>
      </c>
      <c r="H139" s="40">
        <v>600</v>
      </c>
      <c r="I139" s="32">
        <v>695</v>
      </c>
      <c r="J139" s="32">
        <v>50</v>
      </c>
      <c r="K139" s="33"/>
      <c r="L139" s="33"/>
      <c r="M139" s="33"/>
      <c r="N139" s="33"/>
      <c r="O139" s="33"/>
      <c r="P139" s="33"/>
      <c r="Q139" s="33"/>
      <c r="R139" s="33"/>
      <c r="S139" s="33"/>
      <c r="T139" s="33"/>
    </row>
    <row r="140" spans="1:20" ht="15.75">
      <c r="A140" s="13">
        <v>46113</v>
      </c>
      <c r="B140" s="41">
        <v>30</v>
      </c>
      <c r="C140" s="32">
        <v>141.29300000000001</v>
      </c>
      <c r="D140" s="32">
        <v>267.99299999999999</v>
      </c>
      <c r="E140" s="38">
        <v>829.71400000000006</v>
      </c>
      <c r="F140" s="32">
        <v>1239</v>
      </c>
      <c r="G140" s="32">
        <v>100</v>
      </c>
      <c r="H140" s="40">
        <v>600</v>
      </c>
      <c r="I140" s="32">
        <v>695</v>
      </c>
      <c r="J140" s="32">
        <v>50</v>
      </c>
      <c r="K140" s="33"/>
      <c r="L140" s="33"/>
      <c r="M140" s="33"/>
      <c r="N140" s="33"/>
      <c r="O140" s="33"/>
      <c r="P140" s="33"/>
      <c r="Q140" s="33"/>
      <c r="R140" s="33"/>
      <c r="S140" s="33"/>
      <c r="T140" s="33"/>
    </row>
    <row r="141" spans="1:20" ht="15.75">
      <c r="A141" s="13">
        <v>46143</v>
      </c>
      <c r="B141" s="41">
        <v>31</v>
      </c>
      <c r="C141" s="32">
        <v>194.20500000000001</v>
      </c>
      <c r="D141" s="32">
        <v>267.46600000000001</v>
      </c>
      <c r="E141" s="38">
        <v>812.32899999999995</v>
      </c>
      <c r="F141" s="32">
        <v>1274</v>
      </c>
      <c r="G141" s="32">
        <v>75</v>
      </c>
      <c r="H141" s="40">
        <v>600</v>
      </c>
      <c r="I141" s="32">
        <v>695</v>
      </c>
      <c r="J141" s="32">
        <v>50</v>
      </c>
      <c r="K141" s="33"/>
      <c r="L141" s="33"/>
      <c r="M141" s="33"/>
      <c r="N141" s="33"/>
      <c r="O141" s="33"/>
      <c r="P141" s="33"/>
      <c r="Q141" s="33"/>
      <c r="R141" s="33"/>
      <c r="S141" s="33"/>
      <c r="T141" s="33"/>
    </row>
    <row r="142" spans="1:20" ht="15.75">
      <c r="A142" s="13">
        <v>46174</v>
      </c>
      <c r="B142" s="41">
        <v>30</v>
      </c>
      <c r="C142" s="32">
        <v>194.20500000000001</v>
      </c>
      <c r="D142" s="32">
        <v>267.46600000000001</v>
      </c>
      <c r="E142" s="38">
        <v>812.32899999999995</v>
      </c>
      <c r="F142" s="32">
        <v>1274</v>
      </c>
      <c r="G142" s="32">
        <v>50</v>
      </c>
      <c r="H142" s="40">
        <v>600</v>
      </c>
      <c r="I142" s="32">
        <v>695</v>
      </c>
      <c r="J142" s="32">
        <v>50</v>
      </c>
      <c r="K142" s="33"/>
      <c r="L142" s="33"/>
      <c r="M142" s="33"/>
      <c r="N142" s="33"/>
      <c r="O142" s="33"/>
      <c r="P142" s="33"/>
      <c r="Q142" s="33"/>
      <c r="R142" s="33"/>
      <c r="S142" s="33"/>
      <c r="T142" s="33"/>
    </row>
    <row r="143" spans="1:20" ht="15.75">
      <c r="A143" s="13">
        <v>46204</v>
      </c>
      <c r="B143" s="41">
        <v>31</v>
      </c>
      <c r="C143" s="32">
        <v>194.20500000000001</v>
      </c>
      <c r="D143" s="32">
        <v>267.46600000000001</v>
      </c>
      <c r="E143" s="38">
        <v>812.32899999999995</v>
      </c>
      <c r="F143" s="32">
        <v>1274</v>
      </c>
      <c r="G143" s="32">
        <v>50</v>
      </c>
      <c r="H143" s="40">
        <v>600</v>
      </c>
      <c r="I143" s="32">
        <v>695</v>
      </c>
      <c r="J143" s="32">
        <v>0</v>
      </c>
      <c r="K143" s="33"/>
      <c r="L143" s="33"/>
      <c r="M143" s="33"/>
      <c r="N143" s="33"/>
      <c r="O143" s="33"/>
      <c r="P143" s="33"/>
      <c r="Q143" s="33"/>
      <c r="R143" s="33"/>
      <c r="S143" s="33"/>
      <c r="T143" s="33"/>
    </row>
    <row r="144" spans="1:20" ht="15.75">
      <c r="A144" s="13">
        <v>46235</v>
      </c>
      <c r="B144" s="41">
        <v>31</v>
      </c>
      <c r="C144" s="32">
        <v>194.20500000000001</v>
      </c>
      <c r="D144" s="32">
        <v>267.46600000000001</v>
      </c>
      <c r="E144" s="38">
        <v>812.32899999999995</v>
      </c>
      <c r="F144" s="32">
        <v>1274</v>
      </c>
      <c r="G144" s="32">
        <v>50</v>
      </c>
      <c r="H144" s="40">
        <v>600</v>
      </c>
      <c r="I144" s="32">
        <v>695</v>
      </c>
      <c r="J144" s="32">
        <v>0</v>
      </c>
      <c r="K144" s="33"/>
      <c r="L144" s="33"/>
      <c r="M144" s="33"/>
      <c r="N144" s="33"/>
      <c r="O144" s="33"/>
      <c r="P144" s="33"/>
      <c r="Q144" s="33"/>
      <c r="R144" s="33"/>
      <c r="S144" s="33"/>
      <c r="T144" s="33"/>
    </row>
    <row r="145" spans="1:20" ht="15.75">
      <c r="A145" s="13">
        <v>46266</v>
      </c>
      <c r="B145" s="41">
        <v>30</v>
      </c>
      <c r="C145" s="32">
        <v>194.20500000000001</v>
      </c>
      <c r="D145" s="32">
        <v>267.46600000000001</v>
      </c>
      <c r="E145" s="38">
        <v>812.32899999999995</v>
      </c>
      <c r="F145" s="32">
        <v>1274</v>
      </c>
      <c r="G145" s="32">
        <v>50</v>
      </c>
      <c r="H145" s="40">
        <v>600</v>
      </c>
      <c r="I145" s="32">
        <v>695</v>
      </c>
      <c r="J145" s="32">
        <v>0</v>
      </c>
      <c r="K145" s="33"/>
      <c r="L145" s="33"/>
      <c r="M145" s="33"/>
      <c r="N145" s="33"/>
      <c r="O145" s="33"/>
      <c r="P145" s="33"/>
      <c r="Q145" s="33"/>
      <c r="R145" s="33"/>
      <c r="S145" s="33"/>
      <c r="T145" s="33"/>
    </row>
    <row r="146" spans="1:20" ht="15.75">
      <c r="A146" s="13">
        <v>46296</v>
      </c>
      <c r="B146" s="41">
        <v>31</v>
      </c>
      <c r="C146" s="32">
        <v>131.881</v>
      </c>
      <c r="D146" s="32">
        <v>277.16699999999997</v>
      </c>
      <c r="E146" s="38">
        <v>829.952</v>
      </c>
      <c r="F146" s="32">
        <v>1239</v>
      </c>
      <c r="G146" s="32">
        <v>75</v>
      </c>
      <c r="H146" s="40">
        <v>600</v>
      </c>
      <c r="I146" s="32">
        <v>695</v>
      </c>
      <c r="J146" s="32">
        <v>0</v>
      </c>
      <c r="K146" s="33"/>
      <c r="L146" s="33"/>
      <c r="M146" s="33"/>
      <c r="N146" s="33"/>
      <c r="O146" s="33"/>
      <c r="P146" s="33"/>
      <c r="Q146" s="33"/>
      <c r="R146" s="33"/>
      <c r="S146" s="33"/>
      <c r="T146" s="33"/>
    </row>
    <row r="147" spans="1:20" ht="15.75">
      <c r="A147" s="13">
        <v>46327</v>
      </c>
      <c r="B147" s="41">
        <v>30</v>
      </c>
      <c r="C147" s="32">
        <v>122.58</v>
      </c>
      <c r="D147" s="32">
        <v>297.94099999999997</v>
      </c>
      <c r="E147" s="38">
        <v>729.47900000000004</v>
      </c>
      <c r="F147" s="32">
        <v>1150</v>
      </c>
      <c r="G147" s="32">
        <v>100</v>
      </c>
      <c r="H147" s="40">
        <v>600</v>
      </c>
      <c r="I147" s="32">
        <v>695</v>
      </c>
      <c r="J147" s="32">
        <v>50</v>
      </c>
      <c r="K147" s="33"/>
      <c r="L147" s="33"/>
      <c r="M147" s="33"/>
      <c r="N147" s="33"/>
      <c r="O147" s="33"/>
      <c r="P147" s="33"/>
      <c r="Q147" s="33"/>
      <c r="R147" s="33"/>
      <c r="S147" s="33"/>
      <c r="T147" s="33"/>
    </row>
    <row r="148" spans="1:20" ht="15.75">
      <c r="A148" s="13">
        <v>46357</v>
      </c>
      <c r="B148" s="41">
        <v>31</v>
      </c>
      <c r="C148" s="32">
        <v>122.58</v>
      </c>
      <c r="D148" s="32">
        <v>297.94099999999997</v>
      </c>
      <c r="E148" s="38">
        <v>729.47900000000004</v>
      </c>
      <c r="F148" s="32">
        <v>1150</v>
      </c>
      <c r="G148" s="32">
        <v>100</v>
      </c>
      <c r="H148" s="40">
        <v>600</v>
      </c>
      <c r="I148" s="32">
        <v>695</v>
      </c>
      <c r="J148" s="32">
        <v>50</v>
      </c>
      <c r="K148" s="33"/>
      <c r="L148" s="33"/>
      <c r="M148" s="33"/>
      <c r="N148" s="33"/>
      <c r="O148" s="33"/>
      <c r="P148" s="33"/>
      <c r="Q148" s="33"/>
      <c r="R148" s="33"/>
      <c r="S148" s="33"/>
      <c r="T148" s="33"/>
    </row>
    <row r="149" spans="1:20" ht="15.75">
      <c r="A149" s="13">
        <v>46388</v>
      </c>
      <c r="B149" s="41">
        <v>31</v>
      </c>
      <c r="C149" s="32">
        <v>122.58</v>
      </c>
      <c r="D149" s="32">
        <v>297.94099999999997</v>
      </c>
      <c r="E149" s="38">
        <v>729.47900000000004</v>
      </c>
      <c r="F149" s="32">
        <v>1150</v>
      </c>
      <c r="G149" s="32">
        <v>100</v>
      </c>
      <c r="H149" s="40">
        <v>600</v>
      </c>
      <c r="I149" s="32">
        <v>695</v>
      </c>
      <c r="J149" s="32">
        <v>50</v>
      </c>
      <c r="K149" s="33"/>
      <c r="L149" s="33"/>
      <c r="M149" s="33"/>
      <c r="N149" s="33"/>
      <c r="O149" s="33"/>
      <c r="P149" s="33"/>
      <c r="Q149" s="33"/>
      <c r="R149" s="33"/>
      <c r="S149" s="33"/>
      <c r="T149" s="33"/>
    </row>
    <row r="150" spans="1:20" ht="15.75">
      <c r="A150" s="13">
        <v>46419</v>
      </c>
      <c r="B150" s="41">
        <v>28</v>
      </c>
      <c r="C150" s="32">
        <v>122.58</v>
      </c>
      <c r="D150" s="32">
        <v>297.94099999999997</v>
      </c>
      <c r="E150" s="38">
        <v>729.47900000000004</v>
      </c>
      <c r="F150" s="32">
        <v>1150</v>
      </c>
      <c r="G150" s="32">
        <v>100</v>
      </c>
      <c r="H150" s="40">
        <v>600</v>
      </c>
      <c r="I150" s="32">
        <v>695</v>
      </c>
      <c r="J150" s="32">
        <v>50</v>
      </c>
      <c r="K150" s="33"/>
      <c r="L150" s="33"/>
      <c r="M150" s="33"/>
      <c r="N150" s="33"/>
      <c r="O150" s="33"/>
      <c r="P150" s="33"/>
      <c r="Q150" s="33"/>
      <c r="R150" s="33"/>
      <c r="S150" s="33"/>
      <c r="T150" s="33"/>
    </row>
    <row r="151" spans="1:20" ht="15.75">
      <c r="A151" s="13">
        <v>46447</v>
      </c>
      <c r="B151" s="41">
        <v>31</v>
      </c>
      <c r="C151" s="32">
        <v>122.58</v>
      </c>
      <c r="D151" s="32">
        <v>297.94099999999997</v>
      </c>
      <c r="E151" s="38">
        <v>729.47900000000004</v>
      </c>
      <c r="F151" s="32">
        <v>1150</v>
      </c>
      <c r="G151" s="32">
        <v>100</v>
      </c>
      <c r="H151" s="40">
        <v>600</v>
      </c>
      <c r="I151" s="32">
        <v>695</v>
      </c>
      <c r="J151" s="32">
        <v>50</v>
      </c>
      <c r="K151" s="33"/>
      <c r="L151" s="33"/>
      <c r="M151" s="33"/>
      <c r="N151" s="33"/>
      <c r="O151" s="33"/>
      <c r="P151" s="33"/>
      <c r="Q151" s="33"/>
      <c r="R151" s="33"/>
      <c r="S151" s="33"/>
      <c r="T151" s="33"/>
    </row>
    <row r="152" spans="1:20" ht="15.75">
      <c r="A152" s="13">
        <v>46478</v>
      </c>
      <c r="B152" s="41">
        <v>30</v>
      </c>
      <c r="C152" s="32">
        <v>141.29300000000001</v>
      </c>
      <c r="D152" s="32">
        <v>267.99299999999999</v>
      </c>
      <c r="E152" s="38">
        <v>829.71400000000006</v>
      </c>
      <c r="F152" s="32">
        <v>1239</v>
      </c>
      <c r="G152" s="32">
        <v>100</v>
      </c>
      <c r="H152" s="40">
        <v>600</v>
      </c>
      <c r="I152" s="32">
        <v>695</v>
      </c>
      <c r="J152" s="32">
        <v>50</v>
      </c>
      <c r="K152" s="33"/>
      <c r="L152" s="33"/>
      <c r="M152" s="33"/>
      <c r="N152" s="33"/>
      <c r="O152" s="33"/>
      <c r="P152" s="33"/>
      <c r="Q152" s="33"/>
      <c r="R152" s="33"/>
      <c r="S152" s="33"/>
      <c r="T152" s="33"/>
    </row>
    <row r="153" spans="1:20" ht="15.75">
      <c r="A153" s="13">
        <v>46508</v>
      </c>
      <c r="B153" s="41">
        <v>31</v>
      </c>
      <c r="C153" s="32">
        <v>194.20500000000001</v>
      </c>
      <c r="D153" s="32">
        <v>267.46600000000001</v>
      </c>
      <c r="E153" s="38">
        <v>812.32899999999995</v>
      </c>
      <c r="F153" s="32">
        <v>1274</v>
      </c>
      <c r="G153" s="32">
        <v>75</v>
      </c>
      <c r="H153" s="40">
        <v>600</v>
      </c>
      <c r="I153" s="32">
        <v>695</v>
      </c>
      <c r="J153" s="32">
        <v>50</v>
      </c>
      <c r="K153" s="33"/>
      <c r="L153" s="33"/>
      <c r="M153" s="33"/>
      <c r="N153" s="33"/>
      <c r="O153" s="33"/>
      <c r="P153" s="33"/>
      <c r="Q153" s="33"/>
      <c r="R153" s="33"/>
      <c r="S153" s="33"/>
      <c r="T153" s="33"/>
    </row>
    <row r="154" spans="1:20" ht="15.75">
      <c r="A154" s="13">
        <v>46539</v>
      </c>
      <c r="B154" s="41">
        <v>30</v>
      </c>
      <c r="C154" s="32">
        <v>194.20500000000001</v>
      </c>
      <c r="D154" s="32">
        <v>267.46600000000001</v>
      </c>
      <c r="E154" s="38">
        <v>812.32899999999995</v>
      </c>
      <c r="F154" s="32">
        <v>1274</v>
      </c>
      <c r="G154" s="32">
        <v>50</v>
      </c>
      <c r="H154" s="40">
        <v>600</v>
      </c>
      <c r="I154" s="32">
        <v>695</v>
      </c>
      <c r="J154" s="32">
        <v>50</v>
      </c>
      <c r="K154" s="33"/>
      <c r="L154" s="33"/>
      <c r="M154" s="33"/>
      <c r="N154" s="33"/>
      <c r="O154" s="33"/>
      <c r="P154" s="33"/>
      <c r="Q154" s="33"/>
      <c r="R154" s="33"/>
      <c r="S154" s="33"/>
      <c r="T154" s="33"/>
    </row>
    <row r="155" spans="1:20" ht="15.75">
      <c r="A155" s="13">
        <v>46569</v>
      </c>
      <c r="B155" s="41">
        <v>31</v>
      </c>
      <c r="C155" s="32">
        <v>194.20500000000001</v>
      </c>
      <c r="D155" s="32">
        <v>267.46600000000001</v>
      </c>
      <c r="E155" s="38">
        <v>812.32899999999995</v>
      </c>
      <c r="F155" s="32">
        <v>1274</v>
      </c>
      <c r="G155" s="32">
        <v>50</v>
      </c>
      <c r="H155" s="40">
        <v>600</v>
      </c>
      <c r="I155" s="32">
        <v>695</v>
      </c>
      <c r="J155" s="32">
        <v>0</v>
      </c>
      <c r="K155" s="33"/>
      <c r="L155" s="33"/>
      <c r="M155" s="33"/>
      <c r="N155" s="33"/>
      <c r="O155" s="33"/>
      <c r="P155" s="33"/>
      <c r="Q155" s="33"/>
      <c r="R155" s="33"/>
      <c r="S155" s="33"/>
      <c r="T155" s="33"/>
    </row>
    <row r="156" spans="1:20" ht="15.75">
      <c r="A156" s="13">
        <v>46600</v>
      </c>
      <c r="B156" s="41">
        <v>31</v>
      </c>
      <c r="C156" s="32">
        <v>194.20500000000001</v>
      </c>
      <c r="D156" s="32">
        <v>267.46600000000001</v>
      </c>
      <c r="E156" s="38">
        <v>812.32899999999995</v>
      </c>
      <c r="F156" s="32">
        <v>1274</v>
      </c>
      <c r="G156" s="32">
        <v>50</v>
      </c>
      <c r="H156" s="40">
        <v>600</v>
      </c>
      <c r="I156" s="32">
        <v>695</v>
      </c>
      <c r="J156" s="32">
        <v>0</v>
      </c>
      <c r="K156" s="33"/>
      <c r="L156" s="33"/>
      <c r="M156" s="33"/>
      <c r="N156" s="33"/>
      <c r="O156" s="33"/>
      <c r="P156" s="33"/>
      <c r="Q156" s="33"/>
      <c r="R156" s="33"/>
      <c r="S156" s="33"/>
      <c r="T156" s="33"/>
    </row>
    <row r="157" spans="1:20" ht="15.75">
      <c r="A157" s="13">
        <v>46631</v>
      </c>
      <c r="B157" s="41">
        <v>30</v>
      </c>
      <c r="C157" s="32">
        <v>194.20500000000001</v>
      </c>
      <c r="D157" s="32">
        <v>267.46600000000001</v>
      </c>
      <c r="E157" s="38">
        <v>812.32899999999995</v>
      </c>
      <c r="F157" s="32">
        <v>1274</v>
      </c>
      <c r="G157" s="32">
        <v>50</v>
      </c>
      <c r="H157" s="40">
        <v>600</v>
      </c>
      <c r="I157" s="32">
        <v>695</v>
      </c>
      <c r="J157" s="32">
        <v>0</v>
      </c>
      <c r="K157" s="33"/>
      <c r="L157" s="33"/>
      <c r="M157" s="33"/>
      <c r="N157" s="33"/>
      <c r="O157" s="33"/>
      <c r="P157" s="33"/>
      <c r="Q157" s="33"/>
      <c r="R157" s="33"/>
      <c r="S157" s="33"/>
      <c r="T157" s="33"/>
    </row>
    <row r="158" spans="1:20" ht="15.75">
      <c r="A158" s="13">
        <v>46661</v>
      </c>
      <c r="B158" s="41">
        <v>31</v>
      </c>
      <c r="C158" s="32">
        <v>131.881</v>
      </c>
      <c r="D158" s="32">
        <v>277.16699999999997</v>
      </c>
      <c r="E158" s="38">
        <v>829.952</v>
      </c>
      <c r="F158" s="32">
        <v>1239</v>
      </c>
      <c r="G158" s="32">
        <v>75</v>
      </c>
      <c r="H158" s="40">
        <v>600</v>
      </c>
      <c r="I158" s="32">
        <v>695</v>
      </c>
      <c r="J158" s="32">
        <v>0</v>
      </c>
      <c r="K158" s="33"/>
      <c r="L158" s="33"/>
      <c r="M158" s="33"/>
      <c r="N158" s="33"/>
      <c r="O158" s="33"/>
      <c r="P158" s="33"/>
      <c r="Q158" s="33"/>
      <c r="R158" s="33"/>
      <c r="S158" s="33"/>
      <c r="T158" s="33"/>
    </row>
    <row r="159" spans="1:20" ht="15.75">
      <c r="A159" s="13">
        <v>46692</v>
      </c>
      <c r="B159" s="41">
        <v>30</v>
      </c>
      <c r="C159" s="32">
        <v>122.58</v>
      </c>
      <c r="D159" s="32">
        <v>297.94099999999997</v>
      </c>
      <c r="E159" s="38">
        <v>729.47900000000004</v>
      </c>
      <c r="F159" s="32">
        <v>1150</v>
      </c>
      <c r="G159" s="32">
        <v>100</v>
      </c>
      <c r="H159" s="40">
        <v>600</v>
      </c>
      <c r="I159" s="32">
        <v>695</v>
      </c>
      <c r="J159" s="32">
        <v>50</v>
      </c>
      <c r="K159" s="33"/>
      <c r="L159" s="33"/>
      <c r="M159" s="33"/>
      <c r="N159" s="33"/>
      <c r="O159" s="33"/>
      <c r="P159" s="33"/>
      <c r="Q159" s="33"/>
      <c r="R159" s="33"/>
      <c r="S159" s="33"/>
      <c r="T159" s="33"/>
    </row>
    <row r="160" spans="1:20" ht="15.75">
      <c r="A160" s="13">
        <v>46722</v>
      </c>
      <c r="B160" s="41">
        <v>31</v>
      </c>
      <c r="C160" s="32">
        <v>122.58</v>
      </c>
      <c r="D160" s="32">
        <v>297.94099999999997</v>
      </c>
      <c r="E160" s="38">
        <v>729.47900000000004</v>
      </c>
      <c r="F160" s="32">
        <v>1150</v>
      </c>
      <c r="G160" s="32">
        <v>100</v>
      </c>
      <c r="H160" s="40">
        <v>600</v>
      </c>
      <c r="I160" s="32">
        <v>695</v>
      </c>
      <c r="J160" s="32">
        <v>50</v>
      </c>
      <c r="K160" s="33"/>
      <c r="L160" s="33"/>
      <c r="M160" s="33"/>
      <c r="N160" s="33"/>
      <c r="O160" s="33"/>
      <c r="P160" s="33"/>
      <c r="Q160" s="33"/>
      <c r="R160" s="33"/>
      <c r="S160" s="33"/>
      <c r="T160" s="33"/>
    </row>
    <row r="161" spans="1:20" ht="15.75">
      <c r="A161" s="13">
        <v>46753</v>
      </c>
      <c r="B161" s="41">
        <v>31</v>
      </c>
      <c r="C161" s="32">
        <v>122.58</v>
      </c>
      <c r="D161" s="32">
        <v>297.94099999999997</v>
      </c>
      <c r="E161" s="38">
        <v>729.47900000000004</v>
      </c>
      <c r="F161" s="32">
        <v>1150</v>
      </c>
      <c r="G161" s="32">
        <v>100</v>
      </c>
      <c r="H161" s="40">
        <v>600</v>
      </c>
      <c r="I161" s="32">
        <v>695</v>
      </c>
      <c r="J161" s="32">
        <v>50</v>
      </c>
      <c r="K161" s="33"/>
      <c r="L161" s="33"/>
      <c r="M161" s="33"/>
      <c r="N161" s="33"/>
      <c r="O161" s="33"/>
      <c r="P161" s="33"/>
      <c r="Q161" s="33"/>
      <c r="R161" s="33"/>
      <c r="S161" s="33"/>
      <c r="T161" s="33"/>
    </row>
    <row r="162" spans="1:20" ht="15.75">
      <c r="A162" s="13">
        <v>46784</v>
      </c>
      <c r="B162" s="41">
        <v>29</v>
      </c>
      <c r="C162" s="32">
        <v>122.58</v>
      </c>
      <c r="D162" s="32">
        <v>297.94099999999997</v>
      </c>
      <c r="E162" s="38">
        <v>729.47900000000004</v>
      </c>
      <c r="F162" s="32">
        <v>1150</v>
      </c>
      <c r="G162" s="32">
        <v>100</v>
      </c>
      <c r="H162" s="40">
        <v>600</v>
      </c>
      <c r="I162" s="32">
        <v>695</v>
      </c>
      <c r="J162" s="32">
        <v>50</v>
      </c>
      <c r="K162" s="33"/>
      <c r="L162" s="33"/>
      <c r="M162" s="33"/>
      <c r="N162" s="33"/>
      <c r="O162" s="33"/>
      <c r="P162" s="33"/>
      <c r="Q162" s="33"/>
      <c r="R162" s="33"/>
      <c r="S162" s="33"/>
      <c r="T162" s="33"/>
    </row>
    <row r="163" spans="1:20" ht="15.75">
      <c r="A163" s="13">
        <v>46813</v>
      </c>
      <c r="B163" s="41">
        <v>31</v>
      </c>
      <c r="C163" s="32">
        <v>122.58</v>
      </c>
      <c r="D163" s="32">
        <v>297.94099999999997</v>
      </c>
      <c r="E163" s="38">
        <v>729.47900000000004</v>
      </c>
      <c r="F163" s="32">
        <v>1150</v>
      </c>
      <c r="G163" s="32">
        <v>100</v>
      </c>
      <c r="H163" s="40">
        <v>600</v>
      </c>
      <c r="I163" s="32">
        <v>695</v>
      </c>
      <c r="J163" s="32">
        <v>50</v>
      </c>
      <c r="K163" s="33"/>
      <c r="L163" s="33"/>
      <c r="M163" s="33"/>
      <c r="N163" s="33"/>
      <c r="O163" s="33"/>
      <c r="P163" s="33"/>
      <c r="Q163" s="33"/>
      <c r="R163" s="33"/>
      <c r="S163" s="33"/>
      <c r="T163" s="33"/>
    </row>
    <row r="164" spans="1:20" ht="15.75">
      <c r="A164" s="13">
        <v>46844</v>
      </c>
      <c r="B164" s="41">
        <v>30</v>
      </c>
      <c r="C164" s="32">
        <v>141.29300000000001</v>
      </c>
      <c r="D164" s="32">
        <v>267.99299999999999</v>
      </c>
      <c r="E164" s="38">
        <v>829.71400000000006</v>
      </c>
      <c r="F164" s="32">
        <v>1239</v>
      </c>
      <c r="G164" s="32">
        <v>100</v>
      </c>
      <c r="H164" s="40">
        <v>600</v>
      </c>
      <c r="I164" s="32">
        <v>695</v>
      </c>
      <c r="J164" s="32">
        <v>50</v>
      </c>
      <c r="K164" s="33"/>
      <c r="L164" s="33"/>
      <c r="M164" s="33"/>
      <c r="N164" s="33"/>
      <c r="O164" s="33"/>
      <c r="P164" s="33"/>
      <c r="Q164" s="33"/>
      <c r="R164" s="33"/>
      <c r="S164" s="33"/>
      <c r="T164" s="33"/>
    </row>
    <row r="165" spans="1:20" ht="15.75">
      <c r="A165" s="13">
        <v>46874</v>
      </c>
      <c r="B165" s="41">
        <v>31</v>
      </c>
      <c r="C165" s="32">
        <v>194.20500000000001</v>
      </c>
      <c r="D165" s="32">
        <v>267.46600000000001</v>
      </c>
      <c r="E165" s="38">
        <v>812.32899999999995</v>
      </c>
      <c r="F165" s="32">
        <v>1274</v>
      </c>
      <c r="G165" s="32">
        <v>75</v>
      </c>
      <c r="H165" s="40">
        <v>600</v>
      </c>
      <c r="I165" s="32">
        <v>695</v>
      </c>
      <c r="J165" s="32">
        <v>50</v>
      </c>
      <c r="K165" s="33"/>
      <c r="L165" s="33"/>
      <c r="M165" s="33"/>
      <c r="N165" s="33"/>
      <c r="O165" s="33"/>
      <c r="P165" s="33"/>
      <c r="Q165" s="33"/>
      <c r="R165" s="33"/>
      <c r="S165" s="33"/>
      <c r="T165" s="33"/>
    </row>
    <row r="166" spans="1:20" ht="15.75">
      <c r="A166" s="13">
        <v>46905</v>
      </c>
      <c r="B166" s="41">
        <v>30</v>
      </c>
      <c r="C166" s="32">
        <v>194.20500000000001</v>
      </c>
      <c r="D166" s="32">
        <v>267.46600000000001</v>
      </c>
      <c r="E166" s="38">
        <v>812.32899999999995</v>
      </c>
      <c r="F166" s="32">
        <v>1274</v>
      </c>
      <c r="G166" s="32">
        <v>50</v>
      </c>
      <c r="H166" s="40">
        <v>600</v>
      </c>
      <c r="I166" s="32">
        <v>695</v>
      </c>
      <c r="J166" s="32">
        <v>50</v>
      </c>
      <c r="K166" s="33"/>
      <c r="L166" s="33"/>
      <c r="M166" s="33"/>
      <c r="N166" s="33"/>
      <c r="O166" s="33"/>
      <c r="P166" s="33"/>
      <c r="Q166" s="33"/>
      <c r="R166" s="33"/>
      <c r="S166" s="33"/>
      <c r="T166" s="33"/>
    </row>
    <row r="167" spans="1:20" ht="15.75">
      <c r="A167" s="13">
        <v>46935</v>
      </c>
      <c r="B167" s="41">
        <v>31</v>
      </c>
      <c r="C167" s="32">
        <v>194.20500000000001</v>
      </c>
      <c r="D167" s="32">
        <v>267.46600000000001</v>
      </c>
      <c r="E167" s="38">
        <v>812.32899999999995</v>
      </c>
      <c r="F167" s="32">
        <v>1274</v>
      </c>
      <c r="G167" s="32">
        <v>50</v>
      </c>
      <c r="H167" s="40">
        <v>600</v>
      </c>
      <c r="I167" s="32">
        <v>695</v>
      </c>
      <c r="J167" s="32">
        <v>0</v>
      </c>
      <c r="K167" s="33"/>
      <c r="L167" s="33"/>
      <c r="M167" s="33"/>
      <c r="N167" s="33"/>
      <c r="O167" s="33"/>
      <c r="P167" s="33"/>
      <c r="Q167" s="33"/>
      <c r="R167" s="33"/>
      <c r="S167" s="33"/>
      <c r="T167" s="33"/>
    </row>
    <row r="168" spans="1:20" ht="15.75">
      <c r="A168" s="13">
        <v>46966</v>
      </c>
      <c r="B168" s="41">
        <v>31</v>
      </c>
      <c r="C168" s="32">
        <v>194.20500000000001</v>
      </c>
      <c r="D168" s="32">
        <v>267.46600000000001</v>
      </c>
      <c r="E168" s="38">
        <v>812.32899999999995</v>
      </c>
      <c r="F168" s="32">
        <v>1274</v>
      </c>
      <c r="G168" s="32">
        <v>50</v>
      </c>
      <c r="H168" s="40">
        <v>600</v>
      </c>
      <c r="I168" s="32">
        <v>695</v>
      </c>
      <c r="J168" s="32">
        <v>0</v>
      </c>
      <c r="K168" s="33"/>
      <c r="L168" s="33"/>
      <c r="M168" s="33"/>
      <c r="N168" s="33"/>
      <c r="O168" s="33"/>
      <c r="P168" s="33"/>
      <c r="Q168" s="33"/>
      <c r="R168" s="33"/>
      <c r="S168" s="33"/>
      <c r="T168" s="33"/>
    </row>
    <row r="169" spans="1:20" ht="15.75">
      <c r="A169" s="13">
        <v>46997</v>
      </c>
      <c r="B169" s="41">
        <v>30</v>
      </c>
      <c r="C169" s="32">
        <v>194.20500000000001</v>
      </c>
      <c r="D169" s="32">
        <v>267.46600000000001</v>
      </c>
      <c r="E169" s="38">
        <v>812.32899999999995</v>
      </c>
      <c r="F169" s="32">
        <v>1274</v>
      </c>
      <c r="G169" s="32">
        <v>50</v>
      </c>
      <c r="H169" s="40">
        <v>600</v>
      </c>
      <c r="I169" s="32">
        <v>695</v>
      </c>
      <c r="J169" s="32">
        <v>0</v>
      </c>
      <c r="K169" s="33"/>
      <c r="L169" s="33"/>
      <c r="M169" s="33"/>
      <c r="N169" s="33"/>
      <c r="O169" s="33"/>
      <c r="P169" s="33"/>
      <c r="Q169" s="33"/>
      <c r="R169" s="33"/>
      <c r="S169" s="33"/>
      <c r="T169" s="33"/>
    </row>
    <row r="170" spans="1:20" ht="15.75">
      <c r="A170" s="13">
        <v>47027</v>
      </c>
      <c r="B170" s="41">
        <v>31</v>
      </c>
      <c r="C170" s="32">
        <v>131.881</v>
      </c>
      <c r="D170" s="32">
        <v>277.16699999999997</v>
      </c>
      <c r="E170" s="38">
        <v>829.952</v>
      </c>
      <c r="F170" s="32">
        <v>1239</v>
      </c>
      <c r="G170" s="32">
        <v>75</v>
      </c>
      <c r="H170" s="40">
        <v>600</v>
      </c>
      <c r="I170" s="32">
        <v>695</v>
      </c>
      <c r="J170" s="32">
        <v>0</v>
      </c>
      <c r="K170" s="33"/>
      <c r="L170" s="33"/>
      <c r="M170" s="33"/>
      <c r="N170" s="33"/>
      <c r="O170" s="33"/>
      <c r="P170" s="33"/>
      <c r="Q170" s="33"/>
      <c r="R170" s="33"/>
      <c r="S170" s="33"/>
      <c r="T170" s="33"/>
    </row>
    <row r="171" spans="1:20" ht="15.75">
      <c r="A171" s="13">
        <v>47058</v>
      </c>
      <c r="B171" s="41">
        <v>30</v>
      </c>
      <c r="C171" s="32">
        <v>122.58</v>
      </c>
      <c r="D171" s="32">
        <v>297.94099999999997</v>
      </c>
      <c r="E171" s="38">
        <v>729.47900000000004</v>
      </c>
      <c r="F171" s="32">
        <v>1150</v>
      </c>
      <c r="G171" s="32">
        <v>100</v>
      </c>
      <c r="H171" s="40">
        <v>600</v>
      </c>
      <c r="I171" s="32">
        <v>695</v>
      </c>
      <c r="J171" s="32">
        <v>50</v>
      </c>
      <c r="K171" s="33"/>
      <c r="L171" s="33"/>
      <c r="M171" s="33"/>
      <c r="N171" s="33"/>
      <c r="O171" s="33"/>
      <c r="P171" s="33"/>
      <c r="Q171" s="33"/>
      <c r="R171" s="33"/>
      <c r="S171" s="33"/>
      <c r="T171" s="33"/>
    </row>
    <row r="172" spans="1:20" ht="15.75">
      <c r="A172" s="13">
        <v>47088</v>
      </c>
      <c r="B172" s="41">
        <v>31</v>
      </c>
      <c r="C172" s="32">
        <v>122.58</v>
      </c>
      <c r="D172" s="32">
        <v>297.94099999999997</v>
      </c>
      <c r="E172" s="38">
        <v>729.47900000000004</v>
      </c>
      <c r="F172" s="32">
        <v>1150</v>
      </c>
      <c r="G172" s="32">
        <v>100</v>
      </c>
      <c r="H172" s="40">
        <v>600</v>
      </c>
      <c r="I172" s="32">
        <v>695</v>
      </c>
      <c r="J172" s="32">
        <v>50</v>
      </c>
      <c r="K172" s="33"/>
      <c r="L172" s="33"/>
      <c r="M172" s="33"/>
      <c r="N172" s="33"/>
      <c r="O172" s="33"/>
      <c r="P172" s="33"/>
      <c r="Q172" s="33"/>
      <c r="R172" s="33"/>
      <c r="S172" s="33"/>
      <c r="T172" s="33"/>
    </row>
    <row r="173" spans="1:20" ht="15.75">
      <c r="A173" s="13">
        <v>47119</v>
      </c>
      <c r="B173" s="41">
        <v>31</v>
      </c>
      <c r="C173" s="32">
        <v>122.58</v>
      </c>
      <c r="D173" s="32">
        <v>297.94099999999997</v>
      </c>
      <c r="E173" s="38">
        <v>729.47900000000004</v>
      </c>
      <c r="F173" s="32">
        <v>1150</v>
      </c>
      <c r="G173" s="32">
        <v>100</v>
      </c>
      <c r="H173" s="40">
        <v>600</v>
      </c>
      <c r="I173" s="32">
        <v>695</v>
      </c>
      <c r="J173" s="32">
        <v>50</v>
      </c>
      <c r="K173" s="33"/>
      <c r="L173" s="33"/>
      <c r="M173" s="33"/>
      <c r="N173" s="33"/>
      <c r="O173" s="33"/>
      <c r="P173" s="33"/>
      <c r="Q173" s="33"/>
      <c r="R173" s="33"/>
      <c r="S173" s="33"/>
      <c r="T173" s="33"/>
    </row>
    <row r="174" spans="1:20" ht="15.75">
      <c r="A174" s="13">
        <v>47150</v>
      </c>
      <c r="B174" s="41">
        <v>28</v>
      </c>
      <c r="C174" s="32">
        <v>122.58</v>
      </c>
      <c r="D174" s="32">
        <v>297.94099999999997</v>
      </c>
      <c r="E174" s="38">
        <v>729.47900000000004</v>
      </c>
      <c r="F174" s="32">
        <v>1150</v>
      </c>
      <c r="G174" s="32">
        <v>100</v>
      </c>
      <c r="H174" s="40">
        <v>600</v>
      </c>
      <c r="I174" s="32">
        <v>695</v>
      </c>
      <c r="J174" s="32">
        <v>50</v>
      </c>
      <c r="K174" s="33"/>
      <c r="L174" s="33"/>
      <c r="M174" s="33"/>
      <c r="N174" s="33"/>
      <c r="O174" s="33"/>
      <c r="P174" s="33"/>
      <c r="Q174" s="33"/>
      <c r="R174" s="33"/>
      <c r="S174" s="33"/>
      <c r="T174" s="33"/>
    </row>
    <row r="175" spans="1:20" ht="15.75">
      <c r="A175" s="13">
        <v>47178</v>
      </c>
      <c r="B175" s="41">
        <v>31</v>
      </c>
      <c r="C175" s="32">
        <v>122.58</v>
      </c>
      <c r="D175" s="32">
        <v>297.94099999999997</v>
      </c>
      <c r="E175" s="38">
        <v>729.47900000000004</v>
      </c>
      <c r="F175" s="32">
        <v>1150</v>
      </c>
      <c r="G175" s="32">
        <v>100</v>
      </c>
      <c r="H175" s="40">
        <v>600</v>
      </c>
      <c r="I175" s="32">
        <v>695</v>
      </c>
      <c r="J175" s="32">
        <v>50</v>
      </c>
      <c r="K175" s="33"/>
      <c r="L175" s="33"/>
      <c r="M175" s="33"/>
      <c r="N175" s="33"/>
      <c r="O175" s="33"/>
      <c r="P175" s="33"/>
      <c r="Q175" s="33"/>
      <c r="R175" s="33"/>
      <c r="S175" s="33"/>
      <c r="T175" s="33"/>
    </row>
    <row r="176" spans="1:20" ht="15.75">
      <c r="A176" s="13">
        <v>47209</v>
      </c>
      <c r="B176" s="41">
        <v>30</v>
      </c>
      <c r="C176" s="32">
        <v>141.29300000000001</v>
      </c>
      <c r="D176" s="32">
        <v>267.99299999999999</v>
      </c>
      <c r="E176" s="38">
        <v>829.71400000000006</v>
      </c>
      <c r="F176" s="32">
        <v>1239</v>
      </c>
      <c r="G176" s="32">
        <v>100</v>
      </c>
      <c r="H176" s="40">
        <v>600</v>
      </c>
      <c r="I176" s="32">
        <v>695</v>
      </c>
      <c r="J176" s="32">
        <v>50</v>
      </c>
      <c r="K176" s="33"/>
      <c r="L176" s="33"/>
      <c r="M176" s="33"/>
      <c r="N176" s="33"/>
      <c r="O176" s="33"/>
      <c r="P176" s="33"/>
      <c r="Q176" s="33"/>
      <c r="R176" s="33"/>
      <c r="S176" s="33"/>
      <c r="T176" s="33"/>
    </row>
    <row r="177" spans="1:20" ht="15.75">
      <c r="A177" s="13">
        <v>47239</v>
      </c>
      <c r="B177" s="41">
        <v>31</v>
      </c>
      <c r="C177" s="32">
        <v>194.20500000000001</v>
      </c>
      <c r="D177" s="32">
        <v>267.46600000000001</v>
      </c>
      <c r="E177" s="38">
        <v>812.32899999999995</v>
      </c>
      <c r="F177" s="32">
        <v>1274</v>
      </c>
      <c r="G177" s="32">
        <v>75</v>
      </c>
      <c r="H177" s="40">
        <v>600</v>
      </c>
      <c r="I177" s="32">
        <v>695</v>
      </c>
      <c r="J177" s="32">
        <v>50</v>
      </c>
      <c r="K177" s="33"/>
      <c r="L177" s="33"/>
      <c r="M177" s="33"/>
      <c r="N177" s="33"/>
      <c r="O177" s="33"/>
      <c r="P177" s="33"/>
      <c r="Q177" s="33"/>
      <c r="R177" s="33"/>
      <c r="S177" s="33"/>
      <c r="T177" s="33"/>
    </row>
    <row r="178" spans="1:20" ht="15.75">
      <c r="A178" s="13">
        <v>47270</v>
      </c>
      <c r="B178" s="41">
        <v>30</v>
      </c>
      <c r="C178" s="32">
        <v>194.20500000000001</v>
      </c>
      <c r="D178" s="32">
        <v>267.46600000000001</v>
      </c>
      <c r="E178" s="38">
        <v>812.32899999999995</v>
      </c>
      <c r="F178" s="32">
        <v>1274</v>
      </c>
      <c r="G178" s="32">
        <v>50</v>
      </c>
      <c r="H178" s="40">
        <v>600</v>
      </c>
      <c r="I178" s="32">
        <v>695</v>
      </c>
      <c r="J178" s="32">
        <v>50</v>
      </c>
      <c r="K178" s="33"/>
      <c r="L178" s="33"/>
      <c r="M178" s="33"/>
      <c r="N178" s="33"/>
      <c r="O178" s="33"/>
      <c r="P178" s="33"/>
      <c r="Q178" s="33"/>
      <c r="R178" s="33"/>
      <c r="S178" s="33"/>
      <c r="T178" s="33"/>
    </row>
    <row r="179" spans="1:20" ht="15.75">
      <c r="A179" s="13">
        <v>47300</v>
      </c>
      <c r="B179" s="41">
        <v>31</v>
      </c>
      <c r="C179" s="32">
        <v>194.20500000000001</v>
      </c>
      <c r="D179" s="32">
        <v>267.46600000000001</v>
      </c>
      <c r="E179" s="38">
        <v>812.32899999999995</v>
      </c>
      <c r="F179" s="32">
        <v>1274</v>
      </c>
      <c r="G179" s="32">
        <v>50</v>
      </c>
      <c r="H179" s="40">
        <v>600</v>
      </c>
      <c r="I179" s="32">
        <v>695</v>
      </c>
      <c r="J179" s="32">
        <v>0</v>
      </c>
      <c r="K179" s="33"/>
      <c r="L179" s="33"/>
      <c r="M179" s="33"/>
      <c r="N179" s="33"/>
      <c r="O179" s="33"/>
      <c r="P179" s="33"/>
      <c r="Q179" s="33"/>
      <c r="R179" s="33"/>
      <c r="S179" s="33"/>
      <c r="T179" s="33"/>
    </row>
    <row r="180" spans="1:20" ht="15.75">
      <c r="A180" s="13">
        <v>47331</v>
      </c>
      <c r="B180" s="41">
        <v>31</v>
      </c>
      <c r="C180" s="32">
        <v>194.20500000000001</v>
      </c>
      <c r="D180" s="32">
        <v>267.46600000000001</v>
      </c>
      <c r="E180" s="38">
        <v>812.32899999999995</v>
      </c>
      <c r="F180" s="32">
        <v>1274</v>
      </c>
      <c r="G180" s="32">
        <v>50</v>
      </c>
      <c r="H180" s="40">
        <v>600</v>
      </c>
      <c r="I180" s="32">
        <v>695</v>
      </c>
      <c r="J180" s="32">
        <v>0</v>
      </c>
      <c r="K180" s="33"/>
      <c r="L180" s="33"/>
      <c r="M180" s="33"/>
      <c r="N180" s="33"/>
      <c r="O180" s="33"/>
      <c r="P180" s="33"/>
      <c r="Q180" s="33"/>
      <c r="R180" s="33"/>
      <c r="S180" s="33"/>
      <c r="T180" s="33"/>
    </row>
    <row r="181" spans="1:20" ht="15.75">
      <c r="A181" s="13">
        <v>47362</v>
      </c>
      <c r="B181" s="41">
        <v>30</v>
      </c>
      <c r="C181" s="32">
        <v>194.20500000000001</v>
      </c>
      <c r="D181" s="32">
        <v>267.46600000000001</v>
      </c>
      <c r="E181" s="38">
        <v>812.32899999999995</v>
      </c>
      <c r="F181" s="32">
        <v>1274</v>
      </c>
      <c r="G181" s="32">
        <v>50</v>
      </c>
      <c r="H181" s="40">
        <v>600</v>
      </c>
      <c r="I181" s="32">
        <v>695</v>
      </c>
      <c r="J181" s="32">
        <v>0</v>
      </c>
      <c r="K181" s="33"/>
      <c r="L181" s="33"/>
      <c r="M181" s="33"/>
      <c r="N181" s="33"/>
      <c r="O181" s="33"/>
      <c r="P181" s="33"/>
      <c r="Q181" s="33"/>
      <c r="R181" s="33"/>
      <c r="S181" s="33"/>
      <c r="T181" s="33"/>
    </row>
    <row r="182" spans="1:20" ht="15.75">
      <c r="A182" s="13">
        <v>47392</v>
      </c>
      <c r="B182" s="41">
        <v>31</v>
      </c>
      <c r="C182" s="32">
        <v>131.881</v>
      </c>
      <c r="D182" s="32">
        <v>277.16699999999997</v>
      </c>
      <c r="E182" s="38">
        <v>829.952</v>
      </c>
      <c r="F182" s="32">
        <v>1239</v>
      </c>
      <c r="G182" s="32">
        <v>75</v>
      </c>
      <c r="H182" s="40">
        <v>600</v>
      </c>
      <c r="I182" s="32">
        <v>695</v>
      </c>
      <c r="J182" s="32">
        <v>0</v>
      </c>
      <c r="K182" s="33"/>
      <c r="L182" s="33"/>
      <c r="M182" s="33"/>
      <c r="N182" s="33"/>
      <c r="O182" s="33"/>
      <c r="P182" s="33"/>
      <c r="Q182" s="33"/>
      <c r="R182" s="33"/>
      <c r="S182" s="33"/>
      <c r="T182" s="33"/>
    </row>
    <row r="183" spans="1:20" ht="15.75">
      <c r="A183" s="13">
        <v>47423</v>
      </c>
      <c r="B183" s="41">
        <v>30</v>
      </c>
      <c r="C183" s="32">
        <v>122.58</v>
      </c>
      <c r="D183" s="32">
        <v>297.94099999999997</v>
      </c>
      <c r="E183" s="38">
        <v>729.47900000000004</v>
      </c>
      <c r="F183" s="32">
        <v>1150</v>
      </c>
      <c r="G183" s="32">
        <v>100</v>
      </c>
      <c r="H183" s="40">
        <v>600</v>
      </c>
      <c r="I183" s="32">
        <v>695</v>
      </c>
      <c r="J183" s="32">
        <v>50</v>
      </c>
      <c r="K183" s="33"/>
      <c r="L183" s="33"/>
      <c r="M183" s="33"/>
      <c r="N183" s="33"/>
      <c r="O183" s="33"/>
      <c r="P183" s="33"/>
      <c r="Q183" s="33"/>
      <c r="R183" s="33"/>
      <c r="S183" s="33"/>
      <c r="T183" s="33"/>
    </row>
    <row r="184" spans="1:20" ht="15.75">
      <c r="A184" s="13">
        <v>47453</v>
      </c>
      <c r="B184" s="41">
        <v>31</v>
      </c>
      <c r="C184" s="32">
        <v>122.58</v>
      </c>
      <c r="D184" s="32">
        <v>297.94099999999997</v>
      </c>
      <c r="E184" s="38">
        <v>729.47900000000004</v>
      </c>
      <c r="F184" s="32">
        <v>1150</v>
      </c>
      <c r="G184" s="32">
        <v>100</v>
      </c>
      <c r="H184" s="40">
        <v>600</v>
      </c>
      <c r="I184" s="32">
        <v>695</v>
      </c>
      <c r="J184" s="32">
        <v>50</v>
      </c>
      <c r="K184" s="33"/>
      <c r="L184" s="33"/>
      <c r="M184" s="33"/>
      <c r="N184" s="33"/>
      <c r="O184" s="33"/>
      <c r="P184" s="33"/>
      <c r="Q184" s="33"/>
      <c r="R184" s="33"/>
      <c r="S184" s="33"/>
      <c r="T184" s="33"/>
    </row>
    <row r="185" spans="1:20" ht="15.75">
      <c r="A185" s="13">
        <v>47484</v>
      </c>
      <c r="B185" s="41">
        <v>31</v>
      </c>
      <c r="C185" s="32">
        <v>122.58</v>
      </c>
      <c r="D185" s="32">
        <v>297.94099999999997</v>
      </c>
      <c r="E185" s="38">
        <v>729.47900000000004</v>
      </c>
      <c r="F185" s="32">
        <v>1150</v>
      </c>
      <c r="G185" s="32">
        <v>100</v>
      </c>
      <c r="H185" s="40">
        <v>600</v>
      </c>
      <c r="I185" s="32">
        <v>695</v>
      </c>
      <c r="J185" s="32">
        <v>50</v>
      </c>
      <c r="K185" s="33"/>
      <c r="L185" s="33"/>
      <c r="M185" s="33"/>
      <c r="N185" s="33"/>
      <c r="O185" s="33"/>
      <c r="P185" s="33"/>
      <c r="Q185" s="33"/>
      <c r="R185" s="33"/>
      <c r="S185" s="33"/>
      <c r="T185" s="33"/>
    </row>
    <row r="186" spans="1:20" ht="15.75">
      <c r="A186" s="13">
        <v>47515</v>
      </c>
      <c r="B186" s="41">
        <v>28</v>
      </c>
      <c r="C186" s="32">
        <v>122.58</v>
      </c>
      <c r="D186" s="32">
        <v>297.94099999999997</v>
      </c>
      <c r="E186" s="38">
        <v>729.47900000000004</v>
      </c>
      <c r="F186" s="32">
        <v>1150</v>
      </c>
      <c r="G186" s="32">
        <v>100</v>
      </c>
      <c r="H186" s="40">
        <v>600</v>
      </c>
      <c r="I186" s="32">
        <v>695</v>
      </c>
      <c r="J186" s="32">
        <v>50</v>
      </c>
      <c r="K186" s="33"/>
      <c r="L186" s="33"/>
      <c r="M186" s="33"/>
      <c r="N186" s="33"/>
      <c r="O186" s="33"/>
      <c r="P186" s="33"/>
      <c r="Q186" s="33"/>
      <c r="R186" s="33"/>
      <c r="S186" s="33"/>
      <c r="T186" s="33"/>
    </row>
    <row r="187" spans="1:20" ht="15.75">
      <c r="A187" s="13">
        <v>47543</v>
      </c>
      <c r="B187" s="41">
        <v>31</v>
      </c>
      <c r="C187" s="32">
        <v>122.58</v>
      </c>
      <c r="D187" s="32">
        <v>297.94099999999997</v>
      </c>
      <c r="E187" s="38">
        <v>729.47900000000004</v>
      </c>
      <c r="F187" s="32">
        <v>1150</v>
      </c>
      <c r="G187" s="32">
        <v>100</v>
      </c>
      <c r="H187" s="40">
        <v>600</v>
      </c>
      <c r="I187" s="32">
        <v>695</v>
      </c>
      <c r="J187" s="32">
        <v>50</v>
      </c>
      <c r="K187" s="33"/>
      <c r="L187" s="33"/>
      <c r="M187" s="33"/>
      <c r="N187" s="33"/>
      <c r="O187" s="33"/>
      <c r="P187" s="33"/>
      <c r="Q187" s="33"/>
      <c r="R187" s="33"/>
      <c r="S187" s="33"/>
      <c r="T187" s="33"/>
    </row>
    <row r="188" spans="1:20" ht="15.75">
      <c r="A188" s="13">
        <v>47574</v>
      </c>
      <c r="B188" s="41">
        <v>30</v>
      </c>
      <c r="C188" s="32">
        <v>141.29300000000001</v>
      </c>
      <c r="D188" s="32">
        <v>267.99299999999999</v>
      </c>
      <c r="E188" s="38">
        <v>829.71400000000006</v>
      </c>
      <c r="F188" s="32">
        <v>1239</v>
      </c>
      <c r="G188" s="32">
        <v>100</v>
      </c>
      <c r="H188" s="40">
        <v>600</v>
      </c>
      <c r="I188" s="32">
        <v>695</v>
      </c>
      <c r="J188" s="32">
        <v>50</v>
      </c>
      <c r="K188" s="33"/>
      <c r="L188" s="33"/>
      <c r="M188" s="33"/>
      <c r="N188" s="33"/>
      <c r="O188" s="33"/>
      <c r="P188" s="33"/>
      <c r="Q188" s="33"/>
      <c r="R188" s="33"/>
      <c r="S188" s="33"/>
      <c r="T188" s="33"/>
    </row>
    <row r="189" spans="1:20" ht="15.75">
      <c r="A189" s="13">
        <v>47604</v>
      </c>
      <c r="B189" s="41">
        <v>31</v>
      </c>
      <c r="C189" s="32">
        <v>194.20500000000001</v>
      </c>
      <c r="D189" s="32">
        <v>267.46600000000001</v>
      </c>
      <c r="E189" s="38">
        <v>812.32899999999995</v>
      </c>
      <c r="F189" s="32">
        <v>1274</v>
      </c>
      <c r="G189" s="32">
        <v>75</v>
      </c>
      <c r="H189" s="40">
        <v>600</v>
      </c>
      <c r="I189" s="32">
        <v>695</v>
      </c>
      <c r="J189" s="32">
        <v>50</v>
      </c>
      <c r="K189" s="33"/>
      <c r="L189" s="33"/>
      <c r="M189" s="33"/>
      <c r="N189" s="33"/>
      <c r="O189" s="33"/>
      <c r="P189" s="33"/>
      <c r="Q189" s="33"/>
      <c r="R189" s="33"/>
      <c r="S189" s="33"/>
      <c r="T189" s="33"/>
    </row>
    <row r="190" spans="1:20" ht="15.75">
      <c r="A190" s="13">
        <v>47635</v>
      </c>
      <c r="B190" s="41">
        <v>30</v>
      </c>
      <c r="C190" s="32">
        <v>194.20500000000001</v>
      </c>
      <c r="D190" s="32">
        <v>267.46600000000001</v>
      </c>
      <c r="E190" s="38">
        <v>812.32899999999995</v>
      </c>
      <c r="F190" s="32">
        <v>1274</v>
      </c>
      <c r="G190" s="32">
        <v>50</v>
      </c>
      <c r="H190" s="40">
        <v>600</v>
      </c>
      <c r="I190" s="32">
        <v>695</v>
      </c>
      <c r="J190" s="32">
        <v>50</v>
      </c>
      <c r="K190" s="33"/>
      <c r="L190" s="33"/>
      <c r="M190" s="33"/>
      <c r="N190" s="33"/>
      <c r="O190" s="33"/>
      <c r="P190" s="33"/>
      <c r="Q190" s="33"/>
      <c r="R190" s="33"/>
      <c r="S190" s="33"/>
      <c r="T190" s="33"/>
    </row>
    <row r="191" spans="1:20" ht="15.75">
      <c r="A191" s="13">
        <v>47665</v>
      </c>
      <c r="B191" s="41">
        <v>31</v>
      </c>
      <c r="C191" s="32">
        <v>194.20500000000001</v>
      </c>
      <c r="D191" s="32">
        <v>267.46600000000001</v>
      </c>
      <c r="E191" s="38">
        <v>812.32899999999995</v>
      </c>
      <c r="F191" s="32">
        <v>1274</v>
      </c>
      <c r="G191" s="32">
        <v>50</v>
      </c>
      <c r="H191" s="40">
        <v>600</v>
      </c>
      <c r="I191" s="32">
        <v>695</v>
      </c>
      <c r="J191" s="32">
        <v>0</v>
      </c>
      <c r="K191" s="33"/>
      <c r="L191" s="33"/>
      <c r="M191" s="33"/>
      <c r="N191" s="33"/>
      <c r="O191" s="33"/>
      <c r="P191" s="33"/>
      <c r="Q191" s="33"/>
      <c r="R191" s="33"/>
      <c r="S191" s="33"/>
      <c r="T191" s="33"/>
    </row>
    <row r="192" spans="1:20" ht="15.75">
      <c r="A192" s="13">
        <v>47696</v>
      </c>
      <c r="B192" s="41">
        <v>31</v>
      </c>
      <c r="C192" s="32">
        <v>194.20500000000001</v>
      </c>
      <c r="D192" s="32">
        <v>267.46600000000001</v>
      </c>
      <c r="E192" s="38">
        <v>812.32899999999995</v>
      </c>
      <c r="F192" s="32">
        <v>1274</v>
      </c>
      <c r="G192" s="32">
        <v>50</v>
      </c>
      <c r="H192" s="40">
        <v>600</v>
      </c>
      <c r="I192" s="32">
        <v>695</v>
      </c>
      <c r="J192" s="32">
        <v>0</v>
      </c>
      <c r="K192" s="33"/>
      <c r="L192" s="33"/>
      <c r="M192" s="33"/>
      <c r="N192" s="33"/>
      <c r="O192" s="33"/>
      <c r="P192" s="33"/>
      <c r="Q192" s="33"/>
      <c r="R192" s="33"/>
      <c r="S192" s="33"/>
      <c r="T192" s="33"/>
    </row>
    <row r="193" spans="1:20" ht="15.75">
      <c r="A193" s="13">
        <v>47727</v>
      </c>
      <c r="B193" s="41">
        <v>30</v>
      </c>
      <c r="C193" s="32">
        <v>194.20500000000001</v>
      </c>
      <c r="D193" s="32">
        <v>267.46600000000001</v>
      </c>
      <c r="E193" s="38">
        <v>812.32899999999995</v>
      </c>
      <c r="F193" s="32">
        <v>1274</v>
      </c>
      <c r="G193" s="32">
        <v>50</v>
      </c>
      <c r="H193" s="40">
        <v>600</v>
      </c>
      <c r="I193" s="32">
        <v>695</v>
      </c>
      <c r="J193" s="32">
        <v>0</v>
      </c>
      <c r="K193" s="33"/>
      <c r="L193" s="33"/>
      <c r="M193" s="33"/>
      <c r="N193" s="33"/>
      <c r="O193" s="33"/>
      <c r="P193" s="33"/>
      <c r="Q193" s="33"/>
      <c r="R193" s="33"/>
      <c r="S193" s="33"/>
      <c r="T193" s="33"/>
    </row>
    <row r="194" spans="1:20" ht="15.75">
      <c r="A194" s="13">
        <v>47757</v>
      </c>
      <c r="B194" s="41">
        <v>31</v>
      </c>
      <c r="C194" s="32">
        <v>131.881</v>
      </c>
      <c r="D194" s="32">
        <v>277.16699999999997</v>
      </c>
      <c r="E194" s="38">
        <v>829.952</v>
      </c>
      <c r="F194" s="32">
        <v>1239</v>
      </c>
      <c r="G194" s="32">
        <v>75</v>
      </c>
      <c r="H194" s="40">
        <v>600</v>
      </c>
      <c r="I194" s="32">
        <v>695</v>
      </c>
      <c r="J194" s="32">
        <v>0</v>
      </c>
      <c r="K194" s="33"/>
      <c r="L194" s="33"/>
      <c r="M194" s="33"/>
      <c r="N194" s="33"/>
      <c r="O194" s="33"/>
      <c r="P194" s="33"/>
      <c r="Q194" s="33"/>
      <c r="R194" s="33"/>
      <c r="S194" s="33"/>
      <c r="T194" s="33"/>
    </row>
    <row r="195" spans="1:20" ht="15.75">
      <c r="A195" s="13">
        <v>47788</v>
      </c>
      <c r="B195" s="41">
        <v>30</v>
      </c>
      <c r="C195" s="32">
        <v>122.58</v>
      </c>
      <c r="D195" s="32">
        <v>297.94099999999997</v>
      </c>
      <c r="E195" s="38">
        <v>729.47900000000004</v>
      </c>
      <c r="F195" s="32">
        <v>1150</v>
      </c>
      <c r="G195" s="32">
        <v>100</v>
      </c>
      <c r="H195" s="40">
        <v>600</v>
      </c>
      <c r="I195" s="32">
        <v>695</v>
      </c>
      <c r="J195" s="32">
        <v>50</v>
      </c>
      <c r="K195" s="33"/>
      <c r="L195" s="33"/>
      <c r="M195" s="33"/>
      <c r="N195" s="33"/>
      <c r="O195" s="33"/>
      <c r="P195" s="33"/>
      <c r="Q195" s="33"/>
      <c r="R195" s="33"/>
      <c r="S195" s="33"/>
      <c r="T195" s="33"/>
    </row>
    <row r="196" spans="1:20" ht="15.75">
      <c r="A196" s="13">
        <v>47818</v>
      </c>
      <c r="B196" s="41">
        <v>31</v>
      </c>
      <c r="C196" s="32">
        <v>122.58</v>
      </c>
      <c r="D196" s="32">
        <v>297.94099999999997</v>
      </c>
      <c r="E196" s="38">
        <v>729.47900000000004</v>
      </c>
      <c r="F196" s="32">
        <v>1150</v>
      </c>
      <c r="G196" s="32">
        <v>100</v>
      </c>
      <c r="H196" s="40">
        <v>600</v>
      </c>
      <c r="I196" s="32">
        <v>695</v>
      </c>
      <c r="J196" s="32">
        <v>50</v>
      </c>
      <c r="K196" s="33"/>
      <c r="L196" s="33"/>
      <c r="M196" s="33"/>
      <c r="N196" s="33"/>
      <c r="O196" s="33"/>
      <c r="P196" s="33"/>
      <c r="Q196" s="33"/>
      <c r="R196" s="33"/>
      <c r="S196" s="33"/>
      <c r="T196" s="33"/>
    </row>
    <row r="197" spans="1:20" ht="15.75">
      <c r="A197" s="13">
        <v>47849</v>
      </c>
      <c r="B197" s="41">
        <v>31</v>
      </c>
      <c r="C197" s="32">
        <v>122.58</v>
      </c>
      <c r="D197" s="32">
        <v>297.94099999999997</v>
      </c>
      <c r="E197" s="38">
        <v>729.47900000000004</v>
      </c>
      <c r="F197" s="32">
        <v>1150</v>
      </c>
      <c r="G197" s="32">
        <v>100</v>
      </c>
      <c r="H197" s="40">
        <v>600</v>
      </c>
      <c r="I197" s="32">
        <v>695</v>
      </c>
      <c r="J197" s="32">
        <v>50</v>
      </c>
      <c r="K197" s="33"/>
      <c r="L197" s="33"/>
      <c r="M197" s="33"/>
      <c r="N197" s="33"/>
      <c r="O197" s="33"/>
      <c r="P197" s="33"/>
      <c r="Q197" s="33"/>
      <c r="R197" s="33"/>
      <c r="S197" s="33"/>
      <c r="T197" s="33"/>
    </row>
    <row r="198" spans="1:20" ht="15.75">
      <c r="A198" s="13">
        <v>47880</v>
      </c>
      <c r="B198" s="41">
        <v>28</v>
      </c>
      <c r="C198" s="32">
        <v>122.58</v>
      </c>
      <c r="D198" s="32">
        <v>297.94099999999997</v>
      </c>
      <c r="E198" s="38">
        <v>729.47900000000004</v>
      </c>
      <c r="F198" s="32">
        <v>1150</v>
      </c>
      <c r="G198" s="32">
        <v>100</v>
      </c>
      <c r="H198" s="40">
        <v>600</v>
      </c>
      <c r="I198" s="32">
        <v>695</v>
      </c>
      <c r="J198" s="32">
        <v>50</v>
      </c>
      <c r="K198" s="33"/>
      <c r="L198" s="33"/>
      <c r="M198" s="33"/>
      <c r="N198" s="33"/>
      <c r="O198" s="33"/>
      <c r="P198" s="33"/>
      <c r="Q198" s="33"/>
      <c r="R198" s="33"/>
      <c r="S198" s="33"/>
      <c r="T198" s="33"/>
    </row>
    <row r="199" spans="1:20" ht="15.75">
      <c r="A199" s="13">
        <v>47908</v>
      </c>
      <c r="B199" s="41">
        <v>31</v>
      </c>
      <c r="C199" s="32">
        <v>122.58</v>
      </c>
      <c r="D199" s="32">
        <v>297.94099999999997</v>
      </c>
      <c r="E199" s="38">
        <v>729.47900000000004</v>
      </c>
      <c r="F199" s="32">
        <v>1150</v>
      </c>
      <c r="G199" s="32">
        <v>100</v>
      </c>
      <c r="H199" s="40">
        <v>600</v>
      </c>
      <c r="I199" s="32">
        <v>695</v>
      </c>
      <c r="J199" s="32">
        <v>50</v>
      </c>
      <c r="K199" s="33"/>
      <c r="L199" s="33"/>
      <c r="M199" s="33"/>
      <c r="N199" s="33"/>
      <c r="O199" s="33"/>
      <c r="P199" s="33"/>
      <c r="Q199" s="33"/>
      <c r="R199" s="33"/>
      <c r="S199" s="33"/>
      <c r="T199" s="33"/>
    </row>
    <row r="200" spans="1:20" ht="15.75">
      <c r="A200" s="13">
        <v>47939</v>
      </c>
      <c r="B200" s="41">
        <v>30</v>
      </c>
      <c r="C200" s="32">
        <v>141.29300000000001</v>
      </c>
      <c r="D200" s="32">
        <v>267.99299999999999</v>
      </c>
      <c r="E200" s="38">
        <v>829.71400000000006</v>
      </c>
      <c r="F200" s="32">
        <v>1239</v>
      </c>
      <c r="G200" s="32">
        <v>100</v>
      </c>
      <c r="H200" s="40">
        <v>600</v>
      </c>
      <c r="I200" s="32">
        <v>695</v>
      </c>
      <c r="J200" s="32">
        <v>50</v>
      </c>
      <c r="K200" s="33"/>
      <c r="L200" s="33"/>
      <c r="M200" s="33"/>
      <c r="N200" s="33"/>
      <c r="O200" s="33"/>
      <c r="P200" s="33"/>
      <c r="Q200" s="33"/>
      <c r="R200" s="33"/>
      <c r="S200" s="33"/>
      <c r="T200" s="33"/>
    </row>
    <row r="201" spans="1:20" ht="15.75">
      <c r="A201" s="13">
        <v>47969</v>
      </c>
      <c r="B201" s="41">
        <v>31</v>
      </c>
      <c r="C201" s="32">
        <v>194.20500000000001</v>
      </c>
      <c r="D201" s="32">
        <v>267.46600000000001</v>
      </c>
      <c r="E201" s="38">
        <v>812.32899999999995</v>
      </c>
      <c r="F201" s="32">
        <v>1274</v>
      </c>
      <c r="G201" s="32">
        <v>75</v>
      </c>
      <c r="H201" s="40">
        <v>600</v>
      </c>
      <c r="I201" s="32">
        <v>695</v>
      </c>
      <c r="J201" s="32">
        <v>50</v>
      </c>
      <c r="K201" s="33"/>
      <c r="L201" s="33"/>
      <c r="M201" s="33"/>
      <c r="N201" s="33"/>
      <c r="O201" s="33"/>
      <c r="P201" s="33"/>
      <c r="Q201" s="33"/>
      <c r="R201" s="33"/>
      <c r="S201" s="33"/>
      <c r="T201" s="33"/>
    </row>
    <row r="202" spans="1:20" ht="15.75">
      <c r="A202" s="13">
        <v>48000</v>
      </c>
      <c r="B202" s="41">
        <v>30</v>
      </c>
      <c r="C202" s="32">
        <v>194.20500000000001</v>
      </c>
      <c r="D202" s="32">
        <v>267.46600000000001</v>
      </c>
      <c r="E202" s="38">
        <v>812.32899999999995</v>
      </c>
      <c r="F202" s="32">
        <v>1274</v>
      </c>
      <c r="G202" s="32">
        <v>50</v>
      </c>
      <c r="H202" s="40">
        <v>600</v>
      </c>
      <c r="I202" s="32">
        <v>695</v>
      </c>
      <c r="J202" s="32">
        <v>50</v>
      </c>
      <c r="K202" s="33"/>
      <c r="L202" s="33"/>
      <c r="M202" s="33"/>
      <c r="N202" s="33"/>
      <c r="O202" s="33"/>
      <c r="P202" s="33"/>
      <c r="Q202" s="33"/>
      <c r="R202" s="33"/>
      <c r="S202" s="33"/>
      <c r="T202" s="33"/>
    </row>
    <row r="203" spans="1:20" ht="15.75">
      <c r="A203" s="13">
        <v>48030</v>
      </c>
      <c r="B203" s="41">
        <v>31</v>
      </c>
      <c r="C203" s="32">
        <v>194.20500000000001</v>
      </c>
      <c r="D203" s="32">
        <v>267.46600000000001</v>
      </c>
      <c r="E203" s="38">
        <v>812.32899999999995</v>
      </c>
      <c r="F203" s="32">
        <v>1274</v>
      </c>
      <c r="G203" s="32">
        <v>50</v>
      </c>
      <c r="H203" s="40">
        <v>600</v>
      </c>
      <c r="I203" s="32">
        <v>695</v>
      </c>
      <c r="J203" s="32">
        <v>0</v>
      </c>
      <c r="K203" s="33"/>
      <c r="L203" s="33"/>
      <c r="M203" s="33"/>
      <c r="N203" s="33"/>
      <c r="O203" s="33"/>
      <c r="P203" s="33"/>
      <c r="Q203" s="33"/>
      <c r="R203" s="33"/>
      <c r="S203" s="33"/>
      <c r="T203" s="33"/>
    </row>
    <row r="204" spans="1:20" ht="15.75">
      <c r="A204" s="13">
        <v>48061</v>
      </c>
      <c r="B204" s="41">
        <v>31</v>
      </c>
      <c r="C204" s="32">
        <v>194.20500000000001</v>
      </c>
      <c r="D204" s="32">
        <v>267.46600000000001</v>
      </c>
      <c r="E204" s="38">
        <v>812.32899999999995</v>
      </c>
      <c r="F204" s="32">
        <v>1274</v>
      </c>
      <c r="G204" s="32">
        <v>50</v>
      </c>
      <c r="H204" s="40">
        <v>600</v>
      </c>
      <c r="I204" s="32">
        <v>695</v>
      </c>
      <c r="J204" s="32">
        <v>0</v>
      </c>
      <c r="K204" s="33"/>
      <c r="L204" s="33"/>
      <c r="M204" s="33"/>
      <c r="N204" s="33"/>
      <c r="O204" s="33"/>
      <c r="P204" s="33"/>
      <c r="Q204" s="33"/>
      <c r="R204" s="33"/>
      <c r="S204" s="33"/>
      <c r="T204" s="33"/>
    </row>
    <row r="205" spans="1:20" ht="15.75">
      <c r="A205" s="13">
        <v>48092</v>
      </c>
      <c r="B205" s="41">
        <v>30</v>
      </c>
      <c r="C205" s="32">
        <v>194.20500000000001</v>
      </c>
      <c r="D205" s="32">
        <v>267.46600000000001</v>
      </c>
      <c r="E205" s="38">
        <v>812.32899999999995</v>
      </c>
      <c r="F205" s="32">
        <v>1274</v>
      </c>
      <c r="G205" s="32">
        <v>50</v>
      </c>
      <c r="H205" s="40">
        <v>600</v>
      </c>
      <c r="I205" s="32">
        <v>695</v>
      </c>
      <c r="J205" s="32">
        <v>0</v>
      </c>
      <c r="K205" s="33"/>
      <c r="L205" s="33"/>
      <c r="M205" s="33"/>
      <c r="N205" s="33"/>
      <c r="O205" s="33"/>
      <c r="P205" s="33"/>
      <c r="Q205" s="33"/>
      <c r="R205" s="33"/>
      <c r="S205" s="33"/>
      <c r="T205" s="33"/>
    </row>
    <row r="206" spans="1:20" ht="15.75">
      <c r="A206" s="13">
        <v>48122</v>
      </c>
      <c r="B206" s="41">
        <v>31</v>
      </c>
      <c r="C206" s="32">
        <v>131.881</v>
      </c>
      <c r="D206" s="32">
        <v>277.16699999999997</v>
      </c>
      <c r="E206" s="38">
        <v>829.952</v>
      </c>
      <c r="F206" s="32">
        <v>1239</v>
      </c>
      <c r="G206" s="32">
        <v>75</v>
      </c>
      <c r="H206" s="40">
        <v>600</v>
      </c>
      <c r="I206" s="32">
        <v>695</v>
      </c>
      <c r="J206" s="32">
        <v>0</v>
      </c>
      <c r="K206" s="33"/>
      <c r="L206" s="33"/>
      <c r="M206" s="33"/>
      <c r="N206" s="33"/>
      <c r="O206" s="33"/>
      <c r="P206" s="33"/>
      <c r="Q206" s="33"/>
      <c r="R206" s="33"/>
      <c r="S206" s="33"/>
      <c r="T206" s="33"/>
    </row>
    <row r="207" spans="1:20" ht="15.75">
      <c r="A207" s="13">
        <v>48153</v>
      </c>
      <c r="B207" s="41">
        <v>30</v>
      </c>
      <c r="C207" s="32">
        <v>122.58</v>
      </c>
      <c r="D207" s="32">
        <v>297.94099999999997</v>
      </c>
      <c r="E207" s="38">
        <v>729.47900000000004</v>
      </c>
      <c r="F207" s="32">
        <v>1150</v>
      </c>
      <c r="G207" s="32">
        <v>100</v>
      </c>
      <c r="H207" s="40">
        <v>600</v>
      </c>
      <c r="I207" s="32">
        <v>695</v>
      </c>
      <c r="J207" s="32">
        <v>50</v>
      </c>
      <c r="K207" s="33"/>
      <c r="L207" s="33"/>
      <c r="M207" s="33"/>
      <c r="N207" s="33"/>
      <c r="O207" s="33"/>
      <c r="P207" s="33"/>
      <c r="Q207" s="33"/>
      <c r="R207" s="33"/>
      <c r="S207" s="33"/>
      <c r="T207" s="33"/>
    </row>
    <row r="208" spans="1:20" ht="15.75">
      <c r="A208" s="13">
        <v>48183</v>
      </c>
      <c r="B208" s="41">
        <v>31</v>
      </c>
      <c r="C208" s="32">
        <v>122.58</v>
      </c>
      <c r="D208" s="32">
        <v>297.94099999999997</v>
      </c>
      <c r="E208" s="38">
        <v>729.47900000000004</v>
      </c>
      <c r="F208" s="32">
        <v>1150</v>
      </c>
      <c r="G208" s="32">
        <v>100</v>
      </c>
      <c r="H208" s="40">
        <v>600</v>
      </c>
      <c r="I208" s="32">
        <v>695</v>
      </c>
      <c r="J208" s="32">
        <v>50</v>
      </c>
      <c r="K208" s="33"/>
      <c r="L208" s="33"/>
      <c r="M208" s="33"/>
      <c r="N208" s="33"/>
      <c r="O208" s="33"/>
      <c r="P208" s="33"/>
      <c r="Q208" s="33"/>
      <c r="R208" s="33"/>
      <c r="S208" s="33"/>
      <c r="T208" s="33"/>
    </row>
    <row r="209" spans="1:20" ht="15.75">
      <c r="A209" s="13">
        <v>48214</v>
      </c>
      <c r="B209" s="41">
        <v>31</v>
      </c>
      <c r="C209" s="32">
        <v>122.58</v>
      </c>
      <c r="D209" s="32">
        <v>297.94099999999997</v>
      </c>
      <c r="E209" s="38">
        <v>729.47900000000004</v>
      </c>
      <c r="F209" s="32">
        <v>1150</v>
      </c>
      <c r="G209" s="32">
        <v>100</v>
      </c>
      <c r="H209" s="40">
        <v>600</v>
      </c>
      <c r="I209" s="32">
        <v>695</v>
      </c>
      <c r="J209" s="32">
        <v>50</v>
      </c>
      <c r="K209" s="33"/>
      <c r="L209" s="33"/>
      <c r="M209" s="33"/>
      <c r="N209" s="33"/>
      <c r="O209" s="33"/>
      <c r="P209" s="33"/>
      <c r="Q209" s="33"/>
      <c r="R209" s="33"/>
      <c r="S209" s="33"/>
      <c r="T209" s="33"/>
    </row>
    <row r="210" spans="1:20" ht="15.75">
      <c r="A210" s="13">
        <v>48245</v>
      </c>
      <c r="B210" s="41">
        <v>29</v>
      </c>
      <c r="C210" s="32">
        <v>122.58</v>
      </c>
      <c r="D210" s="32">
        <v>297.94099999999997</v>
      </c>
      <c r="E210" s="38">
        <v>729.47900000000004</v>
      </c>
      <c r="F210" s="32">
        <v>1150</v>
      </c>
      <c r="G210" s="32">
        <v>100</v>
      </c>
      <c r="H210" s="40">
        <v>600</v>
      </c>
      <c r="I210" s="32">
        <v>695</v>
      </c>
      <c r="J210" s="32">
        <v>50</v>
      </c>
      <c r="K210" s="33"/>
      <c r="L210" s="33"/>
      <c r="M210" s="33"/>
      <c r="N210" s="33"/>
      <c r="O210" s="33"/>
      <c r="P210" s="33"/>
      <c r="Q210" s="33"/>
      <c r="R210" s="33"/>
      <c r="S210" s="33"/>
      <c r="T210" s="33"/>
    </row>
    <row r="211" spans="1:20" ht="15.75">
      <c r="A211" s="13">
        <v>48274</v>
      </c>
      <c r="B211" s="41">
        <v>31</v>
      </c>
      <c r="C211" s="32">
        <v>122.58</v>
      </c>
      <c r="D211" s="32">
        <v>297.94099999999997</v>
      </c>
      <c r="E211" s="38">
        <v>729.47900000000004</v>
      </c>
      <c r="F211" s="32">
        <v>1150</v>
      </c>
      <c r="G211" s="32">
        <v>100</v>
      </c>
      <c r="H211" s="40">
        <v>600</v>
      </c>
      <c r="I211" s="32">
        <v>695</v>
      </c>
      <c r="J211" s="32">
        <v>50</v>
      </c>
      <c r="K211" s="33"/>
      <c r="L211" s="33"/>
      <c r="M211" s="33"/>
      <c r="N211" s="33"/>
      <c r="O211" s="33"/>
      <c r="P211" s="33"/>
      <c r="Q211" s="33"/>
      <c r="R211" s="33"/>
      <c r="S211" s="33"/>
      <c r="T211" s="33"/>
    </row>
    <row r="212" spans="1:20" ht="15.75">
      <c r="A212" s="13">
        <v>48305</v>
      </c>
      <c r="B212" s="41">
        <v>30</v>
      </c>
      <c r="C212" s="32">
        <v>141.29300000000001</v>
      </c>
      <c r="D212" s="32">
        <v>267.99299999999999</v>
      </c>
      <c r="E212" s="38">
        <v>829.71400000000006</v>
      </c>
      <c r="F212" s="32">
        <v>1239</v>
      </c>
      <c r="G212" s="32">
        <v>100</v>
      </c>
      <c r="H212" s="40">
        <v>600</v>
      </c>
      <c r="I212" s="32">
        <v>695</v>
      </c>
      <c r="J212" s="32">
        <v>50</v>
      </c>
      <c r="K212" s="33"/>
      <c r="L212" s="33"/>
      <c r="M212" s="33"/>
      <c r="N212" s="33"/>
      <c r="O212" s="33"/>
      <c r="P212" s="33"/>
      <c r="Q212" s="33"/>
      <c r="R212" s="33"/>
      <c r="S212" s="33"/>
      <c r="T212" s="33"/>
    </row>
    <row r="213" spans="1:20" ht="15.75">
      <c r="A213" s="13">
        <v>48335</v>
      </c>
      <c r="B213" s="41">
        <v>31</v>
      </c>
      <c r="C213" s="32">
        <v>194.20500000000001</v>
      </c>
      <c r="D213" s="32">
        <v>267.46600000000001</v>
      </c>
      <c r="E213" s="38">
        <v>812.32899999999995</v>
      </c>
      <c r="F213" s="32">
        <v>1274</v>
      </c>
      <c r="G213" s="32">
        <v>75</v>
      </c>
      <c r="H213" s="40">
        <v>600</v>
      </c>
      <c r="I213" s="32">
        <v>695</v>
      </c>
      <c r="J213" s="32">
        <v>50</v>
      </c>
      <c r="K213" s="33"/>
      <c r="L213" s="33"/>
      <c r="M213" s="33"/>
      <c r="N213" s="33"/>
      <c r="O213" s="33"/>
      <c r="P213" s="33"/>
      <c r="Q213" s="33"/>
      <c r="R213" s="33"/>
      <c r="S213" s="33"/>
      <c r="T213" s="33"/>
    </row>
    <row r="214" spans="1:20" ht="15.75">
      <c r="A214" s="13">
        <v>48366</v>
      </c>
      <c r="B214" s="41">
        <v>30</v>
      </c>
      <c r="C214" s="32">
        <v>194.20500000000001</v>
      </c>
      <c r="D214" s="32">
        <v>267.46600000000001</v>
      </c>
      <c r="E214" s="38">
        <v>812.32899999999995</v>
      </c>
      <c r="F214" s="32">
        <v>1274</v>
      </c>
      <c r="G214" s="32">
        <v>50</v>
      </c>
      <c r="H214" s="40">
        <v>600</v>
      </c>
      <c r="I214" s="32">
        <v>695</v>
      </c>
      <c r="J214" s="32">
        <v>50</v>
      </c>
      <c r="K214" s="33"/>
      <c r="L214" s="33"/>
      <c r="M214" s="33"/>
      <c r="N214" s="33"/>
      <c r="O214" s="33"/>
      <c r="P214" s="33"/>
      <c r="Q214" s="33"/>
      <c r="R214" s="33"/>
      <c r="S214" s="33"/>
      <c r="T214" s="33"/>
    </row>
    <row r="215" spans="1:20" ht="15.75">
      <c r="A215" s="13">
        <v>48396</v>
      </c>
      <c r="B215" s="41">
        <v>31</v>
      </c>
      <c r="C215" s="32">
        <v>194.20500000000001</v>
      </c>
      <c r="D215" s="32">
        <v>267.46600000000001</v>
      </c>
      <c r="E215" s="38">
        <v>812.32899999999995</v>
      </c>
      <c r="F215" s="32">
        <v>1274</v>
      </c>
      <c r="G215" s="32">
        <v>50</v>
      </c>
      <c r="H215" s="40">
        <v>600</v>
      </c>
      <c r="I215" s="32">
        <v>695</v>
      </c>
      <c r="J215" s="32">
        <v>0</v>
      </c>
      <c r="K215" s="33"/>
      <c r="L215" s="33"/>
      <c r="M215" s="33"/>
      <c r="N215" s="33"/>
      <c r="O215" s="33"/>
      <c r="P215" s="33"/>
      <c r="Q215" s="33"/>
      <c r="R215" s="33"/>
      <c r="S215" s="33"/>
      <c r="T215" s="33"/>
    </row>
    <row r="216" spans="1:20" ht="15.75">
      <c r="A216" s="13">
        <v>48427</v>
      </c>
      <c r="B216" s="41">
        <v>31</v>
      </c>
      <c r="C216" s="32">
        <v>194.20500000000001</v>
      </c>
      <c r="D216" s="32">
        <v>267.46600000000001</v>
      </c>
      <c r="E216" s="38">
        <v>812.32899999999995</v>
      </c>
      <c r="F216" s="32">
        <v>1274</v>
      </c>
      <c r="G216" s="32">
        <v>50</v>
      </c>
      <c r="H216" s="40">
        <v>600</v>
      </c>
      <c r="I216" s="32">
        <v>695</v>
      </c>
      <c r="J216" s="32">
        <v>0</v>
      </c>
      <c r="K216" s="33"/>
      <c r="L216" s="33"/>
      <c r="M216" s="33"/>
      <c r="N216" s="33"/>
      <c r="O216" s="33"/>
      <c r="P216" s="33"/>
      <c r="Q216" s="33"/>
      <c r="R216" s="33"/>
      <c r="S216" s="33"/>
      <c r="T216" s="33"/>
    </row>
    <row r="217" spans="1:20" ht="15.75">
      <c r="A217" s="13">
        <v>48458</v>
      </c>
      <c r="B217" s="41">
        <v>30</v>
      </c>
      <c r="C217" s="32">
        <v>194.20500000000001</v>
      </c>
      <c r="D217" s="32">
        <v>267.46600000000001</v>
      </c>
      <c r="E217" s="38">
        <v>812.32899999999995</v>
      </c>
      <c r="F217" s="32">
        <v>1274</v>
      </c>
      <c r="G217" s="32">
        <v>50</v>
      </c>
      <c r="H217" s="40">
        <v>600</v>
      </c>
      <c r="I217" s="32">
        <v>695</v>
      </c>
      <c r="J217" s="32">
        <v>0</v>
      </c>
      <c r="K217" s="33"/>
      <c r="L217" s="33"/>
      <c r="M217" s="33"/>
      <c r="N217" s="33"/>
      <c r="O217" s="33"/>
      <c r="P217" s="33"/>
      <c r="Q217" s="33"/>
      <c r="R217" s="33"/>
      <c r="S217" s="33"/>
      <c r="T217" s="33"/>
    </row>
    <row r="218" spans="1:20" ht="15.75">
      <c r="A218" s="13">
        <v>48488</v>
      </c>
      <c r="B218" s="41">
        <v>31</v>
      </c>
      <c r="C218" s="32">
        <v>131.881</v>
      </c>
      <c r="D218" s="32">
        <v>277.16699999999997</v>
      </c>
      <c r="E218" s="38">
        <v>829.952</v>
      </c>
      <c r="F218" s="32">
        <v>1239</v>
      </c>
      <c r="G218" s="32">
        <v>75</v>
      </c>
      <c r="H218" s="40">
        <v>600</v>
      </c>
      <c r="I218" s="32">
        <v>695</v>
      </c>
      <c r="J218" s="32">
        <v>0</v>
      </c>
      <c r="K218" s="33"/>
      <c r="L218" s="33"/>
      <c r="M218" s="33"/>
      <c r="N218" s="33"/>
      <c r="O218" s="33"/>
      <c r="P218" s="33"/>
      <c r="Q218" s="33"/>
      <c r="R218" s="33"/>
      <c r="S218" s="33"/>
      <c r="T218" s="33"/>
    </row>
    <row r="219" spans="1:20" ht="15.75">
      <c r="A219" s="13">
        <v>48519</v>
      </c>
      <c r="B219" s="41">
        <v>30</v>
      </c>
      <c r="C219" s="32">
        <v>122.58</v>
      </c>
      <c r="D219" s="32">
        <v>297.94099999999997</v>
      </c>
      <c r="E219" s="38">
        <v>729.47900000000004</v>
      </c>
      <c r="F219" s="32">
        <v>1150</v>
      </c>
      <c r="G219" s="32">
        <v>100</v>
      </c>
      <c r="H219" s="40">
        <v>600</v>
      </c>
      <c r="I219" s="32">
        <v>695</v>
      </c>
      <c r="J219" s="32">
        <v>50</v>
      </c>
      <c r="K219" s="33"/>
      <c r="L219" s="33"/>
      <c r="M219" s="33"/>
      <c r="N219" s="33"/>
      <c r="O219" s="33"/>
      <c r="P219" s="33"/>
      <c r="Q219" s="33"/>
      <c r="R219" s="33"/>
      <c r="S219" s="33"/>
      <c r="T219" s="33"/>
    </row>
    <row r="220" spans="1:20" ht="15.75">
      <c r="A220" s="13">
        <v>48549</v>
      </c>
      <c r="B220" s="41">
        <v>31</v>
      </c>
      <c r="C220" s="32">
        <v>122.58</v>
      </c>
      <c r="D220" s="32">
        <v>297.94099999999997</v>
      </c>
      <c r="E220" s="38">
        <v>729.47900000000004</v>
      </c>
      <c r="F220" s="32">
        <v>1150</v>
      </c>
      <c r="G220" s="32">
        <v>100</v>
      </c>
      <c r="H220" s="40">
        <v>600</v>
      </c>
      <c r="I220" s="32">
        <v>695</v>
      </c>
      <c r="J220" s="32">
        <v>50</v>
      </c>
      <c r="K220" s="33"/>
      <c r="L220" s="33"/>
      <c r="M220" s="33"/>
      <c r="N220" s="33"/>
      <c r="O220" s="33"/>
      <c r="P220" s="33"/>
      <c r="Q220" s="33"/>
      <c r="R220" s="33"/>
      <c r="S220" s="33"/>
      <c r="T220" s="33"/>
    </row>
    <row r="221" spans="1:20" ht="15.75">
      <c r="A221" s="13">
        <v>48580</v>
      </c>
      <c r="B221" s="41">
        <v>31</v>
      </c>
      <c r="C221" s="32">
        <v>122.58</v>
      </c>
      <c r="D221" s="32">
        <v>297.94099999999997</v>
      </c>
      <c r="E221" s="38">
        <v>729.47900000000004</v>
      </c>
      <c r="F221" s="32">
        <v>1150</v>
      </c>
      <c r="G221" s="32">
        <v>100</v>
      </c>
      <c r="H221" s="40">
        <v>600</v>
      </c>
      <c r="I221" s="32">
        <v>695</v>
      </c>
      <c r="J221" s="32">
        <v>50</v>
      </c>
      <c r="K221" s="33"/>
      <c r="L221" s="33"/>
      <c r="M221" s="33"/>
      <c r="N221" s="33"/>
      <c r="O221" s="33"/>
      <c r="P221" s="33"/>
      <c r="Q221" s="33"/>
      <c r="R221" s="33"/>
      <c r="S221" s="33"/>
      <c r="T221" s="33"/>
    </row>
    <row r="222" spans="1:20" ht="15.75">
      <c r="A222" s="13">
        <v>48611</v>
      </c>
      <c r="B222" s="41">
        <v>28</v>
      </c>
      <c r="C222" s="32">
        <v>122.58</v>
      </c>
      <c r="D222" s="32">
        <v>297.94099999999997</v>
      </c>
      <c r="E222" s="38">
        <v>729.47900000000004</v>
      </c>
      <c r="F222" s="32">
        <v>1150</v>
      </c>
      <c r="G222" s="32">
        <v>100</v>
      </c>
      <c r="H222" s="40">
        <v>600</v>
      </c>
      <c r="I222" s="32">
        <v>695</v>
      </c>
      <c r="J222" s="32">
        <v>50</v>
      </c>
      <c r="K222" s="33"/>
      <c r="L222" s="33"/>
      <c r="M222" s="33"/>
      <c r="N222" s="33"/>
      <c r="O222" s="33"/>
      <c r="P222" s="33"/>
      <c r="Q222" s="33"/>
      <c r="R222" s="33"/>
      <c r="S222" s="33"/>
      <c r="T222" s="33"/>
    </row>
    <row r="223" spans="1:20" ht="15.75">
      <c r="A223" s="13">
        <v>48639</v>
      </c>
      <c r="B223" s="41">
        <v>31</v>
      </c>
      <c r="C223" s="32">
        <v>122.58</v>
      </c>
      <c r="D223" s="32">
        <v>297.94099999999997</v>
      </c>
      <c r="E223" s="38">
        <v>729.47900000000004</v>
      </c>
      <c r="F223" s="32">
        <v>1150</v>
      </c>
      <c r="G223" s="32">
        <v>100</v>
      </c>
      <c r="H223" s="40">
        <v>600</v>
      </c>
      <c r="I223" s="32">
        <v>695</v>
      </c>
      <c r="J223" s="32">
        <v>50</v>
      </c>
      <c r="K223" s="33"/>
      <c r="L223" s="33"/>
      <c r="M223" s="33"/>
      <c r="N223" s="33"/>
      <c r="O223" s="33"/>
      <c r="P223" s="33"/>
      <c r="Q223" s="33"/>
      <c r="R223" s="33"/>
      <c r="S223" s="33"/>
      <c r="T223" s="33"/>
    </row>
    <row r="224" spans="1:20" ht="15.75">
      <c r="A224" s="13">
        <v>48670</v>
      </c>
      <c r="B224" s="41">
        <v>30</v>
      </c>
      <c r="C224" s="32">
        <v>141.29300000000001</v>
      </c>
      <c r="D224" s="32">
        <v>267.99299999999999</v>
      </c>
      <c r="E224" s="38">
        <v>829.71400000000006</v>
      </c>
      <c r="F224" s="32">
        <v>1239</v>
      </c>
      <c r="G224" s="32">
        <v>100</v>
      </c>
      <c r="H224" s="40">
        <v>600</v>
      </c>
      <c r="I224" s="32">
        <v>695</v>
      </c>
      <c r="J224" s="32">
        <v>50</v>
      </c>
      <c r="K224" s="33"/>
      <c r="L224" s="33"/>
      <c r="M224" s="33"/>
      <c r="N224" s="33"/>
      <c r="O224" s="33"/>
      <c r="P224" s="33"/>
      <c r="Q224" s="33"/>
      <c r="R224" s="33"/>
      <c r="S224" s="33"/>
      <c r="T224" s="33"/>
    </row>
    <row r="225" spans="1:20" ht="15.75">
      <c r="A225" s="13">
        <v>48700</v>
      </c>
      <c r="B225" s="41">
        <v>31</v>
      </c>
      <c r="C225" s="32">
        <v>194.20500000000001</v>
      </c>
      <c r="D225" s="32">
        <v>267.46600000000001</v>
      </c>
      <c r="E225" s="38">
        <v>812.32899999999995</v>
      </c>
      <c r="F225" s="32">
        <v>1274</v>
      </c>
      <c r="G225" s="32">
        <v>75</v>
      </c>
      <c r="H225" s="40">
        <v>600</v>
      </c>
      <c r="I225" s="32">
        <v>695</v>
      </c>
      <c r="J225" s="32">
        <v>50</v>
      </c>
      <c r="K225" s="33"/>
      <c r="L225" s="33"/>
      <c r="M225" s="33"/>
      <c r="N225" s="33"/>
      <c r="O225" s="33"/>
      <c r="P225" s="33"/>
      <c r="Q225" s="33"/>
      <c r="R225" s="33"/>
      <c r="S225" s="33"/>
      <c r="T225" s="33"/>
    </row>
    <row r="226" spans="1:20" ht="15.75">
      <c r="A226" s="13">
        <v>48731</v>
      </c>
      <c r="B226" s="41">
        <v>30</v>
      </c>
      <c r="C226" s="32">
        <v>194.20500000000001</v>
      </c>
      <c r="D226" s="32">
        <v>267.46600000000001</v>
      </c>
      <c r="E226" s="38">
        <v>812.32899999999995</v>
      </c>
      <c r="F226" s="32">
        <v>1274</v>
      </c>
      <c r="G226" s="32">
        <v>50</v>
      </c>
      <c r="H226" s="40">
        <v>600</v>
      </c>
      <c r="I226" s="32">
        <v>695</v>
      </c>
      <c r="J226" s="32">
        <v>50</v>
      </c>
      <c r="K226" s="33"/>
      <c r="L226" s="33"/>
      <c r="M226" s="33"/>
      <c r="N226" s="33"/>
      <c r="O226" s="33"/>
      <c r="P226" s="33"/>
      <c r="Q226" s="33"/>
      <c r="R226" s="33"/>
      <c r="S226" s="33"/>
      <c r="T226" s="33"/>
    </row>
    <row r="227" spans="1:20" ht="15.75">
      <c r="A227" s="13">
        <v>48761</v>
      </c>
      <c r="B227" s="41">
        <v>31</v>
      </c>
      <c r="C227" s="32">
        <v>194.20500000000001</v>
      </c>
      <c r="D227" s="32">
        <v>267.46600000000001</v>
      </c>
      <c r="E227" s="38">
        <v>812.32899999999995</v>
      </c>
      <c r="F227" s="32">
        <v>1274</v>
      </c>
      <c r="G227" s="32">
        <v>50</v>
      </c>
      <c r="H227" s="40">
        <v>600</v>
      </c>
      <c r="I227" s="32">
        <v>695</v>
      </c>
      <c r="J227" s="32">
        <v>0</v>
      </c>
      <c r="K227" s="33"/>
      <c r="L227" s="33"/>
      <c r="M227" s="33"/>
      <c r="N227" s="33"/>
      <c r="O227" s="33"/>
      <c r="P227" s="33"/>
      <c r="Q227" s="33"/>
      <c r="R227" s="33"/>
      <c r="S227" s="33"/>
      <c r="T227" s="33"/>
    </row>
    <row r="228" spans="1:20" ht="15.75">
      <c r="A228" s="13">
        <v>48792</v>
      </c>
      <c r="B228" s="41">
        <v>31</v>
      </c>
      <c r="C228" s="32">
        <v>194.20500000000001</v>
      </c>
      <c r="D228" s="32">
        <v>267.46600000000001</v>
      </c>
      <c r="E228" s="38">
        <v>812.32899999999995</v>
      </c>
      <c r="F228" s="32">
        <v>1274</v>
      </c>
      <c r="G228" s="32">
        <v>50</v>
      </c>
      <c r="H228" s="40">
        <v>600</v>
      </c>
      <c r="I228" s="32">
        <v>695</v>
      </c>
      <c r="J228" s="32">
        <v>0</v>
      </c>
      <c r="K228" s="33"/>
      <c r="L228" s="33"/>
      <c r="M228" s="33"/>
      <c r="N228" s="33"/>
      <c r="O228" s="33"/>
      <c r="P228" s="33"/>
      <c r="Q228" s="33"/>
      <c r="R228" s="33"/>
      <c r="S228" s="33"/>
      <c r="T228" s="33"/>
    </row>
    <row r="229" spans="1:20" ht="15.75">
      <c r="A229" s="13">
        <v>48823</v>
      </c>
      <c r="B229" s="41">
        <v>30</v>
      </c>
      <c r="C229" s="32">
        <v>194.20500000000001</v>
      </c>
      <c r="D229" s="32">
        <v>267.46600000000001</v>
      </c>
      <c r="E229" s="38">
        <v>812.32899999999995</v>
      </c>
      <c r="F229" s="32">
        <v>1274</v>
      </c>
      <c r="G229" s="32">
        <v>50</v>
      </c>
      <c r="H229" s="40">
        <v>600</v>
      </c>
      <c r="I229" s="32">
        <v>695</v>
      </c>
      <c r="J229" s="32">
        <v>0</v>
      </c>
      <c r="K229" s="33"/>
      <c r="L229" s="33"/>
      <c r="M229" s="33"/>
      <c r="N229" s="33"/>
      <c r="O229" s="33"/>
      <c r="P229" s="33"/>
      <c r="Q229" s="33"/>
      <c r="R229" s="33"/>
      <c r="S229" s="33"/>
      <c r="T229" s="33"/>
    </row>
    <row r="230" spans="1:20" ht="15.75">
      <c r="A230" s="13">
        <v>48853</v>
      </c>
      <c r="B230" s="41">
        <v>31</v>
      </c>
      <c r="C230" s="32">
        <v>131.881</v>
      </c>
      <c r="D230" s="32">
        <v>277.16699999999997</v>
      </c>
      <c r="E230" s="38">
        <v>829.952</v>
      </c>
      <c r="F230" s="32">
        <v>1239</v>
      </c>
      <c r="G230" s="32">
        <v>75</v>
      </c>
      <c r="H230" s="40">
        <v>600</v>
      </c>
      <c r="I230" s="32">
        <v>695</v>
      </c>
      <c r="J230" s="32">
        <v>0</v>
      </c>
      <c r="K230" s="33"/>
      <c r="L230" s="33"/>
      <c r="M230" s="33"/>
      <c r="N230" s="33"/>
      <c r="O230" s="33"/>
      <c r="P230" s="33"/>
      <c r="Q230" s="33"/>
      <c r="R230" s="33"/>
      <c r="S230" s="33"/>
      <c r="T230" s="33"/>
    </row>
    <row r="231" spans="1:20" ht="15.75">
      <c r="A231" s="13">
        <v>48884</v>
      </c>
      <c r="B231" s="41">
        <v>30</v>
      </c>
      <c r="C231" s="32">
        <v>122.58</v>
      </c>
      <c r="D231" s="32">
        <v>297.94099999999997</v>
      </c>
      <c r="E231" s="38">
        <v>729.47900000000004</v>
      </c>
      <c r="F231" s="32">
        <v>1150</v>
      </c>
      <c r="G231" s="32">
        <v>100</v>
      </c>
      <c r="H231" s="40">
        <v>600</v>
      </c>
      <c r="I231" s="32">
        <v>695</v>
      </c>
      <c r="J231" s="32">
        <v>50</v>
      </c>
      <c r="K231" s="33"/>
      <c r="L231" s="33"/>
      <c r="M231" s="33"/>
      <c r="N231" s="33"/>
      <c r="O231" s="33"/>
      <c r="P231" s="33"/>
      <c r="Q231" s="33"/>
      <c r="R231" s="33"/>
      <c r="S231" s="33"/>
      <c r="T231" s="33"/>
    </row>
    <row r="232" spans="1:20" ht="15.75">
      <c r="A232" s="13">
        <v>48914</v>
      </c>
      <c r="B232" s="41">
        <v>31</v>
      </c>
      <c r="C232" s="32">
        <v>122.58</v>
      </c>
      <c r="D232" s="32">
        <v>297.94099999999997</v>
      </c>
      <c r="E232" s="38">
        <v>729.47900000000004</v>
      </c>
      <c r="F232" s="32">
        <v>1150</v>
      </c>
      <c r="G232" s="32">
        <v>100</v>
      </c>
      <c r="H232" s="40">
        <v>600</v>
      </c>
      <c r="I232" s="32">
        <v>695</v>
      </c>
      <c r="J232" s="32">
        <v>50</v>
      </c>
      <c r="K232" s="33"/>
      <c r="L232" s="33"/>
      <c r="M232" s="33"/>
      <c r="N232" s="33"/>
      <c r="O232" s="33"/>
      <c r="P232" s="33"/>
      <c r="Q232" s="33"/>
      <c r="R232" s="33"/>
      <c r="S232" s="33"/>
      <c r="T232" s="33"/>
    </row>
    <row r="233" spans="1:20" ht="15.75">
      <c r="A233" s="13">
        <v>48945</v>
      </c>
      <c r="B233" s="41">
        <v>31</v>
      </c>
      <c r="C233" s="32">
        <v>122.58</v>
      </c>
      <c r="D233" s="32">
        <v>297.94099999999997</v>
      </c>
      <c r="E233" s="38">
        <v>729.47900000000004</v>
      </c>
      <c r="F233" s="32">
        <v>1150</v>
      </c>
      <c r="G233" s="32">
        <v>100</v>
      </c>
      <c r="H233" s="40">
        <v>600</v>
      </c>
      <c r="I233" s="32">
        <v>695</v>
      </c>
      <c r="J233" s="32">
        <v>50</v>
      </c>
      <c r="K233" s="33"/>
      <c r="L233" s="33"/>
      <c r="M233" s="33"/>
      <c r="N233" s="33"/>
      <c r="O233" s="33"/>
      <c r="P233" s="33"/>
      <c r="Q233" s="33"/>
      <c r="R233" s="33"/>
      <c r="S233" s="33"/>
      <c r="T233" s="33"/>
    </row>
    <row r="234" spans="1:20" ht="15.75">
      <c r="A234" s="13">
        <v>48976</v>
      </c>
      <c r="B234" s="41">
        <v>28</v>
      </c>
      <c r="C234" s="32">
        <v>122.58</v>
      </c>
      <c r="D234" s="32">
        <v>297.94099999999997</v>
      </c>
      <c r="E234" s="38">
        <v>729.47900000000004</v>
      </c>
      <c r="F234" s="32">
        <v>1150</v>
      </c>
      <c r="G234" s="32">
        <v>100</v>
      </c>
      <c r="H234" s="40">
        <v>600</v>
      </c>
      <c r="I234" s="32">
        <v>695</v>
      </c>
      <c r="J234" s="32">
        <v>50</v>
      </c>
      <c r="K234" s="33"/>
      <c r="L234" s="33"/>
      <c r="M234" s="33"/>
      <c r="N234" s="33"/>
      <c r="O234" s="33"/>
      <c r="P234" s="33"/>
      <c r="Q234" s="33"/>
      <c r="R234" s="33"/>
      <c r="S234" s="33"/>
      <c r="T234" s="33"/>
    </row>
    <row r="235" spans="1:20" ht="15.75">
      <c r="A235" s="13">
        <v>49004</v>
      </c>
      <c r="B235" s="41">
        <v>31</v>
      </c>
      <c r="C235" s="32">
        <v>122.58</v>
      </c>
      <c r="D235" s="32">
        <v>297.94099999999997</v>
      </c>
      <c r="E235" s="38">
        <v>729.47900000000004</v>
      </c>
      <c r="F235" s="32">
        <v>1150</v>
      </c>
      <c r="G235" s="32">
        <v>100</v>
      </c>
      <c r="H235" s="40">
        <v>600</v>
      </c>
      <c r="I235" s="32">
        <v>695</v>
      </c>
      <c r="J235" s="32">
        <v>50</v>
      </c>
      <c r="K235" s="33"/>
      <c r="L235" s="33"/>
      <c r="M235" s="33"/>
      <c r="N235" s="33"/>
      <c r="O235" s="33"/>
      <c r="P235" s="33"/>
      <c r="Q235" s="33"/>
      <c r="R235" s="33"/>
      <c r="S235" s="33"/>
      <c r="T235" s="33"/>
    </row>
    <row r="236" spans="1:20" ht="15.75">
      <c r="A236" s="13">
        <v>49035</v>
      </c>
      <c r="B236" s="41">
        <v>30</v>
      </c>
      <c r="C236" s="32">
        <v>141.29300000000001</v>
      </c>
      <c r="D236" s="32">
        <v>267.99299999999999</v>
      </c>
      <c r="E236" s="38">
        <v>829.71400000000006</v>
      </c>
      <c r="F236" s="32">
        <v>1239</v>
      </c>
      <c r="G236" s="32">
        <v>100</v>
      </c>
      <c r="H236" s="40">
        <v>600</v>
      </c>
      <c r="I236" s="32">
        <v>695</v>
      </c>
      <c r="J236" s="32">
        <v>50</v>
      </c>
      <c r="K236" s="33"/>
      <c r="L236" s="33"/>
      <c r="M236" s="33"/>
      <c r="N236" s="33"/>
      <c r="O236" s="33"/>
      <c r="P236" s="33"/>
      <c r="Q236" s="33"/>
      <c r="R236" s="33"/>
      <c r="S236" s="33"/>
      <c r="T236" s="33"/>
    </row>
    <row r="237" spans="1:20" ht="15.75">
      <c r="A237" s="13">
        <v>49065</v>
      </c>
      <c r="B237" s="41">
        <v>31</v>
      </c>
      <c r="C237" s="32">
        <v>194.20500000000001</v>
      </c>
      <c r="D237" s="32">
        <v>267.46600000000001</v>
      </c>
      <c r="E237" s="38">
        <v>812.32899999999995</v>
      </c>
      <c r="F237" s="32">
        <v>1274</v>
      </c>
      <c r="G237" s="32">
        <v>75</v>
      </c>
      <c r="H237" s="40">
        <v>600</v>
      </c>
      <c r="I237" s="32">
        <v>695</v>
      </c>
      <c r="J237" s="32">
        <v>50</v>
      </c>
      <c r="K237" s="33"/>
      <c r="L237" s="33"/>
      <c r="M237" s="33"/>
      <c r="N237" s="33"/>
      <c r="O237" s="33"/>
      <c r="P237" s="33"/>
      <c r="Q237" s="33"/>
      <c r="R237" s="33"/>
      <c r="S237" s="33"/>
      <c r="T237" s="33"/>
    </row>
    <row r="238" spans="1:20" ht="15.75">
      <c r="A238" s="13">
        <v>49096</v>
      </c>
      <c r="B238" s="41">
        <v>30</v>
      </c>
      <c r="C238" s="32">
        <v>194.20500000000001</v>
      </c>
      <c r="D238" s="32">
        <v>267.46600000000001</v>
      </c>
      <c r="E238" s="38">
        <v>812.32899999999995</v>
      </c>
      <c r="F238" s="32">
        <v>1274</v>
      </c>
      <c r="G238" s="32">
        <v>50</v>
      </c>
      <c r="H238" s="40">
        <v>600</v>
      </c>
      <c r="I238" s="32">
        <v>695</v>
      </c>
      <c r="J238" s="32">
        <v>50</v>
      </c>
      <c r="K238" s="33"/>
      <c r="L238" s="33"/>
      <c r="M238" s="33"/>
      <c r="N238" s="33"/>
      <c r="O238" s="33"/>
      <c r="P238" s="33"/>
      <c r="Q238" s="33"/>
      <c r="R238" s="33"/>
      <c r="S238" s="33"/>
      <c r="T238" s="33"/>
    </row>
    <row r="239" spans="1:20" ht="15.75">
      <c r="A239" s="13">
        <v>49126</v>
      </c>
      <c r="B239" s="41">
        <v>31</v>
      </c>
      <c r="C239" s="32">
        <v>194.20500000000001</v>
      </c>
      <c r="D239" s="32">
        <v>267.46600000000001</v>
      </c>
      <c r="E239" s="38">
        <v>812.32899999999995</v>
      </c>
      <c r="F239" s="32">
        <v>1274</v>
      </c>
      <c r="G239" s="32">
        <v>50</v>
      </c>
      <c r="H239" s="40">
        <v>600</v>
      </c>
      <c r="I239" s="32">
        <v>695</v>
      </c>
      <c r="J239" s="32">
        <v>0</v>
      </c>
      <c r="K239" s="33"/>
      <c r="L239" s="33"/>
      <c r="M239" s="33"/>
      <c r="N239" s="33"/>
      <c r="O239" s="33"/>
      <c r="P239" s="33"/>
      <c r="Q239" s="33"/>
      <c r="R239" s="33"/>
      <c r="S239" s="33"/>
      <c r="T239" s="33"/>
    </row>
    <row r="240" spans="1:20" ht="15.75">
      <c r="A240" s="13">
        <v>49157</v>
      </c>
      <c r="B240" s="41">
        <v>31</v>
      </c>
      <c r="C240" s="32">
        <v>194.20500000000001</v>
      </c>
      <c r="D240" s="32">
        <v>267.46600000000001</v>
      </c>
      <c r="E240" s="38">
        <v>812.32899999999995</v>
      </c>
      <c r="F240" s="32">
        <v>1274</v>
      </c>
      <c r="G240" s="32">
        <v>50</v>
      </c>
      <c r="H240" s="40">
        <v>600</v>
      </c>
      <c r="I240" s="32">
        <v>695</v>
      </c>
      <c r="J240" s="32">
        <v>0</v>
      </c>
      <c r="K240" s="33"/>
      <c r="L240" s="33"/>
      <c r="M240" s="33"/>
      <c r="N240" s="33"/>
      <c r="O240" s="33"/>
      <c r="P240" s="33"/>
      <c r="Q240" s="33"/>
      <c r="R240" s="33"/>
      <c r="S240" s="33"/>
      <c r="T240" s="33"/>
    </row>
    <row r="241" spans="1:20" ht="15.75">
      <c r="A241" s="13">
        <v>49188</v>
      </c>
      <c r="B241" s="41">
        <v>30</v>
      </c>
      <c r="C241" s="32">
        <v>194.20500000000001</v>
      </c>
      <c r="D241" s="32">
        <v>267.46600000000001</v>
      </c>
      <c r="E241" s="38">
        <v>812.32899999999995</v>
      </c>
      <c r="F241" s="32">
        <v>1274</v>
      </c>
      <c r="G241" s="32">
        <v>50</v>
      </c>
      <c r="H241" s="40">
        <v>600</v>
      </c>
      <c r="I241" s="32">
        <v>695</v>
      </c>
      <c r="J241" s="32">
        <v>0</v>
      </c>
      <c r="K241" s="33"/>
      <c r="L241" s="33"/>
      <c r="M241" s="33"/>
      <c r="N241" s="33"/>
      <c r="O241" s="33"/>
      <c r="P241" s="33"/>
      <c r="Q241" s="33"/>
      <c r="R241" s="33"/>
      <c r="S241" s="33"/>
      <c r="T241" s="33"/>
    </row>
    <row r="242" spans="1:20" ht="15.75">
      <c r="A242" s="13">
        <v>49218</v>
      </c>
      <c r="B242" s="41">
        <v>31</v>
      </c>
      <c r="C242" s="32">
        <v>131.881</v>
      </c>
      <c r="D242" s="32">
        <v>277.16699999999997</v>
      </c>
      <c r="E242" s="38">
        <v>829.952</v>
      </c>
      <c r="F242" s="32">
        <v>1239</v>
      </c>
      <c r="G242" s="32">
        <v>75</v>
      </c>
      <c r="H242" s="40">
        <v>600</v>
      </c>
      <c r="I242" s="32">
        <v>695</v>
      </c>
      <c r="J242" s="32">
        <v>0</v>
      </c>
      <c r="K242" s="33"/>
      <c r="L242" s="33"/>
      <c r="M242" s="33"/>
      <c r="N242" s="33"/>
      <c r="O242" s="33"/>
      <c r="P242" s="33"/>
      <c r="Q242" s="33"/>
      <c r="R242" s="33"/>
      <c r="S242" s="33"/>
      <c r="T242" s="33"/>
    </row>
    <row r="243" spans="1:20" ht="15.75">
      <c r="A243" s="13">
        <v>49249</v>
      </c>
      <c r="B243" s="41">
        <v>30</v>
      </c>
      <c r="C243" s="32">
        <v>122.58</v>
      </c>
      <c r="D243" s="32">
        <v>297.94099999999997</v>
      </c>
      <c r="E243" s="38">
        <v>729.47900000000004</v>
      </c>
      <c r="F243" s="32">
        <v>1150</v>
      </c>
      <c r="G243" s="32">
        <v>100</v>
      </c>
      <c r="H243" s="40">
        <v>600</v>
      </c>
      <c r="I243" s="32">
        <v>695</v>
      </c>
      <c r="J243" s="32">
        <v>50</v>
      </c>
      <c r="K243" s="33"/>
      <c r="L243" s="33"/>
      <c r="M243" s="33"/>
      <c r="N243" s="33"/>
      <c r="O243" s="33"/>
      <c r="P243" s="33"/>
      <c r="Q243" s="33"/>
      <c r="R243" s="33"/>
      <c r="S243" s="33"/>
      <c r="T243" s="33"/>
    </row>
    <row r="244" spans="1:20" ht="15.75">
      <c r="A244" s="13">
        <v>49279</v>
      </c>
      <c r="B244" s="41">
        <v>31</v>
      </c>
      <c r="C244" s="32">
        <v>122.58</v>
      </c>
      <c r="D244" s="32">
        <v>297.94099999999997</v>
      </c>
      <c r="E244" s="38">
        <v>729.47900000000004</v>
      </c>
      <c r="F244" s="32">
        <v>1150</v>
      </c>
      <c r="G244" s="32">
        <v>100</v>
      </c>
      <c r="H244" s="40">
        <v>600</v>
      </c>
      <c r="I244" s="32">
        <v>695</v>
      </c>
      <c r="J244" s="32">
        <v>50</v>
      </c>
      <c r="K244" s="33"/>
      <c r="L244" s="33"/>
      <c r="M244" s="33"/>
      <c r="N244" s="33"/>
      <c r="O244" s="33"/>
      <c r="P244" s="33"/>
      <c r="Q244" s="33"/>
      <c r="R244" s="33"/>
      <c r="S244" s="33"/>
      <c r="T244" s="33"/>
    </row>
    <row r="245" spans="1:20" ht="15.75">
      <c r="A245" s="13">
        <v>49310</v>
      </c>
      <c r="B245" s="41">
        <v>31</v>
      </c>
      <c r="C245" s="32">
        <v>122.58</v>
      </c>
      <c r="D245" s="32">
        <v>297.94099999999997</v>
      </c>
      <c r="E245" s="38">
        <v>729.47900000000004</v>
      </c>
      <c r="F245" s="32">
        <v>1150</v>
      </c>
      <c r="G245" s="32">
        <v>100</v>
      </c>
      <c r="H245" s="40">
        <v>600</v>
      </c>
      <c r="I245" s="32">
        <v>695</v>
      </c>
      <c r="J245" s="32">
        <v>50</v>
      </c>
      <c r="K245" s="33"/>
      <c r="L245" s="33"/>
      <c r="M245" s="33"/>
      <c r="N245" s="33"/>
      <c r="O245" s="33"/>
      <c r="P245" s="33"/>
      <c r="Q245" s="33"/>
      <c r="R245" s="33"/>
      <c r="S245" s="33"/>
      <c r="T245" s="33"/>
    </row>
    <row r="246" spans="1:20" ht="15.75">
      <c r="A246" s="13">
        <v>49341</v>
      </c>
      <c r="B246" s="41">
        <v>28</v>
      </c>
      <c r="C246" s="32">
        <v>122.58</v>
      </c>
      <c r="D246" s="32">
        <v>297.94099999999997</v>
      </c>
      <c r="E246" s="38">
        <v>729.47900000000004</v>
      </c>
      <c r="F246" s="32">
        <v>1150</v>
      </c>
      <c r="G246" s="32">
        <v>100</v>
      </c>
      <c r="H246" s="40">
        <v>600</v>
      </c>
      <c r="I246" s="32">
        <v>695</v>
      </c>
      <c r="J246" s="32">
        <v>50</v>
      </c>
      <c r="K246" s="33"/>
      <c r="L246" s="33"/>
      <c r="M246" s="33"/>
      <c r="N246" s="33"/>
      <c r="O246" s="33"/>
      <c r="P246" s="33"/>
      <c r="Q246" s="33"/>
      <c r="R246" s="33"/>
      <c r="S246" s="33"/>
      <c r="T246" s="33"/>
    </row>
    <row r="247" spans="1:20" ht="15.75">
      <c r="A247" s="13">
        <v>49369</v>
      </c>
      <c r="B247" s="41">
        <v>31</v>
      </c>
      <c r="C247" s="32">
        <v>122.58</v>
      </c>
      <c r="D247" s="32">
        <v>297.94099999999997</v>
      </c>
      <c r="E247" s="38">
        <v>729.47900000000004</v>
      </c>
      <c r="F247" s="32">
        <v>1150</v>
      </c>
      <c r="G247" s="32">
        <v>100</v>
      </c>
      <c r="H247" s="40">
        <v>600</v>
      </c>
      <c r="I247" s="32">
        <v>695</v>
      </c>
      <c r="J247" s="32">
        <v>50</v>
      </c>
      <c r="K247" s="33"/>
      <c r="L247" s="33"/>
      <c r="M247" s="33"/>
      <c r="N247" s="33"/>
      <c r="O247" s="33"/>
      <c r="P247" s="33"/>
      <c r="Q247" s="33"/>
      <c r="R247" s="33"/>
      <c r="S247" s="33"/>
      <c r="T247" s="33"/>
    </row>
    <row r="248" spans="1:20" ht="15.75">
      <c r="A248" s="13">
        <v>49400</v>
      </c>
      <c r="B248" s="41">
        <v>30</v>
      </c>
      <c r="C248" s="32">
        <v>141.29300000000001</v>
      </c>
      <c r="D248" s="32">
        <v>267.99299999999999</v>
      </c>
      <c r="E248" s="38">
        <v>829.71400000000006</v>
      </c>
      <c r="F248" s="32">
        <v>1239</v>
      </c>
      <c r="G248" s="32">
        <v>100</v>
      </c>
      <c r="H248" s="40">
        <v>600</v>
      </c>
      <c r="I248" s="32">
        <v>695</v>
      </c>
      <c r="J248" s="32">
        <v>50</v>
      </c>
      <c r="K248" s="33"/>
      <c r="L248" s="33"/>
      <c r="M248" s="33"/>
      <c r="N248" s="33"/>
      <c r="O248" s="33"/>
      <c r="P248" s="33"/>
      <c r="Q248" s="33"/>
      <c r="R248" s="33"/>
      <c r="S248" s="33"/>
      <c r="T248" s="33"/>
    </row>
    <row r="249" spans="1:20" ht="15.75">
      <c r="A249" s="13">
        <v>49430</v>
      </c>
      <c r="B249" s="41">
        <v>31</v>
      </c>
      <c r="C249" s="32">
        <v>194.20500000000001</v>
      </c>
      <c r="D249" s="32">
        <v>267.46600000000001</v>
      </c>
      <c r="E249" s="38">
        <v>812.32899999999995</v>
      </c>
      <c r="F249" s="32">
        <v>1274</v>
      </c>
      <c r="G249" s="32">
        <v>75</v>
      </c>
      <c r="H249" s="40">
        <v>600</v>
      </c>
      <c r="I249" s="32">
        <v>695</v>
      </c>
      <c r="J249" s="32">
        <v>50</v>
      </c>
      <c r="K249" s="33"/>
      <c r="L249" s="33"/>
      <c r="M249" s="33"/>
      <c r="N249" s="33"/>
      <c r="O249" s="33"/>
      <c r="P249" s="33"/>
      <c r="Q249" s="33"/>
      <c r="R249" s="33"/>
      <c r="S249" s="33"/>
      <c r="T249" s="33"/>
    </row>
    <row r="250" spans="1:20" ht="15.75">
      <c r="A250" s="14">
        <v>49461</v>
      </c>
      <c r="B250" s="41">
        <v>30</v>
      </c>
      <c r="C250" s="32">
        <v>194.20500000000001</v>
      </c>
      <c r="D250" s="32">
        <v>267.46600000000001</v>
      </c>
      <c r="E250" s="38">
        <v>812.32899999999995</v>
      </c>
      <c r="F250" s="32">
        <v>1274</v>
      </c>
      <c r="G250" s="32">
        <v>50</v>
      </c>
      <c r="H250" s="40">
        <v>600</v>
      </c>
      <c r="I250" s="32">
        <v>695</v>
      </c>
      <c r="J250" s="32">
        <v>50</v>
      </c>
      <c r="K250" s="33"/>
      <c r="L250" s="33"/>
      <c r="M250" s="33"/>
      <c r="N250" s="33"/>
      <c r="O250" s="33"/>
      <c r="P250" s="33"/>
      <c r="Q250" s="33"/>
      <c r="R250" s="33"/>
      <c r="S250" s="33"/>
      <c r="T250" s="33"/>
    </row>
    <row r="251" spans="1:20" ht="15.75">
      <c r="A251" s="14">
        <v>49491</v>
      </c>
      <c r="B251" s="41">
        <v>31</v>
      </c>
      <c r="C251" s="32">
        <v>194.20500000000001</v>
      </c>
      <c r="D251" s="32">
        <v>267.46600000000001</v>
      </c>
      <c r="E251" s="38">
        <v>812.32899999999995</v>
      </c>
      <c r="F251" s="32">
        <v>1274</v>
      </c>
      <c r="G251" s="32">
        <v>50</v>
      </c>
      <c r="H251" s="40">
        <v>600</v>
      </c>
      <c r="I251" s="32">
        <v>695</v>
      </c>
      <c r="J251" s="32">
        <v>0</v>
      </c>
      <c r="K251" s="33"/>
      <c r="L251" s="33"/>
      <c r="M251" s="33"/>
      <c r="N251" s="33"/>
      <c r="O251" s="33"/>
      <c r="P251" s="33"/>
      <c r="Q251" s="33"/>
      <c r="R251" s="33"/>
      <c r="S251" s="33"/>
      <c r="T251" s="33"/>
    </row>
    <row r="252" spans="1:20" ht="15.75">
      <c r="A252" s="14">
        <v>49522</v>
      </c>
      <c r="B252" s="41">
        <v>31</v>
      </c>
      <c r="C252" s="32">
        <v>194.20500000000001</v>
      </c>
      <c r="D252" s="32">
        <v>267.46600000000001</v>
      </c>
      <c r="E252" s="38">
        <v>812.32899999999995</v>
      </c>
      <c r="F252" s="32">
        <v>1274</v>
      </c>
      <c r="G252" s="32">
        <v>50</v>
      </c>
      <c r="H252" s="40">
        <v>600</v>
      </c>
      <c r="I252" s="32">
        <v>695</v>
      </c>
      <c r="J252" s="32">
        <v>0</v>
      </c>
      <c r="K252" s="33"/>
      <c r="L252" s="33"/>
      <c r="M252" s="33"/>
      <c r="N252" s="33"/>
      <c r="O252" s="33"/>
      <c r="P252" s="33"/>
      <c r="Q252" s="33"/>
      <c r="R252" s="33"/>
      <c r="S252" s="33"/>
      <c r="T252" s="33"/>
    </row>
    <row r="253" spans="1:20" ht="15.75">
      <c r="A253" s="14">
        <v>49553</v>
      </c>
      <c r="B253" s="41">
        <v>30</v>
      </c>
      <c r="C253" s="32">
        <v>194.20500000000001</v>
      </c>
      <c r="D253" s="32">
        <v>267.46600000000001</v>
      </c>
      <c r="E253" s="38">
        <v>812.32899999999995</v>
      </c>
      <c r="F253" s="32">
        <v>1274</v>
      </c>
      <c r="G253" s="32">
        <v>50</v>
      </c>
      <c r="H253" s="40">
        <v>600</v>
      </c>
      <c r="I253" s="32">
        <v>695</v>
      </c>
      <c r="J253" s="32">
        <v>0</v>
      </c>
      <c r="K253" s="33"/>
      <c r="L253" s="33"/>
      <c r="M253" s="33"/>
      <c r="N253" s="33"/>
      <c r="O253" s="33"/>
      <c r="P253" s="33"/>
      <c r="Q253" s="33"/>
      <c r="R253" s="33"/>
      <c r="S253" s="33"/>
      <c r="T253" s="33"/>
    </row>
    <row r="254" spans="1:20" ht="15.75">
      <c r="A254" s="14">
        <v>49583</v>
      </c>
      <c r="B254" s="41">
        <v>31</v>
      </c>
      <c r="C254" s="32">
        <v>131.881</v>
      </c>
      <c r="D254" s="32">
        <v>277.16699999999997</v>
      </c>
      <c r="E254" s="38">
        <v>829.952</v>
      </c>
      <c r="F254" s="32">
        <v>1239</v>
      </c>
      <c r="G254" s="32">
        <v>75</v>
      </c>
      <c r="H254" s="40">
        <v>600</v>
      </c>
      <c r="I254" s="32">
        <v>695</v>
      </c>
      <c r="J254" s="32">
        <v>0</v>
      </c>
      <c r="K254" s="33"/>
      <c r="L254" s="33"/>
      <c r="M254" s="33"/>
      <c r="N254" s="33"/>
      <c r="O254" s="33"/>
      <c r="P254" s="33"/>
      <c r="Q254" s="33"/>
      <c r="R254" s="33"/>
      <c r="S254" s="33"/>
      <c r="T254" s="33"/>
    </row>
    <row r="255" spans="1:20" ht="15.75">
      <c r="A255" s="14">
        <v>49614</v>
      </c>
      <c r="B255" s="41">
        <v>30</v>
      </c>
      <c r="C255" s="32">
        <v>122.58</v>
      </c>
      <c r="D255" s="32">
        <v>297.94099999999997</v>
      </c>
      <c r="E255" s="38">
        <v>729.47900000000004</v>
      </c>
      <c r="F255" s="32">
        <v>1150</v>
      </c>
      <c r="G255" s="32">
        <v>100</v>
      </c>
      <c r="H255" s="40">
        <v>600</v>
      </c>
      <c r="I255" s="32">
        <v>695</v>
      </c>
      <c r="J255" s="32">
        <v>50</v>
      </c>
      <c r="K255" s="33"/>
      <c r="L255" s="33"/>
      <c r="M255" s="33"/>
      <c r="N255" s="33"/>
      <c r="O255" s="33"/>
      <c r="P255" s="33"/>
      <c r="Q255" s="33"/>
      <c r="R255" s="33"/>
      <c r="S255" s="33"/>
      <c r="T255" s="33"/>
    </row>
    <row r="256" spans="1:20" ht="15.75">
      <c r="A256" s="14">
        <v>49644</v>
      </c>
      <c r="B256" s="41">
        <v>31</v>
      </c>
      <c r="C256" s="32">
        <v>122.58</v>
      </c>
      <c r="D256" s="32">
        <v>297.94099999999997</v>
      </c>
      <c r="E256" s="38">
        <v>729.47900000000004</v>
      </c>
      <c r="F256" s="32">
        <v>1150</v>
      </c>
      <c r="G256" s="32">
        <v>100</v>
      </c>
      <c r="H256" s="40">
        <v>600</v>
      </c>
      <c r="I256" s="32">
        <v>695</v>
      </c>
      <c r="J256" s="32">
        <v>50</v>
      </c>
      <c r="K256" s="33"/>
      <c r="L256" s="33"/>
      <c r="M256" s="33"/>
      <c r="N256" s="33"/>
      <c r="O256" s="33"/>
      <c r="P256" s="33"/>
      <c r="Q256" s="33"/>
      <c r="R256" s="33"/>
      <c r="S256" s="33"/>
      <c r="T256" s="33"/>
    </row>
    <row r="257" spans="1:20" ht="15.75">
      <c r="A257" s="14">
        <v>49675</v>
      </c>
      <c r="B257" s="41">
        <v>31</v>
      </c>
      <c r="C257" s="32">
        <v>122.58</v>
      </c>
      <c r="D257" s="32">
        <v>297.94099999999997</v>
      </c>
      <c r="E257" s="38">
        <v>729.47900000000004</v>
      </c>
      <c r="F257" s="32">
        <v>1150</v>
      </c>
      <c r="G257" s="32">
        <v>100</v>
      </c>
      <c r="H257" s="40">
        <v>600</v>
      </c>
      <c r="I257" s="32">
        <v>695</v>
      </c>
      <c r="J257" s="32">
        <v>50</v>
      </c>
      <c r="K257" s="33"/>
      <c r="L257" s="33"/>
      <c r="M257" s="33"/>
      <c r="N257" s="33"/>
      <c r="O257" s="33"/>
      <c r="P257" s="33"/>
      <c r="Q257" s="33"/>
      <c r="R257" s="33"/>
      <c r="S257" s="33"/>
      <c r="T257" s="33"/>
    </row>
    <row r="258" spans="1:20" ht="15.75">
      <c r="A258" s="14">
        <v>49706</v>
      </c>
      <c r="B258" s="41">
        <v>29</v>
      </c>
      <c r="C258" s="32">
        <v>122.58</v>
      </c>
      <c r="D258" s="32">
        <v>297.94099999999997</v>
      </c>
      <c r="E258" s="38">
        <v>729.47900000000004</v>
      </c>
      <c r="F258" s="32">
        <v>1150</v>
      </c>
      <c r="G258" s="32">
        <v>100</v>
      </c>
      <c r="H258" s="40">
        <v>600</v>
      </c>
      <c r="I258" s="32">
        <v>695</v>
      </c>
      <c r="J258" s="32">
        <v>50</v>
      </c>
      <c r="K258" s="33"/>
      <c r="L258" s="33"/>
      <c r="M258" s="33"/>
      <c r="N258" s="33"/>
      <c r="O258" s="33"/>
      <c r="P258" s="33"/>
      <c r="Q258" s="33"/>
      <c r="R258" s="33"/>
      <c r="S258" s="33"/>
      <c r="T258" s="33"/>
    </row>
    <row r="259" spans="1:20" ht="15.75">
      <c r="A259" s="14">
        <v>49735</v>
      </c>
      <c r="B259" s="41">
        <v>31</v>
      </c>
      <c r="C259" s="32">
        <v>122.58</v>
      </c>
      <c r="D259" s="32">
        <v>297.94099999999997</v>
      </c>
      <c r="E259" s="38">
        <v>729.47900000000004</v>
      </c>
      <c r="F259" s="32">
        <v>1150</v>
      </c>
      <c r="G259" s="32">
        <v>100</v>
      </c>
      <c r="H259" s="40">
        <v>600</v>
      </c>
      <c r="I259" s="32">
        <v>695</v>
      </c>
      <c r="J259" s="32">
        <v>50</v>
      </c>
      <c r="K259" s="33"/>
      <c r="L259" s="33"/>
      <c r="M259" s="33"/>
      <c r="N259" s="33"/>
      <c r="O259" s="33"/>
      <c r="P259" s="33"/>
      <c r="Q259" s="33"/>
      <c r="R259" s="33"/>
      <c r="S259" s="33"/>
      <c r="T259" s="33"/>
    </row>
    <row r="260" spans="1:20" ht="15.75">
      <c r="A260" s="14">
        <v>49766</v>
      </c>
      <c r="B260" s="41">
        <v>30</v>
      </c>
      <c r="C260" s="32">
        <v>141.29300000000001</v>
      </c>
      <c r="D260" s="32">
        <v>267.99299999999999</v>
      </c>
      <c r="E260" s="38">
        <v>829.71400000000006</v>
      </c>
      <c r="F260" s="32">
        <v>1239</v>
      </c>
      <c r="G260" s="32">
        <v>100</v>
      </c>
      <c r="H260" s="40">
        <v>600</v>
      </c>
      <c r="I260" s="32">
        <v>695</v>
      </c>
      <c r="J260" s="32">
        <v>50</v>
      </c>
      <c r="K260" s="33"/>
      <c r="L260" s="33"/>
      <c r="M260" s="33"/>
      <c r="N260" s="33"/>
      <c r="O260" s="33"/>
      <c r="P260" s="33"/>
      <c r="Q260" s="33"/>
      <c r="R260" s="33"/>
      <c r="S260" s="33"/>
      <c r="T260" s="33"/>
    </row>
    <row r="261" spans="1:20" ht="15.75">
      <c r="A261" s="14">
        <v>49796</v>
      </c>
      <c r="B261" s="41">
        <v>31</v>
      </c>
      <c r="C261" s="32">
        <v>194.20500000000001</v>
      </c>
      <c r="D261" s="32">
        <v>267.46600000000001</v>
      </c>
      <c r="E261" s="38">
        <v>812.32899999999995</v>
      </c>
      <c r="F261" s="32">
        <v>1274</v>
      </c>
      <c r="G261" s="32">
        <v>75</v>
      </c>
      <c r="H261" s="40">
        <v>600</v>
      </c>
      <c r="I261" s="32">
        <v>695</v>
      </c>
      <c r="J261" s="32">
        <v>50</v>
      </c>
      <c r="K261" s="33"/>
      <c r="L261" s="33"/>
      <c r="M261" s="33"/>
      <c r="N261" s="33"/>
      <c r="O261" s="33"/>
      <c r="P261" s="33"/>
      <c r="Q261" s="33"/>
      <c r="R261" s="33"/>
      <c r="S261" s="33"/>
      <c r="T261" s="33"/>
    </row>
    <row r="262" spans="1:20" ht="15.75">
      <c r="A262" s="14">
        <v>49827</v>
      </c>
      <c r="B262" s="41">
        <v>30</v>
      </c>
      <c r="C262" s="32">
        <v>194.20500000000001</v>
      </c>
      <c r="D262" s="32">
        <v>267.46600000000001</v>
      </c>
      <c r="E262" s="38">
        <v>812.32899999999995</v>
      </c>
      <c r="F262" s="32">
        <v>1274</v>
      </c>
      <c r="G262" s="32">
        <v>50</v>
      </c>
      <c r="H262" s="40">
        <v>600</v>
      </c>
      <c r="I262" s="32">
        <v>695</v>
      </c>
      <c r="J262" s="32">
        <v>50</v>
      </c>
      <c r="K262" s="33"/>
      <c r="L262" s="33"/>
      <c r="M262" s="33"/>
      <c r="N262" s="33"/>
      <c r="O262" s="33"/>
      <c r="P262" s="33"/>
      <c r="Q262" s="33"/>
      <c r="R262" s="33"/>
      <c r="S262" s="33"/>
      <c r="T262" s="33"/>
    </row>
    <row r="263" spans="1:20" ht="15.75">
      <c r="A263" s="14">
        <v>49857</v>
      </c>
      <c r="B263" s="41">
        <v>31</v>
      </c>
      <c r="C263" s="32">
        <v>194.20500000000001</v>
      </c>
      <c r="D263" s="32">
        <v>267.46600000000001</v>
      </c>
      <c r="E263" s="38">
        <v>812.32899999999995</v>
      </c>
      <c r="F263" s="32">
        <v>1274</v>
      </c>
      <c r="G263" s="32">
        <v>50</v>
      </c>
      <c r="H263" s="40">
        <v>600</v>
      </c>
      <c r="I263" s="32">
        <v>695</v>
      </c>
      <c r="J263" s="32">
        <v>0</v>
      </c>
      <c r="K263" s="33"/>
      <c r="L263" s="33"/>
      <c r="M263" s="33"/>
      <c r="N263" s="33"/>
      <c r="O263" s="33"/>
      <c r="P263" s="33"/>
      <c r="Q263" s="33"/>
      <c r="R263" s="33"/>
      <c r="S263" s="33"/>
      <c r="T263" s="33"/>
    </row>
    <row r="264" spans="1:20" ht="15.75">
      <c r="A264" s="14">
        <v>49888</v>
      </c>
      <c r="B264" s="41">
        <v>31</v>
      </c>
      <c r="C264" s="32">
        <v>194.20500000000001</v>
      </c>
      <c r="D264" s="32">
        <v>267.46600000000001</v>
      </c>
      <c r="E264" s="38">
        <v>812.32899999999995</v>
      </c>
      <c r="F264" s="32">
        <v>1274</v>
      </c>
      <c r="G264" s="32">
        <v>50</v>
      </c>
      <c r="H264" s="40">
        <v>600</v>
      </c>
      <c r="I264" s="32">
        <v>695</v>
      </c>
      <c r="J264" s="32">
        <v>0</v>
      </c>
      <c r="K264" s="33"/>
      <c r="L264" s="33"/>
      <c r="M264" s="33"/>
      <c r="N264" s="33"/>
      <c r="O264" s="33"/>
      <c r="P264" s="33"/>
      <c r="Q264" s="33"/>
      <c r="R264" s="33"/>
      <c r="S264" s="33"/>
      <c r="T264" s="33"/>
    </row>
    <row r="265" spans="1:20" ht="15.75">
      <c r="A265" s="14">
        <v>49919</v>
      </c>
      <c r="B265" s="41">
        <v>30</v>
      </c>
      <c r="C265" s="32">
        <v>194.20500000000001</v>
      </c>
      <c r="D265" s="32">
        <v>267.46600000000001</v>
      </c>
      <c r="E265" s="38">
        <v>812.32899999999995</v>
      </c>
      <c r="F265" s="32">
        <v>1274</v>
      </c>
      <c r="G265" s="32">
        <v>50</v>
      </c>
      <c r="H265" s="40">
        <v>600</v>
      </c>
      <c r="I265" s="32">
        <v>695</v>
      </c>
      <c r="J265" s="32">
        <v>0</v>
      </c>
      <c r="K265" s="33"/>
      <c r="L265" s="33"/>
      <c r="M265" s="33"/>
      <c r="N265" s="33"/>
      <c r="O265" s="33"/>
      <c r="P265" s="33"/>
      <c r="Q265" s="33"/>
      <c r="R265" s="33"/>
      <c r="S265" s="33"/>
      <c r="T265" s="33"/>
    </row>
    <row r="266" spans="1:20" ht="15.75">
      <c r="A266" s="14">
        <v>49949</v>
      </c>
      <c r="B266" s="41">
        <v>31</v>
      </c>
      <c r="C266" s="32">
        <v>131.881</v>
      </c>
      <c r="D266" s="32">
        <v>277.16699999999997</v>
      </c>
      <c r="E266" s="38">
        <v>829.952</v>
      </c>
      <c r="F266" s="32">
        <v>1239</v>
      </c>
      <c r="G266" s="32">
        <v>75</v>
      </c>
      <c r="H266" s="40">
        <v>600</v>
      </c>
      <c r="I266" s="32">
        <v>695</v>
      </c>
      <c r="J266" s="32">
        <v>0</v>
      </c>
      <c r="K266" s="33"/>
      <c r="L266" s="33"/>
      <c r="M266" s="33"/>
      <c r="N266" s="33"/>
      <c r="O266" s="33"/>
      <c r="P266" s="33"/>
      <c r="Q266" s="33"/>
      <c r="R266" s="33"/>
      <c r="S266" s="33"/>
      <c r="T266" s="33"/>
    </row>
    <row r="267" spans="1:20" ht="15.75">
      <c r="A267" s="14">
        <v>49980</v>
      </c>
      <c r="B267" s="41">
        <v>30</v>
      </c>
      <c r="C267" s="32">
        <v>122.58</v>
      </c>
      <c r="D267" s="32">
        <v>297.94099999999997</v>
      </c>
      <c r="E267" s="38">
        <v>729.47900000000004</v>
      </c>
      <c r="F267" s="32">
        <v>1150</v>
      </c>
      <c r="G267" s="32">
        <v>100</v>
      </c>
      <c r="H267" s="40">
        <v>600</v>
      </c>
      <c r="I267" s="32">
        <v>695</v>
      </c>
      <c r="J267" s="32">
        <v>50</v>
      </c>
      <c r="K267" s="33"/>
      <c r="L267" s="33"/>
      <c r="M267" s="33"/>
      <c r="N267" s="33"/>
      <c r="O267" s="33"/>
      <c r="P267" s="33"/>
      <c r="Q267" s="33"/>
      <c r="R267" s="33"/>
      <c r="S267" s="33"/>
      <c r="T267" s="33"/>
    </row>
    <row r="268" spans="1:20" ht="15.75">
      <c r="A268" s="14">
        <v>50010</v>
      </c>
      <c r="B268" s="41">
        <v>31</v>
      </c>
      <c r="C268" s="32">
        <v>122.58</v>
      </c>
      <c r="D268" s="32">
        <v>297.94099999999997</v>
      </c>
      <c r="E268" s="38">
        <v>729.47900000000004</v>
      </c>
      <c r="F268" s="32">
        <v>1150</v>
      </c>
      <c r="G268" s="32">
        <v>100</v>
      </c>
      <c r="H268" s="40">
        <v>600</v>
      </c>
      <c r="I268" s="32">
        <v>695</v>
      </c>
      <c r="J268" s="32">
        <v>50</v>
      </c>
      <c r="K268" s="33"/>
      <c r="L268" s="33"/>
      <c r="M268" s="33"/>
      <c r="N268" s="33"/>
      <c r="O268" s="33"/>
      <c r="P268" s="33"/>
      <c r="Q268" s="33"/>
      <c r="R268" s="33"/>
      <c r="S268" s="33"/>
      <c r="T268" s="33"/>
    </row>
    <row r="269" spans="1:20" ht="15.75">
      <c r="A269" s="14">
        <v>50041</v>
      </c>
      <c r="B269" s="41">
        <v>31</v>
      </c>
      <c r="C269" s="32">
        <v>122.58</v>
      </c>
      <c r="D269" s="32">
        <v>297.94099999999997</v>
      </c>
      <c r="E269" s="38">
        <v>729.47900000000004</v>
      </c>
      <c r="F269" s="32">
        <v>1150</v>
      </c>
      <c r="G269" s="32">
        <v>100</v>
      </c>
      <c r="H269" s="40">
        <v>600</v>
      </c>
      <c r="I269" s="32">
        <v>695</v>
      </c>
      <c r="J269" s="32">
        <v>50</v>
      </c>
      <c r="K269" s="33"/>
      <c r="L269" s="33"/>
      <c r="M269" s="33"/>
      <c r="N269" s="33"/>
      <c r="O269" s="33"/>
      <c r="P269" s="33"/>
      <c r="Q269" s="33"/>
      <c r="R269" s="33"/>
      <c r="S269" s="33"/>
      <c r="T269" s="33"/>
    </row>
    <row r="270" spans="1:20" ht="15.75">
      <c r="A270" s="14">
        <v>50072</v>
      </c>
      <c r="B270" s="41">
        <v>28</v>
      </c>
      <c r="C270" s="32">
        <v>122.58</v>
      </c>
      <c r="D270" s="32">
        <v>297.94099999999997</v>
      </c>
      <c r="E270" s="38">
        <v>729.47900000000004</v>
      </c>
      <c r="F270" s="32">
        <v>1150</v>
      </c>
      <c r="G270" s="32">
        <v>100</v>
      </c>
      <c r="H270" s="40">
        <v>600</v>
      </c>
      <c r="I270" s="32">
        <v>695</v>
      </c>
      <c r="J270" s="32">
        <v>50</v>
      </c>
      <c r="K270" s="33"/>
      <c r="L270" s="33"/>
      <c r="M270" s="33"/>
      <c r="N270" s="33"/>
      <c r="O270" s="33"/>
      <c r="P270" s="33"/>
      <c r="Q270" s="33"/>
      <c r="R270" s="33"/>
      <c r="S270" s="33"/>
      <c r="T270" s="33"/>
    </row>
    <row r="271" spans="1:20" ht="15.75">
      <c r="A271" s="14">
        <v>50100</v>
      </c>
      <c r="B271" s="41">
        <v>31</v>
      </c>
      <c r="C271" s="32">
        <v>122.58</v>
      </c>
      <c r="D271" s="32">
        <v>297.94099999999997</v>
      </c>
      <c r="E271" s="38">
        <v>729.47900000000004</v>
      </c>
      <c r="F271" s="32">
        <v>1150</v>
      </c>
      <c r="G271" s="32">
        <v>100</v>
      </c>
      <c r="H271" s="40">
        <v>600</v>
      </c>
      <c r="I271" s="32">
        <v>695</v>
      </c>
      <c r="J271" s="32">
        <v>50</v>
      </c>
      <c r="K271" s="33"/>
      <c r="L271" s="33"/>
      <c r="M271" s="33"/>
      <c r="N271" s="33"/>
      <c r="O271" s="33"/>
      <c r="P271" s="33"/>
      <c r="Q271" s="33"/>
      <c r="R271" s="33"/>
      <c r="S271" s="33"/>
      <c r="T271" s="33"/>
    </row>
    <row r="272" spans="1:20" ht="15.75">
      <c r="A272" s="14">
        <v>50131</v>
      </c>
      <c r="B272" s="41">
        <v>30</v>
      </c>
      <c r="C272" s="32">
        <v>141.29300000000001</v>
      </c>
      <c r="D272" s="32">
        <v>267.99299999999999</v>
      </c>
      <c r="E272" s="38">
        <v>829.71400000000006</v>
      </c>
      <c r="F272" s="32">
        <v>1239</v>
      </c>
      <c r="G272" s="32">
        <v>100</v>
      </c>
      <c r="H272" s="40">
        <v>600</v>
      </c>
      <c r="I272" s="32">
        <v>695</v>
      </c>
      <c r="J272" s="32">
        <v>50</v>
      </c>
      <c r="K272" s="33"/>
      <c r="L272" s="33"/>
      <c r="M272" s="33"/>
      <c r="N272" s="33"/>
      <c r="O272" s="33"/>
      <c r="P272" s="33"/>
      <c r="Q272" s="33"/>
      <c r="R272" s="33"/>
      <c r="S272" s="33"/>
      <c r="T272" s="33"/>
    </row>
    <row r="273" spans="1:20" ht="15.75">
      <c r="A273" s="14">
        <v>50161</v>
      </c>
      <c r="B273" s="41">
        <v>31</v>
      </c>
      <c r="C273" s="32">
        <v>194.20500000000001</v>
      </c>
      <c r="D273" s="32">
        <v>267.46600000000001</v>
      </c>
      <c r="E273" s="38">
        <v>812.32899999999995</v>
      </c>
      <c r="F273" s="32">
        <v>1274</v>
      </c>
      <c r="G273" s="32">
        <v>75</v>
      </c>
      <c r="H273" s="40">
        <v>600</v>
      </c>
      <c r="I273" s="32">
        <v>695</v>
      </c>
      <c r="J273" s="32">
        <v>50</v>
      </c>
      <c r="K273" s="33"/>
      <c r="L273" s="33"/>
      <c r="M273" s="33"/>
      <c r="N273" s="33"/>
      <c r="O273" s="33"/>
      <c r="P273" s="33"/>
      <c r="Q273" s="33"/>
      <c r="R273" s="33"/>
      <c r="S273" s="33"/>
      <c r="T273" s="33"/>
    </row>
    <row r="274" spans="1:20" ht="15.75">
      <c r="A274" s="14">
        <v>50192</v>
      </c>
      <c r="B274" s="41">
        <v>30</v>
      </c>
      <c r="C274" s="32">
        <v>194.20500000000001</v>
      </c>
      <c r="D274" s="32">
        <v>267.46600000000001</v>
      </c>
      <c r="E274" s="38">
        <v>812.32899999999995</v>
      </c>
      <c r="F274" s="32">
        <v>1274</v>
      </c>
      <c r="G274" s="32">
        <v>50</v>
      </c>
      <c r="H274" s="40">
        <v>600</v>
      </c>
      <c r="I274" s="32">
        <v>695</v>
      </c>
      <c r="J274" s="32">
        <v>50</v>
      </c>
      <c r="K274" s="33"/>
      <c r="L274" s="33"/>
      <c r="M274" s="33"/>
      <c r="N274" s="33"/>
      <c r="O274" s="33"/>
      <c r="P274" s="33"/>
      <c r="Q274" s="33"/>
      <c r="R274" s="33"/>
      <c r="S274" s="33"/>
      <c r="T274" s="33"/>
    </row>
    <row r="275" spans="1:20" ht="15.75">
      <c r="A275" s="14">
        <v>50222</v>
      </c>
      <c r="B275" s="41">
        <v>31</v>
      </c>
      <c r="C275" s="32">
        <v>194.20500000000001</v>
      </c>
      <c r="D275" s="32">
        <v>267.46600000000001</v>
      </c>
      <c r="E275" s="38">
        <v>812.32899999999995</v>
      </c>
      <c r="F275" s="32">
        <v>1274</v>
      </c>
      <c r="G275" s="32">
        <v>50</v>
      </c>
      <c r="H275" s="40">
        <v>600</v>
      </c>
      <c r="I275" s="32">
        <v>695</v>
      </c>
      <c r="J275" s="32">
        <v>0</v>
      </c>
      <c r="K275" s="33"/>
      <c r="L275" s="33"/>
      <c r="M275" s="33"/>
      <c r="N275" s="33"/>
      <c r="O275" s="33"/>
      <c r="P275" s="33"/>
      <c r="Q275" s="33"/>
      <c r="R275" s="33"/>
      <c r="S275" s="33"/>
      <c r="T275" s="33"/>
    </row>
    <row r="276" spans="1:20" ht="15.75">
      <c r="A276" s="14">
        <v>50253</v>
      </c>
      <c r="B276" s="41">
        <v>31</v>
      </c>
      <c r="C276" s="32">
        <v>194.20500000000001</v>
      </c>
      <c r="D276" s="32">
        <v>267.46600000000001</v>
      </c>
      <c r="E276" s="38">
        <v>812.32899999999995</v>
      </c>
      <c r="F276" s="32">
        <v>1274</v>
      </c>
      <c r="G276" s="32">
        <v>50</v>
      </c>
      <c r="H276" s="40">
        <v>600</v>
      </c>
      <c r="I276" s="32">
        <v>695</v>
      </c>
      <c r="J276" s="32">
        <v>0</v>
      </c>
      <c r="K276" s="33"/>
      <c r="L276" s="33"/>
      <c r="M276" s="33"/>
      <c r="N276" s="33"/>
      <c r="O276" s="33"/>
      <c r="P276" s="33"/>
      <c r="Q276" s="33"/>
      <c r="R276" s="33"/>
      <c r="S276" s="33"/>
      <c r="T276" s="33"/>
    </row>
    <row r="277" spans="1:20" ht="15.75">
      <c r="A277" s="14">
        <v>50284</v>
      </c>
      <c r="B277" s="41">
        <v>30</v>
      </c>
      <c r="C277" s="32">
        <v>194.20500000000001</v>
      </c>
      <c r="D277" s="32">
        <v>267.46600000000001</v>
      </c>
      <c r="E277" s="38">
        <v>812.32899999999995</v>
      </c>
      <c r="F277" s="32">
        <v>1274</v>
      </c>
      <c r="G277" s="32">
        <v>50</v>
      </c>
      <c r="H277" s="40">
        <v>600</v>
      </c>
      <c r="I277" s="32">
        <v>695</v>
      </c>
      <c r="J277" s="32">
        <v>0</v>
      </c>
      <c r="K277" s="33"/>
      <c r="L277" s="33"/>
      <c r="M277" s="33"/>
      <c r="N277" s="33"/>
      <c r="O277" s="33"/>
      <c r="P277" s="33"/>
      <c r="Q277" s="33"/>
      <c r="R277" s="33"/>
      <c r="S277" s="33"/>
      <c r="T277" s="33"/>
    </row>
    <row r="278" spans="1:20" ht="15.75">
      <c r="A278" s="14">
        <v>50314</v>
      </c>
      <c r="B278" s="41">
        <v>31</v>
      </c>
      <c r="C278" s="32">
        <v>131.881</v>
      </c>
      <c r="D278" s="32">
        <v>277.16699999999997</v>
      </c>
      <c r="E278" s="38">
        <v>829.952</v>
      </c>
      <c r="F278" s="32">
        <v>1239</v>
      </c>
      <c r="G278" s="32">
        <v>75</v>
      </c>
      <c r="H278" s="40">
        <v>600</v>
      </c>
      <c r="I278" s="32">
        <v>695</v>
      </c>
      <c r="J278" s="32">
        <v>0</v>
      </c>
      <c r="K278" s="33"/>
      <c r="L278" s="33"/>
      <c r="M278" s="33"/>
      <c r="N278" s="33"/>
      <c r="O278" s="33"/>
      <c r="P278" s="33"/>
      <c r="Q278" s="33"/>
      <c r="R278" s="33"/>
      <c r="S278" s="33"/>
      <c r="T278" s="33"/>
    </row>
    <row r="279" spans="1:20" ht="15.75">
      <c r="A279" s="14">
        <v>50345</v>
      </c>
      <c r="B279" s="41">
        <v>30</v>
      </c>
      <c r="C279" s="32">
        <v>122.58</v>
      </c>
      <c r="D279" s="32">
        <v>297.94099999999997</v>
      </c>
      <c r="E279" s="38">
        <v>729.47900000000004</v>
      </c>
      <c r="F279" s="32">
        <v>1150</v>
      </c>
      <c r="G279" s="32">
        <v>100</v>
      </c>
      <c r="H279" s="40">
        <v>600</v>
      </c>
      <c r="I279" s="32">
        <v>695</v>
      </c>
      <c r="J279" s="32">
        <v>50</v>
      </c>
      <c r="K279" s="33"/>
      <c r="L279" s="33"/>
      <c r="M279" s="33"/>
      <c r="N279" s="33"/>
      <c r="O279" s="33"/>
      <c r="P279" s="33"/>
      <c r="Q279" s="33"/>
      <c r="R279" s="33"/>
      <c r="S279" s="33"/>
      <c r="T279" s="33"/>
    </row>
    <row r="280" spans="1:20" ht="15.75">
      <c r="A280" s="14">
        <v>50375</v>
      </c>
      <c r="B280" s="41">
        <v>31</v>
      </c>
      <c r="C280" s="32">
        <v>122.58</v>
      </c>
      <c r="D280" s="32">
        <v>297.94099999999997</v>
      </c>
      <c r="E280" s="38">
        <v>729.47900000000004</v>
      </c>
      <c r="F280" s="32">
        <v>1150</v>
      </c>
      <c r="G280" s="32">
        <v>100</v>
      </c>
      <c r="H280" s="40">
        <v>600</v>
      </c>
      <c r="I280" s="32">
        <v>695</v>
      </c>
      <c r="J280" s="32">
        <v>50</v>
      </c>
      <c r="K280" s="33"/>
      <c r="L280" s="33"/>
      <c r="M280" s="33"/>
      <c r="N280" s="33"/>
      <c r="O280" s="33"/>
      <c r="P280" s="33"/>
      <c r="Q280" s="33"/>
      <c r="R280" s="33"/>
      <c r="S280" s="33"/>
      <c r="T280" s="33"/>
    </row>
    <row r="281" spans="1:20" ht="15.75">
      <c r="A281" s="13">
        <v>50436</v>
      </c>
      <c r="B281" s="41">
        <v>31</v>
      </c>
      <c r="C281" s="32">
        <v>122.58</v>
      </c>
      <c r="D281" s="32">
        <v>297.94099999999997</v>
      </c>
      <c r="E281" s="38">
        <v>729.47900000000004</v>
      </c>
      <c r="F281" s="32">
        <v>1150</v>
      </c>
      <c r="G281" s="32">
        <v>100</v>
      </c>
      <c r="H281" s="40">
        <v>600</v>
      </c>
      <c r="I281" s="32">
        <v>695</v>
      </c>
      <c r="J281" s="32">
        <v>50</v>
      </c>
      <c r="K281" s="33"/>
      <c r="L281" s="33"/>
      <c r="M281" s="33"/>
      <c r="N281" s="33"/>
      <c r="O281" s="33"/>
      <c r="P281" s="33"/>
      <c r="Q281" s="33"/>
      <c r="R281" s="33"/>
      <c r="S281" s="33"/>
      <c r="T281" s="33"/>
    </row>
    <row r="282" spans="1:20" ht="15.75">
      <c r="A282" s="13">
        <v>50464</v>
      </c>
      <c r="B282" s="41">
        <v>28</v>
      </c>
      <c r="C282" s="32">
        <v>122.58</v>
      </c>
      <c r="D282" s="32">
        <v>297.94099999999997</v>
      </c>
      <c r="E282" s="38">
        <v>729.47900000000004</v>
      </c>
      <c r="F282" s="32">
        <v>1150</v>
      </c>
      <c r="G282" s="32">
        <v>100</v>
      </c>
      <c r="H282" s="40">
        <v>600</v>
      </c>
      <c r="I282" s="32">
        <v>695</v>
      </c>
      <c r="J282" s="32">
        <v>50</v>
      </c>
      <c r="K282" s="33"/>
      <c r="L282" s="33"/>
      <c r="M282" s="33"/>
      <c r="N282" s="33"/>
      <c r="O282" s="33"/>
      <c r="P282" s="33"/>
      <c r="Q282" s="33"/>
      <c r="R282" s="33"/>
      <c r="S282" s="33"/>
      <c r="T282" s="33"/>
    </row>
    <row r="283" spans="1:20" ht="15.75">
      <c r="A283" s="13">
        <v>50495</v>
      </c>
      <c r="B283" s="41">
        <v>31</v>
      </c>
      <c r="C283" s="32">
        <v>122.58</v>
      </c>
      <c r="D283" s="32">
        <v>297.94099999999997</v>
      </c>
      <c r="E283" s="38">
        <v>729.47900000000004</v>
      </c>
      <c r="F283" s="32">
        <v>1150</v>
      </c>
      <c r="G283" s="32">
        <v>100</v>
      </c>
      <c r="H283" s="40">
        <v>600</v>
      </c>
      <c r="I283" s="32">
        <v>695</v>
      </c>
      <c r="J283" s="32">
        <v>50</v>
      </c>
      <c r="K283" s="33"/>
      <c r="L283" s="33"/>
      <c r="M283" s="33"/>
      <c r="N283" s="33"/>
      <c r="O283" s="33"/>
      <c r="P283" s="33"/>
      <c r="Q283" s="33"/>
      <c r="R283" s="33"/>
      <c r="S283" s="33"/>
      <c r="T283" s="33"/>
    </row>
    <row r="284" spans="1:20" ht="15.75">
      <c r="A284" s="13">
        <v>50525</v>
      </c>
      <c r="B284" s="41">
        <v>30</v>
      </c>
      <c r="C284" s="32">
        <v>141.29300000000001</v>
      </c>
      <c r="D284" s="32">
        <v>267.99299999999999</v>
      </c>
      <c r="E284" s="38">
        <v>829.71400000000006</v>
      </c>
      <c r="F284" s="32">
        <v>1239</v>
      </c>
      <c r="G284" s="32">
        <v>100</v>
      </c>
      <c r="H284" s="40">
        <v>600</v>
      </c>
      <c r="I284" s="32">
        <v>695</v>
      </c>
      <c r="J284" s="32">
        <v>50</v>
      </c>
      <c r="K284" s="33"/>
      <c r="L284" s="33"/>
      <c r="M284" s="33"/>
      <c r="N284" s="33"/>
      <c r="O284" s="33"/>
      <c r="P284" s="33"/>
      <c r="Q284" s="33"/>
      <c r="R284" s="33"/>
      <c r="S284" s="33"/>
      <c r="T284" s="33"/>
    </row>
    <row r="285" spans="1:20" ht="15.75">
      <c r="A285" s="13">
        <v>50556</v>
      </c>
      <c r="B285" s="41">
        <v>31</v>
      </c>
      <c r="C285" s="32">
        <v>194.20500000000001</v>
      </c>
      <c r="D285" s="32">
        <v>267.46600000000001</v>
      </c>
      <c r="E285" s="38">
        <v>812.32899999999995</v>
      </c>
      <c r="F285" s="32">
        <v>1274</v>
      </c>
      <c r="G285" s="32">
        <v>75</v>
      </c>
      <c r="H285" s="40">
        <v>600</v>
      </c>
      <c r="I285" s="32">
        <v>695</v>
      </c>
      <c r="J285" s="32">
        <v>50</v>
      </c>
      <c r="K285" s="33"/>
      <c r="L285" s="33"/>
      <c r="M285" s="33"/>
      <c r="N285" s="33"/>
      <c r="O285" s="33"/>
      <c r="P285" s="33"/>
      <c r="Q285" s="33"/>
      <c r="R285" s="33"/>
      <c r="S285" s="33"/>
      <c r="T285" s="33"/>
    </row>
    <row r="286" spans="1:20" ht="15.75">
      <c r="A286" s="13">
        <v>50586</v>
      </c>
      <c r="B286" s="41">
        <v>30</v>
      </c>
      <c r="C286" s="32">
        <v>194.20500000000001</v>
      </c>
      <c r="D286" s="32">
        <v>267.46600000000001</v>
      </c>
      <c r="E286" s="38">
        <v>812.32899999999995</v>
      </c>
      <c r="F286" s="32">
        <v>1274</v>
      </c>
      <c r="G286" s="32">
        <v>50</v>
      </c>
      <c r="H286" s="40">
        <v>600</v>
      </c>
      <c r="I286" s="32">
        <v>695</v>
      </c>
      <c r="J286" s="32">
        <v>50</v>
      </c>
      <c r="K286" s="33"/>
      <c r="L286" s="33"/>
      <c r="M286" s="33"/>
      <c r="N286" s="33"/>
      <c r="O286" s="33"/>
      <c r="P286" s="33"/>
      <c r="Q286" s="33"/>
      <c r="R286" s="33"/>
      <c r="S286" s="33"/>
      <c r="T286" s="33"/>
    </row>
    <row r="287" spans="1:20" ht="15.75">
      <c r="A287" s="13">
        <v>50617</v>
      </c>
      <c r="B287" s="41">
        <v>31</v>
      </c>
      <c r="C287" s="32">
        <v>194.20500000000001</v>
      </c>
      <c r="D287" s="32">
        <v>267.46600000000001</v>
      </c>
      <c r="E287" s="38">
        <v>812.32899999999995</v>
      </c>
      <c r="F287" s="32">
        <v>1274</v>
      </c>
      <c r="G287" s="32">
        <v>50</v>
      </c>
      <c r="H287" s="40">
        <v>600</v>
      </c>
      <c r="I287" s="32">
        <v>695</v>
      </c>
      <c r="J287" s="32">
        <v>0</v>
      </c>
      <c r="K287" s="33"/>
      <c r="L287" s="33"/>
      <c r="M287" s="33"/>
      <c r="N287" s="33"/>
      <c r="O287" s="33"/>
      <c r="P287" s="33"/>
      <c r="Q287" s="33"/>
      <c r="R287" s="33"/>
      <c r="S287" s="33"/>
      <c r="T287" s="33"/>
    </row>
    <row r="288" spans="1:20" ht="15.75">
      <c r="A288" s="13">
        <v>50648</v>
      </c>
      <c r="B288" s="41">
        <v>31</v>
      </c>
      <c r="C288" s="32">
        <v>194.20500000000001</v>
      </c>
      <c r="D288" s="32">
        <v>267.46600000000001</v>
      </c>
      <c r="E288" s="38">
        <v>812.32899999999995</v>
      </c>
      <c r="F288" s="32">
        <v>1274</v>
      </c>
      <c r="G288" s="32">
        <v>50</v>
      </c>
      <c r="H288" s="40">
        <v>600</v>
      </c>
      <c r="I288" s="32">
        <v>695</v>
      </c>
      <c r="J288" s="32">
        <v>0</v>
      </c>
      <c r="K288" s="33"/>
      <c r="L288" s="33"/>
      <c r="M288" s="33"/>
      <c r="N288" s="33"/>
      <c r="O288" s="33"/>
      <c r="P288" s="33"/>
      <c r="Q288" s="33"/>
      <c r="R288" s="33"/>
      <c r="S288" s="33"/>
      <c r="T288" s="33"/>
    </row>
    <row r="289" spans="1:20" ht="15.75">
      <c r="A289" s="13">
        <v>50678</v>
      </c>
      <c r="B289" s="41">
        <v>30</v>
      </c>
      <c r="C289" s="32">
        <v>194.20500000000001</v>
      </c>
      <c r="D289" s="32">
        <v>267.46600000000001</v>
      </c>
      <c r="E289" s="38">
        <v>812.32899999999995</v>
      </c>
      <c r="F289" s="32">
        <v>1274</v>
      </c>
      <c r="G289" s="32">
        <v>50</v>
      </c>
      <c r="H289" s="40">
        <v>600</v>
      </c>
      <c r="I289" s="32">
        <v>695</v>
      </c>
      <c r="J289" s="32">
        <v>0</v>
      </c>
      <c r="K289" s="33"/>
      <c r="L289" s="33"/>
      <c r="M289" s="33"/>
      <c r="N289" s="33"/>
      <c r="O289" s="33"/>
      <c r="P289" s="33"/>
      <c r="Q289" s="33"/>
      <c r="R289" s="33"/>
      <c r="S289" s="33"/>
      <c r="T289" s="33"/>
    </row>
    <row r="290" spans="1:20" ht="15.75">
      <c r="A290" s="13">
        <v>50709</v>
      </c>
      <c r="B290" s="41">
        <v>31</v>
      </c>
      <c r="C290" s="32">
        <v>131.881</v>
      </c>
      <c r="D290" s="32">
        <v>277.16699999999997</v>
      </c>
      <c r="E290" s="38">
        <v>829.952</v>
      </c>
      <c r="F290" s="32">
        <v>1239</v>
      </c>
      <c r="G290" s="32">
        <v>75</v>
      </c>
      <c r="H290" s="40">
        <v>600</v>
      </c>
      <c r="I290" s="32">
        <v>695</v>
      </c>
      <c r="J290" s="32">
        <v>0</v>
      </c>
      <c r="K290" s="33"/>
      <c r="L290" s="33"/>
      <c r="M290" s="33"/>
      <c r="N290" s="33"/>
      <c r="O290" s="33"/>
      <c r="P290" s="33"/>
      <c r="Q290" s="33"/>
      <c r="R290" s="33"/>
      <c r="S290" s="33"/>
      <c r="T290" s="33"/>
    </row>
    <row r="291" spans="1:20" ht="15.75">
      <c r="A291" s="13">
        <v>50739</v>
      </c>
      <c r="B291" s="41">
        <v>30</v>
      </c>
      <c r="C291" s="32">
        <v>122.58</v>
      </c>
      <c r="D291" s="32">
        <v>297.94099999999997</v>
      </c>
      <c r="E291" s="38">
        <v>729.47900000000004</v>
      </c>
      <c r="F291" s="32">
        <v>1150</v>
      </c>
      <c r="G291" s="32">
        <v>100</v>
      </c>
      <c r="H291" s="40">
        <v>600</v>
      </c>
      <c r="I291" s="32">
        <v>695</v>
      </c>
      <c r="J291" s="32">
        <v>50</v>
      </c>
      <c r="K291" s="33"/>
      <c r="L291" s="33"/>
      <c r="M291" s="33"/>
      <c r="N291" s="33"/>
      <c r="O291" s="33"/>
      <c r="P291" s="33"/>
      <c r="Q291" s="33"/>
      <c r="R291" s="33"/>
      <c r="S291" s="33"/>
      <c r="T291" s="33"/>
    </row>
    <row r="292" spans="1:20" ht="15.75">
      <c r="A292" s="13">
        <v>50770</v>
      </c>
      <c r="B292" s="41">
        <v>31</v>
      </c>
      <c r="C292" s="32">
        <v>122.58</v>
      </c>
      <c r="D292" s="32">
        <v>297.94099999999997</v>
      </c>
      <c r="E292" s="38">
        <v>729.47900000000004</v>
      </c>
      <c r="F292" s="32">
        <v>1150</v>
      </c>
      <c r="G292" s="32">
        <v>100</v>
      </c>
      <c r="H292" s="40">
        <v>600</v>
      </c>
      <c r="I292" s="32">
        <v>695</v>
      </c>
      <c r="J292" s="32">
        <v>50</v>
      </c>
      <c r="K292" s="33"/>
      <c r="L292" s="33"/>
      <c r="M292" s="33"/>
      <c r="N292" s="33"/>
      <c r="O292" s="33"/>
      <c r="P292" s="33"/>
      <c r="Q292" s="33"/>
      <c r="R292" s="33"/>
      <c r="S292" s="33"/>
      <c r="T292" s="33"/>
    </row>
    <row r="293" spans="1:20" ht="15.75">
      <c r="A293" s="13">
        <v>50801</v>
      </c>
      <c r="B293" s="41">
        <v>31</v>
      </c>
      <c r="C293" s="32">
        <v>122.58</v>
      </c>
      <c r="D293" s="32">
        <v>297.94099999999997</v>
      </c>
      <c r="E293" s="38">
        <v>729.47900000000004</v>
      </c>
      <c r="F293" s="32">
        <v>1150</v>
      </c>
      <c r="G293" s="32">
        <v>100</v>
      </c>
      <c r="H293" s="40">
        <v>600</v>
      </c>
      <c r="I293" s="32">
        <v>695</v>
      </c>
      <c r="J293" s="32">
        <v>50</v>
      </c>
      <c r="K293" s="33"/>
      <c r="L293" s="33"/>
      <c r="M293" s="33"/>
      <c r="N293" s="33"/>
      <c r="O293" s="33"/>
      <c r="P293" s="33"/>
      <c r="Q293" s="33"/>
      <c r="R293" s="33"/>
      <c r="S293" s="33"/>
      <c r="T293" s="33"/>
    </row>
    <row r="294" spans="1:20" ht="15.75">
      <c r="A294" s="13">
        <v>50829</v>
      </c>
      <c r="B294" s="41">
        <v>28</v>
      </c>
      <c r="C294" s="32">
        <v>122.58</v>
      </c>
      <c r="D294" s="32">
        <v>297.94099999999997</v>
      </c>
      <c r="E294" s="38">
        <v>729.47900000000004</v>
      </c>
      <c r="F294" s="32">
        <v>1150</v>
      </c>
      <c r="G294" s="32">
        <v>100</v>
      </c>
      <c r="H294" s="40">
        <v>600</v>
      </c>
      <c r="I294" s="32">
        <v>695</v>
      </c>
      <c r="J294" s="32">
        <v>50</v>
      </c>
      <c r="K294" s="33"/>
      <c r="L294" s="33"/>
      <c r="M294" s="33"/>
      <c r="N294" s="33"/>
      <c r="O294" s="33"/>
      <c r="P294" s="33"/>
      <c r="Q294" s="33"/>
      <c r="R294" s="33"/>
      <c r="S294" s="33"/>
      <c r="T294" s="33"/>
    </row>
    <row r="295" spans="1:20" ht="15.75">
      <c r="A295" s="13">
        <v>50860</v>
      </c>
      <c r="B295" s="41">
        <v>31</v>
      </c>
      <c r="C295" s="32">
        <v>122.58</v>
      </c>
      <c r="D295" s="32">
        <v>297.94099999999997</v>
      </c>
      <c r="E295" s="38">
        <v>729.47900000000004</v>
      </c>
      <c r="F295" s="32">
        <v>1150</v>
      </c>
      <c r="G295" s="32">
        <v>100</v>
      </c>
      <c r="H295" s="40">
        <v>600</v>
      </c>
      <c r="I295" s="32">
        <v>695</v>
      </c>
      <c r="J295" s="32">
        <v>50</v>
      </c>
      <c r="K295" s="33"/>
      <c r="L295" s="33"/>
      <c r="M295" s="33"/>
      <c r="N295" s="33"/>
      <c r="O295" s="33"/>
      <c r="P295" s="33"/>
      <c r="Q295" s="33"/>
      <c r="R295" s="33"/>
      <c r="S295" s="33"/>
      <c r="T295" s="33"/>
    </row>
    <row r="296" spans="1:20" ht="15.75">
      <c r="A296" s="13">
        <v>50890</v>
      </c>
      <c r="B296" s="41">
        <v>30</v>
      </c>
      <c r="C296" s="32">
        <v>141.29300000000001</v>
      </c>
      <c r="D296" s="32">
        <v>267.99299999999999</v>
      </c>
      <c r="E296" s="38">
        <v>829.71400000000006</v>
      </c>
      <c r="F296" s="32">
        <v>1239</v>
      </c>
      <c r="G296" s="32">
        <v>100</v>
      </c>
      <c r="H296" s="40">
        <v>600</v>
      </c>
      <c r="I296" s="32">
        <v>695</v>
      </c>
      <c r="J296" s="32">
        <v>50</v>
      </c>
      <c r="K296" s="33"/>
      <c r="L296" s="33"/>
      <c r="M296" s="33"/>
      <c r="N296" s="33"/>
      <c r="O296" s="33"/>
      <c r="P296" s="33"/>
      <c r="Q296" s="33"/>
      <c r="R296" s="33"/>
      <c r="S296" s="33"/>
      <c r="T296" s="33"/>
    </row>
    <row r="297" spans="1:20" ht="15.75">
      <c r="A297" s="13">
        <v>50921</v>
      </c>
      <c r="B297" s="41">
        <v>31</v>
      </c>
      <c r="C297" s="32">
        <v>194.20500000000001</v>
      </c>
      <c r="D297" s="32">
        <v>267.46600000000001</v>
      </c>
      <c r="E297" s="38">
        <v>812.32899999999995</v>
      </c>
      <c r="F297" s="32">
        <v>1274</v>
      </c>
      <c r="G297" s="32">
        <v>75</v>
      </c>
      <c r="H297" s="40">
        <v>600</v>
      </c>
      <c r="I297" s="32">
        <v>695</v>
      </c>
      <c r="J297" s="32">
        <v>50</v>
      </c>
      <c r="K297" s="33"/>
      <c r="L297" s="33"/>
      <c r="M297" s="33"/>
      <c r="N297" s="33"/>
      <c r="O297" s="33"/>
      <c r="P297" s="33"/>
      <c r="Q297" s="33"/>
      <c r="R297" s="33"/>
      <c r="S297" s="33"/>
      <c r="T297" s="33"/>
    </row>
    <row r="298" spans="1:20" ht="15.75">
      <c r="A298" s="13">
        <v>50951</v>
      </c>
      <c r="B298" s="41">
        <v>30</v>
      </c>
      <c r="C298" s="32">
        <v>194.20500000000001</v>
      </c>
      <c r="D298" s="32">
        <v>267.46600000000001</v>
      </c>
      <c r="E298" s="38">
        <v>812.32899999999995</v>
      </c>
      <c r="F298" s="32">
        <v>1274</v>
      </c>
      <c r="G298" s="32">
        <v>50</v>
      </c>
      <c r="H298" s="40">
        <v>600</v>
      </c>
      <c r="I298" s="32">
        <v>695</v>
      </c>
      <c r="J298" s="32">
        <v>50</v>
      </c>
      <c r="K298" s="33"/>
      <c r="L298" s="33"/>
      <c r="M298" s="33"/>
      <c r="N298" s="33"/>
      <c r="O298" s="33"/>
      <c r="P298" s="33"/>
      <c r="Q298" s="33"/>
      <c r="R298" s="33"/>
      <c r="S298" s="33"/>
      <c r="T298" s="33"/>
    </row>
    <row r="299" spans="1:20" ht="15.75">
      <c r="A299" s="13">
        <v>50982</v>
      </c>
      <c r="B299" s="41">
        <v>31</v>
      </c>
      <c r="C299" s="32">
        <v>194.20500000000001</v>
      </c>
      <c r="D299" s="32">
        <v>267.46600000000001</v>
      </c>
      <c r="E299" s="38">
        <v>812.32899999999995</v>
      </c>
      <c r="F299" s="32">
        <v>1274</v>
      </c>
      <c r="G299" s="32">
        <v>50</v>
      </c>
      <c r="H299" s="40">
        <v>600</v>
      </c>
      <c r="I299" s="32">
        <v>695</v>
      </c>
      <c r="J299" s="32">
        <v>0</v>
      </c>
      <c r="K299" s="33"/>
      <c r="L299" s="33"/>
      <c r="M299" s="33"/>
      <c r="N299" s="33"/>
      <c r="O299" s="33"/>
      <c r="P299" s="33"/>
      <c r="Q299" s="33"/>
      <c r="R299" s="33"/>
      <c r="S299" s="33"/>
      <c r="T299" s="33"/>
    </row>
    <row r="300" spans="1:20" ht="15.75">
      <c r="A300" s="13">
        <v>51013</v>
      </c>
      <c r="B300" s="41">
        <v>31</v>
      </c>
      <c r="C300" s="32">
        <v>194.20500000000001</v>
      </c>
      <c r="D300" s="32">
        <v>267.46600000000001</v>
      </c>
      <c r="E300" s="38">
        <v>812.32899999999995</v>
      </c>
      <c r="F300" s="32">
        <v>1274</v>
      </c>
      <c r="G300" s="32">
        <v>50</v>
      </c>
      <c r="H300" s="40">
        <v>600</v>
      </c>
      <c r="I300" s="32">
        <v>695</v>
      </c>
      <c r="J300" s="32">
        <v>0</v>
      </c>
      <c r="K300" s="33"/>
      <c r="L300" s="33"/>
      <c r="M300" s="33"/>
      <c r="N300" s="33"/>
      <c r="O300" s="33"/>
      <c r="P300" s="33"/>
      <c r="Q300" s="33"/>
      <c r="R300" s="33"/>
      <c r="S300" s="33"/>
      <c r="T300" s="33"/>
    </row>
    <row r="301" spans="1:20" ht="15.75">
      <c r="A301" s="13">
        <v>51043</v>
      </c>
      <c r="B301" s="41">
        <v>30</v>
      </c>
      <c r="C301" s="32">
        <v>194.20500000000001</v>
      </c>
      <c r="D301" s="32">
        <v>267.46600000000001</v>
      </c>
      <c r="E301" s="38">
        <v>812.32899999999995</v>
      </c>
      <c r="F301" s="32">
        <v>1274</v>
      </c>
      <c r="G301" s="32">
        <v>50</v>
      </c>
      <c r="H301" s="40">
        <v>600</v>
      </c>
      <c r="I301" s="32">
        <v>695</v>
      </c>
      <c r="J301" s="32">
        <v>0</v>
      </c>
      <c r="K301" s="33"/>
      <c r="L301" s="33"/>
      <c r="M301" s="33"/>
      <c r="N301" s="33"/>
      <c r="O301" s="33"/>
      <c r="P301" s="33"/>
      <c r="Q301" s="33"/>
      <c r="R301" s="33"/>
      <c r="S301" s="33"/>
      <c r="T301" s="33"/>
    </row>
    <row r="302" spans="1:20" ht="15.75">
      <c r="A302" s="13">
        <v>51074</v>
      </c>
      <c r="B302" s="41">
        <v>31</v>
      </c>
      <c r="C302" s="32">
        <v>131.881</v>
      </c>
      <c r="D302" s="32">
        <v>277.16699999999997</v>
      </c>
      <c r="E302" s="38">
        <v>829.952</v>
      </c>
      <c r="F302" s="32">
        <v>1239</v>
      </c>
      <c r="G302" s="32">
        <v>75</v>
      </c>
      <c r="H302" s="40">
        <v>600</v>
      </c>
      <c r="I302" s="32">
        <v>695</v>
      </c>
      <c r="J302" s="32">
        <v>0</v>
      </c>
      <c r="K302" s="33"/>
      <c r="L302" s="33"/>
      <c r="M302" s="33"/>
      <c r="N302" s="33"/>
      <c r="O302" s="33"/>
      <c r="P302" s="33"/>
      <c r="Q302" s="33"/>
      <c r="R302" s="33"/>
      <c r="S302" s="33"/>
      <c r="T302" s="33"/>
    </row>
    <row r="303" spans="1:20" ht="15.75">
      <c r="A303" s="13">
        <v>51104</v>
      </c>
      <c r="B303" s="41">
        <v>30</v>
      </c>
      <c r="C303" s="32">
        <v>122.58</v>
      </c>
      <c r="D303" s="32">
        <v>297.94099999999997</v>
      </c>
      <c r="E303" s="38">
        <v>729.47900000000004</v>
      </c>
      <c r="F303" s="32">
        <v>1150</v>
      </c>
      <c r="G303" s="32">
        <v>100</v>
      </c>
      <c r="H303" s="40">
        <v>600</v>
      </c>
      <c r="I303" s="32">
        <v>695</v>
      </c>
      <c r="J303" s="32">
        <v>50</v>
      </c>
      <c r="K303" s="33"/>
      <c r="L303" s="33"/>
      <c r="M303" s="33"/>
      <c r="N303" s="33"/>
      <c r="O303" s="33"/>
      <c r="P303" s="33"/>
      <c r="Q303" s="33"/>
      <c r="R303" s="33"/>
      <c r="S303" s="33"/>
      <c r="T303" s="33"/>
    </row>
    <row r="304" spans="1:20" ht="15.75">
      <c r="A304" s="13">
        <v>51135</v>
      </c>
      <c r="B304" s="41">
        <v>31</v>
      </c>
      <c r="C304" s="32">
        <v>122.58</v>
      </c>
      <c r="D304" s="32">
        <v>297.94099999999997</v>
      </c>
      <c r="E304" s="38">
        <v>729.47900000000004</v>
      </c>
      <c r="F304" s="32">
        <v>1150</v>
      </c>
      <c r="G304" s="32">
        <v>100</v>
      </c>
      <c r="H304" s="40">
        <v>600</v>
      </c>
      <c r="I304" s="32">
        <v>695</v>
      </c>
      <c r="J304" s="32">
        <v>50</v>
      </c>
      <c r="K304" s="33"/>
      <c r="L304" s="33"/>
      <c r="M304" s="33"/>
      <c r="N304" s="33"/>
      <c r="O304" s="33"/>
      <c r="P304" s="33"/>
      <c r="Q304" s="33"/>
      <c r="R304" s="33"/>
      <c r="S304" s="33"/>
      <c r="T304" s="33"/>
    </row>
    <row r="305" spans="1:20" ht="15.75">
      <c r="A305" s="13">
        <v>51166</v>
      </c>
      <c r="B305" s="41">
        <v>31</v>
      </c>
      <c r="C305" s="32">
        <v>122.58</v>
      </c>
      <c r="D305" s="32">
        <v>297.94099999999997</v>
      </c>
      <c r="E305" s="38">
        <v>729.47900000000004</v>
      </c>
      <c r="F305" s="32">
        <v>1150</v>
      </c>
      <c r="G305" s="32">
        <v>100</v>
      </c>
      <c r="H305" s="40">
        <v>600</v>
      </c>
      <c r="I305" s="32">
        <v>695</v>
      </c>
      <c r="J305" s="32">
        <v>50</v>
      </c>
      <c r="K305" s="33"/>
      <c r="L305" s="33"/>
      <c r="M305" s="33"/>
      <c r="N305" s="33"/>
      <c r="O305" s="33"/>
      <c r="P305" s="33"/>
      <c r="Q305" s="33"/>
      <c r="R305" s="33"/>
      <c r="S305" s="33"/>
      <c r="T305" s="33"/>
    </row>
    <row r="306" spans="1:20" ht="15.75">
      <c r="A306" s="13">
        <v>51194</v>
      </c>
      <c r="B306" s="41">
        <v>29</v>
      </c>
      <c r="C306" s="32">
        <v>122.58</v>
      </c>
      <c r="D306" s="32">
        <v>297.94099999999997</v>
      </c>
      <c r="E306" s="38">
        <v>729.47900000000004</v>
      </c>
      <c r="F306" s="32">
        <v>1150</v>
      </c>
      <c r="G306" s="32">
        <v>100</v>
      </c>
      <c r="H306" s="40">
        <v>600</v>
      </c>
      <c r="I306" s="32">
        <v>695</v>
      </c>
      <c r="J306" s="32">
        <v>50</v>
      </c>
      <c r="K306" s="33"/>
      <c r="L306" s="33"/>
      <c r="M306" s="33"/>
      <c r="N306" s="33"/>
      <c r="O306" s="33"/>
      <c r="P306" s="33"/>
      <c r="Q306" s="33"/>
      <c r="R306" s="33"/>
      <c r="S306" s="33"/>
      <c r="T306" s="33"/>
    </row>
    <row r="307" spans="1:20" ht="15.75">
      <c r="A307" s="13">
        <v>51226</v>
      </c>
      <c r="B307" s="41">
        <v>31</v>
      </c>
      <c r="C307" s="32">
        <v>122.58</v>
      </c>
      <c r="D307" s="32">
        <v>297.94099999999997</v>
      </c>
      <c r="E307" s="38">
        <v>729.47900000000004</v>
      </c>
      <c r="F307" s="32">
        <v>1150</v>
      </c>
      <c r="G307" s="32">
        <v>100</v>
      </c>
      <c r="H307" s="40">
        <v>600</v>
      </c>
      <c r="I307" s="32">
        <v>695</v>
      </c>
      <c r="J307" s="32">
        <v>50</v>
      </c>
      <c r="K307" s="33"/>
      <c r="L307" s="33"/>
      <c r="M307" s="33"/>
      <c r="N307" s="33"/>
      <c r="O307" s="33"/>
      <c r="P307" s="33"/>
      <c r="Q307" s="33"/>
      <c r="R307" s="33"/>
      <c r="S307" s="33"/>
      <c r="T307" s="33"/>
    </row>
    <row r="308" spans="1:20" ht="15.75">
      <c r="A308" s="13">
        <v>51256</v>
      </c>
      <c r="B308" s="41">
        <v>30</v>
      </c>
      <c r="C308" s="32">
        <v>141.29300000000001</v>
      </c>
      <c r="D308" s="32">
        <v>267.99299999999999</v>
      </c>
      <c r="E308" s="38">
        <v>829.71400000000006</v>
      </c>
      <c r="F308" s="32">
        <v>1239</v>
      </c>
      <c r="G308" s="32">
        <v>100</v>
      </c>
      <c r="H308" s="40">
        <v>600</v>
      </c>
      <c r="I308" s="32">
        <v>695</v>
      </c>
      <c r="J308" s="32">
        <v>50</v>
      </c>
      <c r="K308" s="33"/>
      <c r="L308" s="33"/>
      <c r="M308" s="33"/>
      <c r="N308" s="33"/>
      <c r="O308" s="33"/>
      <c r="P308" s="33"/>
      <c r="Q308" s="33"/>
      <c r="R308" s="33"/>
      <c r="S308" s="33"/>
      <c r="T308" s="33"/>
    </row>
    <row r="309" spans="1:20" ht="15.75">
      <c r="A309" s="13">
        <v>51287</v>
      </c>
      <c r="B309" s="41">
        <v>31</v>
      </c>
      <c r="C309" s="32">
        <v>194.20500000000001</v>
      </c>
      <c r="D309" s="32">
        <v>267.46600000000001</v>
      </c>
      <c r="E309" s="38">
        <v>812.32899999999995</v>
      </c>
      <c r="F309" s="32">
        <v>1274</v>
      </c>
      <c r="G309" s="32">
        <v>75</v>
      </c>
      <c r="H309" s="40">
        <v>600</v>
      </c>
      <c r="I309" s="32">
        <v>695</v>
      </c>
      <c r="J309" s="32">
        <v>50</v>
      </c>
      <c r="K309" s="33"/>
      <c r="L309" s="33"/>
      <c r="M309" s="33"/>
      <c r="N309" s="33"/>
      <c r="O309" s="33"/>
      <c r="P309" s="33"/>
      <c r="Q309" s="33"/>
      <c r="R309" s="33"/>
      <c r="S309" s="33"/>
      <c r="T309" s="33"/>
    </row>
    <row r="310" spans="1:20" ht="15.75">
      <c r="A310" s="13">
        <v>51317</v>
      </c>
      <c r="B310" s="41">
        <v>30</v>
      </c>
      <c r="C310" s="32">
        <v>194.20500000000001</v>
      </c>
      <c r="D310" s="32">
        <v>267.46600000000001</v>
      </c>
      <c r="E310" s="38">
        <v>812.32899999999995</v>
      </c>
      <c r="F310" s="32">
        <v>1274</v>
      </c>
      <c r="G310" s="32">
        <v>50</v>
      </c>
      <c r="H310" s="40">
        <v>600</v>
      </c>
      <c r="I310" s="32">
        <v>695</v>
      </c>
      <c r="J310" s="32">
        <v>50</v>
      </c>
      <c r="K310" s="33"/>
      <c r="L310" s="33"/>
      <c r="M310" s="33"/>
      <c r="N310" s="33"/>
      <c r="O310" s="33"/>
      <c r="P310" s="33"/>
      <c r="Q310" s="33"/>
      <c r="R310" s="33"/>
      <c r="S310" s="33"/>
      <c r="T310" s="33"/>
    </row>
    <row r="311" spans="1:20" ht="15.75">
      <c r="A311" s="13">
        <v>51348</v>
      </c>
      <c r="B311" s="41">
        <v>31</v>
      </c>
      <c r="C311" s="32">
        <v>194.20500000000001</v>
      </c>
      <c r="D311" s="32">
        <v>267.46600000000001</v>
      </c>
      <c r="E311" s="38">
        <v>812.32899999999995</v>
      </c>
      <c r="F311" s="32">
        <v>1274</v>
      </c>
      <c r="G311" s="32">
        <v>50</v>
      </c>
      <c r="H311" s="40">
        <v>600</v>
      </c>
      <c r="I311" s="32">
        <v>695</v>
      </c>
      <c r="J311" s="32">
        <v>0</v>
      </c>
      <c r="K311" s="33"/>
      <c r="L311" s="33"/>
      <c r="M311" s="33"/>
      <c r="N311" s="33"/>
      <c r="O311" s="33"/>
      <c r="P311" s="33"/>
      <c r="Q311" s="33"/>
      <c r="R311" s="33"/>
      <c r="S311" s="33"/>
      <c r="T311" s="33"/>
    </row>
    <row r="312" spans="1:20" ht="15.75">
      <c r="A312" s="13">
        <v>51379</v>
      </c>
      <c r="B312" s="41">
        <v>31</v>
      </c>
      <c r="C312" s="32">
        <v>194.20500000000001</v>
      </c>
      <c r="D312" s="32">
        <v>267.46600000000001</v>
      </c>
      <c r="E312" s="38">
        <v>812.32899999999995</v>
      </c>
      <c r="F312" s="32">
        <v>1274</v>
      </c>
      <c r="G312" s="32">
        <v>50</v>
      </c>
      <c r="H312" s="40">
        <v>600</v>
      </c>
      <c r="I312" s="32">
        <v>695</v>
      </c>
      <c r="J312" s="32">
        <v>0</v>
      </c>
      <c r="K312" s="33"/>
      <c r="L312" s="33"/>
      <c r="M312" s="33"/>
      <c r="N312" s="33"/>
      <c r="O312" s="33"/>
      <c r="P312" s="33"/>
      <c r="Q312" s="33"/>
      <c r="R312" s="33"/>
      <c r="S312" s="33"/>
      <c r="T312" s="33"/>
    </row>
    <row r="313" spans="1:20" ht="15.75">
      <c r="A313" s="13">
        <v>51409</v>
      </c>
      <c r="B313" s="41">
        <v>30</v>
      </c>
      <c r="C313" s="32">
        <v>194.20500000000001</v>
      </c>
      <c r="D313" s="32">
        <v>267.46600000000001</v>
      </c>
      <c r="E313" s="38">
        <v>812.32899999999995</v>
      </c>
      <c r="F313" s="32">
        <v>1274</v>
      </c>
      <c r="G313" s="32">
        <v>50</v>
      </c>
      <c r="H313" s="40">
        <v>600</v>
      </c>
      <c r="I313" s="32">
        <v>695</v>
      </c>
      <c r="J313" s="32">
        <v>0</v>
      </c>
      <c r="K313" s="33"/>
      <c r="L313" s="33"/>
      <c r="M313" s="33"/>
      <c r="N313" s="33"/>
      <c r="O313" s="33"/>
      <c r="P313" s="33"/>
      <c r="Q313" s="33"/>
      <c r="R313" s="33"/>
      <c r="S313" s="33"/>
      <c r="T313" s="33"/>
    </row>
    <row r="314" spans="1:20" ht="15.75">
      <c r="A314" s="13">
        <v>51440</v>
      </c>
      <c r="B314" s="41">
        <v>31</v>
      </c>
      <c r="C314" s="32">
        <v>131.881</v>
      </c>
      <c r="D314" s="32">
        <v>277.16699999999997</v>
      </c>
      <c r="E314" s="38">
        <v>829.952</v>
      </c>
      <c r="F314" s="32">
        <v>1239</v>
      </c>
      <c r="G314" s="32">
        <v>75</v>
      </c>
      <c r="H314" s="40">
        <v>600</v>
      </c>
      <c r="I314" s="32">
        <v>695</v>
      </c>
      <c r="J314" s="32">
        <v>0</v>
      </c>
      <c r="K314" s="33"/>
      <c r="L314" s="33"/>
      <c r="M314" s="33"/>
      <c r="N314" s="33"/>
      <c r="O314" s="33"/>
      <c r="P314" s="33"/>
      <c r="Q314" s="33"/>
      <c r="R314" s="33"/>
      <c r="S314" s="33"/>
      <c r="T314" s="33"/>
    </row>
    <row r="315" spans="1:20" ht="15.75">
      <c r="A315" s="13">
        <v>51470</v>
      </c>
      <c r="B315" s="41">
        <v>30</v>
      </c>
      <c r="C315" s="32">
        <v>122.58</v>
      </c>
      <c r="D315" s="32">
        <v>297.94099999999997</v>
      </c>
      <c r="E315" s="38">
        <v>729.47900000000004</v>
      </c>
      <c r="F315" s="32">
        <v>1150</v>
      </c>
      <c r="G315" s="32">
        <v>100</v>
      </c>
      <c r="H315" s="40">
        <v>600</v>
      </c>
      <c r="I315" s="32">
        <v>695</v>
      </c>
      <c r="J315" s="32">
        <v>50</v>
      </c>
      <c r="K315" s="33"/>
      <c r="L315" s="33"/>
      <c r="M315" s="33"/>
      <c r="N315" s="33"/>
      <c r="O315" s="33"/>
      <c r="P315" s="33"/>
      <c r="Q315" s="33"/>
      <c r="R315" s="33"/>
      <c r="S315" s="33"/>
      <c r="T315" s="33"/>
    </row>
    <row r="316" spans="1:20" ht="15.75">
      <c r="A316" s="13">
        <v>51501</v>
      </c>
      <c r="B316" s="41">
        <v>31</v>
      </c>
      <c r="C316" s="32">
        <v>122.58</v>
      </c>
      <c r="D316" s="32">
        <v>297.94099999999997</v>
      </c>
      <c r="E316" s="38">
        <v>729.47900000000004</v>
      </c>
      <c r="F316" s="32">
        <v>1150</v>
      </c>
      <c r="G316" s="32">
        <v>100</v>
      </c>
      <c r="H316" s="40">
        <v>600</v>
      </c>
      <c r="I316" s="32">
        <v>695</v>
      </c>
      <c r="J316" s="32">
        <v>50</v>
      </c>
      <c r="K316" s="33"/>
      <c r="L316" s="33"/>
      <c r="M316" s="33"/>
      <c r="N316" s="33"/>
      <c r="O316" s="33"/>
      <c r="P316" s="33"/>
      <c r="Q316" s="33"/>
      <c r="R316" s="33"/>
      <c r="S316" s="33"/>
      <c r="T316" s="33"/>
    </row>
    <row r="317" spans="1:20" ht="15.75">
      <c r="A317" s="13">
        <v>51532</v>
      </c>
      <c r="B317" s="41">
        <v>31</v>
      </c>
      <c r="C317" s="32">
        <v>122.58</v>
      </c>
      <c r="D317" s="32">
        <v>297.94099999999997</v>
      </c>
      <c r="E317" s="38">
        <v>729.47900000000004</v>
      </c>
      <c r="F317" s="32">
        <v>1150</v>
      </c>
      <c r="G317" s="32">
        <v>100</v>
      </c>
      <c r="H317" s="40">
        <v>600</v>
      </c>
      <c r="I317" s="32">
        <v>695</v>
      </c>
      <c r="J317" s="32">
        <v>50</v>
      </c>
      <c r="K317" s="33"/>
      <c r="L317" s="33"/>
      <c r="M317" s="33"/>
      <c r="N317" s="33"/>
      <c r="O317" s="33"/>
      <c r="P317" s="33"/>
      <c r="Q317" s="33"/>
      <c r="R317" s="33"/>
      <c r="S317" s="33"/>
      <c r="T317" s="33"/>
    </row>
    <row r="318" spans="1:20" ht="15.75">
      <c r="A318" s="13">
        <v>51560</v>
      </c>
      <c r="B318" s="41">
        <v>28</v>
      </c>
      <c r="C318" s="32">
        <v>122.58</v>
      </c>
      <c r="D318" s="32">
        <v>297.94099999999997</v>
      </c>
      <c r="E318" s="38">
        <v>729.47900000000004</v>
      </c>
      <c r="F318" s="32">
        <v>1150</v>
      </c>
      <c r="G318" s="32">
        <v>100</v>
      </c>
      <c r="H318" s="40">
        <v>600</v>
      </c>
      <c r="I318" s="32">
        <v>695</v>
      </c>
      <c r="J318" s="32">
        <v>50</v>
      </c>
      <c r="K318" s="33"/>
      <c r="L318" s="33"/>
      <c r="M318" s="33"/>
      <c r="N318" s="33"/>
      <c r="O318" s="33"/>
      <c r="P318" s="33"/>
      <c r="Q318" s="33"/>
      <c r="R318" s="33"/>
      <c r="S318" s="33"/>
      <c r="T318" s="33"/>
    </row>
    <row r="319" spans="1:20" ht="15.75">
      <c r="A319" s="13">
        <v>51591</v>
      </c>
      <c r="B319" s="41">
        <v>31</v>
      </c>
      <c r="C319" s="32">
        <v>122.58</v>
      </c>
      <c r="D319" s="32">
        <v>297.94099999999997</v>
      </c>
      <c r="E319" s="38">
        <v>729.47900000000004</v>
      </c>
      <c r="F319" s="32">
        <v>1150</v>
      </c>
      <c r="G319" s="32">
        <v>100</v>
      </c>
      <c r="H319" s="40">
        <v>600</v>
      </c>
      <c r="I319" s="32">
        <v>695</v>
      </c>
      <c r="J319" s="32">
        <v>50</v>
      </c>
      <c r="K319" s="33"/>
      <c r="L319" s="33"/>
      <c r="M319" s="33"/>
      <c r="N319" s="33"/>
      <c r="O319" s="33"/>
      <c r="P319" s="33"/>
      <c r="Q319" s="33"/>
      <c r="R319" s="33"/>
      <c r="S319" s="33"/>
      <c r="T319" s="33"/>
    </row>
    <row r="320" spans="1:20" ht="15.75">
      <c r="A320" s="13">
        <v>51621</v>
      </c>
      <c r="B320" s="41">
        <v>30</v>
      </c>
      <c r="C320" s="32">
        <v>141.29300000000001</v>
      </c>
      <c r="D320" s="32">
        <v>267.99299999999999</v>
      </c>
      <c r="E320" s="38">
        <v>829.71400000000006</v>
      </c>
      <c r="F320" s="32">
        <v>1239</v>
      </c>
      <c r="G320" s="32">
        <v>100</v>
      </c>
      <c r="H320" s="40">
        <v>600</v>
      </c>
      <c r="I320" s="32">
        <v>695</v>
      </c>
      <c r="J320" s="32">
        <v>50</v>
      </c>
      <c r="K320" s="33"/>
      <c r="L320" s="33"/>
      <c r="M320" s="33"/>
      <c r="N320" s="33"/>
      <c r="O320" s="33"/>
      <c r="P320" s="33"/>
      <c r="Q320" s="33"/>
      <c r="R320" s="33"/>
      <c r="S320" s="33"/>
      <c r="T320" s="33"/>
    </row>
    <row r="321" spans="1:20" ht="15.75">
      <c r="A321" s="13">
        <v>51652</v>
      </c>
      <c r="B321" s="41">
        <v>31</v>
      </c>
      <c r="C321" s="32">
        <v>194.20500000000001</v>
      </c>
      <c r="D321" s="32">
        <v>267.46600000000001</v>
      </c>
      <c r="E321" s="38">
        <v>812.32899999999995</v>
      </c>
      <c r="F321" s="32">
        <v>1274</v>
      </c>
      <c r="G321" s="32">
        <v>75</v>
      </c>
      <c r="H321" s="40">
        <v>600</v>
      </c>
      <c r="I321" s="32">
        <v>695</v>
      </c>
      <c r="J321" s="32">
        <v>50</v>
      </c>
      <c r="K321" s="33"/>
      <c r="L321" s="33"/>
      <c r="M321" s="33"/>
      <c r="N321" s="33"/>
      <c r="O321" s="33"/>
      <c r="P321" s="33"/>
      <c r="Q321" s="33"/>
      <c r="R321" s="33"/>
      <c r="S321" s="33"/>
      <c r="T321" s="33"/>
    </row>
    <row r="322" spans="1:20" ht="15.75">
      <c r="A322" s="13">
        <v>51682</v>
      </c>
      <c r="B322" s="41">
        <v>30</v>
      </c>
      <c r="C322" s="32">
        <v>194.20500000000001</v>
      </c>
      <c r="D322" s="32">
        <v>267.46600000000001</v>
      </c>
      <c r="E322" s="38">
        <v>812.32899999999995</v>
      </c>
      <c r="F322" s="32">
        <v>1274</v>
      </c>
      <c r="G322" s="32">
        <v>50</v>
      </c>
      <c r="H322" s="40">
        <v>600</v>
      </c>
      <c r="I322" s="32">
        <v>695</v>
      </c>
      <c r="J322" s="32">
        <v>50</v>
      </c>
      <c r="K322" s="33"/>
      <c r="L322" s="33"/>
      <c r="M322" s="33"/>
      <c r="N322" s="33"/>
      <c r="O322" s="33"/>
      <c r="P322" s="33"/>
      <c r="Q322" s="33"/>
      <c r="R322" s="33"/>
      <c r="S322" s="33"/>
      <c r="T322" s="33"/>
    </row>
    <row r="323" spans="1:20" ht="15.75">
      <c r="A323" s="13">
        <v>51713</v>
      </c>
      <c r="B323" s="41">
        <v>31</v>
      </c>
      <c r="C323" s="32">
        <v>194.20500000000001</v>
      </c>
      <c r="D323" s="32">
        <v>267.46600000000001</v>
      </c>
      <c r="E323" s="38">
        <v>812.32899999999995</v>
      </c>
      <c r="F323" s="32">
        <v>1274</v>
      </c>
      <c r="G323" s="32">
        <v>50</v>
      </c>
      <c r="H323" s="40">
        <v>600</v>
      </c>
      <c r="I323" s="32">
        <v>695</v>
      </c>
      <c r="J323" s="32">
        <v>0</v>
      </c>
      <c r="K323" s="33"/>
      <c r="L323" s="33"/>
      <c r="M323" s="33"/>
      <c r="N323" s="33"/>
      <c r="O323" s="33"/>
      <c r="P323" s="33"/>
      <c r="Q323" s="33"/>
      <c r="R323" s="33"/>
      <c r="S323" s="33"/>
      <c r="T323" s="33"/>
    </row>
    <row r="324" spans="1:20" ht="15.75">
      <c r="A324" s="13">
        <v>51744</v>
      </c>
      <c r="B324" s="41">
        <v>31</v>
      </c>
      <c r="C324" s="32">
        <v>194.20500000000001</v>
      </c>
      <c r="D324" s="32">
        <v>267.46600000000001</v>
      </c>
      <c r="E324" s="38">
        <v>812.32899999999995</v>
      </c>
      <c r="F324" s="32">
        <v>1274</v>
      </c>
      <c r="G324" s="32">
        <v>50</v>
      </c>
      <c r="H324" s="40">
        <v>600</v>
      </c>
      <c r="I324" s="32">
        <v>695</v>
      </c>
      <c r="J324" s="32">
        <v>0</v>
      </c>
      <c r="K324" s="33"/>
      <c r="L324" s="33"/>
      <c r="M324" s="33"/>
      <c r="N324" s="33"/>
      <c r="O324" s="33"/>
      <c r="P324" s="33"/>
      <c r="Q324" s="33"/>
      <c r="R324" s="33"/>
      <c r="S324" s="33"/>
      <c r="T324" s="33"/>
    </row>
    <row r="325" spans="1:20" ht="15.75">
      <c r="A325" s="13">
        <v>51774</v>
      </c>
      <c r="B325" s="41">
        <v>30</v>
      </c>
      <c r="C325" s="32">
        <v>194.20500000000001</v>
      </c>
      <c r="D325" s="32">
        <v>267.46600000000001</v>
      </c>
      <c r="E325" s="38">
        <v>812.32899999999995</v>
      </c>
      <c r="F325" s="32">
        <v>1274</v>
      </c>
      <c r="G325" s="32">
        <v>50</v>
      </c>
      <c r="H325" s="40">
        <v>600</v>
      </c>
      <c r="I325" s="32">
        <v>695</v>
      </c>
      <c r="J325" s="32">
        <v>0</v>
      </c>
      <c r="K325" s="33"/>
      <c r="L325" s="33"/>
      <c r="M325" s="33"/>
      <c r="N325" s="33"/>
      <c r="O325" s="33"/>
      <c r="P325" s="33"/>
      <c r="Q325" s="33"/>
      <c r="R325" s="33"/>
      <c r="S325" s="33"/>
      <c r="T325" s="33"/>
    </row>
    <row r="326" spans="1:20" ht="15.75">
      <c r="A326" s="13">
        <v>51805</v>
      </c>
      <c r="B326" s="41">
        <v>31</v>
      </c>
      <c r="C326" s="32">
        <v>131.881</v>
      </c>
      <c r="D326" s="32">
        <v>277.16699999999997</v>
      </c>
      <c r="E326" s="38">
        <v>829.952</v>
      </c>
      <c r="F326" s="32">
        <v>1239</v>
      </c>
      <c r="G326" s="32">
        <v>75</v>
      </c>
      <c r="H326" s="40">
        <v>600</v>
      </c>
      <c r="I326" s="32">
        <v>695</v>
      </c>
      <c r="J326" s="32">
        <v>0</v>
      </c>
      <c r="K326" s="33"/>
      <c r="L326" s="33"/>
      <c r="M326" s="33"/>
      <c r="N326" s="33"/>
      <c r="O326" s="33"/>
      <c r="P326" s="33"/>
      <c r="Q326" s="33"/>
      <c r="R326" s="33"/>
      <c r="S326" s="33"/>
      <c r="T326" s="33"/>
    </row>
    <row r="327" spans="1:20" ht="15.75">
      <c r="A327" s="13">
        <v>51835</v>
      </c>
      <c r="B327" s="41">
        <v>30</v>
      </c>
      <c r="C327" s="32">
        <v>122.58</v>
      </c>
      <c r="D327" s="32">
        <v>297.94099999999997</v>
      </c>
      <c r="E327" s="38">
        <v>729.47900000000004</v>
      </c>
      <c r="F327" s="32">
        <v>1150</v>
      </c>
      <c r="G327" s="32">
        <v>100</v>
      </c>
      <c r="H327" s="40">
        <v>600</v>
      </c>
      <c r="I327" s="32">
        <v>695</v>
      </c>
      <c r="J327" s="32">
        <v>50</v>
      </c>
      <c r="K327" s="33"/>
      <c r="L327" s="33"/>
      <c r="M327" s="33"/>
      <c r="N327" s="33"/>
      <c r="O327" s="33"/>
      <c r="P327" s="33"/>
      <c r="Q327" s="33"/>
      <c r="R327" s="33"/>
      <c r="S327" s="33"/>
      <c r="T327" s="33"/>
    </row>
    <row r="328" spans="1:20" ht="15.75">
      <c r="A328" s="13">
        <v>51866</v>
      </c>
      <c r="B328" s="41">
        <v>31</v>
      </c>
      <c r="C328" s="32">
        <v>122.58</v>
      </c>
      <c r="D328" s="32">
        <v>297.94099999999997</v>
      </c>
      <c r="E328" s="38">
        <v>729.47900000000004</v>
      </c>
      <c r="F328" s="32">
        <v>1150</v>
      </c>
      <c r="G328" s="32">
        <v>100</v>
      </c>
      <c r="H328" s="40">
        <v>600</v>
      </c>
      <c r="I328" s="32">
        <v>695</v>
      </c>
      <c r="J328" s="32">
        <v>50</v>
      </c>
      <c r="K328" s="33"/>
      <c r="L328" s="33"/>
      <c r="M328" s="33"/>
      <c r="N328" s="33"/>
      <c r="O328" s="33"/>
      <c r="P328" s="33"/>
      <c r="Q328" s="33"/>
      <c r="R328" s="33"/>
      <c r="S328" s="33"/>
      <c r="T328" s="33"/>
    </row>
    <row r="329" spans="1:20" ht="15.75">
      <c r="A329" s="13">
        <v>51897</v>
      </c>
      <c r="B329" s="41">
        <v>31</v>
      </c>
      <c r="C329" s="32">
        <v>122.58</v>
      </c>
      <c r="D329" s="32">
        <v>297.94099999999997</v>
      </c>
      <c r="E329" s="38">
        <v>729.47900000000004</v>
      </c>
      <c r="F329" s="32">
        <v>1150</v>
      </c>
      <c r="G329" s="32">
        <v>100</v>
      </c>
      <c r="H329" s="40">
        <v>600</v>
      </c>
      <c r="I329" s="32">
        <v>695</v>
      </c>
      <c r="J329" s="32">
        <v>50</v>
      </c>
      <c r="K329" s="33"/>
      <c r="L329" s="33"/>
      <c r="M329" s="33"/>
      <c r="N329" s="33"/>
      <c r="O329" s="33"/>
      <c r="P329" s="33"/>
      <c r="Q329" s="33"/>
      <c r="R329" s="33"/>
      <c r="S329" s="33"/>
      <c r="T329" s="33"/>
    </row>
    <row r="330" spans="1:20" ht="15.75">
      <c r="A330" s="13">
        <v>51925</v>
      </c>
      <c r="B330" s="41">
        <v>28</v>
      </c>
      <c r="C330" s="32">
        <v>122.58</v>
      </c>
      <c r="D330" s="32">
        <v>297.94099999999997</v>
      </c>
      <c r="E330" s="38">
        <v>729.47900000000004</v>
      </c>
      <c r="F330" s="32">
        <v>1150</v>
      </c>
      <c r="G330" s="32">
        <v>100</v>
      </c>
      <c r="H330" s="40">
        <v>600</v>
      </c>
      <c r="I330" s="32">
        <v>695</v>
      </c>
      <c r="J330" s="32">
        <v>50</v>
      </c>
      <c r="K330" s="33"/>
      <c r="L330" s="33"/>
      <c r="M330" s="33"/>
      <c r="N330" s="33"/>
      <c r="O330" s="33"/>
      <c r="P330" s="33"/>
      <c r="Q330" s="33"/>
      <c r="R330" s="33"/>
      <c r="S330" s="33"/>
      <c r="T330" s="33"/>
    </row>
    <row r="331" spans="1:20" ht="15.75">
      <c r="A331" s="13">
        <v>51956</v>
      </c>
      <c r="B331" s="41">
        <v>31</v>
      </c>
      <c r="C331" s="32">
        <v>122.58</v>
      </c>
      <c r="D331" s="32">
        <v>297.94099999999997</v>
      </c>
      <c r="E331" s="38">
        <v>729.47900000000004</v>
      </c>
      <c r="F331" s="32">
        <v>1150</v>
      </c>
      <c r="G331" s="32">
        <v>100</v>
      </c>
      <c r="H331" s="40">
        <v>600</v>
      </c>
      <c r="I331" s="32">
        <v>695</v>
      </c>
      <c r="J331" s="32">
        <v>50</v>
      </c>
      <c r="K331" s="33"/>
      <c r="L331" s="33"/>
      <c r="M331" s="33"/>
      <c r="N331" s="33"/>
      <c r="O331" s="33"/>
      <c r="P331" s="33"/>
      <c r="Q331" s="33"/>
      <c r="R331" s="33"/>
      <c r="S331" s="33"/>
      <c r="T331" s="33"/>
    </row>
    <row r="332" spans="1:20" ht="15.75">
      <c r="A332" s="13">
        <v>51986</v>
      </c>
      <c r="B332" s="41">
        <v>30</v>
      </c>
      <c r="C332" s="32">
        <v>141.29300000000001</v>
      </c>
      <c r="D332" s="32">
        <v>267.99299999999999</v>
      </c>
      <c r="E332" s="38">
        <v>829.71400000000006</v>
      </c>
      <c r="F332" s="32">
        <v>1239</v>
      </c>
      <c r="G332" s="32">
        <v>100</v>
      </c>
      <c r="H332" s="40">
        <v>600</v>
      </c>
      <c r="I332" s="32">
        <v>695</v>
      </c>
      <c r="J332" s="32">
        <v>50</v>
      </c>
      <c r="K332" s="33"/>
      <c r="L332" s="33"/>
      <c r="M332" s="33"/>
      <c r="N332" s="33"/>
      <c r="O332" s="33"/>
      <c r="P332" s="33"/>
      <c r="Q332" s="33"/>
      <c r="R332" s="33"/>
      <c r="S332" s="33"/>
      <c r="T332" s="33"/>
    </row>
    <row r="333" spans="1:20" ht="15.75">
      <c r="A333" s="13">
        <v>52017</v>
      </c>
      <c r="B333" s="41">
        <v>31</v>
      </c>
      <c r="C333" s="32">
        <v>194.20500000000001</v>
      </c>
      <c r="D333" s="32">
        <v>267.46600000000001</v>
      </c>
      <c r="E333" s="38">
        <v>812.32899999999995</v>
      </c>
      <c r="F333" s="32">
        <v>1274</v>
      </c>
      <c r="G333" s="32">
        <v>75</v>
      </c>
      <c r="H333" s="40">
        <v>600</v>
      </c>
      <c r="I333" s="32">
        <v>695</v>
      </c>
      <c r="J333" s="32">
        <v>50</v>
      </c>
      <c r="K333" s="33"/>
      <c r="L333" s="33"/>
      <c r="M333" s="33"/>
      <c r="N333" s="33"/>
      <c r="O333" s="33"/>
      <c r="P333" s="33"/>
      <c r="Q333" s="33"/>
      <c r="R333" s="33"/>
      <c r="S333" s="33"/>
      <c r="T333" s="33"/>
    </row>
    <row r="334" spans="1:20" ht="15.75">
      <c r="A334" s="13">
        <v>52047</v>
      </c>
      <c r="B334" s="41">
        <v>30</v>
      </c>
      <c r="C334" s="32">
        <v>194.20500000000001</v>
      </c>
      <c r="D334" s="32">
        <v>267.46600000000001</v>
      </c>
      <c r="E334" s="38">
        <v>812.32899999999995</v>
      </c>
      <c r="F334" s="32">
        <v>1274</v>
      </c>
      <c r="G334" s="32">
        <v>50</v>
      </c>
      <c r="H334" s="40">
        <v>600</v>
      </c>
      <c r="I334" s="32">
        <v>695</v>
      </c>
      <c r="J334" s="32">
        <v>50</v>
      </c>
      <c r="K334" s="33"/>
      <c r="L334" s="33"/>
      <c r="M334" s="33"/>
      <c r="N334" s="33"/>
      <c r="O334" s="33"/>
      <c r="P334" s="33"/>
      <c r="Q334" s="33"/>
      <c r="R334" s="33"/>
      <c r="S334" s="33"/>
      <c r="T334" s="33"/>
    </row>
    <row r="335" spans="1:20" ht="15.75">
      <c r="A335" s="13">
        <v>52078</v>
      </c>
      <c r="B335" s="41">
        <v>31</v>
      </c>
      <c r="C335" s="32">
        <v>194.20500000000001</v>
      </c>
      <c r="D335" s="32">
        <v>267.46600000000001</v>
      </c>
      <c r="E335" s="38">
        <v>812.32899999999995</v>
      </c>
      <c r="F335" s="32">
        <v>1274</v>
      </c>
      <c r="G335" s="32">
        <v>50</v>
      </c>
      <c r="H335" s="40">
        <v>600</v>
      </c>
      <c r="I335" s="32">
        <v>695</v>
      </c>
      <c r="J335" s="32">
        <v>0</v>
      </c>
      <c r="K335" s="33"/>
      <c r="L335" s="33"/>
      <c r="M335" s="33"/>
      <c r="N335" s="33"/>
      <c r="O335" s="33"/>
      <c r="P335" s="33"/>
      <c r="Q335" s="33"/>
      <c r="R335" s="33"/>
      <c r="S335" s="33"/>
      <c r="T335" s="33"/>
    </row>
    <row r="336" spans="1:20" ht="15.75">
      <c r="A336" s="13">
        <v>52109</v>
      </c>
      <c r="B336" s="41">
        <v>31</v>
      </c>
      <c r="C336" s="32">
        <v>194.20500000000001</v>
      </c>
      <c r="D336" s="32">
        <v>267.46600000000001</v>
      </c>
      <c r="E336" s="38">
        <v>812.32899999999995</v>
      </c>
      <c r="F336" s="32">
        <v>1274</v>
      </c>
      <c r="G336" s="32">
        <v>50</v>
      </c>
      <c r="H336" s="40">
        <v>600</v>
      </c>
      <c r="I336" s="32">
        <v>695</v>
      </c>
      <c r="J336" s="32">
        <v>0</v>
      </c>
      <c r="K336" s="33"/>
      <c r="L336" s="33"/>
      <c r="M336" s="33"/>
      <c r="N336" s="33"/>
      <c r="O336" s="33"/>
      <c r="P336" s="33"/>
      <c r="Q336" s="33"/>
      <c r="R336" s="33"/>
      <c r="S336" s="33"/>
      <c r="T336" s="33"/>
    </row>
    <row r="337" spans="1:20" ht="15.75">
      <c r="A337" s="13">
        <v>52139</v>
      </c>
      <c r="B337" s="41">
        <v>30</v>
      </c>
      <c r="C337" s="32">
        <v>194.20500000000001</v>
      </c>
      <c r="D337" s="32">
        <v>267.46600000000001</v>
      </c>
      <c r="E337" s="38">
        <v>812.32899999999995</v>
      </c>
      <c r="F337" s="32">
        <v>1274</v>
      </c>
      <c r="G337" s="32">
        <v>50</v>
      </c>
      <c r="H337" s="40">
        <v>600</v>
      </c>
      <c r="I337" s="32">
        <v>695</v>
      </c>
      <c r="J337" s="32">
        <v>0</v>
      </c>
      <c r="K337" s="33"/>
      <c r="L337" s="33"/>
      <c r="M337" s="33"/>
      <c r="N337" s="33"/>
      <c r="O337" s="33"/>
      <c r="P337" s="33"/>
      <c r="Q337" s="33"/>
      <c r="R337" s="33"/>
      <c r="S337" s="33"/>
      <c r="T337" s="33"/>
    </row>
    <row r="338" spans="1:20" ht="15.75">
      <c r="A338" s="13">
        <v>52170</v>
      </c>
      <c r="B338" s="41">
        <v>31</v>
      </c>
      <c r="C338" s="32">
        <v>131.881</v>
      </c>
      <c r="D338" s="32">
        <v>277.16699999999997</v>
      </c>
      <c r="E338" s="38">
        <v>829.952</v>
      </c>
      <c r="F338" s="32">
        <v>1239</v>
      </c>
      <c r="G338" s="32">
        <v>75</v>
      </c>
      <c r="H338" s="40">
        <v>600</v>
      </c>
      <c r="I338" s="32">
        <v>695</v>
      </c>
      <c r="J338" s="32">
        <v>0</v>
      </c>
      <c r="K338" s="33"/>
      <c r="L338" s="33"/>
      <c r="M338" s="33"/>
      <c r="N338" s="33"/>
      <c r="O338" s="33"/>
      <c r="P338" s="33"/>
      <c r="Q338" s="33"/>
      <c r="R338" s="33"/>
      <c r="S338" s="33"/>
      <c r="T338" s="33"/>
    </row>
    <row r="339" spans="1:20" ht="15.75">
      <c r="A339" s="13">
        <v>52200</v>
      </c>
      <c r="B339" s="41">
        <v>30</v>
      </c>
      <c r="C339" s="32">
        <v>122.58</v>
      </c>
      <c r="D339" s="32">
        <v>297.94099999999997</v>
      </c>
      <c r="E339" s="38">
        <v>729.47900000000004</v>
      </c>
      <c r="F339" s="32">
        <v>1150</v>
      </c>
      <c r="G339" s="32">
        <v>100</v>
      </c>
      <c r="H339" s="40">
        <v>600</v>
      </c>
      <c r="I339" s="32">
        <v>695</v>
      </c>
      <c r="J339" s="32">
        <v>50</v>
      </c>
      <c r="K339" s="33"/>
      <c r="L339" s="33"/>
      <c r="M339" s="33"/>
      <c r="N339" s="33"/>
      <c r="O339" s="33"/>
      <c r="P339" s="33"/>
      <c r="Q339" s="33"/>
      <c r="R339" s="33"/>
      <c r="S339" s="33"/>
      <c r="T339" s="33"/>
    </row>
    <row r="340" spans="1:20" ht="15.75">
      <c r="A340" s="13">
        <v>52231</v>
      </c>
      <c r="B340" s="41">
        <v>31</v>
      </c>
      <c r="C340" s="32">
        <v>122.58</v>
      </c>
      <c r="D340" s="32">
        <v>297.94099999999997</v>
      </c>
      <c r="E340" s="38">
        <v>729.47900000000004</v>
      </c>
      <c r="F340" s="32">
        <v>1150</v>
      </c>
      <c r="G340" s="32">
        <v>100</v>
      </c>
      <c r="H340" s="40">
        <v>600</v>
      </c>
      <c r="I340" s="32">
        <v>695</v>
      </c>
      <c r="J340" s="32">
        <v>50</v>
      </c>
      <c r="K340" s="33"/>
      <c r="L340" s="33"/>
      <c r="M340" s="33"/>
      <c r="N340" s="33"/>
      <c r="O340" s="33"/>
      <c r="P340" s="33"/>
      <c r="Q340" s="33"/>
      <c r="R340" s="33"/>
      <c r="S340" s="33"/>
      <c r="T340" s="33"/>
    </row>
    <row r="341" spans="1:20" ht="15.75">
      <c r="A341" s="13">
        <v>52262</v>
      </c>
      <c r="B341" s="41">
        <v>31</v>
      </c>
      <c r="C341" s="32">
        <v>122.58</v>
      </c>
      <c r="D341" s="32">
        <v>297.94099999999997</v>
      </c>
      <c r="E341" s="38">
        <v>729.47900000000004</v>
      </c>
      <c r="F341" s="32">
        <v>1150</v>
      </c>
      <c r="G341" s="32">
        <v>100</v>
      </c>
      <c r="H341" s="40">
        <v>600</v>
      </c>
      <c r="I341" s="32">
        <v>695</v>
      </c>
      <c r="J341" s="32">
        <v>50</v>
      </c>
      <c r="K341" s="33"/>
      <c r="L341" s="33"/>
      <c r="M341" s="33"/>
      <c r="N341" s="33"/>
      <c r="O341" s="33"/>
      <c r="P341" s="33"/>
      <c r="Q341" s="33"/>
      <c r="R341" s="33"/>
      <c r="S341" s="33"/>
      <c r="T341" s="33"/>
    </row>
    <row r="342" spans="1:20" ht="15.75">
      <c r="A342" s="13">
        <v>52290</v>
      </c>
      <c r="B342" s="41">
        <v>28</v>
      </c>
      <c r="C342" s="32">
        <v>122.58</v>
      </c>
      <c r="D342" s="32">
        <v>297.94099999999997</v>
      </c>
      <c r="E342" s="38">
        <v>729.47900000000004</v>
      </c>
      <c r="F342" s="32">
        <v>1150</v>
      </c>
      <c r="G342" s="32">
        <v>100</v>
      </c>
      <c r="H342" s="40">
        <v>600</v>
      </c>
      <c r="I342" s="32">
        <v>695</v>
      </c>
      <c r="J342" s="32">
        <v>50</v>
      </c>
      <c r="K342" s="33"/>
      <c r="L342" s="33"/>
      <c r="M342" s="33"/>
      <c r="N342" s="33"/>
      <c r="O342" s="33"/>
      <c r="P342" s="33"/>
      <c r="Q342" s="33"/>
      <c r="R342" s="33"/>
      <c r="S342" s="33"/>
      <c r="T342" s="33"/>
    </row>
    <row r="343" spans="1:20" ht="15.75">
      <c r="A343" s="13">
        <v>52321</v>
      </c>
      <c r="B343" s="41">
        <v>31</v>
      </c>
      <c r="C343" s="32">
        <v>122.58</v>
      </c>
      <c r="D343" s="32">
        <v>297.94099999999997</v>
      </c>
      <c r="E343" s="38">
        <v>729.47900000000004</v>
      </c>
      <c r="F343" s="32">
        <v>1150</v>
      </c>
      <c r="G343" s="32">
        <v>100</v>
      </c>
      <c r="H343" s="40">
        <v>600</v>
      </c>
      <c r="I343" s="32">
        <v>695</v>
      </c>
      <c r="J343" s="32">
        <v>50</v>
      </c>
      <c r="K343" s="33"/>
      <c r="L343" s="33"/>
      <c r="M343" s="33"/>
      <c r="N343" s="33"/>
      <c r="O343" s="33"/>
      <c r="P343" s="33"/>
      <c r="Q343" s="33"/>
      <c r="R343" s="33"/>
      <c r="S343" s="33"/>
      <c r="T343" s="33"/>
    </row>
    <row r="344" spans="1:20" ht="15.75">
      <c r="A344" s="13">
        <v>52351</v>
      </c>
      <c r="B344" s="41">
        <v>30</v>
      </c>
      <c r="C344" s="32">
        <v>141.29300000000001</v>
      </c>
      <c r="D344" s="32">
        <v>267.99299999999999</v>
      </c>
      <c r="E344" s="38">
        <v>829.71400000000006</v>
      </c>
      <c r="F344" s="32">
        <v>1239</v>
      </c>
      <c r="G344" s="32">
        <v>100</v>
      </c>
      <c r="H344" s="40">
        <v>600</v>
      </c>
      <c r="I344" s="32">
        <v>695</v>
      </c>
      <c r="J344" s="32">
        <v>50</v>
      </c>
      <c r="K344" s="33"/>
      <c r="L344" s="33"/>
      <c r="M344" s="33"/>
      <c r="N344" s="33"/>
      <c r="O344" s="33"/>
      <c r="P344" s="33"/>
      <c r="Q344" s="33"/>
      <c r="R344" s="33"/>
      <c r="S344" s="33"/>
      <c r="T344" s="33"/>
    </row>
    <row r="345" spans="1:20" ht="15.75">
      <c r="A345" s="13">
        <v>52382</v>
      </c>
      <c r="B345" s="41">
        <v>31</v>
      </c>
      <c r="C345" s="32">
        <v>194.20500000000001</v>
      </c>
      <c r="D345" s="32">
        <v>267.46600000000001</v>
      </c>
      <c r="E345" s="38">
        <v>812.32899999999995</v>
      </c>
      <c r="F345" s="32">
        <v>1274</v>
      </c>
      <c r="G345" s="32">
        <v>75</v>
      </c>
      <c r="H345" s="40">
        <v>600</v>
      </c>
      <c r="I345" s="32">
        <v>695</v>
      </c>
      <c r="J345" s="32">
        <v>50</v>
      </c>
      <c r="K345" s="33"/>
      <c r="L345" s="33"/>
      <c r="M345" s="33"/>
      <c r="N345" s="33"/>
      <c r="O345" s="33"/>
      <c r="P345" s="33"/>
      <c r="Q345" s="33"/>
      <c r="R345" s="33"/>
      <c r="S345" s="33"/>
      <c r="T345" s="33"/>
    </row>
    <row r="346" spans="1:20" ht="15.75">
      <c r="A346" s="13">
        <v>52412</v>
      </c>
      <c r="B346" s="41">
        <v>30</v>
      </c>
      <c r="C346" s="32">
        <v>194.20500000000001</v>
      </c>
      <c r="D346" s="32">
        <v>267.46600000000001</v>
      </c>
      <c r="E346" s="38">
        <v>812.32899999999995</v>
      </c>
      <c r="F346" s="32">
        <v>1274</v>
      </c>
      <c r="G346" s="32">
        <v>50</v>
      </c>
      <c r="H346" s="40">
        <v>600</v>
      </c>
      <c r="I346" s="32">
        <v>695</v>
      </c>
      <c r="J346" s="32">
        <v>50</v>
      </c>
      <c r="K346" s="33"/>
      <c r="L346" s="33"/>
      <c r="M346" s="33"/>
      <c r="N346" s="33"/>
      <c r="O346" s="33"/>
      <c r="P346" s="33"/>
      <c r="Q346" s="33"/>
      <c r="R346" s="33"/>
      <c r="S346" s="33"/>
      <c r="T346" s="33"/>
    </row>
    <row r="347" spans="1:20" ht="15.75">
      <c r="A347" s="13">
        <v>52443</v>
      </c>
      <c r="B347" s="41">
        <v>31</v>
      </c>
      <c r="C347" s="32">
        <v>194.20500000000001</v>
      </c>
      <c r="D347" s="32">
        <v>267.46600000000001</v>
      </c>
      <c r="E347" s="38">
        <v>812.32899999999995</v>
      </c>
      <c r="F347" s="32">
        <v>1274</v>
      </c>
      <c r="G347" s="32">
        <v>50</v>
      </c>
      <c r="H347" s="40">
        <v>600</v>
      </c>
      <c r="I347" s="32">
        <v>695</v>
      </c>
      <c r="J347" s="32">
        <v>0</v>
      </c>
      <c r="K347" s="33"/>
      <c r="L347" s="33"/>
      <c r="M347" s="33"/>
      <c r="N347" s="33"/>
      <c r="O347" s="33"/>
      <c r="P347" s="33"/>
      <c r="Q347" s="33"/>
      <c r="R347" s="33"/>
      <c r="S347" s="33"/>
      <c r="T347" s="33"/>
    </row>
    <row r="348" spans="1:20" ht="15.75">
      <c r="A348" s="13">
        <v>52474</v>
      </c>
      <c r="B348" s="41">
        <v>31</v>
      </c>
      <c r="C348" s="32">
        <v>194.20500000000001</v>
      </c>
      <c r="D348" s="32">
        <v>267.46600000000001</v>
      </c>
      <c r="E348" s="38">
        <v>812.32899999999995</v>
      </c>
      <c r="F348" s="32">
        <v>1274</v>
      </c>
      <c r="G348" s="32">
        <v>50</v>
      </c>
      <c r="H348" s="40">
        <v>600</v>
      </c>
      <c r="I348" s="32">
        <v>695</v>
      </c>
      <c r="J348" s="32">
        <v>0</v>
      </c>
      <c r="K348" s="33"/>
      <c r="L348" s="33"/>
      <c r="M348" s="33"/>
      <c r="N348" s="33"/>
      <c r="O348" s="33"/>
      <c r="P348" s="33"/>
      <c r="Q348" s="33"/>
      <c r="R348" s="33"/>
      <c r="S348" s="33"/>
      <c r="T348" s="33"/>
    </row>
    <row r="349" spans="1:20" ht="15.75">
      <c r="A349" s="13">
        <v>52504</v>
      </c>
      <c r="B349" s="41">
        <v>30</v>
      </c>
      <c r="C349" s="32">
        <v>194.20500000000001</v>
      </c>
      <c r="D349" s="32">
        <v>267.46600000000001</v>
      </c>
      <c r="E349" s="38">
        <v>812.32899999999995</v>
      </c>
      <c r="F349" s="32">
        <v>1274</v>
      </c>
      <c r="G349" s="32">
        <v>50</v>
      </c>
      <c r="H349" s="40">
        <v>600</v>
      </c>
      <c r="I349" s="32">
        <v>695</v>
      </c>
      <c r="J349" s="32">
        <v>0</v>
      </c>
      <c r="K349" s="33"/>
      <c r="L349" s="33"/>
      <c r="M349" s="33"/>
      <c r="N349" s="33"/>
      <c r="O349" s="33"/>
      <c r="P349" s="33"/>
      <c r="Q349" s="33"/>
      <c r="R349" s="33"/>
      <c r="S349" s="33"/>
      <c r="T349" s="33"/>
    </row>
    <row r="350" spans="1:20" ht="15.75">
      <c r="A350" s="13">
        <v>52535</v>
      </c>
      <c r="B350" s="41">
        <v>31</v>
      </c>
      <c r="C350" s="32">
        <v>131.881</v>
      </c>
      <c r="D350" s="32">
        <v>277.16699999999997</v>
      </c>
      <c r="E350" s="38">
        <v>829.952</v>
      </c>
      <c r="F350" s="32">
        <v>1239</v>
      </c>
      <c r="G350" s="32">
        <v>75</v>
      </c>
      <c r="H350" s="40">
        <v>600</v>
      </c>
      <c r="I350" s="32">
        <v>695</v>
      </c>
      <c r="J350" s="32">
        <v>0</v>
      </c>
      <c r="K350" s="33"/>
      <c r="L350" s="33"/>
      <c r="M350" s="33"/>
      <c r="N350" s="33"/>
      <c r="O350" s="33"/>
      <c r="P350" s="33"/>
      <c r="Q350" s="33"/>
      <c r="R350" s="33"/>
      <c r="S350" s="33"/>
      <c r="T350" s="33"/>
    </row>
    <row r="351" spans="1:20" ht="15.75">
      <c r="A351" s="13">
        <v>52565</v>
      </c>
      <c r="B351" s="41">
        <v>30</v>
      </c>
      <c r="C351" s="32">
        <v>122.58</v>
      </c>
      <c r="D351" s="32">
        <v>297.94099999999997</v>
      </c>
      <c r="E351" s="38">
        <v>729.47900000000004</v>
      </c>
      <c r="F351" s="32">
        <v>1150</v>
      </c>
      <c r="G351" s="32">
        <v>100</v>
      </c>
      <c r="H351" s="40">
        <v>600</v>
      </c>
      <c r="I351" s="32">
        <v>695</v>
      </c>
      <c r="J351" s="32">
        <v>50</v>
      </c>
      <c r="K351" s="33"/>
      <c r="L351" s="33"/>
      <c r="M351" s="33"/>
      <c r="N351" s="33"/>
      <c r="O351" s="33"/>
      <c r="P351" s="33"/>
      <c r="Q351" s="33"/>
      <c r="R351" s="33"/>
      <c r="S351" s="33"/>
      <c r="T351" s="33"/>
    </row>
    <row r="352" spans="1:20" ht="15.75">
      <c r="A352" s="13">
        <v>52596</v>
      </c>
      <c r="B352" s="41">
        <v>31</v>
      </c>
      <c r="C352" s="32">
        <v>122.58</v>
      </c>
      <c r="D352" s="32">
        <v>297.94099999999997</v>
      </c>
      <c r="E352" s="38">
        <v>729.47900000000004</v>
      </c>
      <c r="F352" s="32">
        <v>1150</v>
      </c>
      <c r="G352" s="32">
        <v>100</v>
      </c>
      <c r="H352" s="40">
        <v>600</v>
      </c>
      <c r="I352" s="32">
        <v>695</v>
      </c>
      <c r="J352" s="32">
        <v>50</v>
      </c>
      <c r="K352" s="33"/>
      <c r="L352" s="33"/>
      <c r="M352" s="33"/>
      <c r="N352" s="33"/>
      <c r="O352" s="33"/>
      <c r="P352" s="33"/>
      <c r="Q352" s="33"/>
      <c r="R352" s="33"/>
      <c r="S352" s="33"/>
      <c r="T352" s="33"/>
    </row>
    <row r="353" spans="1:20" ht="15.75">
      <c r="A353" s="13">
        <v>52627</v>
      </c>
      <c r="B353" s="41">
        <v>31</v>
      </c>
      <c r="C353" s="32">
        <v>122.58</v>
      </c>
      <c r="D353" s="32">
        <v>297.94099999999997</v>
      </c>
      <c r="E353" s="38">
        <v>729.47900000000004</v>
      </c>
      <c r="F353" s="32">
        <v>1150</v>
      </c>
      <c r="G353" s="32">
        <v>100</v>
      </c>
      <c r="H353" s="40">
        <v>600</v>
      </c>
      <c r="I353" s="32">
        <v>695</v>
      </c>
      <c r="J353" s="32">
        <v>50</v>
      </c>
      <c r="K353" s="33"/>
      <c r="L353" s="33"/>
      <c r="M353" s="33"/>
      <c r="N353" s="33"/>
      <c r="O353" s="33"/>
      <c r="P353" s="33"/>
      <c r="Q353" s="33"/>
      <c r="R353" s="33"/>
      <c r="S353" s="33"/>
      <c r="T353" s="33"/>
    </row>
    <row r="354" spans="1:20" ht="15.75">
      <c r="A354" s="13">
        <v>52655</v>
      </c>
      <c r="B354" s="41">
        <v>29</v>
      </c>
      <c r="C354" s="32">
        <v>122.58</v>
      </c>
      <c r="D354" s="32">
        <v>297.94099999999997</v>
      </c>
      <c r="E354" s="38">
        <v>729.47900000000004</v>
      </c>
      <c r="F354" s="32">
        <v>1150</v>
      </c>
      <c r="G354" s="32">
        <v>100</v>
      </c>
      <c r="H354" s="40">
        <v>600</v>
      </c>
      <c r="I354" s="32">
        <v>695</v>
      </c>
      <c r="J354" s="32">
        <v>50</v>
      </c>
      <c r="K354" s="33"/>
      <c r="L354" s="33"/>
      <c r="M354" s="33"/>
      <c r="N354" s="33"/>
      <c r="O354" s="33"/>
      <c r="P354" s="33"/>
      <c r="Q354" s="33"/>
      <c r="R354" s="33"/>
      <c r="S354" s="33"/>
      <c r="T354" s="33"/>
    </row>
    <row r="355" spans="1:20" ht="15.75">
      <c r="A355" s="13">
        <v>52687</v>
      </c>
      <c r="B355" s="41">
        <v>31</v>
      </c>
      <c r="C355" s="32">
        <v>122.58</v>
      </c>
      <c r="D355" s="32">
        <v>297.94099999999997</v>
      </c>
      <c r="E355" s="38">
        <v>729.47900000000004</v>
      </c>
      <c r="F355" s="32">
        <v>1150</v>
      </c>
      <c r="G355" s="32">
        <v>100</v>
      </c>
      <c r="H355" s="40">
        <v>600</v>
      </c>
      <c r="I355" s="32">
        <v>695</v>
      </c>
      <c r="J355" s="32">
        <v>50</v>
      </c>
      <c r="K355" s="33"/>
      <c r="L355" s="33"/>
      <c r="M355" s="33"/>
      <c r="N355" s="33"/>
      <c r="O355" s="33"/>
      <c r="P355" s="33"/>
      <c r="Q355" s="33"/>
      <c r="R355" s="33"/>
      <c r="S355" s="33"/>
      <c r="T355" s="33"/>
    </row>
    <row r="356" spans="1:20" ht="15.75">
      <c r="A356" s="13">
        <v>52717</v>
      </c>
      <c r="B356" s="41">
        <v>30</v>
      </c>
      <c r="C356" s="32">
        <v>141.29300000000001</v>
      </c>
      <c r="D356" s="32">
        <v>267.99299999999999</v>
      </c>
      <c r="E356" s="38">
        <v>829.71400000000006</v>
      </c>
      <c r="F356" s="32">
        <v>1239</v>
      </c>
      <c r="G356" s="32">
        <v>100</v>
      </c>
      <c r="H356" s="40">
        <v>600</v>
      </c>
      <c r="I356" s="32">
        <v>695</v>
      </c>
      <c r="J356" s="32">
        <v>50</v>
      </c>
      <c r="K356" s="33"/>
      <c r="L356" s="33"/>
      <c r="M356" s="33"/>
      <c r="N356" s="33"/>
      <c r="O356" s="33"/>
      <c r="P356" s="33"/>
      <c r="Q356" s="33"/>
      <c r="R356" s="33"/>
      <c r="S356" s="33"/>
      <c r="T356" s="33"/>
    </row>
    <row r="357" spans="1:20" ht="15.75">
      <c r="A357" s="13">
        <v>52748</v>
      </c>
      <c r="B357" s="41">
        <v>31</v>
      </c>
      <c r="C357" s="32">
        <v>194.20500000000001</v>
      </c>
      <c r="D357" s="32">
        <v>267.46600000000001</v>
      </c>
      <c r="E357" s="38">
        <v>812.32899999999995</v>
      </c>
      <c r="F357" s="32">
        <v>1274</v>
      </c>
      <c r="G357" s="32">
        <v>75</v>
      </c>
      <c r="H357" s="40">
        <v>600</v>
      </c>
      <c r="I357" s="32">
        <v>695</v>
      </c>
      <c r="J357" s="32">
        <v>50</v>
      </c>
      <c r="K357" s="33"/>
      <c r="L357" s="33"/>
      <c r="M357" s="33"/>
      <c r="N357" s="33"/>
      <c r="O357" s="33"/>
      <c r="P357" s="33"/>
      <c r="Q357" s="33"/>
      <c r="R357" s="33"/>
      <c r="S357" s="33"/>
      <c r="T357" s="33"/>
    </row>
    <row r="358" spans="1:20" ht="15.75">
      <c r="A358" s="13">
        <v>52778</v>
      </c>
      <c r="B358" s="41">
        <v>30</v>
      </c>
      <c r="C358" s="32">
        <v>194.20500000000001</v>
      </c>
      <c r="D358" s="32">
        <v>267.46600000000001</v>
      </c>
      <c r="E358" s="38">
        <v>812.32899999999995</v>
      </c>
      <c r="F358" s="32">
        <v>1274</v>
      </c>
      <c r="G358" s="32">
        <v>50</v>
      </c>
      <c r="H358" s="40">
        <v>600</v>
      </c>
      <c r="I358" s="32">
        <v>695</v>
      </c>
      <c r="J358" s="32">
        <v>50</v>
      </c>
      <c r="K358" s="33"/>
      <c r="L358" s="33"/>
      <c r="M358" s="33"/>
      <c r="N358" s="33"/>
      <c r="O358" s="33"/>
      <c r="P358" s="33"/>
      <c r="Q358" s="33"/>
      <c r="R358" s="33"/>
      <c r="S358" s="33"/>
      <c r="T358" s="33"/>
    </row>
    <row r="359" spans="1:20" ht="15.75">
      <c r="A359" s="13">
        <v>52809</v>
      </c>
      <c r="B359" s="41">
        <v>31</v>
      </c>
      <c r="C359" s="32">
        <v>194.20500000000001</v>
      </c>
      <c r="D359" s="32">
        <v>267.46600000000001</v>
      </c>
      <c r="E359" s="38">
        <v>812.32899999999995</v>
      </c>
      <c r="F359" s="32">
        <v>1274</v>
      </c>
      <c r="G359" s="32">
        <v>50</v>
      </c>
      <c r="H359" s="40">
        <v>600</v>
      </c>
      <c r="I359" s="32">
        <v>695</v>
      </c>
      <c r="J359" s="32">
        <v>0</v>
      </c>
      <c r="K359" s="33"/>
      <c r="L359" s="33"/>
      <c r="M359" s="33"/>
      <c r="N359" s="33"/>
      <c r="O359" s="33"/>
      <c r="P359" s="33"/>
      <c r="Q359" s="33"/>
      <c r="R359" s="33"/>
      <c r="S359" s="33"/>
      <c r="T359" s="33"/>
    </row>
    <row r="360" spans="1:20" ht="15.75">
      <c r="A360" s="13">
        <v>52840</v>
      </c>
      <c r="B360" s="41">
        <v>31</v>
      </c>
      <c r="C360" s="32">
        <v>194.20500000000001</v>
      </c>
      <c r="D360" s="32">
        <v>267.46600000000001</v>
      </c>
      <c r="E360" s="38">
        <v>812.32899999999995</v>
      </c>
      <c r="F360" s="32">
        <v>1274</v>
      </c>
      <c r="G360" s="32">
        <v>50</v>
      </c>
      <c r="H360" s="40">
        <v>600</v>
      </c>
      <c r="I360" s="32">
        <v>695</v>
      </c>
      <c r="J360" s="32">
        <v>0</v>
      </c>
      <c r="K360" s="33"/>
      <c r="L360" s="33"/>
      <c r="M360" s="33"/>
      <c r="N360" s="33"/>
      <c r="O360" s="33"/>
      <c r="P360" s="33"/>
      <c r="Q360" s="33"/>
      <c r="R360" s="33"/>
      <c r="S360" s="33"/>
      <c r="T360" s="33"/>
    </row>
    <row r="361" spans="1:20" ht="15.75">
      <c r="A361" s="13">
        <v>52870</v>
      </c>
      <c r="B361" s="41">
        <v>30</v>
      </c>
      <c r="C361" s="32">
        <v>194.20500000000001</v>
      </c>
      <c r="D361" s="32">
        <v>267.46600000000001</v>
      </c>
      <c r="E361" s="38">
        <v>812.32899999999995</v>
      </c>
      <c r="F361" s="32">
        <v>1274</v>
      </c>
      <c r="G361" s="32">
        <v>50</v>
      </c>
      <c r="H361" s="40">
        <v>600</v>
      </c>
      <c r="I361" s="32">
        <v>695</v>
      </c>
      <c r="J361" s="32">
        <v>0</v>
      </c>
      <c r="K361" s="33"/>
      <c r="L361" s="33"/>
      <c r="M361" s="33"/>
      <c r="N361" s="33"/>
      <c r="O361" s="33"/>
      <c r="P361" s="33"/>
      <c r="Q361" s="33"/>
      <c r="R361" s="33"/>
      <c r="S361" s="33"/>
      <c r="T361" s="33"/>
    </row>
    <row r="362" spans="1:20" ht="15.75">
      <c r="A362" s="13">
        <v>52901</v>
      </c>
      <c r="B362" s="41">
        <v>31</v>
      </c>
      <c r="C362" s="32">
        <v>131.881</v>
      </c>
      <c r="D362" s="32">
        <v>277.16699999999997</v>
      </c>
      <c r="E362" s="38">
        <v>829.952</v>
      </c>
      <c r="F362" s="32">
        <v>1239</v>
      </c>
      <c r="G362" s="32">
        <v>75</v>
      </c>
      <c r="H362" s="40">
        <v>600</v>
      </c>
      <c r="I362" s="32">
        <v>695</v>
      </c>
      <c r="J362" s="32">
        <v>0</v>
      </c>
      <c r="K362" s="33"/>
      <c r="L362" s="33"/>
      <c r="M362" s="33"/>
      <c r="N362" s="33"/>
      <c r="O362" s="33"/>
      <c r="P362" s="33"/>
      <c r="Q362" s="33"/>
      <c r="R362" s="33"/>
      <c r="S362" s="33"/>
      <c r="T362" s="33"/>
    </row>
    <row r="363" spans="1:20" ht="15.75">
      <c r="A363" s="13">
        <v>52931</v>
      </c>
      <c r="B363" s="41">
        <v>30</v>
      </c>
      <c r="C363" s="32">
        <v>122.58</v>
      </c>
      <c r="D363" s="32">
        <v>297.94099999999997</v>
      </c>
      <c r="E363" s="38">
        <v>729.47900000000004</v>
      </c>
      <c r="F363" s="32">
        <v>1150</v>
      </c>
      <c r="G363" s="32">
        <v>100</v>
      </c>
      <c r="H363" s="40">
        <v>600</v>
      </c>
      <c r="I363" s="32">
        <v>695</v>
      </c>
      <c r="J363" s="32">
        <v>50</v>
      </c>
      <c r="K363" s="33"/>
      <c r="L363" s="33"/>
      <c r="M363" s="33"/>
      <c r="N363" s="33"/>
      <c r="O363" s="33"/>
      <c r="P363" s="33"/>
      <c r="Q363" s="33"/>
      <c r="R363" s="33"/>
      <c r="S363" s="33"/>
      <c r="T363" s="33"/>
    </row>
    <row r="364" spans="1:20" ht="15.75">
      <c r="A364" s="13">
        <v>52962</v>
      </c>
      <c r="B364" s="41">
        <v>31</v>
      </c>
      <c r="C364" s="32">
        <v>122.58</v>
      </c>
      <c r="D364" s="32">
        <v>297.94099999999997</v>
      </c>
      <c r="E364" s="38">
        <v>729.47900000000004</v>
      </c>
      <c r="F364" s="32">
        <v>1150</v>
      </c>
      <c r="G364" s="32">
        <v>100</v>
      </c>
      <c r="H364" s="40">
        <v>600</v>
      </c>
      <c r="I364" s="32">
        <v>695</v>
      </c>
      <c r="J364" s="32">
        <v>50</v>
      </c>
      <c r="K364" s="33"/>
      <c r="L364" s="33"/>
      <c r="M364" s="33"/>
      <c r="N364" s="33"/>
      <c r="O364" s="33"/>
      <c r="P364" s="33"/>
      <c r="Q364" s="33"/>
      <c r="R364" s="33"/>
      <c r="S364" s="33"/>
      <c r="T364" s="33"/>
    </row>
    <row r="365" spans="1:20" ht="15.75">
      <c r="A365" s="13">
        <v>52993</v>
      </c>
      <c r="B365" s="41">
        <v>31</v>
      </c>
      <c r="C365" s="32">
        <v>122.58</v>
      </c>
      <c r="D365" s="32">
        <v>297.94099999999997</v>
      </c>
      <c r="E365" s="38">
        <v>729.47900000000004</v>
      </c>
      <c r="F365" s="32">
        <v>1150</v>
      </c>
      <c r="G365" s="32">
        <v>100</v>
      </c>
      <c r="H365" s="40">
        <v>600</v>
      </c>
      <c r="I365" s="32">
        <v>695</v>
      </c>
      <c r="J365" s="32">
        <v>50</v>
      </c>
      <c r="K365" s="33"/>
      <c r="L365" s="33"/>
      <c r="M365" s="33"/>
      <c r="N365" s="33"/>
      <c r="O365" s="33"/>
      <c r="P365" s="33"/>
      <c r="Q365" s="33"/>
      <c r="R365" s="33"/>
      <c r="S365" s="33"/>
      <c r="T365" s="33"/>
    </row>
    <row r="366" spans="1:20" ht="15.75">
      <c r="A366" s="13">
        <v>53021</v>
      </c>
      <c r="B366" s="41">
        <v>28</v>
      </c>
      <c r="C366" s="32">
        <v>122.58</v>
      </c>
      <c r="D366" s="32">
        <v>297.94099999999997</v>
      </c>
      <c r="E366" s="38">
        <v>729.47900000000004</v>
      </c>
      <c r="F366" s="32">
        <v>1150</v>
      </c>
      <c r="G366" s="32">
        <v>100</v>
      </c>
      <c r="H366" s="40">
        <v>600</v>
      </c>
      <c r="I366" s="32">
        <v>695</v>
      </c>
      <c r="J366" s="32">
        <v>50</v>
      </c>
      <c r="K366" s="33"/>
      <c r="L366" s="33"/>
      <c r="M366" s="33"/>
      <c r="N366" s="33"/>
      <c r="O366" s="33"/>
      <c r="P366" s="33"/>
      <c r="Q366" s="33"/>
      <c r="R366" s="33"/>
      <c r="S366" s="33"/>
      <c r="T366" s="33"/>
    </row>
    <row r="367" spans="1:20" ht="15.75">
      <c r="A367" s="13">
        <v>53052</v>
      </c>
      <c r="B367" s="41">
        <v>31</v>
      </c>
      <c r="C367" s="32">
        <v>122.58</v>
      </c>
      <c r="D367" s="32">
        <v>297.94099999999997</v>
      </c>
      <c r="E367" s="38">
        <v>729.47900000000004</v>
      </c>
      <c r="F367" s="32">
        <v>1150</v>
      </c>
      <c r="G367" s="32">
        <v>100</v>
      </c>
      <c r="H367" s="40">
        <v>600</v>
      </c>
      <c r="I367" s="32">
        <v>695</v>
      </c>
      <c r="J367" s="32">
        <v>50</v>
      </c>
      <c r="K367" s="33"/>
      <c r="L367" s="33"/>
      <c r="M367" s="33"/>
      <c r="N367" s="33"/>
      <c r="O367" s="33"/>
      <c r="P367" s="33"/>
      <c r="Q367" s="33"/>
      <c r="R367" s="33"/>
      <c r="S367" s="33"/>
      <c r="T367" s="33"/>
    </row>
    <row r="368" spans="1:20" ht="15.75">
      <c r="A368" s="13">
        <v>53082</v>
      </c>
      <c r="B368" s="41">
        <v>30</v>
      </c>
      <c r="C368" s="32">
        <v>141.29300000000001</v>
      </c>
      <c r="D368" s="32">
        <v>267.99299999999999</v>
      </c>
      <c r="E368" s="38">
        <v>829.71400000000006</v>
      </c>
      <c r="F368" s="32">
        <v>1239</v>
      </c>
      <c r="G368" s="32">
        <v>100</v>
      </c>
      <c r="H368" s="40">
        <v>600</v>
      </c>
      <c r="I368" s="32">
        <v>695</v>
      </c>
      <c r="J368" s="32">
        <v>50</v>
      </c>
      <c r="K368" s="33"/>
      <c r="L368" s="33"/>
      <c r="M368" s="33"/>
      <c r="N368" s="33"/>
      <c r="O368" s="33"/>
      <c r="P368" s="33"/>
      <c r="Q368" s="33"/>
      <c r="R368" s="33"/>
      <c r="S368" s="33"/>
      <c r="T368" s="33"/>
    </row>
    <row r="369" spans="1:20" ht="15.75">
      <c r="A369" s="13">
        <v>53113</v>
      </c>
      <c r="B369" s="41">
        <v>31</v>
      </c>
      <c r="C369" s="32">
        <v>194.20500000000001</v>
      </c>
      <c r="D369" s="32">
        <v>267.46600000000001</v>
      </c>
      <c r="E369" s="38">
        <v>812.32899999999995</v>
      </c>
      <c r="F369" s="32">
        <v>1274</v>
      </c>
      <c r="G369" s="32">
        <v>75</v>
      </c>
      <c r="H369" s="40">
        <v>600</v>
      </c>
      <c r="I369" s="32">
        <v>695</v>
      </c>
      <c r="J369" s="32">
        <v>50</v>
      </c>
      <c r="K369" s="33"/>
      <c r="L369" s="33"/>
      <c r="M369" s="33"/>
      <c r="N369" s="33"/>
      <c r="O369" s="33"/>
      <c r="P369" s="33"/>
      <c r="Q369" s="33"/>
      <c r="R369" s="33"/>
      <c r="S369" s="33"/>
      <c r="T369" s="33"/>
    </row>
    <row r="370" spans="1:20" ht="15.75">
      <c r="A370" s="13">
        <v>53143</v>
      </c>
      <c r="B370" s="41">
        <v>30</v>
      </c>
      <c r="C370" s="32">
        <v>194.20500000000001</v>
      </c>
      <c r="D370" s="32">
        <v>267.46600000000001</v>
      </c>
      <c r="E370" s="38">
        <v>812.32899999999995</v>
      </c>
      <c r="F370" s="32">
        <v>1274</v>
      </c>
      <c r="G370" s="32">
        <v>50</v>
      </c>
      <c r="H370" s="40">
        <v>600</v>
      </c>
      <c r="I370" s="32">
        <v>695</v>
      </c>
      <c r="J370" s="32">
        <v>50</v>
      </c>
      <c r="K370" s="33"/>
      <c r="L370" s="33"/>
      <c r="M370" s="33"/>
      <c r="N370" s="33"/>
      <c r="O370" s="33"/>
      <c r="P370" s="33"/>
      <c r="Q370" s="33"/>
      <c r="R370" s="33"/>
      <c r="S370" s="33"/>
      <c r="T370" s="33"/>
    </row>
    <row r="371" spans="1:20" ht="15.75">
      <c r="A371" s="13">
        <v>53174</v>
      </c>
      <c r="B371" s="41">
        <v>31</v>
      </c>
      <c r="C371" s="32">
        <v>194.20500000000001</v>
      </c>
      <c r="D371" s="32">
        <v>267.46600000000001</v>
      </c>
      <c r="E371" s="38">
        <v>812.32899999999995</v>
      </c>
      <c r="F371" s="32">
        <v>1274</v>
      </c>
      <c r="G371" s="32">
        <v>50</v>
      </c>
      <c r="H371" s="40">
        <v>600</v>
      </c>
      <c r="I371" s="32">
        <v>695</v>
      </c>
      <c r="J371" s="32">
        <v>0</v>
      </c>
      <c r="K371" s="33"/>
      <c r="L371" s="33"/>
      <c r="M371" s="33"/>
      <c r="N371" s="33"/>
      <c r="O371" s="33"/>
      <c r="P371" s="33"/>
      <c r="Q371" s="33"/>
      <c r="R371" s="33"/>
      <c r="S371" s="33"/>
      <c r="T371" s="33"/>
    </row>
    <row r="372" spans="1:20" ht="15.75">
      <c r="A372" s="13">
        <v>53205</v>
      </c>
      <c r="B372" s="41">
        <v>31</v>
      </c>
      <c r="C372" s="32">
        <v>194.20500000000001</v>
      </c>
      <c r="D372" s="32">
        <v>267.46600000000001</v>
      </c>
      <c r="E372" s="38">
        <v>812.32899999999995</v>
      </c>
      <c r="F372" s="32">
        <v>1274</v>
      </c>
      <c r="G372" s="32">
        <v>50</v>
      </c>
      <c r="H372" s="40">
        <v>600</v>
      </c>
      <c r="I372" s="32">
        <v>695</v>
      </c>
      <c r="J372" s="32">
        <v>0</v>
      </c>
      <c r="K372" s="33"/>
      <c r="L372" s="33"/>
      <c r="M372" s="33"/>
      <c r="N372" s="33"/>
      <c r="O372" s="33"/>
      <c r="P372" s="33"/>
      <c r="Q372" s="33"/>
      <c r="R372" s="33"/>
      <c r="S372" s="33"/>
      <c r="T372" s="33"/>
    </row>
    <row r="373" spans="1:20" ht="15.75">
      <c r="A373" s="13">
        <v>53235</v>
      </c>
      <c r="B373" s="41">
        <v>30</v>
      </c>
      <c r="C373" s="32">
        <v>194.20500000000001</v>
      </c>
      <c r="D373" s="32">
        <v>267.46600000000001</v>
      </c>
      <c r="E373" s="38">
        <v>812.32899999999995</v>
      </c>
      <c r="F373" s="32">
        <v>1274</v>
      </c>
      <c r="G373" s="32">
        <v>50</v>
      </c>
      <c r="H373" s="40">
        <v>600</v>
      </c>
      <c r="I373" s="32">
        <v>695</v>
      </c>
      <c r="J373" s="32">
        <v>0</v>
      </c>
      <c r="K373" s="33"/>
      <c r="L373" s="33"/>
      <c r="M373" s="33"/>
      <c r="N373" s="33"/>
      <c r="O373" s="33"/>
      <c r="P373" s="33"/>
      <c r="Q373" s="33"/>
      <c r="R373" s="33"/>
      <c r="S373" s="33"/>
      <c r="T373" s="33"/>
    </row>
    <row r="374" spans="1:20" ht="15.75">
      <c r="A374" s="13">
        <v>53266</v>
      </c>
      <c r="B374" s="41">
        <v>31</v>
      </c>
      <c r="C374" s="32">
        <v>131.881</v>
      </c>
      <c r="D374" s="32">
        <v>277.16699999999997</v>
      </c>
      <c r="E374" s="38">
        <v>829.952</v>
      </c>
      <c r="F374" s="32">
        <v>1239</v>
      </c>
      <c r="G374" s="32">
        <v>75</v>
      </c>
      <c r="H374" s="40">
        <v>600</v>
      </c>
      <c r="I374" s="32">
        <v>695</v>
      </c>
      <c r="J374" s="32">
        <v>0</v>
      </c>
      <c r="K374" s="33"/>
      <c r="L374" s="33"/>
      <c r="M374" s="33"/>
      <c r="N374" s="33"/>
      <c r="O374" s="33"/>
      <c r="P374" s="33"/>
      <c r="Q374" s="33"/>
      <c r="R374" s="33"/>
      <c r="S374" s="33"/>
      <c r="T374" s="33"/>
    </row>
    <row r="375" spans="1:20" ht="15.75">
      <c r="A375" s="13">
        <v>53296</v>
      </c>
      <c r="B375" s="41">
        <v>30</v>
      </c>
      <c r="C375" s="32">
        <v>122.58</v>
      </c>
      <c r="D375" s="32">
        <v>297.94099999999997</v>
      </c>
      <c r="E375" s="38">
        <v>729.47900000000004</v>
      </c>
      <c r="F375" s="32">
        <v>1150</v>
      </c>
      <c r="G375" s="32">
        <v>100</v>
      </c>
      <c r="H375" s="40">
        <v>600</v>
      </c>
      <c r="I375" s="32">
        <v>695</v>
      </c>
      <c r="J375" s="32">
        <v>50</v>
      </c>
      <c r="K375" s="33"/>
      <c r="L375" s="33"/>
      <c r="M375" s="33"/>
      <c r="N375" s="33"/>
      <c r="O375" s="33"/>
      <c r="P375" s="33"/>
      <c r="Q375" s="33"/>
      <c r="R375" s="33"/>
      <c r="S375" s="33"/>
      <c r="T375" s="33"/>
    </row>
    <row r="376" spans="1:20" ht="15.75">
      <c r="A376" s="13">
        <v>53327</v>
      </c>
      <c r="B376" s="41">
        <v>31</v>
      </c>
      <c r="C376" s="32">
        <v>122.58</v>
      </c>
      <c r="D376" s="32">
        <v>297.94099999999997</v>
      </c>
      <c r="E376" s="38">
        <v>729.47900000000004</v>
      </c>
      <c r="F376" s="32">
        <v>1150</v>
      </c>
      <c r="G376" s="32">
        <v>100</v>
      </c>
      <c r="H376" s="40">
        <v>600</v>
      </c>
      <c r="I376" s="32">
        <v>695</v>
      </c>
      <c r="J376" s="32">
        <v>50</v>
      </c>
      <c r="K376" s="33"/>
      <c r="L376" s="33"/>
      <c r="M376" s="33"/>
      <c r="N376" s="33"/>
      <c r="O376" s="33"/>
      <c r="P376" s="33"/>
      <c r="Q376" s="33"/>
      <c r="R376" s="33"/>
      <c r="S376" s="33"/>
      <c r="T376" s="33"/>
    </row>
    <row r="377" spans="1:20" ht="15.75">
      <c r="A377" s="13">
        <v>53358</v>
      </c>
      <c r="B377" s="41">
        <v>31</v>
      </c>
      <c r="C377" s="32">
        <v>122.58</v>
      </c>
      <c r="D377" s="32">
        <v>297.94099999999997</v>
      </c>
      <c r="E377" s="38">
        <v>729.47900000000004</v>
      </c>
      <c r="F377" s="32">
        <v>1150</v>
      </c>
      <c r="G377" s="32">
        <v>100</v>
      </c>
      <c r="H377" s="40">
        <v>600</v>
      </c>
      <c r="I377" s="32">
        <v>695</v>
      </c>
      <c r="J377" s="32">
        <v>50</v>
      </c>
      <c r="K377" s="33"/>
      <c r="L377" s="33"/>
      <c r="M377" s="33"/>
      <c r="N377" s="33"/>
      <c r="O377" s="33"/>
      <c r="P377" s="33"/>
      <c r="Q377" s="33"/>
      <c r="R377" s="33"/>
      <c r="S377" s="33"/>
      <c r="T377" s="33"/>
    </row>
    <row r="378" spans="1:20" ht="15.75">
      <c r="A378" s="13">
        <v>53386</v>
      </c>
      <c r="B378" s="41">
        <v>28</v>
      </c>
      <c r="C378" s="32">
        <v>122.58</v>
      </c>
      <c r="D378" s="32">
        <v>297.94099999999997</v>
      </c>
      <c r="E378" s="38">
        <v>729.47900000000004</v>
      </c>
      <c r="F378" s="32">
        <v>1150</v>
      </c>
      <c r="G378" s="32">
        <v>100</v>
      </c>
      <c r="H378" s="40">
        <v>600</v>
      </c>
      <c r="I378" s="32">
        <v>695</v>
      </c>
      <c r="J378" s="32">
        <v>50</v>
      </c>
      <c r="K378" s="33"/>
      <c r="L378" s="33"/>
      <c r="M378" s="33"/>
      <c r="N378" s="33"/>
      <c r="O378" s="33"/>
      <c r="P378" s="33"/>
      <c r="Q378" s="33"/>
      <c r="R378" s="33"/>
      <c r="S378" s="33"/>
      <c r="T378" s="33"/>
    </row>
    <row r="379" spans="1:20" ht="15.75">
      <c r="A379" s="13">
        <v>53417</v>
      </c>
      <c r="B379" s="41">
        <v>31</v>
      </c>
      <c r="C379" s="32">
        <v>122.58</v>
      </c>
      <c r="D379" s="32">
        <v>297.94099999999997</v>
      </c>
      <c r="E379" s="38">
        <v>729.47900000000004</v>
      </c>
      <c r="F379" s="32">
        <v>1150</v>
      </c>
      <c r="G379" s="32">
        <v>100</v>
      </c>
      <c r="H379" s="40">
        <v>600</v>
      </c>
      <c r="I379" s="32">
        <v>695</v>
      </c>
      <c r="J379" s="32">
        <v>50</v>
      </c>
      <c r="K379" s="33"/>
      <c r="L379" s="33"/>
      <c r="M379" s="33"/>
      <c r="N379" s="33"/>
      <c r="O379" s="33"/>
      <c r="P379" s="33"/>
      <c r="Q379" s="33"/>
      <c r="R379" s="33"/>
      <c r="S379" s="33"/>
      <c r="T379" s="33"/>
    </row>
    <row r="380" spans="1:20" ht="15.75">
      <c r="A380" s="13">
        <v>53447</v>
      </c>
      <c r="B380" s="41">
        <v>30</v>
      </c>
      <c r="C380" s="32">
        <v>141.29300000000001</v>
      </c>
      <c r="D380" s="32">
        <v>267.99299999999999</v>
      </c>
      <c r="E380" s="38">
        <v>829.71400000000006</v>
      </c>
      <c r="F380" s="32">
        <v>1239</v>
      </c>
      <c r="G380" s="32">
        <v>100</v>
      </c>
      <c r="H380" s="40">
        <v>600</v>
      </c>
      <c r="I380" s="32">
        <v>695</v>
      </c>
      <c r="J380" s="32">
        <v>50</v>
      </c>
      <c r="K380" s="33"/>
      <c r="L380" s="33"/>
      <c r="M380" s="33"/>
      <c r="N380" s="33"/>
      <c r="O380" s="33"/>
      <c r="P380" s="33"/>
      <c r="Q380" s="33"/>
      <c r="R380" s="33"/>
      <c r="S380" s="33"/>
      <c r="T380" s="33"/>
    </row>
    <row r="381" spans="1:20" ht="15.75">
      <c r="A381" s="13">
        <v>53478</v>
      </c>
      <c r="B381" s="41">
        <v>31</v>
      </c>
      <c r="C381" s="32">
        <v>194.20500000000001</v>
      </c>
      <c r="D381" s="32">
        <v>267.46600000000001</v>
      </c>
      <c r="E381" s="38">
        <v>812.32899999999995</v>
      </c>
      <c r="F381" s="32">
        <v>1274</v>
      </c>
      <c r="G381" s="32">
        <v>75</v>
      </c>
      <c r="H381" s="40">
        <v>600</v>
      </c>
      <c r="I381" s="32">
        <v>695</v>
      </c>
      <c r="J381" s="32">
        <v>50</v>
      </c>
      <c r="K381" s="33"/>
      <c r="L381" s="33"/>
      <c r="M381" s="33"/>
      <c r="N381" s="33"/>
      <c r="O381" s="33"/>
      <c r="P381" s="33"/>
      <c r="Q381" s="33"/>
      <c r="R381" s="33"/>
      <c r="S381" s="33"/>
      <c r="T381" s="33"/>
    </row>
    <row r="382" spans="1:20" ht="15.75">
      <c r="A382" s="13">
        <v>53508</v>
      </c>
      <c r="B382" s="41">
        <v>30</v>
      </c>
      <c r="C382" s="32">
        <v>194.20500000000001</v>
      </c>
      <c r="D382" s="32">
        <v>267.46600000000001</v>
      </c>
      <c r="E382" s="38">
        <v>812.32899999999995</v>
      </c>
      <c r="F382" s="32">
        <v>1274</v>
      </c>
      <c r="G382" s="32">
        <v>50</v>
      </c>
      <c r="H382" s="40">
        <v>600</v>
      </c>
      <c r="I382" s="32">
        <v>695</v>
      </c>
      <c r="J382" s="32">
        <v>50</v>
      </c>
      <c r="K382" s="33"/>
      <c r="L382" s="33"/>
      <c r="M382" s="33"/>
      <c r="N382" s="33"/>
      <c r="O382" s="33"/>
      <c r="P382" s="33"/>
      <c r="Q382" s="33"/>
      <c r="R382" s="33"/>
      <c r="S382" s="33"/>
      <c r="T382" s="33"/>
    </row>
    <row r="383" spans="1:20" ht="15.75">
      <c r="A383" s="13">
        <v>53539</v>
      </c>
      <c r="B383" s="41">
        <v>31</v>
      </c>
      <c r="C383" s="32">
        <v>194.20500000000001</v>
      </c>
      <c r="D383" s="32">
        <v>267.46600000000001</v>
      </c>
      <c r="E383" s="38">
        <v>812.32899999999995</v>
      </c>
      <c r="F383" s="32">
        <v>1274</v>
      </c>
      <c r="G383" s="32">
        <v>50</v>
      </c>
      <c r="H383" s="40">
        <v>600</v>
      </c>
      <c r="I383" s="32">
        <v>695</v>
      </c>
      <c r="J383" s="32">
        <v>0</v>
      </c>
      <c r="K383" s="33"/>
      <c r="L383" s="33"/>
      <c r="M383" s="33"/>
      <c r="N383" s="33"/>
      <c r="O383" s="33"/>
      <c r="P383" s="33"/>
      <c r="Q383" s="33"/>
      <c r="R383" s="33"/>
      <c r="S383" s="33"/>
      <c r="T383" s="33"/>
    </row>
    <row r="384" spans="1:20" ht="15.75">
      <c r="A384" s="13">
        <v>53570</v>
      </c>
      <c r="B384" s="41">
        <v>31</v>
      </c>
      <c r="C384" s="32">
        <v>194.20500000000001</v>
      </c>
      <c r="D384" s="32">
        <v>267.46600000000001</v>
      </c>
      <c r="E384" s="38">
        <v>812.32899999999995</v>
      </c>
      <c r="F384" s="32">
        <v>1274</v>
      </c>
      <c r="G384" s="32">
        <v>50</v>
      </c>
      <c r="H384" s="40">
        <v>600</v>
      </c>
      <c r="I384" s="32">
        <v>695</v>
      </c>
      <c r="J384" s="32">
        <v>0</v>
      </c>
      <c r="K384" s="33"/>
      <c r="L384" s="33"/>
      <c r="M384" s="33"/>
      <c r="N384" s="33"/>
      <c r="O384" s="33"/>
      <c r="P384" s="33"/>
      <c r="Q384" s="33"/>
      <c r="R384" s="33"/>
      <c r="S384" s="33"/>
      <c r="T384" s="33"/>
    </row>
    <row r="385" spans="1:20" ht="15.75">
      <c r="A385" s="13">
        <v>53600</v>
      </c>
      <c r="B385" s="41">
        <v>30</v>
      </c>
      <c r="C385" s="32">
        <v>194.20500000000001</v>
      </c>
      <c r="D385" s="32">
        <v>267.46600000000001</v>
      </c>
      <c r="E385" s="38">
        <v>812.32899999999995</v>
      </c>
      <c r="F385" s="32">
        <v>1274</v>
      </c>
      <c r="G385" s="32">
        <v>50</v>
      </c>
      <c r="H385" s="40">
        <v>600</v>
      </c>
      <c r="I385" s="32">
        <v>695</v>
      </c>
      <c r="J385" s="32">
        <v>0</v>
      </c>
      <c r="K385" s="33"/>
      <c r="L385" s="33"/>
      <c r="M385" s="33"/>
      <c r="N385" s="33"/>
      <c r="O385" s="33"/>
      <c r="P385" s="33"/>
      <c r="Q385" s="33"/>
      <c r="R385" s="33"/>
      <c r="S385" s="33"/>
      <c r="T385" s="33"/>
    </row>
    <row r="386" spans="1:20" ht="15.75">
      <c r="A386" s="13">
        <v>53631</v>
      </c>
      <c r="B386" s="41">
        <v>31</v>
      </c>
      <c r="C386" s="32">
        <v>131.881</v>
      </c>
      <c r="D386" s="32">
        <v>277.16699999999997</v>
      </c>
      <c r="E386" s="38">
        <v>829.952</v>
      </c>
      <c r="F386" s="32">
        <v>1239</v>
      </c>
      <c r="G386" s="32">
        <v>75</v>
      </c>
      <c r="H386" s="40">
        <v>600</v>
      </c>
      <c r="I386" s="32">
        <v>695</v>
      </c>
      <c r="J386" s="32">
        <v>0</v>
      </c>
      <c r="K386" s="33"/>
      <c r="L386" s="33"/>
      <c r="M386" s="33"/>
      <c r="N386" s="33"/>
      <c r="O386" s="33"/>
      <c r="P386" s="33"/>
      <c r="Q386" s="33"/>
      <c r="R386" s="33"/>
      <c r="S386" s="33"/>
      <c r="T386" s="33"/>
    </row>
    <row r="387" spans="1:20" ht="15.75">
      <c r="A387" s="13">
        <v>53661</v>
      </c>
      <c r="B387" s="41">
        <v>30</v>
      </c>
      <c r="C387" s="32">
        <v>122.58</v>
      </c>
      <c r="D387" s="32">
        <v>297.94099999999997</v>
      </c>
      <c r="E387" s="38">
        <v>729.47900000000004</v>
      </c>
      <c r="F387" s="32">
        <v>1150</v>
      </c>
      <c r="G387" s="32">
        <v>100</v>
      </c>
      <c r="H387" s="40">
        <v>600</v>
      </c>
      <c r="I387" s="32">
        <v>695</v>
      </c>
      <c r="J387" s="32">
        <v>50</v>
      </c>
      <c r="K387" s="33"/>
      <c r="L387" s="33"/>
      <c r="M387" s="33"/>
      <c r="N387" s="33"/>
      <c r="O387" s="33"/>
      <c r="P387" s="33"/>
      <c r="Q387" s="33"/>
      <c r="R387" s="33"/>
      <c r="S387" s="33"/>
      <c r="T387" s="33"/>
    </row>
    <row r="388" spans="1:20" ht="15.75">
      <c r="A388" s="13">
        <v>53692</v>
      </c>
      <c r="B388" s="41">
        <v>31</v>
      </c>
      <c r="C388" s="32">
        <v>122.58</v>
      </c>
      <c r="D388" s="32">
        <v>297.94099999999997</v>
      </c>
      <c r="E388" s="38">
        <v>729.47900000000004</v>
      </c>
      <c r="F388" s="32">
        <v>1150</v>
      </c>
      <c r="G388" s="32">
        <v>100</v>
      </c>
      <c r="H388" s="40">
        <v>600</v>
      </c>
      <c r="I388" s="32">
        <v>695</v>
      </c>
      <c r="J388" s="32">
        <v>50</v>
      </c>
      <c r="K388" s="33"/>
      <c r="L388" s="33"/>
      <c r="M388" s="33"/>
      <c r="N388" s="33"/>
      <c r="O388" s="33"/>
      <c r="P388" s="33"/>
      <c r="Q388" s="33"/>
      <c r="R388" s="33"/>
      <c r="S388" s="33"/>
      <c r="T388" s="33"/>
    </row>
    <row r="389" spans="1:20" ht="15.75">
      <c r="A389" s="13">
        <v>53723</v>
      </c>
      <c r="B389" s="41">
        <v>31</v>
      </c>
      <c r="C389" s="32">
        <v>122.58</v>
      </c>
      <c r="D389" s="32">
        <v>297.94099999999997</v>
      </c>
      <c r="E389" s="38">
        <v>729.47900000000004</v>
      </c>
      <c r="F389" s="32">
        <v>1150</v>
      </c>
      <c r="G389" s="32">
        <v>100</v>
      </c>
      <c r="H389" s="40">
        <v>600</v>
      </c>
      <c r="I389" s="32">
        <v>695</v>
      </c>
      <c r="J389" s="32">
        <v>50</v>
      </c>
      <c r="K389" s="33"/>
      <c r="L389" s="33"/>
      <c r="M389" s="33"/>
      <c r="N389" s="33"/>
      <c r="O389" s="33"/>
      <c r="P389" s="33"/>
      <c r="Q389" s="33"/>
      <c r="R389" s="33"/>
      <c r="S389" s="33"/>
      <c r="T389" s="33"/>
    </row>
    <row r="390" spans="1:20" ht="15.75">
      <c r="A390" s="13">
        <v>53751</v>
      </c>
      <c r="B390" s="41">
        <v>28</v>
      </c>
      <c r="C390" s="32">
        <v>122.58</v>
      </c>
      <c r="D390" s="32">
        <v>297.94099999999997</v>
      </c>
      <c r="E390" s="38">
        <v>729.47900000000004</v>
      </c>
      <c r="F390" s="32">
        <v>1150</v>
      </c>
      <c r="G390" s="32">
        <v>100</v>
      </c>
      <c r="H390" s="40">
        <v>600</v>
      </c>
      <c r="I390" s="32">
        <v>695</v>
      </c>
      <c r="J390" s="32">
        <v>50</v>
      </c>
      <c r="K390" s="33"/>
      <c r="L390" s="33"/>
      <c r="M390" s="33"/>
      <c r="N390" s="33"/>
      <c r="O390" s="33"/>
      <c r="P390" s="33"/>
      <c r="Q390" s="33"/>
      <c r="R390" s="33"/>
      <c r="S390" s="33"/>
      <c r="T390" s="33"/>
    </row>
    <row r="391" spans="1:20" ht="15.75">
      <c r="A391" s="13">
        <v>53782</v>
      </c>
      <c r="B391" s="41">
        <v>31</v>
      </c>
      <c r="C391" s="32">
        <v>122.58</v>
      </c>
      <c r="D391" s="32">
        <v>297.94099999999997</v>
      </c>
      <c r="E391" s="38">
        <v>729.47900000000004</v>
      </c>
      <c r="F391" s="32">
        <v>1150</v>
      </c>
      <c r="G391" s="32">
        <v>100</v>
      </c>
      <c r="H391" s="40">
        <v>600</v>
      </c>
      <c r="I391" s="32">
        <v>695</v>
      </c>
      <c r="J391" s="32">
        <v>50</v>
      </c>
      <c r="K391" s="33"/>
      <c r="L391" s="33"/>
      <c r="M391" s="33"/>
      <c r="N391" s="33"/>
      <c r="O391" s="33"/>
      <c r="P391" s="33"/>
      <c r="Q391" s="33"/>
      <c r="R391" s="33"/>
      <c r="S391" s="33"/>
      <c r="T391" s="33"/>
    </row>
    <row r="392" spans="1:20" ht="15.75">
      <c r="A392" s="13">
        <v>53812</v>
      </c>
      <c r="B392" s="41">
        <v>30</v>
      </c>
      <c r="C392" s="32">
        <v>141.29300000000001</v>
      </c>
      <c r="D392" s="32">
        <v>267.99299999999999</v>
      </c>
      <c r="E392" s="38">
        <v>829.71400000000006</v>
      </c>
      <c r="F392" s="32">
        <v>1239</v>
      </c>
      <c r="G392" s="32">
        <v>100</v>
      </c>
      <c r="H392" s="40">
        <v>600</v>
      </c>
      <c r="I392" s="32">
        <v>695</v>
      </c>
      <c r="J392" s="32">
        <v>50</v>
      </c>
      <c r="K392" s="33"/>
      <c r="L392" s="33"/>
      <c r="M392" s="33"/>
      <c r="N392" s="33"/>
      <c r="O392" s="33"/>
      <c r="P392" s="33"/>
      <c r="Q392" s="33"/>
      <c r="R392" s="33"/>
      <c r="S392" s="33"/>
      <c r="T392" s="33"/>
    </row>
    <row r="393" spans="1:20" ht="15.75">
      <c r="A393" s="13">
        <v>53843</v>
      </c>
      <c r="B393" s="41">
        <v>31</v>
      </c>
      <c r="C393" s="32">
        <v>194.20500000000001</v>
      </c>
      <c r="D393" s="32">
        <v>267.46600000000001</v>
      </c>
      <c r="E393" s="38">
        <v>812.32899999999995</v>
      </c>
      <c r="F393" s="32">
        <v>1274</v>
      </c>
      <c r="G393" s="32">
        <v>75</v>
      </c>
      <c r="H393" s="40">
        <v>600</v>
      </c>
      <c r="I393" s="32">
        <v>695</v>
      </c>
      <c r="J393" s="32">
        <v>50</v>
      </c>
      <c r="K393" s="33"/>
      <c r="L393" s="33"/>
      <c r="M393" s="33"/>
      <c r="N393" s="33"/>
      <c r="O393" s="33"/>
      <c r="P393" s="33"/>
      <c r="Q393" s="33"/>
      <c r="R393" s="33"/>
      <c r="S393" s="33"/>
      <c r="T393" s="33"/>
    </row>
    <row r="394" spans="1:20" ht="15.75">
      <c r="A394" s="13">
        <v>53873</v>
      </c>
      <c r="B394" s="41">
        <v>30</v>
      </c>
      <c r="C394" s="32">
        <v>194.20500000000001</v>
      </c>
      <c r="D394" s="32">
        <v>267.46600000000001</v>
      </c>
      <c r="E394" s="38">
        <v>812.32899999999995</v>
      </c>
      <c r="F394" s="32">
        <v>1274</v>
      </c>
      <c r="G394" s="32">
        <v>50</v>
      </c>
      <c r="H394" s="40">
        <v>600</v>
      </c>
      <c r="I394" s="32">
        <v>695</v>
      </c>
      <c r="J394" s="32">
        <v>50</v>
      </c>
      <c r="K394" s="33"/>
      <c r="L394" s="33"/>
      <c r="M394" s="33"/>
      <c r="N394" s="33"/>
      <c r="O394" s="33"/>
      <c r="P394" s="33"/>
      <c r="Q394" s="33"/>
      <c r="R394" s="33"/>
      <c r="S394" s="33"/>
      <c r="T394" s="33"/>
    </row>
    <row r="395" spans="1:20" ht="15.75">
      <c r="A395" s="13">
        <v>53904</v>
      </c>
      <c r="B395" s="41">
        <v>31</v>
      </c>
      <c r="C395" s="32">
        <v>194.20500000000001</v>
      </c>
      <c r="D395" s="32">
        <v>267.46600000000001</v>
      </c>
      <c r="E395" s="38">
        <v>812.32899999999995</v>
      </c>
      <c r="F395" s="32">
        <v>1274</v>
      </c>
      <c r="G395" s="32">
        <v>50</v>
      </c>
      <c r="H395" s="40">
        <v>600</v>
      </c>
      <c r="I395" s="32">
        <v>695</v>
      </c>
      <c r="J395" s="32">
        <v>0</v>
      </c>
      <c r="K395" s="33"/>
      <c r="L395" s="33"/>
      <c r="M395" s="33"/>
      <c r="N395" s="33"/>
      <c r="O395" s="33"/>
      <c r="P395" s="33"/>
      <c r="Q395" s="33"/>
      <c r="R395" s="33"/>
      <c r="S395" s="33"/>
      <c r="T395" s="33"/>
    </row>
    <row r="396" spans="1:20" ht="15.75">
      <c r="A396" s="13">
        <v>53935</v>
      </c>
      <c r="B396" s="41">
        <v>31</v>
      </c>
      <c r="C396" s="32">
        <v>194.20500000000001</v>
      </c>
      <c r="D396" s="32">
        <v>267.46600000000001</v>
      </c>
      <c r="E396" s="38">
        <v>812.32899999999995</v>
      </c>
      <c r="F396" s="32">
        <v>1274</v>
      </c>
      <c r="G396" s="32">
        <v>50</v>
      </c>
      <c r="H396" s="40">
        <v>600</v>
      </c>
      <c r="I396" s="32">
        <v>695</v>
      </c>
      <c r="J396" s="32">
        <v>0</v>
      </c>
      <c r="K396" s="33"/>
      <c r="L396" s="33"/>
      <c r="M396" s="33"/>
      <c r="N396" s="33"/>
      <c r="O396" s="33"/>
      <c r="P396" s="33"/>
      <c r="Q396" s="33"/>
      <c r="R396" s="33"/>
      <c r="S396" s="33"/>
      <c r="T396" s="33"/>
    </row>
    <row r="397" spans="1:20" ht="15.75">
      <c r="A397" s="13">
        <v>53965</v>
      </c>
      <c r="B397" s="41">
        <v>30</v>
      </c>
      <c r="C397" s="32">
        <v>194.20500000000001</v>
      </c>
      <c r="D397" s="32">
        <v>267.46600000000001</v>
      </c>
      <c r="E397" s="38">
        <v>812.32899999999995</v>
      </c>
      <c r="F397" s="32">
        <v>1274</v>
      </c>
      <c r="G397" s="32">
        <v>50</v>
      </c>
      <c r="H397" s="40">
        <v>600</v>
      </c>
      <c r="I397" s="32">
        <v>695</v>
      </c>
      <c r="J397" s="32">
        <v>0</v>
      </c>
      <c r="K397" s="33"/>
      <c r="L397" s="33"/>
      <c r="M397" s="33"/>
      <c r="N397" s="33"/>
      <c r="O397" s="33"/>
      <c r="P397" s="33"/>
      <c r="Q397" s="33"/>
      <c r="R397" s="33"/>
      <c r="S397" s="33"/>
      <c r="T397" s="33"/>
    </row>
    <row r="398" spans="1:20" ht="15.75">
      <c r="A398" s="13">
        <v>53996</v>
      </c>
      <c r="B398" s="41">
        <v>31</v>
      </c>
      <c r="C398" s="32">
        <v>131.881</v>
      </c>
      <c r="D398" s="32">
        <v>277.16699999999997</v>
      </c>
      <c r="E398" s="38">
        <v>829.952</v>
      </c>
      <c r="F398" s="32">
        <v>1239</v>
      </c>
      <c r="G398" s="32">
        <v>75</v>
      </c>
      <c r="H398" s="40">
        <v>600</v>
      </c>
      <c r="I398" s="32">
        <v>695</v>
      </c>
      <c r="J398" s="32">
        <v>0</v>
      </c>
      <c r="K398" s="33"/>
      <c r="L398" s="33"/>
      <c r="M398" s="33"/>
      <c r="N398" s="33"/>
      <c r="O398" s="33"/>
      <c r="P398" s="33"/>
      <c r="Q398" s="33"/>
      <c r="R398" s="33"/>
      <c r="S398" s="33"/>
      <c r="T398" s="33"/>
    </row>
    <row r="399" spans="1:20" ht="15.75">
      <c r="A399" s="13">
        <v>54026</v>
      </c>
      <c r="B399" s="41">
        <v>30</v>
      </c>
      <c r="C399" s="32">
        <v>122.58</v>
      </c>
      <c r="D399" s="32">
        <v>297.94099999999997</v>
      </c>
      <c r="E399" s="38">
        <v>729.47900000000004</v>
      </c>
      <c r="F399" s="32">
        <v>1150</v>
      </c>
      <c r="G399" s="32">
        <v>100</v>
      </c>
      <c r="H399" s="40">
        <v>600</v>
      </c>
      <c r="I399" s="32">
        <v>695</v>
      </c>
      <c r="J399" s="32">
        <v>50</v>
      </c>
      <c r="K399" s="33"/>
      <c r="L399" s="33"/>
      <c r="M399" s="33"/>
      <c r="N399" s="33"/>
      <c r="O399" s="33"/>
      <c r="P399" s="33"/>
      <c r="Q399" s="33"/>
      <c r="R399" s="33"/>
      <c r="S399" s="33"/>
      <c r="T399" s="33"/>
    </row>
    <row r="400" spans="1:20" ht="15.75">
      <c r="A400" s="13">
        <v>54057</v>
      </c>
      <c r="B400" s="41">
        <v>31</v>
      </c>
      <c r="C400" s="32">
        <v>122.58</v>
      </c>
      <c r="D400" s="32">
        <v>297.94099999999997</v>
      </c>
      <c r="E400" s="38">
        <v>729.47900000000004</v>
      </c>
      <c r="F400" s="32">
        <v>1150</v>
      </c>
      <c r="G400" s="32">
        <v>100</v>
      </c>
      <c r="H400" s="40">
        <v>600</v>
      </c>
      <c r="I400" s="32">
        <v>695</v>
      </c>
      <c r="J400" s="32">
        <v>50</v>
      </c>
      <c r="K400" s="33"/>
      <c r="L400" s="33"/>
      <c r="M400" s="33"/>
      <c r="N400" s="33"/>
      <c r="O400" s="33"/>
      <c r="P400" s="33"/>
      <c r="Q400" s="33"/>
      <c r="R400" s="33"/>
      <c r="S400" s="33"/>
      <c r="T400" s="33"/>
    </row>
    <row r="401" spans="1:20" ht="15.75">
      <c r="A401" s="13">
        <v>54088</v>
      </c>
      <c r="B401" s="41">
        <v>31</v>
      </c>
      <c r="C401" s="32">
        <v>122.58</v>
      </c>
      <c r="D401" s="32">
        <v>297.94099999999997</v>
      </c>
      <c r="E401" s="38">
        <v>729.47900000000004</v>
      </c>
      <c r="F401" s="32">
        <v>1150</v>
      </c>
      <c r="G401" s="32">
        <v>100</v>
      </c>
      <c r="H401" s="40">
        <v>600</v>
      </c>
      <c r="I401" s="32">
        <v>695</v>
      </c>
      <c r="J401" s="32">
        <v>50</v>
      </c>
      <c r="K401" s="33"/>
      <c r="L401" s="33"/>
      <c r="M401" s="33"/>
      <c r="N401" s="33"/>
      <c r="O401" s="33"/>
      <c r="P401" s="33"/>
      <c r="Q401" s="33"/>
      <c r="R401" s="33"/>
      <c r="S401" s="33"/>
      <c r="T401" s="33"/>
    </row>
    <row r="402" spans="1:20" ht="15.75">
      <c r="A402" s="13">
        <v>54116</v>
      </c>
      <c r="B402" s="41">
        <v>29</v>
      </c>
      <c r="C402" s="32">
        <v>122.58</v>
      </c>
      <c r="D402" s="32">
        <v>297.94099999999997</v>
      </c>
      <c r="E402" s="38">
        <v>729.47900000000004</v>
      </c>
      <c r="F402" s="32">
        <v>1150</v>
      </c>
      <c r="G402" s="32">
        <v>100</v>
      </c>
      <c r="H402" s="40">
        <v>600</v>
      </c>
      <c r="I402" s="32">
        <v>695</v>
      </c>
      <c r="J402" s="32">
        <v>50</v>
      </c>
      <c r="K402" s="33"/>
      <c r="L402" s="33"/>
      <c r="M402" s="33"/>
      <c r="N402" s="33"/>
      <c r="O402" s="33"/>
      <c r="P402" s="33"/>
      <c r="Q402" s="33"/>
      <c r="R402" s="33"/>
      <c r="S402" s="33"/>
      <c r="T402" s="33"/>
    </row>
    <row r="403" spans="1:20" ht="15.75">
      <c r="A403" s="13">
        <v>54148</v>
      </c>
      <c r="B403" s="41">
        <v>31</v>
      </c>
      <c r="C403" s="32">
        <v>122.58</v>
      </c>
      <c r="D403" s="32">
        <v>297.94099999999997</v>
      </c>
      <c r="E403" s="38">
        <v>729.47900000000004</v>
      </c>
      <c r="F403" s="32">
        <v>1150</v>
      </c>
      <c r="G403" s="32">
        <v>100</v>
      </c>
      <c r="H403" s="40">
        <v>600</v>
      </c>
      <c r="I403" s="32">
        <v>695</v>
      </c>
      <c r="J403" s="32">
        <v>50</v>
      </c>
      <c r="K403" s="33"/>
      <c r="L403" s="33"/>
      <c r="M403" s="33"/>
      <c r="N403" s="33"/>
      <c r="O403" s="33"/>
      <c r="P403" s="33"/>
      <c r="Q403" s="33"/>
      <c r="R403" s="33"/>
      <c r="S403" s="33"/>
      <c r="T403" s="33"/>
    </row>
    <row r="404" spans="1:20" ht="15.75">
      <c r="A404" s="13">
        <v>54178</v>
      </c>
      <c r="B404" s="41">
        <v>30</v>
      </c>
      <c r="C404" s="32">
        <v>141.29300000000001</v>
      </c>
      <c r="D404" s="32">
        <v>267.99299999999999</v>
      </c>
      <c r="E404" s="38">
        <v>829.71400000000006</v>
      </c>
      <c r="F404" s="32">
        <v>1239</v>
      </c>
      <c r="G404" s="32">
        <v>100</v>
      </c>
      <c r="H404" s="40">
        <v>600</v>
      </c>
      <c r="I404" s="32">
        <v>695</v>
      </c>
      <c r="J404" s="32">
        <v>50</v>
      </c>
      <c r="K404" s="33"/>
      <c r="L404" s="33"/>
      <c r="M404" s="33"/>
      <c r="N404" s="33"/>
      <c r="O404" s="33"/>
      <c r="P404" s="33"/>
      <c r="Q404" s="33"/>
      <c r="R404" s="33"/>
      <c r="S404" s="33"/>
      <c r="T404" s="33"/>
    </row>
    <row r="405" spans="1:20" ht="15.75">
      <c r="A405" s="13">
        <v>54209</v>
      </c>
      <c r="B405" s="41">
        <v>31</v>
      </c>
      <c r="C405" s="32">
        <v>194.20500000000001</v>
      </c>
      <c r="D405" s="32">
        <v>267.46600000000001</v>
      </c>
      <c r="E405" s="38">
        <v>812.32899999999995</v>
      </c>
      <c r="F405" s="32">
        <v>1274</v>
      </c>
      <c r="G405" s="32">
        <v>75</v>
      </c>
      <c r="H405" s="40">
        <v>600</v>
      </c>
      <c r="I405" s="32">
        <v>695</v>
      </c>
      <c r="J405" s="32">
        <v>50</v>
      </c>
      <c r="K405" s="33"/>
      <c r="L405" s="33"/>
      <c r="M405" s="33"/>
      <c r="N405" s="33"/>
      <c r="O405" s="33"/>
      <c r="P405" s="33"/>
      <c r="Q405" s="33"/>
      <c r="R405" s="33"/>
      <c r="S405" s="33"/>
      <c r="T405" s="33"/>
    </row>
    <row r="406" spans="1:20" ht="15.75">
      <c r="A406" s="13">
        <v>54239</v>
      </c>
      <c r="B406" s="41">
        <v>30</v>
      </c>
      <c r="C406" s="32">
        <v>194.20500000000001</v>
      </c>
      <c r="D406" s="32">
        <v>267.46600000000001</v>
      </c>
      <c r="E406" s="38">
        <v>812.32899999999995</v>
      </c>
      <c r="F406" s="32">
        <v>1274</v>
      </c>
      <c r="G406" s="32">
        <v>50</v>
      </c>
      <c r="H406" s="40">
        <v>600</v>
      </c>
      <c r="I406" s="32">
        <v>695</v>
      </c>
      <c r="J406" s="32">
        <v>50</v>
      </c>
      <c r="K406" s="33"/>
      <c r="L406" s="33"/>
      <c r="M406" s="33"/>
      <c r="N406" s="33"/>
      <c r="O406" s="33"/>
      <c r="P406" s="33"/>
      <c r="Q406" s="33"/>
      <c r="R406" s="33"/>
      <c r="S406" s="33"/>
      <c r="T406" s="33"/>
    </row>
    <row r="407" spans="1:20" ht="15.75">
      <c r="A407" s="13">
        <v>54270</v>
      </c>
      <c r="B407" s="41">
        <v>31</v>
      </c>
      <c r="C407" s="32">
        <v>194.20500000000001</v>
      </c>
      <c r="D407" s="32">
        <v>267.46600000000001</v>
      </c>
      <c r="E407" s="38">
        <v>812.32899999999995</v>
      </c>
      <c r="F407" s="32">
        <v>1274</v>
      </c>
      <c r="G407" s="32">
        <v>50</v>
      </c>
      <c r="H407" s="40">
        <v>600</v>
      </c>
      <c r="I407" s="32">
        <v>695</v>
      </c>
      <c r="J407" s="32">
        <v>0</v>
      </c>
      <c r="K407" s="33"/>
      <c r="L407" s="33"/>
      <c r="M407" s="33"/>
      <c r="N407" s="33"/>
      <c r="O407" s="33"/>
      <c r="P407" s="33"/>
      <c r="Q407" s="33"/>
      <c r="R407" s="33"/>
      <c r="S407" s="33"/>
      <c r="T407" s="33"/>
    </row>
    <row r="408" spans="1:20" ht="15.75">
      <c r="A408" s="13">
        <v>54301</v>
      </c>
      <c r="B408" s="41">
        <v>31</v>
      </c>
      <c r="C408" s="32">
        <v>194.20500000000001</v>
      </c>
      <c r="D408" s="32">
        <v>267.46600000000001</v>
      </c>
      <c r="E408" s="38">
        <v>812.32899999999995</v>
      </c>
      <c r="F408" s="32">
        <v>1274</v>
      </c>
      <c r="G408" s="32">
        <v>50</v>
      </c>
      <c r="H408" s="40">
        <v>600</v>
      </c>
      <c r="I408" s="32">
        <v>695</v>
      </c>
      <c r="J408" s="32">
        <v>0</v>
      </c>
      <c r="K408" s="33"/>
      <c r="L408" s="33"/>
      <c r="M408" s="33"/>
      <c r="N408" s="33"/>
      <c r="O408" s="33"/>
      <c r="P408" s="33"/>
      <c r="Q408" s="33"/>
      <c r="R408" s="33"/>
      <c r="S408" s="33"/>
      <c r="T408" s="33"/>
    </row>
    <row r="409" spans="1:20" ht="15.75">
      <c r="A409" s="13">
        <v>54331</v>
      </c>
      <c r="B409" s="41">
        <v>30</v>
      </c>
      <c r="C409" s="32">
        <v>194.20500000000001</v>
      </c>
      <c r="D409" s="32">
        <v>267.46600000000001</v>
      </c>
      <c r="E409" s="38">
        <v>812.32899999999995</v>
      </c>
      <c r="F409" s="32">
        <v>1274</v>
      </c>
      <c r="G409" s="32">
        <v>50</v>
      </c>
      <c r="H409" s="40">
        <v>600</v>
      </c>
      <c r="I409" s="32">
        <v>695</v>
      </c>
      <c r="J409" s="32">
        <v>0</v>
      </c>
      <c r="K409" s="33"/>
      <c r="L409" s="33"/>
      <c r="M409" s="33"/>
      <c r="N409" s="33"/>
      <c r="O409" s="33"/>
      <c r="P409" s="33"/>
      <c r="Q409" s="33"/>
      <c r="R409" s="33"/>
      <c r="S409" s="33"/>
      <c r="T409" s="33"/>
    </row>
    <row r="410" spans="1:20" ht="15.75">
      <c r="A410" s="13">
        <v>54362</v>
      </c>
      <c r="B410" s="41">
        <v>31</v>
      </c>
      <c r="C410" s="32">
        <v>131.881</v>
      </c>
      <c r="D410" s="32">
        <v>277.16699999999997</v>
      </c>
      <c r="E410" s="38">
        <v>829.952</v>
      </c>
      <c r="F410" s="32">
        <v>1239</v>
      </c>
      <c r="G410" s="32">
        <v>75</v>
      </c>
      <c r="H410" s="40">
        <v>600</v>
      </c>
      <c r="I410" s="32">
        <v>695</v>
      </c>
      <c r="J410" s="32">
        <v>0</v>
      </c>
      <c r="K410" s="33"/>
      <c r="L410" s="33"/>
      <c r="M410" s="33"/>
      <c r="N410" s="33"/>
      <c r="O410" s="33"/>
      <c r="P410" s="33"/>
      <c r="Q410" s="33"/>
      <c r="R410" s="33"/>
      <c r="S410" s="33"/>
      <c r="T410" s="33"/>
    </row>
    <row r="411" spans="1:20" ht="15.75">
      <c r="A411" s="13">
        <v>54392</v>
      </c>
      <c r="B411" s="41">
        <v>30</v>
      </c>
      <c r="C411" s="32">
        <v>122.58</v>
      </c>
      <c r="D411" s="32">
        <v>297.94099999999997</v>
      </c>
      <c r="E411" s="38">
        <v>729.47900000000004</v>
      </c>
      <c r="F411" s="32">
        <v>1150</v>
      </c>
      <c r="G411" s="32">
        <v>100</v>
      </c>
      <c r="H411" s="40">
        <v>600</v>
      </c>
      <c r="I411" s="32">
        <v>695</v>
      </c>
      <c r="J411" s="32">
        <v>50</v>
      </c>
      <c r="K411" s="33"/>
      <c r="L411" s="33"/>
      <c r="M411" s="33"/>
      <c r="N411" s="33"/>
      <c r="O411" s="33"/>
      <c r="P411" s="33"/>
      <c r="Q411" s="33"/>
      <c r="R411" s="33"/>
      <c r="S411" s="33"/>
      <c r="T411" s="33"/>
    </row>
    <row r="412" spans="1:20" ht="15.75">
      <c r="A412" s="13">
        <v>54423</v>
      </c>
      <c r="B412" s="41">
        <v>31</v>
      </c>
      <c r="C412" s="32">
        <v>122.58</v>
      </c>
      <c r="D412" s="32">
        <v>297.94099999999997</v>
      </c>
      <c r="E412" s="38">
        <v>729.47900000000004</v>
      </c>
      <c r="F412" s="32">
        <v>1150</v>
      </c>
      <c r="G412" s="32">
        <v>100</v>
      </c>
      <c r="H412" s="40">
        <v>600</v>
      </c>
      <c r="I412" s="32">
        <v>695</v>
      </c>
      <c r="J412" s="32">
        <v>50</v>
      </c>
      <c r="K412" s="33"/>
      <c r="L412" s="33"/>
      <c r="M412" s="33"/>
      <c r="N412" s="33"/>
      <c r="O412" s="33"/>
      <c r="P412" s="33"/>
      <c r="Q412" s="33"/>
      <c r="R412" s="33"/>
      <c r="S412" s="33"/>
      <c r="T412" s="33"/>
    </row>
    <row r="413" spans="1:20" ht="15.75">
      <c r="A413" s="13">
        <v>54454</v>
      </c>
      <c r="B413" s="41">
        <v>31</v>
      </c>
      <c r="C413" s="32">
        <v>122.58</v>
      </c>
      <c r="D413" s="32">
        <v>297.94099999999997</v>
      </c>
      <c r="E413" s="38">
        <v>729.47900000000004</v>
      </c>
      <c r="F413" s="32">
        <v>1150</v>
      </c>
      <c r="G413" s="32">
        <v>100</v>
      </c>
      <c r="H413" s="40">
        <v>600</v>
      </c>
      <c r="I413" s="32">
        <v>695</v>
      </c>
      <c r="J413" s="32">
        <v>50</v>
      </c>
      <c r="K413" s="33"/>
      <c r="L413" s="33"/>
      <c r="M413" s="33"/>
      <c r="N413" s="33"/>
      <c r="O413" s="33"/>
      <c r="P413" s="33"/>
      <c r="Q413" s="33"/>
      <c r="R413" s="33"/>
      <c r="S413" s="33"/>
      <c r="T413" s="33"/>
    </row>
    <row r="414" spans="1:20" ht="15.75">
      <c r="A414" s="13">
        <v>54482</v>
      </c>
      <c r="B414" s="41">
        <v>28</v>
      </c>
      <c r="C414" s="32">
        <v>122.58</v>
      </c>
      <c r="D414" s="32">
        <v>297.94099999999997</v>
      </c>
      <c r="E414" s="38">
        <v>729.47900000000004</v>
      </c>
      <c r="F414" s="32">
        <v>1150</v>
      </c>
      <c r="G414" s="32">
        <v>100</v>
      </c>
      <c r="H414" s="40">
        <v>600</v>
      </c>
      <c r="I414" s="32">
        <v>695</v>
      </c>
      <c r="J414" s="32">
        <v>50</v>
      </c>
      <c r="K414" s="33"/>
      <c r="L414" s="33"/>
      <c r="M414" s="33"/>
      <c r="N414" s="33"/>
      <c r="O414" s="33"/>
      <c r="P414" s="33"/>
      <c r="Q414" s="33"/>
      <c r="R414" s="33"/>
      <c r="S414" s="33"/>
      <c r="T414" s="33"/>
    </row>
    <row r="415" spans="1:20" ht="15.75">
      <c r="A415" s="13">
        <v>54513</v>
      </c>
      <c r="B415" s="41">
        <v>31</v>
      </c>
      <c r="C415" s="32">
        <v>122.58</v>
      </c>
      <c r="D415" s="32">
        <v>297.94099999999997</v>
      </c>
      <c r="E415" s="38">
        <v>729.47900000000004</v>
      </c>
      <c r="F415" s="32">
        <v>1150</v>
      </c>
      <c r="G415" s="32">
        <v>100</v>
      </c>
      <c r="H415" s="40">
        <v>600</v>
      </c>
      <c r="I415" s="32">
        <v>695</v>
      </c>
      <c r="J415" s="32">
        <v>50</v>
      </c>
      <c r="K415" s="33"/>
      <c r="L415" s="33"/>
      <c r="M415" s="33"/>
      <c r="N415" s="33"/>
      <c r="O415" s="33"/>
      <c r="P415" s="33"/>
      <c r="Q415" s="33"/>
      <c r="R415" s="33"/>
      <c r="S415" s="33"/>
      <c r="T415" s="33"/>
    </row>
    <row r="416" spans="1:20" ht="15.75">
      <c r="A416" s="13">
        <v>54543</v>
      </c>
      <c r="B416" s="41">
        <v>30</v>
      </c>
      <c r="C416" s="32">
        <v>141.29300000000001</v>
      </c>
      <c r="D416" s="32">
        <v>267.99299999999999</v>
      </c>
      <c r="E416" s="38">
        <v>829.71400000000006</v>
      </c>
      <c r="F416" s="32">
        <v>1239</v>
      </c>
      <c r="G416" s="32">
        <v>100</v>
      </c>
      <c r="H416" s="40">
        <v>600</v>
      </c>
      <c r="I416" s="32">
        <v>695</v>
      </c>
      <c r="J416" s="32">
        <v>50</v>
      </c>
      <c r="K416" s="33"/>
      <c r="L416" s="33"/>
      <c r="M416" s="33"/>
      <c r="N416" s="33"/>
      <c r="O416" s="33"/>
      <c r="P416" s="33"/>
      <c r="Q416" s="33"/>
      <c r="R416" s="33"/>
      <c r="S416" s="33"/>
      <c r="T416" s="33"/>
    </row>
    <row r="417" spans="1:20" ht="15.75">
      <c r="A417" s="13">
        <v>54574</v>
      </c>
      <c r="B417" s="41">
        <v>31</v>
      </c>
      <c r="C417" s="32">
        <v>194.20500000000001</v>
      </c>
      <c r="D417" s="32">
        <v>267.46600000000001</v>
      </c>
      <c r="E417" s="38">
        <v>812.32899999999995</v>
      </c>
      <c r="F417" s="32">
        <v>1274</v>
      </c>
      <c r="G417" s="32">
        <v>75</v>
      </c>
      <c r="H417" s="40">
        <v>600</v>
      </c>
      <c r="I417" s="32">
        <v>695</v>
      </c>
      <c r="J417" s="32">
        <v>50</v>
      </c>
      <c r="K417" s="33"/>
      <c r="L417" s="33"/>
      <c r="M417" s="33"/>
      <c r="N417" s="33"/>
      <c r="O417" s="33"/>
      <c r="P417" s="33"/>
      <c r="Q417" s="33"/>
      <c r="R417" s="33"/>
      <c r="S417" s="33"/>
      <c r="T417" s="33"/>
    </row>
    <row r="418" spans="1:20" ht="15.75">
      <c r="A418" s="13">
        <v>54604</v>
      </c>
      <c r="B418" s="41">
        <v>30</v>
      </c>
      <c r="C418" s="32">
        <v>194.20500000000001</v>
      </c>
      <c r="D418" s="32">
        <v>267.46600000000001</v>
      </c>
      <c r="E418" s="38">
        <v>812.32899999999995</v>
      </c>
      <c r="F418" s="32">
        <v>1274</v>
      </c>
      <c r="G418" s="32">
        <v>50</v>
      </c>
      <c r="H418" s="40">
        <v>600</v>
      </c>
      <c r="I418" s="32">
        <v>695</v>
      </c>
      <c r="J418" s="32">
        <v>50</v>
      </c>
      <c r="K418" s="33"/>
      <c r="L418" s="33"/>
      <c r="M418" s="33"/>
      <c r="N418" s="33"/>
      <c r="O418" s="33"/>
      <c r="P418" s="33"/>
      <c r="Q418" s="33"/>
      <c r="R418" s="33"/>
      <c r="S418" s="33"/>
      <c r="T418" s="33"/>
    </row>
    <row r="419" spans="1:20" ht="15.75">
      <c r="A419" s="13">
        <v>54635</v>
      </c>
      <c r="B419" s="41">
        <v>31</v>
      </c>
      <c r="C419" s="32">
        <v>194.20500000000001</v>
      </c>
      <c r="D419" s="32">
        <v>267.46600000000001</v>
      </c>
      <c r="E419" s="38">
        <v>812.32899999999995</v>
      </c>
      <c r="F419" s="32">
        <v>1274</v>
      </c>
      <c r="G419" s="32">
        <v>50</v>
      </c>
      <c r="H419" s="40">
        <v>600</v>
      </c>
      <c r="I419" s="32">
        <v>695</v>
      </c>
      <c r="J419" s="32">
        <v>0</v>
      </c>
      <c r="K419" s="33"/>
      <c r="L419" s="33"/>
      <c r="M419" s="33"/>
      <c r="N419" s="33"/>
      <c r="O419" s="33"/>
      <c r="P419" s="33"/>
      <c r="Q419" s="33"/>
      <c r="R419" s="33"/>
      <c r="S419" s="33"/>
      <c r="T419" s="33"/>
    </row>
    <row r="420" spans="1:20" ht="15.75">
      <c r="A420" s="13">
        <v>54666</v>
      </c>
      <c r="B420" s="41">
        <v>31</v>
      </c>
      <c r="C420" s="32">
        <v>194.20500000000001</v>
      </c>
      <c r="D420" s="32">
        <v>267.46600000000001</v>
      </c>
      <c r="E420" s="38">
        <v>812.32899999999995</v>
      </c>
      <c r="F420" s="32">
        <v>1274</v>
      </c>
      <c r="G420" s="32">
        <v>50</v>
      </c>
      <c r="H420" s="40">
        <v>600</v>
      </c>
      <c r="I420" s="32">
        <v>695</v>
      </c>
      <c r="J420" s="32">
        <v>0</v>
      </c>
      <c r="K420" s="33"/>
      <c r="L420" s="33"/>
      <c r="M420" s="33"/>
      <c r="N420" s="33"/>
      <c r="O420" s="33"/>
      <c r="P420" s="33"/>
      <c r="Q420" s="33"/>
      <c r="R420" s="33"/>
      <c r="S420" s="33"/>
      <c r="T420" s="33"/>
    </row>
    <row r="421" spans="1:20" ht="15.75">
      <c r="A421" s="13">
        <v>54696</v>
      </c>
      <c r="B421" s="41">
        <v>30</v>
      </c>
      <c r="C421" s="32">
        <v>194.20500000000001</v>
      </c>
      <c r="D421" s="32">
        <v>267.46600000000001</v>
      </c>
      <c r="E421" s="38">
        <v>812.32899999999995</v>
      </c>
      <c r="F421" s="32">
        <v>1274</v>
      </c>
      <c r="G421" s="32">
        <v>50</v>
      </c>
      <c r="H421" s="40">
        <v>600</v>
      </c>
      <c r="I421" s="32">
        <v>695</v>
      </c>
      <c r="J421" s="32">
        <v>0</v>
      </c>
      <c r="K421" s="33"/>
      <c r="L421" s="33"/>
      <c r="M421" s="33"/>
      <c r="N421" s="33"/>
      <c r="O421" s="33"/>
      <c r="P421" s="33"/>
      <c r="Q421" s="33"/>
      <c r="R421" s="33"/>
      <c r="S421" s="33"/>
      <c r="T421" s="33"/>
    </row>
    <row r="422" spans="1:20" ht="15.75">
      <c r="A422" s="13">
        <v>54727</v>
      </c>
      <c r="B422" s="41">
        <v>31</v>
      </c>
      <c r="C422" s="32">
        <v>131.881</v>
      </c>
      <c r="D422" s="32">
        <v>277.16699999999997</v>
      </c>
      <c r="E422" s="38">
        <v>829.952</v>
      </c>
      <c r="F422" s="32">
        <v>1239</v>
      </c>
      <c r="G422" s="32">
        <v>75</v>
      </c>
      <c r="H422" s="40">
        <v>600</v>
      </c>
      <c r="I422" s="32">
        <v>695</v>
      </c>
      <c r="J422" s="32">
        <v>0</v>
      </c>
      <c r="K422" s="33"/>
      <c r="L422" s="33"/>
      <c r="M422" s="33"/>
      <c r="N422" s="33"/>
      <c r="O422" s="33"/>
      <c r="P422" s="33"/>
      <c r="Q422" s="33"/>
      <c r="R422" s="33"/>
      <c r="S422" s="33"/>
      <c r="T422" s="33"/>
    </row>
    <row r="423" spans="1:20" ht="15.75">
      <c r="A423" s="13">
        <v>54757</v>
      </c>
      <c r="B423" s="41">
        <v>30</v>
      </c>
      <c r="C423" s="32">
        <v>122.58</v>
      </c>
      <c r="D423" s="32">
        <v>297.94099999999997</v>
      </c>
      <c r="E423" s="38">
        <v>729.47900000000004</v>
      </c>
      <c r="F423" s="32">
        <v>1150</v>
      </c>
      <c r="G423" s="32">
        <v>100</v>
      </c>
      <c r="H423" s="40">
        <v>600</v>
      </c>
      <c r="I423" s="32">
        <v>695</v>
      </c>
      <c r="J423" s="32">
        <v>50</v>
      </c>
      <c r="K423" s="33"/>
      <c r="L423" s="33"/>
      <c r="M423" s="33"/>
      <c r="N423" s="33"/>
      <c r="O423" s="33"/>
      <c r="P423" s="33"/>
      <c r="Q423" s="33"/>
      <c r="R423" s="33"/>
      <c r="S423" s="33"/>
      <c r="T423" s="33"/>
    </row>
    <row r="424" spans="1:20" ht="15.75">
      <c r="A424" s="13">
        <v>54788</v>
      </c>
      <c r="B424" s="41">
        <v>31</v>
      </c>
      <c r="C424" s="32">
        <v>122.58</v>
      </c>
      <c r="D424" s="32">
        <v>297.94099999999997</v>
      </c>
      <c r="E424" s="38">
        <v>729.47900000000004</v>
      </c>
      <c r="F424" s="32">
        <v>1150</v>
      </c>
      <c r="G424" s="32">
        <v>100</v>
      </c>
      <c r="H424" s="40">
        <v>600</v>
      </c>
      <c r="I424" s="32">
        <v>695</v>
      </c>
      <c r="J424" s="32">
        <v>50</v>
      </c>
      <c r="K424" s="33"/>
      <c r="L424" s="33"/>
      <c r="M424" s="33"/>
      <c r="N424" s="33"/>
      <c r="O424" s="33"/>
      <c r="P424" s="33"/>
      <c r="Q424" s="33"/>
      <c r="R424" s="33"/>
      <c r="S424" s="33"/>
      <c r="T424" s="33"/>
    </row>
    <row r="425" spans="1:20" ht="15.75">
      <c r="A425" s="13">
        <v>54819</v>
      </c>
      <c r="B425" s="41">
        <v>31</v>
      </c>
      <c r="C425" s="32">
        <v>122.58</v>
      </c>
      <c r="D425" s="32">
        <v>297.94099999999997</v>
      </c>
      <c r="E425" s="38">
        <v>729.47900000000004</v>
      </c>
      <c r="F425" s="32">
        <v>1150</v>
      </c>
      <c r="G425" s="32">
        <v>100</v>
      </c>
      <c r="H425" s="40">
        <v>600</v>
      </c>
      <c r="I425" s="32">
        <v>695</v>
      </c>
      <c r="J425" s="32">
        <v>50</v>
      </c>
      <c r="K425" s="33"/>
      <c r="L425" s="33"/>
      <c r="M425" s="33"/>
      <c r="N425" s="33"/>
      <c r="O425" s="33"/>
      <c r="P425" s="33"/>
      <c r="Q425" s="33"/>
      <c r="R425" s="33"/>
      <c r="S425" s="33"/>
      <c r="T425" s="33"/>
    </row>
    <row r="426" spans="1:20" ht="15.75">
      <c r="A426" s="13">
        <v>54847</v>
      </c>
      <c r="B426" s="41">
        <v>28</v>
      </c>
      <c r="C426" s="32">
        <v>122.58</v>
      </c>
      <c r="D426" s="32">
        <v>297.94099999999997</v>
      </c>
      <c r="E426" s="38">
        <v>729.47900000000004</v>
      </c>
      <c r="F426" s="32">
        <v>1150</v>
      </c>
      <c r="G426" s="32">
        <v>100</v>
      </c>
      <c r="H426" s="40">
        <v>600</v>
      </c>
      <c r="I426" s="32">
        <v>695</v>
      </c>
      <c r="J426" s="32">
        <v>50</v>
      </c>
      <c r="K426" s="33"/>
      <c r="L426" s="33"/>
      <c r="M426" s="33"/>
      <c r="N426" s="33"/>
      <c r="O426" s="33"/>
      <c r="P426" s="33"/>
      <c r="Q426" s="33"/>
      <c r="R426" s="33"/>
      <c r="S426" s="33"/>
      <c r="T426" s="33"/>
    </row>
    <row r="427" spans="1:20" ht="15.75">
      <c r="A427" s="13">
        <v>54878</v>
      </c>
      <c r="B427" s="41">
        <v>31</v>
      </c>
      <c r="C427" s="32">
        <v>122.58</v>
      </c>
      <c r="D427" s="32">
        <v>297.94099999999997</v>
      </c>
      <c r="E427" s="38">
        <v>729.47900000000004</v>
      </c>
      <c r="F427" s="32">
        <v>1150</v>
      </c>
      <c r="G427" s="32">
        <v>100</v>
      </c>
      <c r="H427" s="40">
        <v>600</v>
      </c>
      <c r="I427" s="32">
        <v>695</v>
      </c>
      <c r="J427" s="32">
        <v>50</v>
      </c>
      <c r="K427" s="33"/>
      <c r="L427" s="33"/>
      <c r="M427" s="33"/>
      <c r="N427" s="33"/>
      <c r="O427" s="33"/>
      <c r="P427" s="33"/>
      <c r="Q427" s="33"/>
      <c r="R427" s="33"/>
      <c r="S427" s="33"/>
      <c r="T427" s="33"/>
    </row>
    <row r="428" spans="1:20" ht="15.75">
      <c r="A428" s="13">
        <v>54908</v>
      </c>
      <c r="B428" s="41">
        <v>30</v>
      </c>
      <c r="C428" s="32">
        <v>141.29300000000001</v>
      </c>
      <c r="D428" s="32">
        <v>267.99299999999999</v>
      </c>
      <c r="E428" s="38">
        <v>829.71400000000006</v>
      </c>
      <c r="F428" s="32">
        <v>1239</v>
      </c>
      <c r="G428" s="32">
        <v>100</v>
      </c>
      <c r="H428" s="40">
        <v>600</v>
      </c>
      <c r="I428" s="32">
        <v>695</v>
      </c>
      <c r="J428" s="32">
        <v>50</v>
      </c>
      <c r="K428" s="33"/>
      <c r="L428" s="33"/>
      <c r="M428" s="33"/>
      <c r="N428" s="33"/>
      <c r="O428" s="33"/>
      <c r="P428" s="33"/>
      <c r="Q428" s="33"/>
      <c r="R428" s="33"/>
      <c r="S428" s="33"/>
      <c r="T428" s="33"/>
    </row>
    <row r="429" spans="1:20" ht="15.75">
      <c r="A429" s="13">
        <v>54939</v>
      </c>
      <c r="B429" s="41">
        <v>31</v>
      </c>
      <c r="C429" s="32">
        <v>194.20500000000001</v>
      </c>
      <c r="D429" s="32">
        <v>267.46600000000001</v>
      </c>
      <c r="E429" s="38">
        <v>812.32899999999995</v>
      </c>
      <c r="F429" s="32">
        <v>1274</v>
      </c>
      <c r="G429" s="32">
        <v>75</v>
      </c>
      <c r="H429" s="40">
        <v>600</v>
      </c>
      <c r="I429" s="32">
        <v>695</v>
      </c>
      <c r="J429" s="32">
        <v>50</v>
      </c>
      <c r="K429" s="33"/>
      <c r="L429" s="33"/>
      <c r="M429" s="33"/>
      <c r="N429" s="33"/>
      <c r="O429" s="33"/>
      <c r="P429" s="33"/>
      <c r="Q429" s="33"/>
      <c r="R429" s="33"/>
      <c r="S429" s="33"/>
      <c r="T429" s="33"/>
    </row>
    <row r="430" spans="1:20" ht="15.75">
      <c r="A430" s="13">
        <v>54969</v>
      </c>
      <c r="B430" s="41">
        <v>30</v>
      </c>
      <c r="C430" s="32">
        <v>194.20500000000001</v>
      </c>
      <c r="D430" s="32">
        <v>267.46600000000001</v>
      </c>
      <c r="E430" s="38">
        <v>812.32899999999995</v>
      </c>
      <c r="F430" s="32">
        <v>1274</v>
      </c>
      <c r="G430" s="32">
        <v>50</v>
      </c>
      <c r="H430" s="40">
        <v>600</v>
      </c>
      <c r="I430" s="32">
        <v>695</v>
      </c>
      <c r="J430" s="32">
        <v>50</v>
      </c>
      <c r="K430" s="33"/>
      <c r="L430" s="33"/>
      <c r="M430" s="33"/>
      <c r="N430" s="33"/>
      <c r="O430" s="33"/>
      <c r="P430" s="33"/>
      <c r="Q430" s="33"/>
      <c r="R430" s="33"/>
      <c r="S430" s="33"/>
      <c r="T430" s="33"/>
    </row>
    <row r="431" spans="1:20" ht="15.75">
      <c r="A431" s="13">
        <v>55000</v>
      </c>
      <c r="B431" s="41">
        <v>31</v>
      </c>
      <c r="C431" s="32">
        <v>194.20500000000001</v>
      </c>
      <c r="D431" s="32">
        <v>267.46600000000001</v>
      </c>
      <c r="E431" s="38">
        <v>812.32899999999995</v>
      </c>
      <c r="F431" s="32">
        <v>1274</v>
      </c>
      <c r="G431" s="32">
        <v>50</v>
      </c>
      <c r="H431" s="40">
        <v>600</v>
      </c>
      <c r="I431" s="32">
        <v>695</v>
      </c>
      <c r="J431" s="32">
        <v>0</v>
      </c>
      <c r="K431" s="33"/>
      <c r="L431" s="33"/>
      <c r="M431" s="33"/>
      <c r="N431" s="33"/>
      <c r="O431" s="33"/>
      <c r="P431" s="33"/>
      <c r="Q431" s="33"/>
      <c r="R431" s="33"/>
      <c r="S431" s="33"/>
      <c r="T431" s="33"/>
    </row>
    <row r="432" spans="1:20" ht="15.75">
      <c r="A432" s="13">
        <v>55031</v>
      </c>
      <c r="B432" s="41">
        <v>31</v>
      </c>
      <c r="C432" s="32">
        <v>194.20500000000001</v>
      </c>
      <c r="D432" s="32">
        <v>267.46600000000001</v>
      </c>
      <c r="E432" s="38">
        <v>812.32899999999995</v>
      </c>
      <c r="F432" s="32">
        <v>1274</v>
      </c>
      <c r="G432" s="32">
        <v>50</v>
      </c>
      <c r="H432" s="40">
        <v>600</v>
      </c>
      <c r="I432" s="32">
        <v>695</v>
      </c>
      <c r="J432" s="32">
        <v>0</v>
      </c>
      <c r="K432" s="33"/>
      <c r="L432" s="33"/>
      <c r="M432" s="33"/>
      <c r="N432" s="33"/>
      <c r="O432" s="33"/>
      <c r="P432" s="33"/>
      <c r="Q432" s="33"/>
      <c r="R432" s="33"/>
      <c r="S432" s="33"/>
      <c r="T432" s="33"/>
    </row>
    <row r="433" spans="1:20" ht="15.75">
      <c r="A433" s="13">
        <v>55061</v>
      </c>
      <c r="B433" s="41">
        <v>30</v>
      </c>
      <c r="C433" s="32">
        <v>194.20500000000001</v>
      </c>
      <c r="D433" s="32">
        <v>267.46600000000001</v>
      </c>
      <c r="E433" s="38">
        <v>812.32899999999995</v>
      </c>
      <c r="F433" s="32">
        <v>1274</v>
      </c>
      <c r="G433" s="32">
        <v>50</v>
      </c>
      <c r="H433" s="40">
        <v>600</v>
      </c>
      <c r="I433" s="32">
        <v>695</v>
      </c>
      <c r="J433" s="32">
        <v>0</v>
      </c>
      <c r="K433" s="33"/>
      <c r="L433" s="33"/>
      <c r="M433" s="33"/>
      <c r="N433" s="33"/>
      <c r="O433" s="33"/>
      <c r="P433" s="33"/>
      <c r="Q433" s="33"/>
      <c r="R433" s="33"/>
      <c r="S433" s="33"/>
      <c r="T433" s="33"/>
    </row>
    <row r="434" spans="1:20" ht="15.75">
      <c r="A434" s="13">
        <v>55092</v>
      </c>
      <c r="B434" s="41">
        <v>31</v>
      </c>
      <c r="C434" s="32">
        <v>131.881</v>
      </c>
      <c r="D434" s="32">
        <v>277.16699999999997</v>
      </c>
      <c r="E434" s="38">
        <v>829.952</v>
      </c>
      <c r="F434" s="32">
        <v>1239</v>
      </c>
      <c r="G434" s="32">
        <v>75</v>
      </c>
      <c r="H434" s="40">
        <v>600</v>
      </c>
      <c r="I434" s="32">
        <v>695</v>
      </c>
      <c r="J434" s="32">
        <v>0</v>
      </c>
      <c r="K434" s="33"/>
      <c r="L434" s="33"/>
      <c r="M434" s="33"/>
      <c r="N434" s="33"/>
      <c r="O434" s="33"/>
      <c r="P434" s="33"/>
      <c r="Q434" s="33"/>
      <c r="R434" s="33"/>
      <c r="S434" s="33"/>
      <c r="T434" s="33"/>
    </row>
    <row r="435" spans="1:20" ht="15.75">
      <c r="A435" s="13">
        <v>55122</v>
      </c>
      <c r="B435" s="41">
        <v>30</v>
      </c>
      <c r="C435" s="32">
        <v>122.58</v>
      </c>
      <c r="D435" s="32">
        <v>297.94099999999997</v>
      </c>
      <c r="E435" s="38">
        <v>729.47900000000004</v>
      </c>
      <c r="F435" s="32">
        <v>1150</v>
      </c>
      <c r="G435" s="32">
        <v>100</v>
      </c>
      <c r="H435" s="40">
        <v>600</v>
      </c>
      <c r="I435" s="32">
        <v>695</v>
      </c>
      <c r="J435" s="32">
        <v>50</v>
      </c>
      <c r="K435" s="33"/>
      <c r="L435" s="33"/>
      <c r="M435" s="33"/>
      <c r="N435" s="33"/>
      <c r="O435" s="33"/>
      <c r="P435" s="33"/>
      <c r="Q435" s="33"/>
      <c r="R435" s="33"/>
      <c r="S435" s="33"/>
      <c r="T435" s="33"/>
    </row>
    <row r="436" spans="1:20" ht="15.75">
      <c r="A436" s="13">
        <v>55153</v>
      </c>
      <c r="B436" s="41">
        <v>31</v>
      </c>
      <c r="C436" s="32">
        <v>122.58</v>
      </c>
      <c r="D436" s="32">
        <v>297.94099999999997</v>
      </c>
      <c r="E436" s="38">
        <v>729.47900000000004</v>
      </c>
      <c r="F436" s="32">
        <v>1150</v>
      </c>
      <c r="G436" s="32">
        <v>100</v>
      </c>
      <c r="H436" s="40">
        <v>600</v>
      </c>
      <c r="I436" s="32">
        <v>695</v>
      </c>
      <c r="J436" s="32">
        <v>50</v>
      </c>
      <c r="K436" s="33"/>
      <c r="L436" s="33"/>
      <c r="M436" s="33"/>
      <c r="N436" s="33"/>
      <c r="O436" s="33"/>
      <c r="P436" s="33"/>
      <c r="Q436" s="33"/>
      <c r="R436" s="33"/>
      <c r="S436" s="33"/>
      <c r="T436" s="33"/>
    </row>
    <row r="437" spans="1:20" ht="15.75">
      <c r="A437" s="13">
        <v>55184</v>
      </c>
      <c r="B437" s="41">
        <v>31</v>
      </c>
      <c r="C437" s="32">
        <v>122.58</v>
      </c>
      <c r="D437" s="32">
        <v>297.94099999999997</v>
      </c>
      <c r="E437" s="38">
        <v>729.47900000000004</v>
      </c>
      <c r="F437" s="32">
        <v>1150</v>
      </c>
      <c r="G437" s="32">
        <v>100</v>
      </c>
      <c r="H437" s="40">
        <v>600</v>
      </c>
      <c r="I437" s="32">
        <v>695</v>
      </c>
      <c r="J437" s="32">
        <v>50</v>
      </c>
      <c r="K437" s="33"/>
      <c r="L437" s="33"/>
      <c r="M437" s="33"/>
      <c r="N437" s="33"/>
      <c r="O437" s="33"/>
      <c r="P437" s="33"/>
      <c r="Q437" s="33"/>
      <c r="R437" s="33"/>
      <c r="S437" s="33"/>
      <c r="T437" s="33"/>
    </row>
    <row r="438" spans="1:20" ht="15.75">
      <c r="A438" s="13">
        <v>55212</v>
      </c>
      <c r="B438" s="41">
        <v>28</v>
      </c>
      <c r="C438" s="32">
        <v>122.58</v>
      </c>
      <c r="D438" s="32">
        <v>297.94099999999997</v>
      </c>
      <c r="E438" s="38">
        <v>729.47900000000004</v>
      </c>
      <c r="F438" s="32">
        <v>1150</v>
      </c>
      <c r="G438" s="32">
        <v>100</v>
      </c>
      <c r="H438" s="40">
        <v>600</v>
      </c>
      <c r="I438" s="32">
        <v>695</v>
      </c>
      <c r="J438" s="32">
        <v>50</v>
      </c>
      <c r="K438" s="33"/>
      <c r="L438" s="33"/>
      <c r="M438" s="33"/>
      <c r="N438" s="33"/>
      <c r="O438" s="33"/>
      <c r="P438" s="33"/>
      <c r="Q438" s="33"/>
      <c r="R438" s="33"/>
      <c r="S438" s="33"/>
      <c r="T438" s="33"/>
    </row>
    <row r="439" spans="1:20" ht="15.75">
      <c r="A439" s="13">
        <v>55243</v>
      </c>
      <c r="B439" s="41">
        <v>31</v>
      </c>
      <c r="C439" s="32">
        <v>122.58</v>
      </c>
      <c r="D439" s="32">
        <v>297.94099999999997</v>
      </c>
      <c r="E439" s="38">
        <v>729.47900000000004</v>
      </c>
      <c r="F439" s="32">
        <v>1150</v>
      </c>
      <c r="G439" s="32">
        <v>100</v>
      </c>
      <c r="H439" s="40">
        <v>600</v>
      </c>
      <c r="I439" s="32">
        <v>695</v>
      </c>
      <c r="J439" s="32">
        <v>50</v>
      </c>
      <c r="K439" s="33"/>
      <c r="L439" s="33"/>
      <c r="M439" s="33"/>
      <c r="N439" s="33"/>
      <c r="O439" s="33"/>
      <c r="P439" s="33"/>
      <c r="Q439" s="33"/>
      <c r="R439" s="33"/>
      <c r="S439" s="33"/>
      <c r="T439" s="33"/>
    </row>
    <row r="440" spans="1:20" ht="15.75">
      <c r="A440" s="13">
        <v>55273</v>
      </c>
      <c r="B440" s="41">
        <v>30</v>
      </c>
      <c r="C440" s="32">
        <v>141.29300000000001</v>
      </c>
      <c r="D440" s="32">
        <v>267.99299999999999</v>
      </c>
      <c r="E440" s="38">
        <v>829.71400000000006</v>
      </c>
      <c r="F440" s="32">
        <v>1239</v>
      </c>
      <c r="G440" s="32">
        <v>100</v>
      </c>
      <c r="H440" s="40">
        <v>600</v>
      </c>
      <c r="I440" s="32">
        <v>695</v>
      </c>
      <c r="J440" s="32">
        <v>50</v>
      </c>
      <c r="K440" s="33"/>
      <c r="L440" s="33"/>
      <c r="M440" s="33"/>
      <c r="N440" s="33"/>
      <c r="O440" s="33"/>
      <c r="P440" s="33"/>
      <c r="Q440" s="33"/>
      <c r="R440" s="33"/>
      <c r="S440" s="33"/>
      <c r="T440" s="33"/>
    </row>
    <row r="441" spans="1:20" ht="15.75">
      <c r="A441" s="13">
        <v>55304</v>
      </c>
      <c r="B441" s="41">
        <v>31</v>
      </c>
      <c r="C441" s="32">
        <v>194.20500000000001</v>
      </c>
      <c r="D441" s="32">
        <v>267.46600000000001</v>
      </c>
      <c r="E441" s="38">
        <v>812.32899999999995</v>
      </c>
      <c r="F441" s="32">
        <v>1274</v>
      </c>
      <c r="G441" s="32">
        <v>75</v>
      </c>
      <c r="H441" s="40">
        <v>600</v>
      </c>
      <c r="I441" s="32">
        <v>695</v>
      </c>
      <c r="J441" s="32">
        <v>50</v>
      </c>
      <c r="K441" s="33"/>
      <c r="L441" s="33"/>
      <c r="M441" s="33"/>
      <c r="N441" s="33"/>
      <c r="O441" s="33"/>
      <c r="P441" s="33"/>
      <c r="Q441" s="33"/>
      <c r="R441" s="33"/>
      <c r="S441" s="33"/>
      <c r="T441" s="33"/>
    </row>
    <row r="442" spans="1:20" ht="15.75">
      <c r="A442" s="13">
        <v>55334</v>
      </c>
      <c r="B442" s="41">
        <v>30</v>
      </c>
      <c r="C442" s="32">
        <v>194.20500000000001</v>
      </c>
      <c r="D442" s="32">
        <v>267.46600000000001</v>
      </c>
      <c r="E442" s="38">
        <v>812.32899999999995</v>
      </c>
      <c r="F442" s="32">
        <v>1274</v>
      </c>
      <c r="G442" s="32">
        <v>50</v>
      </c>
      <c r="H442" s="40">
        <v>600</v>
      </c>
      <c r="I442" s="32">
        <v>695</v>
      </c>
      <c r="J442" s="32">
        <v>50</v>
      </c>
      <c r="K442" s="33"/>
      <c r="L442" s="33"/>
      <c r="M442" s="33"/>
      <c r="N442" s="33"/>
      <c r="O442" s="33"/>
      <c r="P442" s="33"/>
      <c r="Q442" s="33"/>
      <c r="R442" s="33"/>
      <c r="S442" s="33"/>
      <c r="T442" s="33"/>
    </row>
    <row r="443" spans="1:20" ht="15.75">
      <c r="A443" s="13">
        <v>55365</v>
      </c>
      <c r="B443" s="41">
        <v>31</v>
      </c>
      <c r="C443" s="32">
        <v>194.20500000000001</v>
      </c>
      <c r="D443" s="32">
        <v>267.46600000000001</v>
      </c>
      <c r="E443" s="38">
        <v>812.32899999999995</v>
      </c>
      <c r="F443" s="32">
        <v>1274</v>
      </c>
      <c r="G443" s="32">
        <v>50</v>
      </c>
      <c r="H443" s="40">
        <v>600</v>
      </c>
      <c r="I443" s="32">
        <v>695</v>
      </c>
      <c r="J443" s="32">
        <v>0</v>
      </c>
      <c r="K443" s="33"/>
      <c r="L443" s="33"/>
      <c r="M443" s="33"/>
      <c r="N443" s="33"/>
      <c r="O443" s="33"/>
      <c r="P443" s="33"/>
      <c r="Q443" s="33"/>
      <c r="R443" s="33"/>
      <c r="S443" s="33"/>
      <c r="T443" s="33"/>
    </row>
    <row r="444" spans="1:20" ht="15.75">
      <c r="A444" s="13">
        <v>55396</v>
      </c>
      <c r="B444" s="41">
        <v>31</v>
      </c>
      <c r="C444" s="32">
        <v>194.20500000000001</v>
      </c>
      <c r="D444" s="32">
        <v>267.46600000000001</v>
      </c>
      <c r="E444" s="38">
        <v>812.32899999999995</v>
      </c>
      <c r="F444" s="32">
        <v>1274</v>
      </c>
      <c r="G444" s="32">
        <v>50</v>
      </c>
      <c r="H444" s="40">
        <v>600</v>
      </c>
      <c r="I444" s="32">
        <v>695</v>
      </c>
      <c r="J444" s="32">
        <v>0</v>
      </c>
      <c r="K444" s="33"/>
      <c r="L444" s="33"/>
      <c r="M444" s="33"/>
      <c r="N444" s="33"/>
      <c r="O444" s="33"/>
      <c r="P444" s="33"/>
      <c r="Q444" s="33"/>
      <c r="R444" s="33"/>
      <c r="S444" s="33"/>
      <c r="T444" s="33"/>
    </row>
    <row r="445" spans="1:20" ht="15.75">
      <c r="A445" s="13">
        <v>55426</v>
      </c>
      <c r="B445" s="41">
        <v>30</v>
      </c>
      <c r="C445" s="32">
        <v>194.20500000000001</v>
      </c>
      <c r="D445" s="32">
        <v>267.46600000000001</v>
      </c>
      <c r="E445" s="38">
        <v>812.32899999999995</v>
      </c>
      <c r="F445" s="32">
        <v>1274</v>
      </c>
      <c r="G445" s="32">
        <v>50</v>
      </c>
      <c r="H445" s="40">
        <v>600</v>
      </c>
      <c r="I445" s="32">
        <v>695</v>
      </c>
      <c r="J445" s="32">
        <v>0</v>
      </c>
      <c r="K445" s="33"/>
      <c r="L445" s="33"/>
      <c r="M445" s="33"/>
      <c r="N445" s="33"/>
      <c r="O445" s="33"/>
      <c r="P445" s="33"/>
      <c r="Q445" s="33"/>
      <c r="R445" s="33"/>
      <c r="S445" s="33"/>
      <c r="T445" s="33"/>
    </row>
    <row r="446" spans="1:20" ht="15.75">
      <c r="A446" s="13">
        <v>55457</v>
      </c>
      <c r="B446" s="41">
        <v>31</v>
      </c>
      <c r="C446" s="32">
        <v>131.881</v>
      </c>
      <c r="D446" s="32">
        <v>277.16699999999997</v>
      </c>
      <c r="E446" s="38">
        <v>829.952</v>
      </c>
      <c r="F446" s="32">
        <v>1239</v>
      </c>
      <c r="G446" s="32">
        <v>75</v>
      </c>
      <c r="H446" s="40">
        <v>600</v>
      </c>
      <c r="I446" s="32">
        <v>695</v>
      </c>
      <c r="J446" s="32">
        <v>0</v>
      </c>
      <c r="K446" s="33"/>
      <c r="L446" s="33"/>
      <c r="M446" s="33"/>
      <c r="N446" s="33"/>
      <c r="O446" s="33"/>
      <c r="P446" s="33"/>
      <c r="Q446" s="33"/>
      <c r="R446" s="33"/>
      <c r="S446" s="33"/>
      <c r="T446" s="33"/>
    </row>
    <row r="447" spans="1:20" ht="15.75">
      <c r="A447" s="13">
        <v>55487</v>
      </c>
      <c r="B447" s="41">
        <v>30</v>
      </c>
      <c r="C447" s="32">
        <v>122.58</v>
      </c>
      <c r="D447" s="32">
        <v>297.94099999999997</v>
      </c>
      <c r="E447" s="38">
        <v>729.47900000000004</v>
      </c>
      <c r="F447" s="32">
        <v>1150</v>
      </c>
      <c r="G447" s="32">
        <v>100</v>
      </c>
      <c r="H447" s="40">
        <v>600</v>
      </c>
      <c r="I447" s="32">
        <v>695</v>
      </c>
      <c r="J447" s="32">
        <v>50</v>
      </c>
      <c r="K447" s="33"/>
      <c r="L447" s="33"/>
      <c r="M447" s="33"/>
      <c r="N447" s="33"/>
      <c r="O447" s="33"/>
      <c r="P447" s="33"/>
      <c r="Q447" s="33"/>
      <c r="R447" s="33"/>
      <c r="S447" s="33"/>
      <c r="T447" s="33"/>
    </row>
    <row r="448" spans="1:20" ht="15.75">
      <c r="A448" s="13">
        <v>55518</v>
      </c>
      <c r="B448" s="41">
        <v>31</v>
      </c>
      <c r="C448" s="32">
        <v>122.58</v>
      </c>
      <c r="D448" s="32">
        <v>297.94099999999997</v>
      </c>
      <c r="E448" s="38">
        <v>729.47900000000004</v>
      </c>
      <c r="F448" s="32">
        <v>1150</v>
      </c>
      <c r="G448" s="32">
        <v>100</v>
      </c>
      <c r="H448" s="40">
        <v>600</v>
      </c>
      <c r="I448" s="32">
        <v>695</v>
      </c>
      <c r="J448" s="32">
        <v>50</v>
      </c>
      <c r="K448" s="33"/>
      <c r="L448" s="33"/>
      <c r="M448" s="33"/>
      <c r="N448" s="33"/>
      <c r="O448" s="33"/>
      <c r="P448" s="33"/>
      <c r="Q448" s="33"/>
      <c r="R448" s="33"/>
      <c r="S448" s="33"/>
      <c r="T448" s="33"/>
    </row>
    <row r="449" spans="1:20" ht="15.75">
      <c r="A449" s="13">
        <v>55549</v>
      </c>
      <c r="B449" s="41">
        <v>31</v>
      </c>
      <c r="C449" s="32">
        <v>122.58</v>
      </c>
      <c r="D449" s="32">
        <v>297.94099999999997</v>
      </c>
      <c r="E449" s="38">
        <v>729.47900000000004</v>
      </c>
      <c r="F449" s="32">
        <v>1150</v>
      </c>
      <c r="G449" s="32">
        <v>100</v>
      </c>
      <c r="H449" s="40">
        <v>600</v>
      </c>
      <c r="I449" s="32">
        <v>695</v>
      </c>
      <c r="J449" s="32">
        <v>50</v>
      </c>
      <c r="K449" s="33"/>
      <c r="L449" s="33"/>
      <c r="M449" s="33"/>
      <c r="N449" s="33"/>
      <c r="O449" s="33"/>
      <c r="P449" s="33"/>
      <c r="Q449" s="33"/>
      <c r="R449" s="33"/>
      <c r="S449" s="33"/>
      <c r="T449" s="33"/>
    </row>
    <row r="450" spans="1:20" ht="15.75">
      <c r="A450" s="13">
        <v>55577</v>
      </c>
      <c r="B450" s="41">
        <v>29</v>
      </c>
      <c r="C450" s="32">
        <v>122.58</v>
      </c>
      <c r="D450" s="32">
        <v>297.94099999999997</v>
      </c>
      <c r="E450" s="38">
        <v>729.47900000000004</v>
      </c>
      <c r="F450" s="32">
        <v>1150</v>
      </c>
      <c r="G450" s="32">
        <v>100</v>
      </c>
      <c r="H450" s="40">
        <v>600</v>
      </c>
      <c r="I450" s="32">
        <v>695</v>
      </c>
      <c r="J450" s="32">
        <v>50</v>
      </c>
      <c r="K450" s="33"/>
      <c r="L450" s="33"/>
      <c r="M450" s="33"/>
      <c r="N450" s="33"/>
      <c r="O450" s="33"/>
      <c r="P450" s="33"/>
      <c r="Q450" s="33"/>
      <c r="R450" s="33"/>
      <c r="S450" s="33"/>
      <c r="T450" s="33"/>
    </row>
    <row r="451" spans="1:20" ht="15.75">
      <c r="A451" s="13">
        <v>55609</v>
      </c>
      <c r="B451" s="41">
        <v>31</v>
      </c>
      <c r="C451" s="32">
        <v>122.58</v>
      </c>
      <c r="D451" s="32">
        <v>297.94099999999997</v>
      </c>
      <c r="E451" s="38">
        <v>729.47900000000004</v>
      </c>
      <c r="F451" s="32">
        <v>1150</v>
      </c>
      <c r="G451" s="32">
        <v>100</v>
      </c>
      <c r="H451" s="40">
        <v>600</v>
      </c>
      <c r="I451" s="32">
        <v>695</v>
      </c>
      <c r="J451" s="32">
        <v>50</v>
      </c>
      <c r="K451" s="33"/>
      <c r="L451" s="33"/>
      <c r="M451" s="33"/>
      <c r="N451" s="33"/>
      <c r="O451" s="33"/>
      <c r="P451" s="33"/>
      <c r="Q451" s="33"/>
      <c r="R451" s="33"/>
      <c r="S451" s="33"/>
      <c r="T451" s="33"/>
    </row>
    <row r="452" spans="1:20" ht="15.75">
      <c r="A452" s="13">
        <v>55639</v>
      </c>
      <c r="B452" s="41">
        <v>30</v>
      </c>
      <c r="C452" s="32">
        <v>141.29300000000001</v>
      </c>
      <c r="D452" s="32">
        <v>267.99299999999999</v>
      </c>
      <c r="E452" s="38">
        <v>829.71400000000006</v>
      </c>
      <c r="F452" s="32">
        <v>1239</v>
      </c>
      <c r="G452" s="32">
        <v>100</v>
      </c>
      <c r="H452" s="40">
        <v>600</v>
      </c>
      <c r="I452" s="32">
        <v>695</v>
      </c>
      <c r="J452" s="32">
        <v>50</v>
      </c>
      <c r="K452" s="33"/>
      <c r="L452" s="33"/>
      <c r="M452" s="33"/>
      <c r="N452" s="33"/>
      <c r="O452" s="33"/>
      <c r="P452" s="33"/>
      <c r="Q452" s="33"/>
      <c r="R452" s="33"/>
      <c r="S452" s="33"/>
      <c r="T452" s="33"/>
    </row>
    <row r="453" spans="1:20" ht="15.75">
      <c r="A453" s="13">
        <v>55670</v>
      </c>
      <c r="B453" s="41">
        <v>31</v>
      </c>
      <c r="C453" s="32">
        <v>194.20500000000001</v>
      </c>
      <c r="D453" s="32">
        <v>267.46600000000001</v>
      </c>
      <c r="E453" s="38">
        <v>812.32899999999995</v>
      </c>
      <c r="F453" s="32">
        <v>1274</v>
      </c>
      <c r="G453" s="32">
        <v>75</v>
      </c>
      <c r="H453" s="40">
        <v>600</v>
      </c>
      <c r="I453" s="32">
        <v>695</v>
      </c>
      <c r="J453" s="32">
        <v>50</v>
      </c>
      <c r="K453" s="33"/>
      <c r="L453" s="33"/>
      <c r="M453" s="33"/>
      <c r="N453" s="33"/>
      <c r="O453" s="33"/>
      <c r="P453" s="33"/>
      <c r="Q453" s="33"/>
      <c r="R453" s="33"/>
      <c r="S453" s="33"/>
      <c r="T453" s="33"/>
    </row>
    <row r="454" spans="1:20" ht="15.75">
      <c r="A454" s="13">
        <v>55700</v>
      </c>
      <c r="B454" s="41">
        <v>30</v>
      </c>
      <c r="C454" s="32">
        <v>194.20500000000001</v>
      </c>
      <c r="D454" s="32">
        <v>267.46600000000001</v>
      </c>
      <c r="E454" s="38">
        <v>812.32899999999995</v>
      </c>
      <c r="F454" s="32">
        <v>1274</v>
      </c>
      <c r="G454" s="32">
        <v>50</v>
      </c>
      <c r="H454" s="40">
        <v>600</v>
      </c>
      <c r="I454" s="32">
        <v>695</v>
      </c>
      <c r="J454" s="32">
        <v>50</v>
      </c>
      <c r="K454" s="33"/>
      <c r="L454" s="33"/>
      <c r="M454" s="33"/>
      <c r="N454" s="33"/>
      <c r="O454" s="33"/>
      <c r="P454" s="33"/>
      <c r="Q454" s="33"/>
      <c r="R454" s="33"/>
      <c r="S454" s="33"/>
      <c r="T454" s="33"/>
    </row>
    <row r="455" spans="1:20" ht="15.75">
      <c r="A455" s="13">
        <v>55731</v>
      </c>
      <c r="B455" s="41">
        <v>31</v>
      </c>
      <c r="C455" s="32">
        <v>194.20500000000001</v>
      </c>
      <c r="D455" s="32">
        <v>267.46600000000001</v>
      </c>
      <c r="E455" s="38">
        <v>812.32899999999995</v>
      </c>
      <c r="F455" s="32">
        <v>1274</v>
      </c>
      <c r="G455" s="32">
        <v>50</v>
      </c>
      <c r="H455" s="40">
        <v>600</v>
      </c>
      <c r="I455" s="32">
        <v>695</v>
      </c>
      <c r="J455" s="32">
        <v>0</v>
      </c>
      <c r="K455" s="33"/>
      <c r="L455" s="33"/>
      <c r="M455" s="33"/>
      <c r="N455" s="33"/>
      <c r="O455" s="33"/>
      <c r="P455" s="33"/>
      <c r="Q455" s="33"/>
      <c r="R455" s="33"/>
      <c r="S455" s="33"/>
      <c r="T455" s="33"/>
    </row>
    <row r="456" spans="1:20" ht="15.75">
      <c r="A456" s="13">
        <v>55762</v>
      </c>
      <c r="B456" s="41">
        <v>31</v>
      </c>
      <c r="C456" s="32">
        <v>194.20500000000001</v>
      </c>
      <c r="D456" s="32">
        <v>267.46600000000001</v>
      </c>
      <c r="E456" s="38">
        <v>812.32899999999995</v>
      </c>
      <c r="F456" s="32">
        <v>1274</v>
      </c>
      <c r="G456" s="32">
        <v>50</v>
      </c>
      <c r="H456" s="40">
        <v>600</v>
      </c>
      <c r="I456" s="32">
        <v>695</v>
      </c>
      <c r="J456" s="32">
        <v>0</v>
      </c>
      <c r="K456" s="33"/>
      <c r="L456" s="33"/>
      <c r="M456" s="33"/>
      <c r="N456" s="33"/>
      <c r="O456" s="33"/>
      <c r="P456" s="33"/>
      <c r="Q456" s="33"/>
      <c r="R456" s="33"/>
      <c r="S456" s="33"/>
      <c r="T456" s="33"/>
    </row>
    <row r="457" spans="1:20" ht="15.75">
      <c r="A457" s="13">
        <v>55792</v>
      </c>
      <c r="B457" s="41">
        <v>30</v>
      </c>
      <c r="C457" s="32">
        <v>194.20500000000001</v>
      </c>
      <c r="D457" s="32">
        <v>267.46600000000001</v>
      </c>
      <c r="E457" s="38">
        <v>812.32899999999995</v>
      </c>
      <c r="F457" s="32">
        <v>1274</v>
      </c>
      <c r="G457" s="32">
        <v>50</v>
      </c>
      <c r="H457" s="40">
        <v>600</v>
      </c>
      <c r="I457" s="32">
        <v>695</v>
      </c>
      <c r="J457" s="32">
        <v>0</v>
      </c>
      <c r="K457" s="33"/>
      <c r="L457" s="33"/>
      <c r="M457" s="33"/>
      <c r="N457" s="33"/>
      <c r="O457" s="33"/>
      <c r="P457" s="33"/>
      <c r="Q457" s="33"/>
      <c r="R457" s="33"/>
      <c r="S457" s="33"/>
      <c r="T457" s="33"/>
    </row>
    <row r="458" spans="1:20" ht="15.75">
      <c r="A458" s="13">
        <v>55823</v>
      </c>
      <c r="B458" s="41">
        <v>31</v>
      </c>
      <c r="C458" s="32">
        <v>131.881</v>
      </c>
      <c r="D458" s="32">
        <v>277.16699999999997</v>
      </c>
      <c r="E458" s="38">
        <v>829.952</v>
      </c>
      <c r="F458" s="32">
        <v>1239</v>
      </c>
      <c r="G458" s="32">
        <v>75</v>
      </c>
      <c r="H458" s="40">
        <v>600</v>
      </c>
      <c r="I458" s="32">
        <v>695</v>
      </c>
      <c r="J458" s="32">
        <v>0</v>
      </c>
      <c r="K458" s="33"/>
      <c r="L458" s="33"/>
      <c r="M458" s="33"/>
      <c r="N458" s="33"/>
      <c r="O458" s="33"/>
      <c r="P458" s="33"/>
      <c r="Q458" s="33"/>
      <c r="R458" s="33"/>
      <c r="S458" s="33"/>
      <c r="T458" s="33"/>
    </row>
    <row r="459" spans="1:20" ht="15.75">
      <c r="A459" s="13">
        <v>55853</v>
      </c>
      <c r="B459" s="41">
        <v>30</v>
      </c>
      <c r="C459" s="32">
        <v>122.58</v>
      </c>
      <c r="D459" s="32">
        <v>297.94099999999997</v>
      </c>
      <c r="E459" s="38">
        <v>729.47900000000004</v>
      </c>
      <c r="F459" s="32">
        <v>1150</v>
      </c>
      <c r="G459" s="32">
        <v>100</v>
      </c>
      <c r="H459" s="40">
        <v>600</v>
      </c>
      <c r="I459" s="32">
        <v>695</v>
      </c>
      <c r="J459" s="32">
        <v>50</v>
      </c>
      <c r="K459" s="33"/>
      <c r="L459" s="33"/>
      <c r="M459" s="33"/>
      <c r="N459" s="33"/>
      <c r="O459" s="33"/>
      <c r="P459" s="33"/>
      <c r="Q459" s="33"/>
      <c r="R459" s="33"/>
      <c r="S459" s="33"/>
      <c r="T459" s="33"/>
    </row>
    <row r="460" spans="1:20" ht="15.75">
      <c r="A460" s="13">
        <v>55884</v>
      </c>
      <c r="B460" s="41">
        <v>31</v>
      </c>
      <c r="C460" s="32">
        <v>122.58</v>
      </c>
      <c r="D460" s="32">
        <v>297.94099999999997</v>
      </c>
      <c r="E460" s="38">
        <v>729.47900000000004</v>
      </c>
      <c r="F460" s="32">
        <v>1150</v>
      </c>
      <c r="G460" s="32">
        <v>100</v>
      </c>
      <c r="H460" s="40">
        <v>600</v>
      </c>
      <c r="I460" s="32">
        <v>695</v>
      </c>
      <c r="J460" s="32">
        <v>50</v>
      </c>
      <c r="K460" s="33"/>
      <c r="L460" s="33"/>
      <c r="M460" s="33"/>
      <c r="N460" s="33"/>
      <c r="O460" s="33"/>
      <c r="P460" s="33"/>
      <c r="Q460" s="33"/>
      <c r="R460" s="33"/>
      <c r="S460" s="33"/>
      <c r="T460" s="33"/>
    </row>
    <row r="461" spans="1:20" ht="15.75">
      <c r="A461" s="13">
        <v>55915</v>
      </c>
      <c r="B461" s="41">
        <v>31</v>
      </c>
      <c r="C461" s="32">
        <v>122.58</v>
      </c>
      <c r="D461" s="32">
        <v>297.94099999999997</v>
      </c>
      <c r="E461" s="38">
        <v>729.47900000000004</v>
      </c>
      <c r="F461" s="32">
        <v>1150</v>
      </c>
      <c r="G461" s="32">
        <v>100</v>
      </c>
      <c r="H461" s="40">
        <v>600</v>
      </c>
      <c r="I461" s="32">
        <v>695</v>
      </c>
      <c r="J461" s="32">
        <v>50</v>
      </c>
      <c r="K461" s="33"/>
      <c r="L461" s="33"/>
      <c r="M461" s="33"/>
      <c r="N461" s="33"/>
      <c r="O461" s="33"/>
      <c r="P461" s="33"/>
      <c r="Q461" s="33"/>
      <c r="R461" s="33"/>
      <c r="S461" s="33"/>
      <c r="T461" s="33"/>
    </row>
    <row r="462" spans="1:20" ht="15.75">
      <c r="A462" s="13">
        <v>55943</v>
      </c>
      <c r="B462" s="41">
        <v>28</v>
      </c>
      <c r="C462" s="32">
        <v>122.58</v>
      </c>
      <c r="D462" s="32">
        <v>297.94099999999997</v>
      </c>
      <c r="E462" s="38">
        <v>729.47900000000004</v>
      </c>
      <c r="F462" s="32">
        <v>1150</v>
      </c>
      <c r="G462" s="32">
        <v>100</v>
      </c>
      <c r="H462" s="40">
        <v>600</v>
      </c>
      <c r="I462" s="32">
        <v>695</v>
      </c>
      <c r="J462" s="32">
        <v>50</v>
      </c>
      <c r="K462" s="33"/>
      <c r="L462" s="33"/>
      <c r="M462" s="33"/>
      <c r="N462" s="33"/>
      <c r="O462" s="33"/>
      <c r="P462" s="33"/>
      <c r="Q462" s="33"/>
      <c r="R462" s="33"/>
      <c r="S462" s="33"/>
      <c r="T462" s="33"/>
    </row>
    <row r="463" spans="1:20" ht="15.75">
      <c r="A463" s="13">
        <v>55974</v>
      </c>
      <c r="B463" s="41">
        <v>31</v>
      </c>
      <c r="C463" s="32">
        <v>122.58</v>
      </c>
      <c r="D463" s="32">
        <v>297.94099999999997</v>
      </c>
      <c r="E463" s="38">
        <v>729.47900000000004</v>
      </c>
      <c r="F463" s="32">
        <v>1150</v>
      </c>
      <c r="G463" s="32">
        <v>100</v>
      </c>
      <c r="H463" s="40">
        <v>600</v>
      </c>
      <c r="I463" s="32">
        <v>695</v>
      </c>
      <c r="J463" s="32">
        <v>50</v>
      </c>
      <c r="K463" s="33"/>
      <c r="L463" s="33"/>
      <c r="M463" s="33"/>
      <c r="N463" s="33"/>
      <c r="O463" s="33"/>
      <c r="P463" s="33"/>
      <c r="Q463" s="33"/>
      <c r="R463" s="33"/>
      <c r="S463" s="33"/>
      <c r="T463" s="33"/>
    </row>
    <row r="464" spans="1:20" ht="15.75">
      <c r="A464" s="13">
        <v>56004</v>
      </c>
      <c r="B464" s="41">
        <v>30</v>
      </c>
      <c r="C464" s="32">
        <v>141.29300000000001</v>
      </c>
      <c r="D464" s="32">
        <v>267.99299999999999</v>
      </c>
      <c r="E464" s="38">
        <v>829.71400000000006</v>
      </c>
      <c r="F464" s="32">
        <v>1239</v>
      </c>
      <c r="G464" s="32">
        <v>100</v>
      </c>
      <c r="H464" s="40">
        <v>600</v>
      </c>
      <c r="I464" s="32">
        <v>695</v>
      </c>
      <c r="J464" s="32">
        <v>50</v>
      </c>
      <c r="K464" s="33"/>
      <c r="L464" s="33"/>
      <c r="M464" s="33"/>
      <c r="N464" s="33"/>
      <c r="O464" s="33"/>
      <c r="P464" s="33"/>
      <c r="Q464" s="33"/>
      <c r="R464" s="33"/>
      <c r="S464" s="33"/>
      <c r="T464" s="33"/>
    </row>
    <row r="465" spans="1:20" ht="15.75">
      <c r="A465" s="13">
        <v>56035</v>
      </c>
      <c r="B465" s="41">
        <v>31</v>
      </c>
      <c r="C465" s="32">
        <v>194.20500000000001</v>
      </c>
      <c r="D465" s="32">
        <v>267.46600000000001</v>
      </c>
      <c r="E465" s="38">
        <v>812.32899999999995</v>
      </c>
      <c r="F465" s="32">
        <v>1274</v>
      </c>
      <c r="G465" s="32">
        <v>75</v>
      </c>
      <c r="H465" s="40">
        <v>600</v>
      </c>
      <c r="I465" s="32">
        <v>695</v>
      </c>
      <c r="J465" s="32">
        <v>50</v>
      </c>
      <c r="K465" s="33"/>
      <c r="L465" s="33"/>
      <c r="M465" s="33"/>
      <c r="N465" s="33"/>
      <c r="O465" s="33"/>
      <c r="P465" s="33"/>
      <c r="Q465" s="33"/>
      <c r="R465" s="33"/>
      <c r="S465" s="33"/>
      <c r="T465" s="33"/>
    </row>
    <row r="466" spans="1:20" ht="15.75">
      <c r="A466" s="13">
        <v>56065</v>
      </c>
      <c r="B466" s="41">
        <v>30</v>
      </c>
      <c r="C466" s="32">
        <v>194.20500000000001</v>
      </c>
      <c r="D466" s="32">
        <v>267.46600000000001</v>
      </c>
      <c r="E466" s="38">
        <v>812.32899999999995</v>
      </c>
      <c r="F466" s="32">
        <v>1274</v>
      </c>
      <c r="G466" s="32">
        <v>50</v>
      </c>
      <c r="H466" s="40">
        <v>600</v>
      </c>
      <c r="I466" s="32">
        <v>695</v>
      </c>
      <c r="J466" s="32">
        <v>50</v>
      </c>
      <c r="K466" s="33"/>
      <c r="L466" s="33"/>
      <c r="M466" s="33"/>
      <c r="N466" s="33"/>
      <c r="O466" s="33"/>
      <c r="P466" s="33"/>
      <c r="Q466" s="33"/>
      <c r="R466" s="33"/>
      <c r="S466" s="33"/>
      <c r="T466" s="33"/>
    </row>
    <row r="467" spans="1:20" ht="15.75">
      <c r="A467" s="13">
        <v>56096</v>
      </c>
      <c r="B467" s="41">
        <v>31</v>
      </c>
      <c r="C467" s="32">
        <v>194.20500000000001</v>
      </c>
      <c r="D467" s="32">
        <v>267.46600000000001</v>
      </c>
      <c r="E467" s="38">
        <v>812.32899999999995</v>
      </c>
      <c r="F467" s="32">
        <v>1274</v>
      </c>
      <c r="G467" s="32">
        <v>50</v>
      </c>
      <c r="H467" s="40">
        <v>600</v>
      </c>
      <c r="I467" s="32">
        <v>695</v>
      </c>
      <c r="J467" s="32">
        <v>0</v>
      </c>
      <c r="K467" s="33"/>
      <c r="L467" s="33"/>
      <c r="M467" s="33"/>
      <c r="N467" s="33"/>
      <c r="O467" s="33"/>
      <c r="P467" s="33"/>
      <c r="Q467" s="33"/>
      <c r="R467" s="33"/>
      <c r="S467" s="33"/>
      <c r="T467" s="33"/>
    </row>
    <row r="468" spans="1:20" ht="15.75">
      <c r="A468" s="13">
        <v>56127</v>
      </c>
      <c r="B468" s="41">
        <v>31</v>
      </c>
      <c r="C468" s="32">
        <v>194.20500000000001</v>
      </c>
      <c r="D468" s="32">
        <v>267.46600000000001</v>
      </c>
      <c r="E468" s="38">
        <v>812.32899999999995</v>
      </c>
      <c r="F468" s="32">
        <v>1274</v>
      </c>
      <c r="G468" s="32">
        <v>50</v>
      </c>
      <c r="H468" s="40">
        <v>600</v>
      </c>
      <c r="I468" s="32">
        <v>695</v>
      </c>
      <c r="J468" s="32">
        <v>0</v>
      </c>
      <c r="K468" s="33"/>
      <c r="L468" s="33"/>
      <c r="M468" s="33"/>
      <c r="N468" s="33"/>
      <c r="O468" s="33"/>
      <c r="P468" s="33"/>
      <c r="Q468" s="33"/>
      <c r="R468" s="33"/>
      <c r="S468" s="33"/>
      <c r="T468" s="33"/>
    </row>
    <row r="469" spans="1:20" ht="15.75">
      <c r="A469" s="13">
        <v>56157</v>
      </c>
      <c r="B469" s="41">
        <v>30</v>
      </c>
      <c r="C469" s="32">
        <v>194.20500000000001</v>
      </c>
      <c r="D469" s="32">
        <v>267.46600000000001</v>
      </c>
      <c r="E469" s="38">
        <v>812.32899999999995</v>
      </c>
      <c r="F469" s="32">
        <v>1274</v>
      </c>
      <c r="G469" s="32">
        <v>50</v>
      </c>
      <c r="H469" s="40">
        <v>600</v>
      </c>
      <c r="I469" s="32">
        <v>695</v>
      </c>
      <c r="J469" s="32">
        <v>0</v>
      </c>
      <c r="K469" s="33"/>
      <c r="L469" s="33"/>
      <c r="M469" s="33"/>
      <c r="N469" s="33"/>
      <c r="O469" s="33"/>
      <c r="P469" s="33"/>
      <c r="Q469" s="33"/>
      <c r="R469" s="33"/>
      <c r="S469" s="33"/>
      <c r="T469" s="33"/>
    </row>
    <row r="470" spans="1:20" ht="15.75">
      <c r="A470" s="13">
        <v>56188</v>
      </c>
      <c r="B470" s="41">
        <v>31</v>
      </c>
      <c r="C470" s="32">
        <v>131.881</v>
      </c>
      <c r="D470" s="32">
        <v>277.16699999999997</v>
      </c>
      <c r="E470" s="38">
        <v>829.952</v>
      </c>
      <c r="F470" s="32">
        <v>1239</v>
      </c>
      <c r="G470" s="32">
        <v>75</v>
      </c>
      <c r="H470" s="40">
        <v>600</v>
      </c>
      <c r="I470" s="32">
        <v>695</v>
      </c>
      <c r="J470" s="32">
        <v>0</v>
      </c>
      <c r="K470" s="33"/>
      <c r="L470" s="33"/>
      <c r="M470" s="33"/>
      <c r="N470" s="33"/>
      <c r="O470" s="33"/>
      <c r="P470" s="33"/>
      <c r="Q470" s="33"/>
      <c r="R470" s="33"/>
      <c r="S470" s="33"/>
      <c r="T470" s="33"/>
    </row>
    <row r="471" spans="1:20" ht="15.75">
      <c r="A471" s="13">
        <v>56218</v>
      </c>
      <c r="B471" s="41">
        <v>30</v>
      </c>
      <c r="C471" s="32">
        <v>122.58</v>
      </c>
      <c r="D471" s="32">
        <v>297.94099999999997</v>
      </c>
      <c r="E471" s="38">
        <v>729.47900000000004</v>
      </c>
      <c r="F471" s="32">
        <v>1150</v>
      </c>
      <c r="G471" s="32">
        <v>100</v>
      </c>
      <c r="H471" s="40">
        <v>600</v>
      </c>
      <c r="I471" s="32">
        <v>695</v>
      </c>
      <c r="J471" s="32">
        <v>50</v>
      </c>
      <c r="K471" s="33"/>
      <c r="L471" s="33"/>
      <c r="M471" s="33"/>
      <c r="N471" s="33"/>
      <c r="O471" s="33"/>
      <c r="P471" s="33"/>
      <c r="Q471" s="33"/>
      <c r="R471" s="33"/>
      <c r="S471" s="33"/>
      <c r="T471" s="33"/>
    </row>
    <row r="472" spans="1:20" ht="15.75">
      <c r="A472" s="13">
        <v>56249</v>
      </c>
      <c r="B472" s="41">
        <v>31</v>
      </c>
      <c r="C472" s="32">
        <v>122.58</v>
      </c>
      <c r="D472" s="32">
        <v>297.94099999999997</v>
      </c>
      <c r="E472" s="38">
        <v>729.47900000000004</v>
      </c>
      <c r="F472" s="32">
        <v>1150</v>
      </c>
      <c r="G472" s="32">
        <v>100</v>
      </c>
      <c r="H472" s="40">
        <v>600</v>
      </c>
      <c r="I472" s="32">
        <v>695</v>
      </c>
      <c r="J472" s="32">
        <v>50</v>
      </c>
      <c r="K472" s="33"/>
      <c r="L472" s="33"/>
      <c r="M472" s="33"/>
      <c r="N472" s="33"/>
      <c r="O472" s="33"/>
      <c r="P472" s="33"/>
      <c r="Q472" s="33"/>
      <c r="R472" s="33"/>
      <c r="S472" s="33"/>
      <c r="T472" s="33"/>
    </row>
    <row r="473" spans="1:20" ht="15.75">
      <c r="A473" s="13">
        <v>56280</v>
      </c>
      <c r="B473" s="41">
        <v>31</v>
      </c>
      <c r="C473" s="32">
        <v>122.58</v>
      </c>
      <c r="D473" s="32">
        <v>297.94099999999997</v>
      </c>
      <c r="E473" s="38">
        <v>729.47900000000004</v>
      </c>
      <c r="F473" s="32">
        <v>1150</v>
      </c>
      <c r="G473" s="32">
        <v>100</v>
      </c>
      <c r="H473" s="40">
        <v>600</v>
      </c>
      <c r="I473" s="32">
        <v>695</v>
      </c>
      <c r="J473" s="32">
        <v>50</v>
      </c>
      <c r="K473" s="33"/>
      <c r="L473" s="33"/>
      <c r="M473" s="33"/>
      <c r="N473" s="33"/>
      <c r="O473" s="33"/>
      <c r="P473" s="33"/>
      <c r="Q473" s="33"/>
      <c r="R473" s="33"/>
      <c r="S473" s="33"/>
      <c r="T473" s="33"/>
    </row>
    <row r="474" spans="1:20" ht="15.75">
      <c r="A474" s="13">
        <v>56308</v>
      </c>
      <c r="B474" s="41">
        <v>28</v>
      </c>
      <c r="C474" s="32">
        <v>122.58</v>
      </c>
      <c r="D474" s="32">
        <v>297.94099999999997</v>
      </c>
      <c r="E474" s="38">
        <v>729.47900000000004</v>
      </c>
      <c r="F474" s="32">
        <v>1150</v>
      </c>
      <c r="G474" s="32">
        <v>100</v>
      </c>
      <c r="H474" s="40">
        <v>600</v>
      </c>
      <c r="I474" s="32">
        <v>695</v>
      </c>
      <c r="J474" s="32">
        <v>50</v>
      </c>
      <c r="K474" s="33"/>
      <c r="L474" s="33"/>
      <c r="M474" s="33"/>
      <c r="N474" s="33"/>
      <c r="O474" s="33"/>
      <c r="P474" s="33"/>
      <c r="Q474" s="33"/>
      <c r="R474" s="33"/>
      <c r="S474" s="33"/>
      <c r="T474" s="33"/>
    </row>
    <row r="475" spans="1:20" ht="15.75">
      <c r="A475" s="13">
        <v>56339</v>
      </c>
      <c r="B475" s="41">
        <v>31</v>
      </c>
      <c r="C475" s="32">
        <v>122.58</v>
      </c>
      <c r="D475" s="32">
        <v>297.94099999999997</v>
      </c>
      <c r="E475" s="38">
        <v>729.47900000000004</v>
      </c>
      <c r="F475" s="32">
        <v>1150</v>
      </c>
      <c r="G475" s="32">
        <v>100</v>
      </c>
      <c r="H475" s="40">
        <v>600</v>
      </c>
      <c r="I475" s="32">
        <v>695</v>
      </c>
      <c r="J475" s="32">
        <v>50</v>
      </c>
      <c r="K475" s="33"/>
      <c r="L475" s="33"/>
      <c r="M475" s="33"/>
      <c r="N475" s="33"/>
      <c r="O475" s="33"/>
      <c r="P475" s="33"/>
      <c r="Q475" s="33"/>
      <c r="R475" s="33"/>
      <c r="S475" s="33"/>
      <c r="T475" s="33"/>
    </row>
    <row r="476" spans="1:20" ht="15.75">
      <c r="A476" s="13">
        <v>56369</v>
      </c>
      <c r="B476" s="41">
        <v>30</v>
      </c>
      <c r="C476" s="32">
        <v>141.29300000000001</v>
      </c>
      <c r="D476" s="32">
        <v>267.99299999999999</v>
      </c>
      <c r="E476" s="38">
        <v>829.71400000000006</v>
      </c>
      <c r="F476" s="32">
        <v>1239</v>
      </c>
      <c r="G476" s="32">
        <v>100</v>
      </c>
      <c r="H476" s="40">
        <v>600</v>
      </c>
      <c r="I476" s="32">
        <v>695</v>
      </c>
      <c r="J476" s="32">
        <v>50</v>
      </c>
      <c r="K476" s="33"/>
      <c r="L476" s="33"/>
      <c r="M476" s="33"/>
      <c r="N476" s="33"/>
      <c r="O476" s="33"/>
      <c r="P476" s="33"/>
      <c r="Q476" s="33"/>
      <c r="R476" s="33"/>
      <c r="S476" s="33"/>
      <c r="T476" s="33"/>
    </row>
    <row r="477" spans="1:20" ht="15.75">
      <c r="A477" s="13">
        <v>56400</v>
      </c>
      <c r="B477" s="41">
        <v>31</v>
      </c>
      <c r="C477" s="32">
        <v>194.20500000000001</v>
      </c>
      <c r="D477" s="32">
        <v>267.46600000000001</v>
      </c>
      <c r="E477" s="38">
        <v>812.32899999999995</v>
      </c>
      <c r="F477" s="32">
        <v>1274</v>
      </c>
      <c r="G477" s="32">
        <v>75</v>
      </c>
      <c r="H477" s="40">
        <v>600</v>
      </c>
      <c r="I477" s="32">
        <v>695</v>
      </c>
      <c r="J477" s="32">
        <v>50</v>
      </c>
      <c r="K477" s="33"/>
      <c r="L477" s="33"/>
      <c r="M477" s="33"/>
      <c r="N477" s="33"/>
      <c r="O477" s="33"/>
      <c r="P477" s="33"/>
      <c r="Q477" s="33"/>
      <c r="R477" s="33"/>
      <c r="S477" s="33"/>
      <c r="T477" s="33"/>
    </row>
    <row r="478" spans="1:20" ht="15.75">
      <c r="A478" s="13">
        <v>56430</v>
      </c>
      <c r="B478" s="41">
        <v>30</v>
      </c>
      <c r="C478" s="32">
        <v>194.20500000000001</v>
      </c>
      <c r="D478" s="32">
        <v>267.46600000000001</v>
      </c>
      <c r="E478" s="38">
        <v>812.32899999999995</v>
      </c>
      <c r="F478" s="32">
        <v>1274</v>
      </c>
      <c r="G478" s="32">
        <v>50</v>
      </c>
      <c r="H478" s="40">
        <v>600</v>
      </c>
      <c r="I478" s="32">
        <v>695</v>
      </c>
      <c r="J478" s="32">
        <v>50</v>
      </c>
      <c r="K478" s="33"/>
      <c r="L478" s="33"/>
      <c r="M478" s="33"/>
      <c r="N478" s="33"/>
      <c r="O478" s="33"/>
      <c r="P478" s="33"/>
      <c r="Q478" s="33"/>
      <c r="R478" s="33"/>
      <c r="S478" s="33"/>
      <c r="T478" s="33"/>
    </row>
    <row r="479" spans="1:20" ht="15.75">
      <c r="A479" s="13">
        <v>56461</v>
      </c>
      <c r="B479" s="41">
        <v>31</v>
      </c>
      <c r="C479" s="32">
        <v>194.20500000000001</v>
      </c>
      <c r="D479" s="32">
        <v>267.46600000000001</v>
      </c>
      <c r="E479" s="38">
        <v>812.32899999999995</v>
      </c>
      <c r="F479" s="32">
        <v>1274</v>
      </c>
      <c r="G479" s="32">
        <v>50</v>
      </c>
      <c r="H479" s="40">
        <v>600</v>
      </c>
      <c r="I479" s="32">
        <v>695</v>
      </c>
      <c r="J479" s="32">
        <v>0</v>
      </c>
      <c r="K479" s="33"/>
      <c r="L479" s="33"/>
      <c r="M479" s="33"/>
      <c r="N479" s="33"/>
      <c r="O479" s="33"/>
      <c r="P479" s="33"/>
      <c r="Q479" s="33"/>
      <c r="R479" s="33"/>
      <c r="S479" s="33"/>
      <c r="T479" s="33"/>
    </row>
    <row r="480" spans="1:20" ht="15.75">
      <c r="A480" s="13">
        <v>56492</v>
      </c>
      <c r="B480" s="41">
        <v>31</v>
      </c>
      <c r="C480" s="32">
        <v>194.20500000000001</v>
      </c>
      <c r="D480" s="32">
        <v>267.46600000000001</v>
      </c>
      <c r="E480" s="38">
        <v>812.32899999999995</v>
      </c>
      <c r="F480" s="32">
        <v>1274</v>
      </c>
      <c r="G480" s="32">
        <v>50</v>
      </c>
      <c r="H480" s="40">
        <v>600</v>
      </c>
      <c r="I480" s="32">
        <v>695</v>
      </c>
      <c r="J480" s="32">
        <v>0</v>
      </c>
      <c r="K480" s="33"/>
      <c r="L480" s="33"/>
      <c r="M480" s="33"/>
      <c r="N480" s="33"/>
      <c r="O480" s="33"/>
      <c r="P480" s="33"/>
      <c r="Q480" s="33"/>
      <c r="R480" s="33"/>
      <c r="S480" s="33"/>
      <c r="T480" s="33"/>
    </row>
    <row r="481" spans="1:20" ht="15.75">
      <c r="A481" s="13">
        <v>56522</v>
      </c>
      <c r="B481" s="41">
        <v>30</v>
      </c>
      <c r="C481" s="32">
        <v>194.20500000000001</v>
      </c>
      <c r="D481" s="32">
        <v>267.46600000000001</v>
      </c>
      <c r="E481" s="38">
        <v>812.32899999999995</v>
      </c>
      <c r="F481" s="32">
        <v>1274</v>
      </c>
      <c r="G481" s="32">
        <v>50</v>
      </c>
      <c r="H481" s="40">
        <v>600</v>
      </c>
      <c r="I481" s="32">
        <v>695</v>
      </c>
      <c r="J481" s="32">
        <v>0</v>
      </c>
      <c r="K481" s="33"/>
      <c r="L481" s="33"/>
      <c r="M481" s="33"/>
      <c r="N481" s="33"/>
      <c r="O481" s="33"/>
      <c r="P481" s="33"/>
      <c r="Q481" s="33"/>
      <c r="R481" s="33"/>
      <c r="S481" s="33"/>
      <c r="T481" s="33"/>
    </row>
    <row r="482" spans="1:20" ht="15.75">
      <c r="A482" s="13">
        <v>56553</v>
      </c>
      <c r="B482" s="41">
        <v>31</v>
      </c>
      <c r="C482" s="32">
        <v>131.881</v>
      </c>
      <c r="D482" s="32">
        <v>277.16699999999997</v>
      </c>
      <c r="E482" s="38">
        <v>829.952</v>
      </c>
      <c r="F482" s="32">
        <v>1239</v>
      </c>
      <c r="G482" s="32">
        <v>75</v>
      </c>
      <c r="H482" s="40">
        <v>600</v>
      </c>
      <c r="I482" s="32">
        <v>695</v>
      </c>
      <c r="J482" s="32">
        <v>0</v>
      </c>
      <c r="K482" s="33"/>
      <c r="L482" s="33"/>
      <c r="M482" s="33"/>
      <c r="N482" s="33"/>
      <c r="O482" s="33"/>
      <c r="P482" s="33"/>
      <c r="Q482" s="33"/>
      <c r="R482" s="33"/>
      <c r="S482" s="33"/>
      <c r="T482" s="33"/>
    </row>
    <row r="483" spans="1:20" ht="15.75">
      <c r="A483" s="13">
        <v>56583</v>
      </c>
      <c r="B483" s="41">
        <v>30</v>
      </c>
      <c r="C483" s="32">
        <v>122.58</v>
      </c>
      <c r="D483" s="32">
        <v>297.94099999999997</v>
      </c>
      <c r="E483" s="38">
        <v>729.47900000000004</v>
      </c>
      <c r="F483" s="32">
        <v>1150</v>
      </c>
      <c r="G483" s="32">
        <v>100</v>
      </c>
      <c r="H483" s="40">
        <v>600</v>
      </c>
      <c r="I483" s="32">
        <v>695</v>
      </c>
      <c r="J483" s="32">
        <v>50</v>
      </c>
      <c r="K483" s="33"/>
      <c r="L483" s="33"/>
      <c r="M483" s="33"/>
      <c r="N483" s="33"/>
      <c r="O483" s="33"/>
      <c r="P483" s="33"/>
      <c r="Q483" s="33"/>
      <c r="R483" s="33"/>
      <c r="S483" s="33"/>
      <c r="T483" s="33"/>
    </row>
    <row r="484" spans="1:20" ht="15.75">
      <c r="A484" s="13">
        <v>56614</v>
      </c>
      <c r="B484" s="41">
        <v>31</v>
      </c>
      <c r="C484" s="32">
        <v>122.58</v>
      </c>
      <c r="D484" s="32">
        <v>297.94099999999997</v>
      </c>
      <c r="E484" s="38">
        <v>729.47900000000004</v>
      </c>
      <c r="F484" s="32">
        <v>1150</v>
      </c>
      <c r="G484" s="32">
        <v>100</v>
      </c>
      <c r="H484" s="40">
        <v>600</v>
      </c>
      <c r="I484" s="32">
        <v>695</v>
      </c>
      <c r="J484" s="32">
        <v>50</v>
      </c>
      <c r="K484" s="33"/>
      <c r="L484" s="33"/>
      <c r="M484" s="33"/>
      <c r="N484" s="33"/>
      <c r="O484" s="33"/>
      <c r="P484" s="33"/>
      <c r="Q484" s="33"/>
      <c r="R484" s="33"/>
      <c r="S484" s="33"/>
      <c r="T484" s="33"/>
    </row>
    <row r="485" spans="1:20" ht="15.75">
      <c r="A485" s="13">
        <v>56645</v>
      </c>
      <c r="B485" s="41">
        <v>31</v>
      </c>
      <c r="C485" s="32">
        <v>122.58</v>
      </c>
      <c r="D485" s="32">
        <v>297.94099999999997</v>
      </c>
      <c r="E485" s="38">
        <v>729.47900000000004</v>
      </c>
      <c r="F485" s="32">
        <v>1150</v>
      </c>
      <c r="G485" s="32">
        <v>100</v>
      </c>
      <c r="H485" s="40">
        <v>600</v>
      </c>
      <c r="I485" s="32">
        <v>695</v>
      </c>
      <c r="J485" s="32">
        <v>50</v>
      </c>
      <c r="K485" s="33"/>
      <c r="L485" s="33"/>
      <c r="M485" s="33"/>
      <c r="N485" s="33"/>
      <c r="O485" s="33"/>
      <c r="P485" s="33"/>
      <c r="Q485" s="33"/>
      <c r="R485" s="33"/>
      <c r="S485" s="33"/>
      <c r="T485" s="33"/>
    </row>
    <row r="486" spans="1:20" ht="15.75">
      <c r="A486" s="13">
        <v>56673</v>
      </c>
      <c r="B486" s="41">
        <v>28</v>
      </c>
      <c r="C486" s="32">
        <v>122.58</v>
      </c>
      <c r="D486" s="32">
        <v>297.94099999999997</v>
      </c>
      <c r="E486" s="38">
        <v>729.47900000000004</v>
      </c>
      <c r="F486" s="32">
        <v>1150</v>
      </c>
      <c r="G486" s="32">
        <v>100</v>
      </c>
      <c r="H486" s="40">
        <v>600</v>
      </c>
      <c r="I486" s="32">
        <v>695</v>
      </c>
      <c r="J486" s="32">
        <v>50</v>
      </c>
      <c r="K486" s="33"/>
      <c r="L486" s="33"/>
      <c r="M486" s="33"/>
      <c r="N486" s="33"/>
      <c r="O486" s="33"/>
      <c r="P486" s="33"/>
      <c r="Q486" s="33"/>
      <c r="R486" s="33"/>
      <c r="S486" s="33"/>
      <c r="T486" s="33"/>
    </row>
    <row r="487" spans="1:20" ht="15.75">
      <c r="A487" s="13">
        <v>56704</v>
      </c>
      <c r="B487" s="41">
        <v>31</v>
      </c>
      <c r="C487" s="32">
        <v>122.58</v>
      </c>
      <c r="D487" s="32">
        <v>297.94099999999997</v>
      </c>
      <c r="E487" s="38">
        <v>729.47900000000004</v>
      </c>
      <c r="F487" s="32">
        <v>1150</v>
      </c>
      <c r="G487" s="32">
        <v>100</v>
      </c>
      <c r="H487" s="40">
        <v>600</v>
      </c>
      <c r="I487" s="32">
        <v>695</v>
      </c>
      <c r="J487" s="32">
        <v>50</v>
      </c>
      <c r="K487" s="33"/>
      <c r="L487" s="33"/>
      <c r="M487" s="33"/>
      <c r="N487" s="33"/>
      <c r="O487" s="33"/>
      <c r="P487" s="33"/>
      <c r="Q487" s="33"/>
      <c r="R487" s="33"/>
      <c r="S487" s="33"/>
      <c r="T487" s="33"/>
    </row>
    <row r="488" spans="1:20" ht="15.75">
      <c r="A488" s="13">
        <v>56734</v>
      </c>
      <c r="B488" s="41">
        <v>30</v>
      </c>
      <c r="C488" s="32">
        <v>141.29300000000001</v>
      </c>
      <c r="D488" s="32">
        <v>267.99299999999999</v>
      </c>
      <c r="E488" s="38">
        <v>829.71400000000006</v>
      </c>
      <c r="F488" s="32">
        <v>1239</v>
      </c>
      <c r="G488" s="32">
        <v>100</v>
      </c>
      <c r="H488" s="40">
        <v>600</v>
      </c>
      <c r="I488" s="32">
        <v>695</v>
      </c>
      <c r="J488" s="32">
        <v>50</v>
      </c>
      <c r="K488" s="33"/>
      <c r="L488" s="33"/>
      <c r="M488" s="33"/>
      <c r="N488" s="33"/>
      <c r="O488" s="33"/>
      <c r="P488" s="33"/>
      <c r="Q488" s="33"/>
      <c r="R488" s="33"/>
      <c r="S488" s="33"/>
      <c r="T488" s="33"/>
    </row>
    <row r="489" spans="1:20" ht="15.75">
      <c r="A489" s="13">
        <v>56765</v>
      </c>
      <c r="B489" s="41">
        <v>31</v>
      </c>
      <c r="C489" s="32">
        <v>194.20500000000001</v>
      </c>
      <c r="D489" s="32">
        <v>267.46600000000001</v>
      </c>
      <c r="E489" s="38">
        <v>812.32899999999995</v>
      </c>
      <c r="F489" s="32">
        <v>1274</v>
      </c>
      <c r="G489" s="32">
        <v>75</v>
      </c>
      <c r="H489" s="40">
        <v>600</v>
      </c>
      <c r="I489" s="32">
        <v>695</v>
      </c>
      <c r="J489" s="32">
        <v>50</v>
      </c>
      <c r="K489" s="33"/>
      <c r="L489" s="33"/>
      <c r="M489" s="33"/>
      <c r="N489" s="33"/>
      <c r="O489" s="33"/>
      <c r="P489" s="33"/>
      <c r="Q489" s="33"/>
      <c r="R489" s="33"/>
      <c r="S489" s="33"/>
      <c r="T489" s="33"/>
    </row>
    <row r="490" spans="1:20" ht="15.75">
      <c r="A490" s="13">
        <v>56795</v>
      </c>
      <c r="B490" s="41">
        <v>30</v>
      </c>
      <c r="C490" s="32">
        <v>194.20500000000001</v>
      </c>
      <c r="D490" s="32">
        <v>267.46600000000001</v>
      </c>
      <c r="E490" s="38">
        <v>812.32899999999995</v>
      </c>
      <c r="F490" s="32">
        <v>1274</v>
      </c>
      <c r="G490" s="32">
        <v>50</v>
      </c>
      <c r="H490" s="40">
        <v>600</v>
      </c>
      <c r="I490" s="32">
        <v>695</v>
      </c>
      <c r="J490" s="32">
        <v>50</v>
      </c>
      <c r="K490" s="33"/>
      <c r="L490" s="33"/>
      <c r="M490" s="33"/>
      <c r="N490" s="33"/>
      <c r="O490" s="33"/>
      <c r="P490" s="33"/>
      <c r="Q490" s="33"/>
      <c r="R490" s="33"/>
      <c r="S490" s="33"/>
      <c r="T490" s="33"/>
    </row>
    <row r="491" spans="1:20" ht="15.75">
      <c r="A491" s="13">
        <v>56826</v>
      </c>
      <c r="B491" s="41">
        <v>31</v>
      </c>
      <c r="C491" s="32">
        <v>194.20500000000001</v>
      </c>
      <c r="D491" s="32">
        <v>267.46600000000001</v>
      </c>
      <c r="E491" s="38">
        <v>812.32899999999995</v>
      </c>
      <c r="F491" s="32">
        <v>1274</v>
      </c>
      <c r="G491" s="32">
        <v>50</v>
      </c>
      <c r="H491" s="40">
        <v>600</v>
      </c>
      <c r="I491" s="32">
        <v>695</v>
      </c>
      <c r="J491" s="32">
        <v>0</v>
      </c>
      <c r="K491" s="33"/>
      <c r="L491" s="33"/>
      <c r="M491" s="33"/>
      <c r="N491" s="33"/>
      <c r="O491" s="33"/>
      <c r="P491" s="33"/>
      <c r="Q491" s="33"/>
      <c r="R491" s="33"/>
      <c r="S491" s="33"/>
      <c r="T491" s="33"/>
    </row>
    <row r="492" spans="1:20" ht="15.75">
      <c r="A492" s="13">
        <v>56857</v>
      </c>
      <c r="B492" s="41">
        <v>31</v>
      </c>
      <c r="C492" s="32">
        <v>194.20500000000001</v>
      </c>
      <c r="D492" s="32">
        <v>267.46600000000001</v>
      </c>
      <c r="E492" s="38">
        <v>812.32899999999995</v>
      </c>
      <c r="F492" s="32">
        <v>1274</v>
      </c>
      <c r="G492" s="32">
        <v>50</v>
      </c>
      <c r="H492" s="40">
        <v>600</v>
      </c>
      <c r="I492" s="32">
        <v>695</v>
      </c>
      <c r="J492" s="32">
        <v>0</v>
      </c>
      <c r="K492" s="33"/>
      <c r="L492" s="33"/>
      <c r="M492" s="33"/>
      <c r="N492" s="33"/>
      <c r="O492" s="33"/>
      <c r="P492" s="33"/>
      <c r="Q492" s="33"/>
      <c r="R492" s="33"/>
      <c r="S492" s="33"/>
      <c r="T492" s="33"/>
    </row>
    <row r="493" spans="1:20" ht="15.75">
      <c r="A493" s="13">
        <v>56887</v>
      </c>
      <c r="B493" s="41">
        <v>30</v>
      </c>
      <c r="C493" s="32">
        <v>194.20500000000001</v>
      </c>
      <c r="D493" s="32">
        <v>267.46600000000001</v>
      </c>
      <c r="E493" s="38">
        <v>812.32899999999995</v>
      </c>
      <c r="F493" s="32">
        <v>1274</v>
      </c>
      <c r="G493" s="32">
        <v>50</v>
      </c>
      <c r="H493" s="40">
        <v>600</v>
      </c>
      <c r="I493" s="32">
        <v>695</v>
      </c>
      <c r="J493" s="32">
        <v>0</v>
      </c>
      <c r="K493" s="33"/>
      <c r="L493" s="33"/>
      <c r="M493" s="33"/>
      <c r="N493" s="33"/>
      <c r="O493" s="33"/>
      <c r="P493" s="33"/>
      <c r="Q493" s="33"/>
      <c r="R493" s="33"/>
      <c r="S493" s="33"/>
      <c r="T493" s="33"/>
    </row>
    <row r="494" spans="1:20" ht="15.75">
      <c r="A494" s="13">
        <v>56918</v>
      </c>
      <c r="B494" s="41">
        <v>31</v>
      </c>
      <c r="C494" s="32">
        <v>131.881</v>
      </c>
      <c r="D494" s="32">
        <v>277.16699999999997</v>
      </c>
      <c r="E494" s="38">
        <v>829.952</v>
      </c>
      <c r="F494" s="32">
        <v>1239</v>
      </c>
      <c r="G494" s="32">
        <v>75</v>
      </c>
      <c r="H494" s="40">
        <v>600</v>
      </c>
      <c r="I494" s="32">
        <v>695</v>
      </c>
      <c r="J494" s="32">
        <v>0</v>
      </c>
      <c r="K494" s="33"/>
      <c r="L494" s="33"/>
      <c r="M494" s="33"/>
      <c r="N494" s="33"/>
      <c r="O494" s="33"/>
      <c r="P494" s="33"/>
      <c r="Q494" s="33"/>
      <c r="R494" s="33"/>
      <c r="S494" s="33"/>
      <c r="T494" s="33"/>
    </row>
    <row r="495" spans="1:20" ht="15.75">
      <c r="A495" s="13">
        <v>56948</v>
      </c>
      <c r="B495" s="41">
        <v>30</v>
      </c>
      <c r="C495" s="32">
        <v>122.58</v>
      </c>
      <c r="D495" s="32">
        <v>297.94099999999997</v>
      </c>
      <c r="E495" s="38">
        <v>729.47900000000004</v>
      </c>
      <c r="F495" s="32">
        <v>1150</v>
      </c>
      <c r="G495" s="32">
        <v>100</v>
      </c>
      <c r="H495" s="40">
        <v>600</v>
      </c>
      <c r="I495" s="32">
        <v>695</v>
      </c>
      <c r="J495" s="32">
        <v>50</v>
      </c>
      <c r="K495" s="33"/>
      <c r="L495" s="33"/>
      <c r="M495" s="33"/>
      <c r="N495" s="33"/>
      <c r="O495" s="33"/>
      <c r="P495" s="33"/>
      <c r="Q495" s="33"/>
      <c r="R495" s="33"/>
      <c r="S495" s="33"/>
      <c r="T495" s="33"/>
    </row>
    <row r="496" spans="1:20" ht="15.75">
      <c r="A496" s="13">
        <v>56979</v>
      </c>
      <c r="B496" s="41">
        <v>31</v>
      </c>
      <c r="C496" s="32">
        <v>122.58</v>
      </c>
      <c r="D496" s="32">
        <v>297.94099999999997</v>
      </c>
      <c r="E496" s="38">
        <v>729.47900000000004</v>
      </c>
      <c r="F496" s="32">
        <v>1150</v>
      </c>
      <c r="G496" s="32">
        <v>100</v>
      </c>
      <c r="H496" s="40">
        <v>600</v>
      </c>
      <c r="I496" s="32">
        <v>695</v>
      </c>
      <c r="J496" s="32">
        <v>50</v>
      </c>
      <c r="K496" s="33"/>
      <c r="L496" s="33"/>
      <c r="M496" s="33"/>
      <c r="N496" s="33"/>
      <c r="O496" s="33"/>
      <c r="P496" s="33"/>
      <c r="Q496" s="33"/>
      <c r="R496" s="33"/>
      <c r="S496" s="33"/>
      <c r="T496" s="33"/>
    </row>
    <row r="497" spans="1:20" ht="15.75">
      <c r="A497" s="13">
        <v>57010</v>
      </c>
      <c r="B497" s="41">
        <v>31</v>
      </c>
      <c r="C497" s="32">
        <v>122.58</v>
      </c>
      <c r="D497" s="32">
        <v>297.94099999999997</v>
      </c>
      <c r="E497" s="38">
        <v>729.47900000000004</v>
      </c>
      <c r="F497" s="32">
        <v>1150</v>
      </c>
      <c r="G497" s="32">
        <v>100</v>
      </c>
      <c r="H497" s="40">
        <v>600</v>
      </c>
      <c r="I497" s="32">
        <v>695</v>
      </c>
      <c r="J497" s="32">
        <v>50</v>
      </c>
      <c r="K497" s="33"/>
      <c r="L497" s="33"/>
      <c r="M497" s="33"/>
      <c r="N497" s="33"/>
      <c r="O497" s="33"/>
      <c r="P497" s="33"/>
      <c r="Q497" s="33"/>
      <c r="R497" s="33"/>
      <c r="S497" s="33"/>
      <c r="T497" s="33"/>
    </row>
    <row r="498" spans="1:20" ht="15.75">
      <c r="A498" s="13">
        <v>57038</v>
      </c>
      <c r="B498" s="41">
        <v>29</v>
      </c>
      <c r="C498" s="32">
        <v>122.58</v>
      </c>
      <c r="D498" s="32">
        <v>297.94099999999997</v>
      </c>
      <c r="E498" s="38">
        <v>729.47900000000004</v>
      </c>
      <c r="F498" s="32">
        <v>1150</v>
      </c>
      <c r="G498" s="32">
        <v>100</v>
      </c>
      <c r="H498" s="40">
        <v>600</v>
      </c>
      <c r="I498" s="32">
        <v>695</v>
      </c>
      <c r="J498" s="32">
        <v>50</v>
      </c>
      <c r="K498" s="33"/>
      <c r="L498" s="33"/>
      <c r="M498" s="33"/>
      <c r="N498" s="33"/>
      <c r="O498" s="33"/>
      <c r="P498" s="33"/>
      <c r="Q498" s="33"/>
      <c r="R498" s="33"/>
      <c r="S498" s="33"/>
      <c r="T498" s="33"/>
    </row>
    <row r="499" spans="1:20" ht="15.75">
      <c r="A499" s="13">
        <v>57070</v>
      </c>
      <c r="B499" s="41">
        <v>31</v>
      </c>
      <c r="C499" s="32">
        <v>122.58</v>
      </c>
      <c r="D499" s="32">
        <v>297.94099999999997</v>
      </c>
      <c r="E499" s="38">
        <v>729.47900000000004</v>
      </c>
      <c r="F499" s="32">
        <v>1150</v>
      </c>
      <c r="G499" s="32">
        <v>100</v>
      </c>
      <c r="H499" s="40">
        <v>600</v>
      </c>
      <c r="I499" s="32">
        <v>695</v>
      </c>
      <c r="J499" s="32">
        <v>50</v>
      </c>
      <c r="K499" s="33"/>
      <c r="L499" s="33"/>
      <c r="M499" s="33"/>
      <c r="N499" s="33"/>
      <c r="O499" s="33"/>
      <c r="P499" s="33"/>
      <c r="Q499" s="33"/>
      <c r="R499" s="33"/>
      <c r="S499" s="33"/>
      <c r="T499" s="33"/>
    </row>
    <row r="500" spans="1:20" ht="15.75">
      <c r="A500" s="13">
        <v>57100</v>
      </c>
      <c r="B500" s="41">
        <v>30</v>
      </c>
      <c r="C500" s="32">
        <v>141.29300000000001</v>
      </c>
      <c r="D500" s="32">
        <v>267.99299999999999</v>
      </c>
      <c r="E500" s="38">
        <v>829.71400000000006</v>
      </c>
      <c r="F500" s="32">
        <v>1239</v>
      </c>
      <c r="G500" s="32">
        <v>100</v>
      </c>
      <c r="H500" s="40">
        <v>600</v>
      </c>
      <c r="I500" s="32">
        <v>695</v>
      </c>
      <c r="J500" s="32">
        <v>50</v>
      </c>
      <c r="K500" s="33"/>
      <c r="L500" s="33"/>
      <c r="M500" s="33"/>
      <c r="N500" s="33"/>
      <c r="O500" s="33"/>
      <c r="P500" s="33"/>
      <c r="Q500" s="33"/>
      <c r="R500" s="33"/>
      <c r="S500" s="33"/>
      <c r="T500" s="33"/>
    </row>
    <row r="501" spans="1:20" ht="15.75">
      <c r="A501" s="13">
        <v>57131</v>
      </c>
      <c r="B501" s="41">
        <v>31</v>
      </c>
      <c r="C501" s="32">
        <v>194.20500000000001</v>
      </c>
      <c r="D501" s="32">
        <v>267.46600000000001</v>
      </c>
      <c r="E501" s="38">
        <v>812.32899999999995</v>
      </c>
      <c r="F501" s="32">
        <v>1274</v>
      </c>
      <c r="G501" s="32">
        <v>75</v>
      </c>
      <c r="H501" s="40">
        <v>600</v>
      </c>
      <c r="I501" s="32">
        <v>695</v>
      </c>
      <c r="J501" s="32">
        <v>50</v>
      </c>
      <c r="K501" s="33"/>
      <c r="L501" s="33"/>
      <c r="M501" s="33"/>
      <c r="N501" s="33"/>
      <c r="O501" s="33"/>
      <c r="P501" s="33"/>
      <c r="Q501" s="33"/>
      <c r="R501" s="33"/>
      <c r="S501" s="33"/>
      <c r="T501" s="33"/>
    </row>
    <row r="502" spans="1:20" ht="15.75">
      <c r="A502" s="13">
        <v>57161</v>
      </c>
      <c r="B502" s="41">
        <v>30</v>
      </c>
      <c r="C502" s="32">
        <v>194.20500000000001</v>
      </c>
      <c r="D502" s="32">
        <v>267.46600000000001</v>
      </c>
      <c r="E502" s="38">
        <v>812.32899999999995</v>
      </c>
      <c r="F502" s="32">
        <v>1274</v>
      </c>
      <c r="G502" s="32">
        <v>50</v>
      </c>
      <c r="H502" s="40">
        <v>600</v>
      </c>
      <c r="I502" s="32">
        <v>695</v>
      </c>
      <c r="J502" s="32">
        <v>50</v>
      </c>
      <c r="K502" s="33"/>
      <c r="L502" s="33"/>
      <c r="M502" s="33"/>
      <c r="N502" s="33"/>
      <c r="O502" s="33"/>
      <c r="P502" s="33"/>
      <c r="Q502" s="33"/>
      <c r="R502" s="33"/>
      <c r="S502" s="33"/>
      <c r="T502" s="33"/>
    </row>
    <row r="503" spans="1:20" ht="15.75">
      <c r="A503" s="13">
        <v>57192</v>
      </c>
      <c r="B503" s="41">
        <v>31</v>
      </c>
      <c r="C503" s="32">
        <v>194.20500000000001</v>
      </c>
      <c r="D503" s="32">
        <v>267.46600000000001</v>
      </c>
      <c r="E503" s="38">
        <v>812.32899999999995</v>
      </c>
      <c r="F503" s="32">
        <v>1274</v>
      </c>
      <c r="G503" s="32">
        <v>50</v>
      </c>
      <c r="H503" s="40">
        <v>600</v>
      </c>
      <c r="I503" s="32">
        <v>695</v>
      </c>
      <c r="J503" s="32">
        <v>0</v>
      </c>
      <c r="K503" s="33"/>
      <c r="L503" s="33"/>
      <c r="M503" s="33"/>
      <c r="N503" s="33"/>
      <c r="O503" s="33"/>
      <c r="P503" s="33"/>
      <c r="Q503" s="33"/>
      <c r="R503" s="33"/>
      <c r="S503" s="33"/>
      <c r="T503" s="33"/>
    </row>
    <row r="504" spans="1:20" ht="15.75">
      <c r="A504" s="13">
        <v>57223</v>
      </c>
      <c r="B504" s="41">
        <v>31</v>
      </c>
      <c r="C504" s="32">
        <v>194.20500000000001</v>
      </c>
      <c r="D504" s="32">
        <v>267.46600000000001</v>
      </c>
      <c r="E504" s="38">
        <v>812.32899999999995</v>
      </c>
      <c r="F504" s="32">
        <v>1274</v>
      </c>
      <c r="G504" s="32">
        <v>50</v>
      </c>
      <c r="H504" s="40">
        <v>600</v>
      </c>
      <c r="I504" s="32">
        <v>695</v>
      </c>
      <c r="J504" s="32">
        <v>0</v>
      </c>
      <c r="K504" s="33"/>
      <c r="L504" s="33"/>
      <c r="M504" s="33"/>
      <c r="N504" s="33"/>
      <c r="O504" s="33"/>
      <c r="P504" s="33"/>
      <c r="Q504" s="33"/>
      <c r="R504" s="33"/>
      <c r="S504" s="33"/>
      <c r="T504" s="33"/>
    </row>
    <row r="505" spans="1:20" ht="15.75">
      <c r="A505" s="13">
        <v>57253</v>
      </c>
      <c r="B505" s="41">
        <v>30</v>
      </c>
      <c r="C505" s="32">
        <v>194.20500000000001</v>
      </c>
      <c r="D505" s="32">
        <v>267.46600000000001</v>
      </c>
      <c r="E505" s="38">
        <v>812.32899999999995</v>
      </c>
      <c r="F505" s="32">
        <v>1274</v>
      </c>
      <c r="G505" s="32">
        <v>50</v>
      </c>
      <c r="H505" s="40">
        <v>600</v>
      </c>
      <c r="I505" s="32">
        <v>695</v>
      </c>
      <c r="J505" s="32">
        <v>0</v>
      </c>
      <c r="K505" s="33"/>
      <c r="L505" s="33"/>
      <c r="M505" s="33"/>
      <c r="N505" s="33"/>
      <c r="O505" s="33"/>
      <c r="P505" s="33"/>
      <c r="Q505" s="33"/>
      <c r="R505" s="33"/>
      <c r="S505" s="33"/>
      <c r="T505" s="33"/>
    </row>
    <row r="506" spans="1:20" ht="15.75">
      <c r="A506" s="13">
        <v>57284</v>
      </c>
      <c r="B506" s="41">
        <v>31</v>
      </c>
      <c r="C506" s="32">
        <v>131.881</v>
      </c>
      <c r="D506" s="32">
        <v>277.16699999999997</v>
      </c>
      <c r="E506" s="38">
        <v>829.952</v>
      </c>
      <c r="F506" s="32">
        <v>1239</v>
      </c>
      <c r="G506" s="32">
        <v>75</v>
      </c>
      <c r="H506" s="40">
        <v>600</v>
      </c>
      <c r="I506" s="32">
        <v>695</v>
      </c>
      <c r="J506" s="32">
        <v>0</v>
      </c>
      <c r="K506" s="33"/>
      <c r="L506" s="33"/>
      <c r="M506" s="33"/>
      <c r="N506" s="33"/>
      <c r="O506" s="33"/>
      <c r="P506" s="33"/>
      <c r="Q506" s="33"/>
      <c r="R506" s="33"/>
      <c r="S506" s="33"/>
      <c r="T506" s="33"/>
    </row>
    <row r="507" spans="1:20" ht="15.75">
      <c r="A507" s="13">
        <v>57314</v>
      </c>
      <c r="B507" s="41">
        <v>30</v>
      </c>
      <c r="C507" s="32">
        <v>122.58</v>
      </c>
      <c r="D507" s="32">
        <v>297.94099999999997</v>
      </c>
      <c r="E507" s="38">
        <v>729.47900000000004</v>
      </c>
      <c r="F507" s="32">
        <v>1150</v>
      </c>
      <c r="G507" s="32">
        <v>100</v>
      </c>
      <c r="H507" s="40">
        <v>600</v>
      </c>
      <c r="I507" s="32">
        <v>695</v>
      </c>
      <c r="J507" s="32">
        <v>50</v>
      </c>
      <c r="K507" s="33"/>
      <c r="L507" s="33"/>
      <c r="M507" s="33"/>
      <c r="N507" s="33"/>
      <c r="O507" s="33"/>
      <c r="P507" s="33"/>
      <c r="Q507" s="33"/>
      <c r="R507" s="33"/>
      <c r="S507" s="33"/>
      <c r="T507" s="33"/>
    </row>
    <row r="508" spans="1:20" ht="15.75">
      <c r="A508" s="13">
        <v>57345</v>
      </c>
      <c r="B508" s="41">
        <v>31</v>
      </c>
      <c r="C508" s="32">
        <v>122.58</v>
      </c>
      <c r="D508" s="32">
        <v>297.94099999999997</v>
      </c>
      <c r="E508" s="38">
        <v>729.47900000000004</v>
      </c>
      <c r="F508" s="32">
        <v>1150</v>
      </c>
      <c r="G508" s="32">
        <v>100</v>
      </c>
      <c r="H508" s="40">
        <v>600</v>
      </c>
      <c r="I508" s="32">
        <v>695</v>
      </c>
      <c r="J508" s="32">
        <v>50</v>
      </c>
      <c r="K508" s="33"/>
      <c r="L508" s="33"/>
      <c r="M508" s="33"/>
      <c r="N508" s="33"/>
      <c r="O508" s="33"/>
      <c r="P508" s="33"/>
      <c r="Q508" s="33"/>
      <c r="R508" s="33"/>
      <c r="S508" s="33"/>
      <c r="T508" s="33"/>
    </row>
    <row r="509" spans="1:20" ht="15.75">
      <c r="A509" s="13">
        <v>57376</v>
      </c>
      <c r="B509" s="41">
        <v>31</v>
      </c>
      <c r="C509" s="32">
        <v>122.58</v>
      </c>
      <c r="D509" s="32">
        <v>297.94099999999997</v>
      </c>
      <c r="E509" s="38">
        <v>729.47900000000004</v>
      </c>
      <c r="F509" s="32">
        <v>1150</v>
      </c>
      <c r="G509" s="32">
        <v>100</v>
      </c>
      <c r="H509" s="40">
        <v>600</v>
      </c>
      <c r="I509" s="32">
        <v>695</v>
      </c>
      <c r="J509" s="32">
        <v>50</v>
      </c>
      <c r="K509" s="33"/>
      <c r="L509" s="33"/>
      <c r="M509" s="33"/>
      <c r="N509" s="33"/>
      <c r="O509" s="33"/>
      <c r="P509" s="33"/>
      <c r="Q509" s="33"/>
      <c r="R509" s="33"/>
      <c r="S509" s="33"/>
      <c r="T509" s="33"/>
    </row>
    <row r="510" spans="1:20" ht="15.75">
      <c r="A510" s="13">
        <v>57404</v>
      </c>
      <c r="B510" s="41">
        <v>28</v>
      </c>
      <c r="C510" s="32">
        <v>122.58</v>
      </c>
      <c r="D510" s="32">
        <v>297.94099999999997</v>
      </c>
      <c r="E510" s="38">
        <v>729.47900000000004</v>
      </c>
      <c r="F510" s="32">
        <v>1150</v>
      </c>
      <c r="G510" s="32">
        <v>100</v>
      </c>
      <c r="H510" s="40">
        <v>600</v>
      </c>
      <c r="I510" s="32">
        <v>695</v>
      </c>
      <c r="J510" s="32">
        <v>50</v>
      </c>
      <c r="K510" s="33"/>
      <c r="L510" s="33"/>
      <c r="M510" s="33"/>
      <c r="N510" s="33"/>
      <c r="O510" s="33"/>
      <c r="P510" s="33"/>
      <c r="Q510" s="33"/>
      <c r="R510" s="33"/>
      <c r="S510" s="33"/>
      <c r="T510" s="33"/>
    </row>
    <row r="511" spans="1:20" ht="15.75">
      <c r="A511" s="13">
        <v>57435</v>
      </c>
      <c r="B511" s="41">
        <v>31</v>
      </c>
      <c r="C511" s="32">
        <v>122.58</v>
      </c>
      <c r="D511" s="32">
        <v>297.94099999999997</v>
      </c>
      <c r="E511" s="38">
        <v>729.47900000000004</v>
      </c>
      <c r="F511" s="32">
        <v>1150</v>
      </c>
      <c r="G511" s="32">
        <v>100</v>
      </c>
      <c r="H511" s="40">
        <v>600</v>
      </c>
      <c r="I511" s="32">
        <v>695</v>
      </c>
      <c r="J511" s="32">
        <v>50</v>
      </c>
      <c r="K511" s="33"/>
      <c r="L511" s="33"/>
      <c r="M511" s="33"/>
      <c r="N511" s="33"/>
      <c r="O511" s="33"/>
      <c r="P511" s="33"/>
      <c r="Q511" s="33"/>
      <c r="R511" s="33"/>
      <c r="S511" s="33"/>
      <c r="T511" s="33"/>
    </row>
    <row r="512" spans="1:20" ht="15.75">
      <c r="A512" s="13">
        <v>57465</v>
      </c>
      <c r="B512" s="41">
        <v>30</v>
      </c>
      <c r="C512" s="32">
        <v>141.29300000000001</v>
      </c>
      <c r="D512" s="32">
        <v>267.99299999999999</v>
      </c>
      <c r="E512" s="38">
        <v>829.71400000000006</v>
      </c>
      <c r="F512" s="32">
        <v>1239</v>
      </c>
      <c r="G512" s="32">
        <v>100</v>
      </c>
      <c r="H512" s="40">
        <v>600</v>
      </c>
      <c r="I512" s="32">
        <v>695</v>
      </c>
      <c r="J512" s="32">
        <v>50</v>
      </c>
      <c r="K512" s="33"/>
      <c r="L512" s="33"/>
      <c r="M512" s="33"/>
      <c r="N512" s="33"/>
      <c r="O512" s="33"/>
      <c r="P512" s="33"/>
      <c r="Q512" s="33"/>
      <c r="R512" s="33"/>
      <c r="S512" s="33"/>
      <c r="T512" s="33"/>
    </row>
    <row r="513" spans="1:20" ht="15.75">
      <c r="A513" s="13">
        <v>57496</v>
      </c>
      <c r="B513" s="41">
        <v>31</v>
      </c>
      <c r="C513" s="32">
        <v>194.20500000000001</v>
      </c>
      <c r="D513" s="32">
        <v>267.46600000000001</v>
      </c>
      <c r="E513" s="38">
        <v>812.32899999999995</v>
      </c>
      <c r="F513" s="32">
        <v>1274</v>
      </c>
      <c r="G513" s="32">
        <v>75</v>
      </c>
      <c r="H513" s="40">
        <v>600</v>
      </c>
      <c r="I513" s="32">
        <v>695</v>
      </c>
      <c r="J513" s="32">
        <v>50</v>
      </c>
      <c r="K513" s="33"/>
      <c r="L513" s="33"/>
      <c r="M513" s="33"/>
      <c r="N513" s="33"/>
      <c r="O513" s="33"/>
      <c r="P513" s="33"/>
      <c r="Q513" s="33"/>
      <c r="R513" s="33"/>
      <c r="S513" s="33"/>
      <c r="T513" s="33"/>
    </row>
    <row r="514" spans="1:20" ht="15.75">
      <c r="A514" s="13">
        <v>57526</v>
      </c>
      <c r="B514" s="41">
        <v>30</v>
      </c>
      <c r="C514" s="32">
        <v>194.20500000000001</v>
      </c>
      <c r="D514" s="32">
        <v>267.46600000000001</v>
      </c>
      <c r="E514" s="38">
        <v>812.32899999999995</v>
      </c>
      <c r="F514" s="32">
        <v>1274</v>
      </c>
      <c r="G514" s="32">
        <v>50</v>
      </c>
      <c r="H514" s="40">
        <v>600</v>
      </c>
      <c r="I514" s="32">
        <v>695</v>
      </c>
      <c r="J514" s="32">
        <v>50</v>
      </c>
      <c r="K514" s="33"/>
      <c r="L514" s="33"/>
      <c r="M514" s="33"/>
      <c r="N514" s="33"/>
      <c r="O514" s="33"/>
      <c r="P514" s="33"/>
      <c r="Q514" s="33"/>
      <c r="R514" s="33"/>
      <c r="S514" s="33"/>
      <c r="T514" s="33"/>
    </row>
    <row r="515" spans="1:20" ht="15.75">
      <c r="A515" s="13">
        <v>57557</v>
      </c>
      <c r="B515" s="41">
        <v>31</v>
      </c>
      <c r="C515" s="32">
        <v>194.20500000000001</v>
      </c>
      <c r="D515" s="32">
        <v>267.46600000000001</v>
      </c>
      <c r="E515" s="38">
        <v>812.32899999999995</v>
      </c>
      <c r="F515" s="32">
        <v>1274</v>
      </c>
      <c r="G515" s="32">
        <v>50</v>
      </c>
      <c r="H515" s="40">
        <v>600</v>
      </c>
      <c r="I515" s="32">
        <v>695</v>
      </c>
      <c r="J515" s="32">
        <v>0</v>
      </c>
      <c r="K515" s="33"/>
      <c r="L515" s="33"/>
      <c r="M515" s="33"/>
      <c r="N515" s="33"/>
      <c r="O515" s="33"/>
      <c r="P515" s="33"/>
      <c r="Q515" s="33"/>
      <c r="R515" s="33"/>
      <c r="S515" s="33"/>
      <c r="T515" s="33"/>
    </row>
    <row r="516" spans="1:20" ht="15.75">
      <c r="A516" s="13">
        <v>57588</v>
      </c>
      <c r="B516" s="41">
        <v>31</v>
      </c>
      <c r="C516" s="32">
        <v>194.20500000000001</v>
      </c>
      <c r="D516" s="32">
        <v>267.46600000000001</v>
      </c>
      <c r="E516" s="38">
        <v>812.32899999999995</v>
      </c>
      <c r="F516" s="32">
        <v>1274</v>
      </c>
      <c r="G516" s="32">
        <v>50</v>
      </c>
      <c r="H516" s="40">
        <v>600</v>
      </c>
      <c r="I516" s="32">
        <v>695</v>
      </c>
      <c r="J516" s="32">
        <v>0</v>
      </c>
      <c r="K516" s="33"/>
      <c r="L516" s="33"/>
      <c r="M516" s="33"/>
      <c r="N516" s="33"/>
      <c r="O516" s="33"/>
      <c r="P516" s="33"/>
      <c r="Q516" s="33"/>
      <c r="R516" s="33"/>
      <c r="S516" s="33"/>
      <c r="T516" s="33"/>
    </row>
    <row r="517" spans="1:20" ht="15.75">
      <c r="A517" s="13">
        <v>57618</v>
      </c>
      <c r="B517" s="41">
        <v>30</v>
      </c>
      <c r="C517" s="32">
        <v>194.20500000000001</v>
      </c>
      <c r="D517" s="32">
        <v>267.46600000000001</v>
      </c>
      <c r="E517" s="38">
        <v>812.32899999999995</v>
      </c>
      <c r="F517" s="32">
        <v>1274</v>
      </c>
      <c r="G517" s="32">
        <v>50</v>
      </c>
      <c r="H517" s="40">
        <v>600</v>
      </c>
      <c r="I517" s="32">
        <v>695</v>
      </c>
      <c r="J517" s="32">
        <v>0</v>
      </c>
      <c r="K517" s="33"/>
      <c r="L517" s="33"/>
      <c r="M517" s="33"/>
      <c r="N517" s="33"/>
      <c r="O517" s="33"/>
      <c r="P517" s="33"/>
      <c r="Q517" s="33"/>
      <c r="R517" s="33"/>
      <c r="S517" s="33"/>
      <c r="T517" s="33"/>
    </row>
    <row r="518" spans="1:20" ht="15.75">
      <c r="A518" s="13">
        <v>57649</v>
      </c>
      <c r="B518" s="41">
        <v>31</v>
      </c>
      <c r="C518" s="32">
        <v>131.881</v>
      </c>
      <c r="D518" s="32">
        <v>277.16699999999997</v>
      </c>
      <c r="E518" s="38">
        <v>829.952</v>
      </c>
      <c r="F518" s="32">
        <v>1239</v>
      </c>
      <c r="G518" s="32">
        <v>75</v>
      </c>
      <c r="H518" s="40">
        <v>600</v>
      </c>
      <c r="I518" s="32">
        <v>695</v>
      </c>
      <c r="J518" s="32">
        <v>0</v>
      </c>
      <c r="K518" s="33"/>
      <c r="L518" s="33"/>
      <c r="M518" s="33"/>
      <c r="N518" s="33"/>
      <c r="O518" s="33"/>
      <c r="P518" s="33"/>
      <c r="Q518" s="33"/>
      <c r="R518" s="33"/>
      <c r="S518" s="33"/>
      <c r="T518" s="33"/>
    </row>
    <row r="519" spans="1:20" ht="15.75">
      <c r="A519" s="13">
        <v>57679</v>
      </c>
      <c r="B519" s="41">
        <v>30</v>
      </c>
      <c r="C519" s="32">
        <v>122.58</v>
      </c>
      <c r="D519" s="32">
        <v>297.94099999999997</v>
      </c>
      <c r="E519" s="38">
        <v>729.47900000000004</v>
      </c>
      <c r="F519" s="32">
        <v>1150</v>
      </c>
      <c r="G519" s="32">
        <v>100</v>
      </c>
      <c r="H519" s="40">
        <v>600</v>
      </c>
      <c r="I519" s="32">
        <v>695</v>
      </c>
      <c r="J519" s="32">
        <v>50</v>
      </c>
      <c r="K519" s="33"/>
      <c r="L519" s="33"/>
      <c r="M519" s="33"/>
      <c r="N519" s="33"/>
      <c r="O519" s="33"/>
      <c r="P519" s="33"/>
      <c r="Q519" s="33"/>
      <c r="R519" s="33"/>
      <c r="S519" s="33"/>
      <c r="T519" s="33"/>
    </row>
    <row r="520" spans="1:20" ht="15.75">
      <c r="A520" s="13">
        <v>57710</v>
      </c>
      <c r="B520" s="41">
        <v>31</v>
      </c>
      <c r="C520" s="32">
        <v>122.58</v>
      </c>
      <c r="D520" s="32">
        <v>297.94099999999997</v>
      </c>
      <c r="E520" s="38">
        <v>729.47900000000004</v>
      </c>
      <c r="F520" s="32">
        <v>1150</v>
      </c>
      <c r="G520" s="32">
        <v>100</v>
      </c>
      <c r="H520" s="40">
        <v>600</v>
      </c>
      <c r="I520" s="32">
        <v>695</v>
      </c>
      <c r="J520" s="32">
        <v>50</v>
      </c>
      <c r="K520" s="33"/>
      <c r="L520" s="33"/>
      <c r="M520" s="33"/>
      <c r="N520" s="33"/>
      <c r="O520" s="33"/>
      <c r="P520" s="33"/>
      <c r="Q520" s="33"/>
      <c r="R520" s="33"/>
      <c r="S520" s="33"/>
      <c r="T520" s="33"/>
    </row>
    <row r="521" spans="1:20" ht="15.75">
      <c r="A521" s="13">
        <v>57741</v>
      </c>
      <c r="B521" s="41">
        <v>31</v>
      </c>
      <c r="C521" s="32">
        <v>122.58</v>
      </c>
      <c r="D521" s="32">
        <v>297.94099999999997</v>
      </c>
      <c r="E521" s="38">
        <v>729.47900000000004</v>
      </c>
      <c r="F521" s="32">
        <v>1150</v>
      </c>
      <c r="G521" s="32">
        <v>100</v>
      </c>
      <c r="H521" s="40">
        <v>600</v>
      </c>
      <c r="I521" s="32">
        <v>695</v>
      </c>
      <c r="J521" s="32">
        <v>50</v>
      </c>
      <c r="K521" s="33"/>
      <c r="L521" s="33"/>
      <c r="M521" s="33"/>
      <c r="N521" s="33"/>
      <c r="O521" s="33"/>
      <c r="P521" s="33"/>
      <c r="Q521" s="33"/>
      <c r="R521" s="33"/>
      <c r="S521" s="33"/>
      <c r="T521" s="33"/>
    </row>
    <row r="522" spans="1:20" ht="15.75">
      <c r="A522" s="13">
        <v>57769</v>
      </c>
      <c r="B522" s="41">
        <v>28</v>
      </c>
      <c r="C522" s="32">
        <v>122.58</v>
      </c>
      <c r="D522" s="32">
        <v>297.94099999999997</v>
      </c>
      <c r="E522" s="38">
        <v>729.47900000000004</v>
      </c>
      <c r="F522" s="32">
        <v>1150</v>
      </c>
      <c r="G522" s="32">
        <v>100</v>
      </c>
      <c r="H522" s="40">
        <v>600</v>
      </c>
      <c r="I522" s="32">
        <v>695</v>
      </c>
      <c r="J522" s="32">
        <v>50</v>
      </c>
      <c r="K522" s="33"/>
      <c r="L522" s="33"/>
      <c r="M522" s="33"/>
      <c r="N522" s="33"/>
      <c r="O522" s="33"/>
      <c r="P522" s="33"/>
      <c r="Q522" s="33"/>
      <c r="R522" s="33"/>
      <c r="S522" s="33"/>
      <c r="T522" s="33"/>
    </row>
    <row r="523" spans="1:20" ht="15.75">
      <c r="A523" s="13">
        <v>57800</v>
      </c>
      <c r="B523" s="41">
        <v>31</v>
      </c>
      <c r="C523" s="32">
        <v>122.58</v>
      </c>
      <c r="D523" s="32">
        <v>297.94099999999997</v>
      </c>
      <c r="E523" s="38">
        <v>729.47900000000004</v>
      </c>
      <c r="F523" s="32">
        <v>1150</v>
      </c>
      <c r="G523" s="32">
        <v>100</v>
      </c>
      <c r="H523" s="40">
        <v>600</v>
      </c>
      <c r="I523" s="32">
        <v>695</v>
      </c>
      <c r="J523" s="32">
        <v>50</v>
      </c>
      <c r="K523" s="33"/>
      <c r="L523" s="33"/>
      <c r="M523" s="33"/>
      <c r="N523" s="33"/>
      <c r="O523" s="33"/>
      <c r="P523" s="33"/>
      <c r="Q523" s="33"/>
      <c r="R523" s="33"/>
      <c r="S523" s="33"/>
      <c r="T523" s="33"/>
    </row>
    <row r="524" spans="1:20" ht="15.75">
      <c r="A524" s="13">
        <v>57830</v>
      </c>
      <c r="B524" s="41">
        <v>30</v>
      </c>
      <c r="C524" s="32">
        <v>141.29300000000001</v>
      </c>
      <c r="D524" s="32">
        <v>267.99299999999999</v>
      </c>
      <c r="E524" s="38">
        <v>829.71400000000006</v>
      </c>
      <c r="F524" s="32">
        <v>1239</v>
      </c>
      <c r="G524" s="32">
        <v>100</v>
      </c>
      <c r="H524" s="40">
        <v>600</v>
      </c>
      <c r="I524" s="32">
        <v>695</v>
      </c>
      <c r="J524" s="32">
        <v>50</v>
      </c>
      <c r="K524" s="33"/>
      <c r="L524" s="33"/>
      <c r="M524" s="33"/>
      <c r="N524" s="33"/>
      <c r="O524" s="33"/>
      <c r="P524" s="33"/>
      <c r="Q524" s="33"/>
      <c r="R524" s="33"/>
      <c r="S524" s="33"/>
      <c r="T524" s="33"/>
    </row>
    <row r="525" spans="1:20" ht="15.75">
      <c r="A525" s="13">
        <v>57861</v>
      </c>
      <c r="B525" s="41">
        <v>31</v>
      </c>
      <c r="C525" s="32">
        <v>194.20500000000001</v>
      </c>
      <c r="D525" s="32">
        <v>267.46600000000001</v>
      </c>
      <c r="E525" s="38">
        <v>812.32899999999995</v>
      </c>
      <c r="F525" s="32">
        <v>1274</v>
      </c>
      <c r="G525" s="32">
        <v>75</v>
      </c>
      <c r="H525" s="40">
        <v>600</v>
      </c>
      <c r="I525" s="32">
        <v>695</v>
      </c>
      <c r="J525" s="32">
        <v>50</v>
      </c>
      <c r="K525" s="33"/>
      <c r="L525" s="33"/>
      <c r="M525" s="33"/>
      <c r="N525" s="33"/>
      <c r="O525" s="33"/>
      <c r="P525" s="33"/>
      <c r="Q525" s="33"/>
      <c r="R525" s="33"/>
      <c r="S525" s="33"/>
      <c r="T525" s="33"/>
    </row>
    <row r="526" spans="1:20" ht="15.75">
      <c r="A526" s="13">
        <v>57891</v>
      </c>
      <c r="B526" s="41">
        <v>30</v>
      </c>
      <c r="C526" s="32">
        <v>194.20500000000001</v>
      </c>
      <c r="D526" s="32">
        <v>267.46600000000001</v>
      </c>
      <c r="E526" s="38">
        <v>812.32899999999995</v>
      </c>
      <c r="F526" s="32">
        <v>1274</v>
      </c>
      <c r="G526" s="32">
        <v>50</v>
      </c>
      <c r="H526" s="40">
        <v>600</v>
      </c>
      <c r="I526" s="32">
        <v>695</v>
      </c>
      <c r="J526" s="32">
        <v>50</v>
      </c>
      <c r="K526" s="33"/>
      <c r="L526" s="33"/>
      <c r="M526" s="33"/>
      <c r="N526" s="33"/>
      <c r="O526" s="33"/>
      <c r="P526" s="33"/>
      <c r="Q526" s="33"/>
      <c r="R526" s="33"/>
      <c r="S526" s="33"/>
      <c r="T526" s="33"/>
    </row>
    <row r="527" spans="1:20" ht="15.75">
      <c r="A527" s="13">
        <v>57922</v>
      </c>
      <c r="B527" s="41">
        <v>31</v>
      </c>
      <c r="C527" s="32">
        <v>194.20500000000001</v>
      </c>
      <c r="D527" s="32">
        <v>267.46600000000001</v>
      </c>
      <c r="E527" s="38">
        <v>812.32899999999995</v>
      </c>
      <c r="F527" s="32">
        <v>1274</v>
      </c>
      <c r="G527" s="32">
        <v>50</v>
      </c>
      <c r="H527" s="40">
        <v>600</v>
      </c>
      <c r="I527" s="32">
        <v>695</v>
      </c>
      <c r="J527" s="32">
        <v>0</v>
      </c>
      <c r="K527" s="33"/>
      <c r="L527" s="33"/>
      <c r="M527" s="33"/>
      <c r="N527" s="33"/>
      <c r="O527" s="33"/>
      <c r="P527" s="33"/>
      <c r="Q527" s="33"/>
      <c r="R527" s="33"/>
      <c r="S527" s="33"/>
      <c r="T527" s="33"/>
    </row>
    <row r="528" spans="1:20" ht="15.75">
      <c r="A528" s="13">
        <v>57953</v>
      </c>
      <c r="B528" s="41">
        <v>31</v>
      </c>
      <c r="C528" s="32">
        <v>194.20500000000001</v>
      </c>
      <c r="D528" s="32">
        <v>267.46600000000001</v>
      </c>
      <c r="E528" s="38">
        <v>812.32899999999995</v>
      </c>
      <c r="F528" s="32">
        <v>1274</v>
      </c>
      <c r="G528" s="32">
        <v>50</v>
      </c>
      <c r="H528" s="40">
        <v>600</v>
      </c>
      <c r="I528" s="32">
        <v>695</v>
      </c>
      <c r="J528" s="32">
        <v>0</v>
      </c>
      <c r="K528" s="33"/>
      <c r="L528" s="33"/>
      <c r="M528" s="33"/>
      <c r="N528" s="33"/>
      <c r="O528" s="33"/>
      <c r="P528" s="33"/>
      <c r="Q528" s="33"/>
      <c r="R528" s="33"/>
      <c r="S528" s="33"/>
      <c r="T528" s="33"/>
    </row>
    <row r="529" spans="1:20" ht="15.75">
      <c r="A529" s="13">
        <v>57983</v>
      </c>
      <c r="B529" s="41">
        <v>30</v>
      </c>
      <c r="C529" s="32">
        <v>194.20500000000001</v>
      </c>
      <c r="D529" s="32">
        <v>267.46600000000001</v>
      </c>
      <c r="E529" s="38">
        <v>812.32899999999995</v>
      </c>
      <c r="F529" s="32">
        <v>1274</v>
      </c>
      <c r="G529" s="32">
        <v>50</v>
      </c>
      <c r="H529" s="40">
        <v>600</v>
      </c>
      <c r="I529" s="32">
        <v>695</v>
      </c>
      <c r="J529" s="32">
        <v>0</v>
      </c>
      <c r="K529" s="33"/>
      <c r="L529" s="33"/>
      <c r="M529" s="33"/>
      <c r="N529" s="33"/>
      <c r="O529" s="33"/>
      <c r="P529" s="33"/>
      <c r="Q529" s="33"/>
      <c r="R529" s="33"/>
      <c r="S529" s="33"/>
      <c r="T529" s="33"/>
    </row>
    <row r="530" spans="1:20" ht="15.75">
      <c r="A530" s="13">
        <v>58014</v>
      </c>
      <c r="B530" s="41">
        <v>31</v>
      </c>
      <c r="C530" s="32">
        <v>131.881</v>
      </c>
      <c r="D530" s="32">
        <v>277.16699999999997</v>
      </c>
      <c r="E530" s="38">
        <v>829.952</v>
      </c>
      <c r="F530" s="32">
        <v>1239</v>
      </c>
      <c r="G530" s="32">
        <v>75</v>
      </c>
      <c r="H530" s="40">
        <v>600</v>
      </c>
      <c r="I530" s="32">
        <v>695</v>
      </c>
      <c r="J530" s="32">
        <v>0</v>
      </c>
      <c r="K530" s="33"/>
      <c r="L530" s="33"/>
      <c r="M530" s="33"/>
      <c r="N530" s="33"/>
      <c r="O530" s="33"/>
      <c r="P530" s="33"/>
      <c r="Q530" s="33"/>
      <c r="R530" s="33"/>
      <c r="S530" s="33"/>
      <c r="T530" s="33"/>
    </row>
    <row r="531" spans="1:20" ht="15.75">
      <c r="A531" s="13">
        <v>58044</v>
      </c>
      <c r="B531" s="41">
        <v>30</v>
      </c>
      <c r="C531" s="32">
        <v>122.58</v>
      </c>
      <c r="D531" s="32">
        <v>297.94099999999997</v>
      </c>
      <c r="E531" s="38">
        <v>729.47900000000004</v>
      </c>
      <c r="F531" s="32">
        <v>1150</v>
      </c>
      <c r="G531" s="32">
        <v>100</v>
      </c>
      <c r="H531" s="40">
        <v>600</v>
      </c>
      <c r="I531" s="32">
        <v>695</v>
      </c>
      <c r="J531" s="32">
        <v>50</v>
      </c>
      <c r="K531" s="33"/>
      <c r="L531" s="33"/>
      <c r="M531" s="33"/>
      <c r="N531" s="33"/>
      <c r="O531" s="33"/>
      <c r="P531" s="33"/>
      <c r="Q531" s="33"/>
      <c r="R531" s="33"/>
      <c r="S531" s="33"/>
      <c r="T531" s="33"/>
    </row>
    <row r="532" spans="1:20" ht="15.75">
      <c r="A532" s="13">
        <v>58075</v>
      </c>
      <c r="B532" s="41">
        <v>31</v>
      </c>
      <c r="C532" s="32">
        <v>122.58</v>
      </c>
      <c r="D532" s="32">
        <v>297.94099999999997</v>
      </c>
      <c r="E532" s="38">
        <v>729.47900000000004</v>
      </c>
      <c r="F532" s="32">
        <v>1150</v>
      </c>
      <c r="G532" s="32">
        <v>100</v>
      </c>
      <c r="H532" s="40">
        <v>600</v>
      </c>
      <c r="I532" s="32">
        <v>695</v>
      </c>
      <c r="J532" s="32">
        <v>50</v>
      </c>
      <c r="K532" s="33"/>
      <c r="L532" s="33"/>
      <c r="M532" s="33"/>
      <c r="N532" s="33"/>
      <c r="O532" s="33"/>
      <c r="P532" s="33"/>
      <c r="Q532" s="33"/>
      <c r="R532" s="33"/>
      <c r="S532" s="33"/>
      <c r="T532" s="33"/>
    </row>
    <row r="533" spans="1:20" ht="15.75">
      <c r="A533" s="13">
        <v>58106</v>
      </c>
      <c r="B533" s="41">
        <v>31</v>
      </c>
      <c r="C533" s="32">
        <v>122.58</v>
      </c>
      <c r="D533" s="32">
        <v>297.94099999999997</v>
      </c>
      <c r="E533" s="38">
        <v>729.47900000000004</v>
      </c>
      <c r="F533" s="32">
        <v>1150</v>
      </c>
      <c r="G533" s="32">
        <v>100</v>
      </c>
      <c r="H533" s="40">
        <v>600</v>
      </c>
      <c r="I533" s="32">
        <v>695</v>
      </c>
      <c r="J533" s="32">
        <v>50</v>
      </c>
      <c r="K533" s="33"/>
      <c r="L533" s="33"/>
      <c r="M533" s="33"/>
      <c r="N533" s="33"/>
      <c r="O533" s="33"/>
      <c r="P533" s="33"/>
      <c r="Q533" s="33"/>
      <c r="R533" s="33"/>
      <c r="S533" s="33"/>
      <c r="T533" s="33"/>
    </row>
    <row r="534" spans="1:20" ht="15.75">
      <c r="A534" s="13">
        <v>58134</v>
      </c>
      <c r="B534" s="41">
        <v>28</v>
      </c>
      <c r="C534" s="32">
        <v>122.58</v>
      </c>
      <c r="D534" s="32">
        <v>297.94099999999997</v>
      </c>
      <c r="E534" s="38">
        <v>729.47900000000004</v>
      </c>
      <c r="F534" s="32">
        <v>1150</v>
      </c>
      <c r="G534" s="32">
        <v>100</v>
      </c>
      <c r="H534" s="40">
        <v>600</v>
      </c>
      <c r="I534" s="32">
        <v>695</v>
      </c>
      <c r="J534" s="32">
        <v>50</v>
      </c>
      <c r="K534" s="33"/>
      <c r="L534" s="33"/>
      <c r="M534" s="33"/>
      <c r="N534" s="33"/>
      <c r="O534" s="33"/>
      <c r="P534" s="33"/>
      <c r="Q534" s="33"/>
      <c r="R534" s="33"/>
      <c r="S534" s="33"/>
      <c r="T534" s="33"/>
    </row>
    <row r="535" spans="1:20" ht="15.75">
      <c r="A535" s="13">
        <v>58165</v>
      </c>
      <c r="B535" s="41">
        <v>31</v>
      </c>
      <c r="C535" s="32">
        <v>122.58</v>
      </c>
      <c r="D535" s="32">
        <v>297.94099999999997</v>
      </c>
      <c r="E535" s="38">
        <v>729.47900000000004</v>
      </c>
      <c r="F535" s="32">
        <v>1150</v>
      </c>
      <c r="G535" s="32">
        <v>100</v>
      </c>
      <c r="H535" s="40">
        <v>600</v>
      </c>
      <c r="I535" s="32">
        <v>695</v>
      </c>
      <c r="J535" s="32">
        <v>50</v>
      </c>
      <c r="K535" s="33"/>
      <c r="L535" s="33"/>
      <c r="M535" s="33"/>
      <c r="N535" s="33"/>
      <c r="O535" s="33"/>
      <c r="P535" s="33"/>
      <c r="Q535" s="33"/>
      <c r="R535" s="33"/>
      <c r="S535" s="33"/>
      <c r="T535" s="33"/>
    </row>
    <row r="536" spans="1:20" ht="15.75">
      <c r="A536" s="13">
        <v>58195</v>
      </c>
      <c r="B536" s="41">
        <v>30</v>
      </c>
      <c r="C536" s="32">
        <v>141.29300000000001</v>
      </c>
      <c r="D536" s="32">
        <v>267.99299999999999</v>
      </c>
      <c r="E536" s="38">
        <v>829.71400000000006</v>
      </c>
      <c r="F536" s="32">
        <v>1239</v>
      </c>
      <c r="G536" s="32">
        <v>100</v>
      </c>
      <c r="H536" s="40">
        <v>600</v>
      </c>
      <c r="I536" s="32">
        <v>695</v>
      </c>
      <c r="J536" s="32">
        <v>50</v>
      </c>
      <c r="K536" s="33"/>
      <c r="L536" s="33"/>
      <c r="M536" s="33"/>
      <c r="N536" s="33"/>
      <c r="O536" s="33"/>
      <c r="P536" s="33"/>
      <c r="Q536" s="33"/>
      <c r="R536" s="33"/>
      <c r="S536" s="33"/>
      <c r="T536" s="33"/>
    </row>
    <row r="537" spans="1:20" ht="15.75">
      <c r="A537" s="13">
        <v>58226</v>
      </c>
      <c r="B537" s="41">
        <v>31</v>
      </c>
      <c r="C537" s="32">
        <v>194.20500000000001</v>
      </c>
      <c r="D537" s="32">
        <v>267.46600000000001</v>
      </c>
      <c r="E537" s="38">
        <v>812.32899999999995</v>
      </c>
      <c r="F537" s="32">
        <v>1274</v>
      </c>
      <c r="G537" s="32">
        <v>75</v>
      </c>
      <c r="H537" s="40">
        <v>600</v>
      </c>
      <c r="I537" s="32">
        <v>695</v>
      </c>
      <c r="J537" s="32">
        <v>50</v>
      </c>
      <c r="K537" s="33"/>
      <c r="L537" s="33"/>
      <c r="M537" s="33"/>
      <c r="N537" s="33"/>
      <c r="O537" s="33"/>
      <c r="P537" s="33"/>
      <c r="Q537" s="33"/>
      <c r="R537" s="33"/>
      <c r="S537" s="33"/>
      <c r="T537" s="33"/>
    </row>
    <row r="538" spans="1:20" ht="15.75">
      <c r="A538" s="13">
        <v>58256</v>
      </c>
      <c r="B538" s="41">
        <v>30</v>
      </c>
      <c r="C538" s="32">
        <v>194.20500000000001</v>
      </c>
      <c r="D538" s="32">
        <v>267.46600000000001</v>
      </c>
      <c r="E538" s="38">
        <v>812.32899999999995</v>
      </c>
      <c r="F538" s="32">
        <v>1274</v>
      </c>
      <c r="G538" s="32">
        <v>50</v>
      </c>
      <c r="H538" s="40">
        <v>600</v>
      </c>
      <c r="I538" s="32">
        <v>695</v>
      </c>
      <c r="J538" s="32">
        <v>50</v>
      </c>
      <c r="K538" s="33"/>
      <c r="L538" s="33"/>
      <c r="M538" s="33"/>
      <c r="N538" s="33"/>
      <c r="O538" s="33"/>
      <c r="P538" s="33"/>
      <c r="Q538" s="33"/>
      <c r="R538" s="33"/>
      <c r="S538" s="33"/>
      <c r="T538" s="33"/>
    </row>
    <row r="539" spans="1:20" ht="15.75">
      <c r="A539" s="13">
        <v>58287</v>
      </c>
      <c r="B539" s="41">
        <v>31</v>
      </c>
      <c r="C539" s="32">
        <v>194.20500000000001</v>
      </c>
      <c r="D539" s="32">
        <v>267.46600000000001</v>
      </c>
      <c r="E539" s="38">
        <v>812.32899999999995</v>
      </c>
      <c r="F539" s="32">
        <v>1274</v>
      </c>
      <c r="G539" s="32">
        <v>50</v>
      </c>
      <c r="H539" s="40">
        <v>600</v>
      </c>
      <c r="I539" s="32">
        <v>695</v>
      </c>
      <c r="J539" s="32">
        <v>0</v>
      </c>
      <c r="K539" s="33"/>
      <c r="L539" s="33"/>
      <c r="M539" s="33"/>
      <c r="N539" s="33"/>
      <c r="O539" s="33"/>
      <c r="P539" s="33"/>
      <c r="Q539" s="33"/>
      <c r="R539" s="33"/>
      <c r="S539" s="33"/>
      <c r="T539" s="33"/>
    </row>
    <row r="540" spans="1:20" ht="15.75">
      <c r="A540" s="13">
        <v>58318</v>
      </c>
      <c r="B540" s="41">
        <v>31</v>
      </c>
      <c r="C540" s="32">
        <v>194.20500000000001</v>
      </c>
      <c r="D540" s="32">
        <v>267.46600000000001</v>
      </c>
      <c r="E540" s="38">
        <v>812.32899999999995</v>
      </c>
      <c r="F540" s="32">
        <v>1274</v>
      </c>
      <c r="G540" s="32">
        <v>50</v>
      </c>
      <c r="H540" s="40">
        <v>600</v>
      </c>
      <c r="I540" s="32">
        <v>695</v>
      </c>
      <c r="J540" s="32">
        <v>0</v>
      </c>
      <c r="K540" s="33"/>
      <c r="L540" s="33"/>
      <c r="M540" s="33"/>
      <c r="N540" s="33"/>
      <c r="O540" s="33"/>
      <c r="P540" s="33"/>
      <c r="Q540" s="33"/>
      <c r="R540" s="33"/>
      <c r="S540" s="33"/>
      <c r="T540" s="33"/>
    </row>
    <row r="541" spans="1:20" ht="15.75">
      <c r="A541" s="13">
        <v>58348</v>
      </c>
      <c r="B541" s="41">
        <v>30</v>
      </c>
      <c r="C541" s="32">
        <v>194.20500000000001</v>
      </c>
      <c r="D541" s="32">
        <v>267.46600000000001</v>
      </c>
      <c r="E541" s="38">
        <v>812.32899999999995</v>
      </c>
      <c r="F541" s="32">
        <v>1274</v>
      </c>
      <c r="G541" s="32">
        <v>50</v>
      </c>
      <c r="H541" s="40">
        <v>600</v>
      </c>
      <c r="I541" s="32">
        <v>695</v>
      </c>
      <c r="J541" s="32">
        <v>0</v>
      </c>
      <c r="K541" s="33"/>
      <c r="L541" s="33"/>
      <c r="M541" s="33"/>
      <c r="N541" s="33"/>
      <c r="O541" s="33"/>
      <c r="P541" s="33"/>
      <c r="Q541" s="33"/>
      <c r="R541" s="33"/>
      <c r="S541" s="33"/>
      <c r="T541" s="33"/>
    </row>
    <row r="542" spans="1:20" ht="15.75">
      <c r="A542" s="13">
        <v>58379</v>
      </c>
      <c r="B542" s="41">
        <v>31</v>
      </c>
      <c r="C542" s="32">
        <v>131.881</v>
      </c>
      <c r="D542" s="32">
        <v>277.16699999999997</v>
      </c>
      <c r="E542" s="38">
        <v>829.952</v>
      </c>
      <c r="F542" s="32">
        <v>1239</v>
      </c>
      <c r="G542" s="32">
        <v>75</v>
      </c>
      <c r="H542" s="40">
        <v>600</v>
      </c>
      <c r="I542" s="32">
        <v>695</v>
      </c>
      <c r="J542" s="32">
        <v>0</v>
      </c>
      <c r="K542" s="33"/>
      <c r="L542" s="33"/>
      <c r="M542" s="33"/>
      <c r="N542" s="33"/>
      <c r="O542" s="33"/>
      <c r="P542" s="33"/>
      <c r="Q542" s="33"/>
      <c r="R542" s="33"/>
      <c r="S542" s="33"/>
      <c r="T542" s="33"/>
    </row>
    <row r="543" spans="1:20" ht="15.75">
      <c r="A543" s="13">
        <v>58409</v>
      </c>
      <c r="B543" s="41">
        <v>30</v>
      </c>
      <c r="C543" s="32">
        <v>122.58</v>
      </c>
      <c r="D543" s="32">
        <v>297.94099999999997</v>
      </c>
      <c r="E543" s="38">
        <v>729.47900000000004</v>
      </c>
      <c r="F543" s="32">
        <v>1150</v>
      </c>
      <c r="G543" s="32">
        <v>100</v>
      </c>
      <c r="H543" s="40">
        <v>600</v>
      </c>
      <c r="I543" s="32">
        <v>695</v>
      </c>
      <c r="J543" s="32">
        <v>50</v>
      </c>
      <c r="K543" s="33"/>
      <c r="L543" s="33"/>
      <c r="M543" s="33"/>
      <c r="N543" s="33"/>
      <c r="O543" s="33"/>
      <c r="P543" s="33"/>
      <c r="Q543" s="33"/>
      <c r="R543" s="33"/>
      <c r="S543" s="33"/>
      <c r="T543" s="33"/>
    </row>
    <row r="544" spans="1:20" ht="15.75">
      <c r="A544" s="13">
        <v>58440</v>
      </c>
      <c r="B544" s="41">
        <v>31</v>
      </c>
      <c r="C544" s="32">
        <v>122.58</v>
      </c>
      <c r="D544" s="32">
        <v>297.94099999999997</v>
      </c>
      <c r="E544" s="38">
        <v>729.47900000000004</v>
      </c>
      <c r="F544" s="32">
        <v>1150</v>
      </c>
      <c r="G544" s="32">
        <v>100</v>
      </c>
      <c r="H544" s="40">
        <v>600</v>
      </c>
      <c r="I544" s="32">
        <v>695</v>
      </c>
      <c r="J544" s="32">
        <v>50</v>
      </c>
      <c r="K544" s="33"/>
      <c r="L544" s="33"/>
      <c r="M544" s="33"/>
      <c r="N544" s="33"/>
      <c r="O544" s="33"/>
      <c r="P544" s="33"/>
      <c r="Q544" s="33"/>
      <c r="R544" s="33"/>
      <c r="S544" s="33"/>
      <c r="T544" s="33"/>
    </row>
    <row r="545" spans="1:20" ht="15.75">
      <c r="A545" s="13">
        <v>58471</v>
      </c>
      <c r="B545" s="41">
        <v>31</v>
      </c>
      <c r="C545" s="32">
        <v>122.58</v>
      </c>
      <c r="D545" s="32">
        <v>297.94099999999997</v>
      </c>
      <c r="E545" s="38">
        <v>729.47900000000004</v>
      </c>
      <c r="F545" s="32">
        <v>1150</v>
      </c>
      <c r="G545" s="32">
        <v>100</v>
      </c>
      <c r="H545" s="40">
        <v>600</v>
      </c>
      <c r="I545" s="32">
        <v>695</v>
      </c>
      <c r="J545" s="32">
        <v>50</v>
      </c>
      <c r="K545" s="33"/>
      <c r="L545" s="33"/>
      <c r="M545" s="33"/>
      <c r="N545" s="33"/>
      <c r="O545" s="33"/>
      <c r="P545" s="33"/>
      <c r="Q545" s="33"/>
      <c r="R545" s="33"/>
      <c r="S545" s="33"/>
      <c r="T545" s="33"/>
    </row>
    <row r="546" spans="1:20" ht="15.75">
      <c r="A546" s="13">
        <v>58499</v>
      </c>
      <c r="B546" s="41">
        <v>29</v>
      </c>
      <c r="C546" s="32">
        <v>122.58</v>
      </c>
      <c r="D546" s="32">
        <v>297.94099999999997</v>
      </c>
      <c r="E546" s="38">
        <v>729.47900000000004</v>
      </c>
      <c r="F546" s="32">
        <v>1150</v>
      </c>
      <c r="G546" s="32">
        <v>100</v>
      </c>
      <c r="H546" s="40">
        <v>600</v>
      </c>
      <c r="I546" s="32">
        <v>695</v>
      </c>
      <c r="J546" s="32">
        <v>50</v>
      </c>
      <c r="K546" s="33"/>
      <c r="L546" s="33"/>
      <c r="M546" s="33"/>
      <c r="N546" s="33"/>
      <c r="O546" s="33"/>
      <c r="P546" s="33"/>
      <c r="Q546" s="33"/>
      <c r="R546" s="33"/>
      <c r="S546" s="33"/>
      <c r="T546" s="33"/>
    </row>
    <row r="547" spans="1:20" ht="15.75">
      <c r="A547" s="13">
        <v>58531</v>
      </c>
      <c r="B547" s="41">
        <v>31</v>
      </c>
      <c r="C547" s="32">
        <v>122.58</v>
      </c>
      <c r="D547" s="32">
        <v>297.94099999999997</v>
      </c>
      <c r="E547" s="38">
        <v>729.47900000000004</v>
      </c>
      <c r="F547" s="32">
        <v>1150</v>
      </c>
      <c r="G547" s="32">
        <v>100</v>
      </c>
      <c r="H547" s="40">
        <v>600</v>
      </c>
      <c r="I547" s="32">
        <v>695</v>
      </c>
      <c r="J547" s="32">
        <v>50</v>
      </c>
      <c r="K547" s="33"/>
      <c r="L547" s="33"/>
      <c r="M547" s="33"/>
      <c r="N547" s="33"/>
      <c r="O547" s="33"/>
      <c r="P547" s="33"/>
      <c r="Q547" s="33"/>
      <c r="R547" s="33"/>
      <c r="S547" s="33"/>
      <c r="T547" s="33"/>
    </row>
    <row r="548" spans="1:20" ht="15.75">
      <c r="A548" s="13">
        <v>58561</v>
      </c>
      <c r="B548" s="41">
        <v>30</v>
      </c>
      <c r="C548" s="32">
        <v>141.29300000000001</v>
      </c>
      <c r="D548" s="32">
        <v>267.99299999999999</v>
      </c>
      <c r="E548" s="38">
        <v>829.71400000000006</v>
      </c>
      <c r="F548" s="32">
        <v>1239</v>
      </c>
      <c r="G548" s="32">
        <v>100</v>
      </c>
      <c r="H548" s="40">
        <v>600</v>
      </c>
      <c r="I548" s="32">
        <v>695</v>
      </c>
      <c r="J548" s="32">
        <v>50</v>
      </c>
      <c r="K548" s="33"/>
      <c r="L548" s="33"/>
      <c r="M548" s="33"/>
      <c r="N548" s="33"/>
      <c r="O548" s="33"/>
      <c r="P548" s="33"/>
      <c r="Q548" s="33"/>
      <c r="R548" s="33"/>
      <c r="S548" s="33"/>
      <c r="T548" s="33"/>
    </row>
    <row r="549" spans="1:20" ht="15.75">
      <c r="A549" s="13">
        <v>58592</v>
      </c>
      <c r="B549" s="41">
        <v>31</v>
      </c>
      <c r="C549" s="32">
        <v>194.20500000000001</v>
      </c>
      <c r="D549" s="32">
        <v>267.46600000000001</v>
      </c>
      <c r="E549" s="38">
        <v>812.32899999999995</v>
      </c>
      <c r="F549" s="32">
        <v>1274</v>
      </c>
      <c r="G549" s="32">
        <v>75</v>
      </c>
      <c r="H549" s="40">
        <v>600</v>
      </c>
      <c r="I549" s="32">
        <v>695</v>
      </c>
      <c r="J549" s="32">
        <v>50</v>
      </c>
      <c r="K549" s="33"/>
      <c r="L549" s="33"/>
      <c r="M549" s="33"/>
      <c r="N549" s="33"/>
      <c r="O549" s="33"/>
      <c r="P549" s="33"/>
      <c r="Q549" s="33"/>
      <c r="R549" s="33"/>
      <c r="S549" s="33"/>
      <c r="T549" s="33"/>
    </row>
    <row r="550" spans="1:20" ht="15.75">
      <c r="A550" s="13">
        <v>58622</v>
      </c>
      <c r="B550" s="41">
        <v>30</v>
      </c>
      <c r="C550" s="32">
        <v>194.20500000000001</v>
      </c>
      <c r="D550" s="32">
        <v>267.46600000000001</v>
      </c>
      <c r="E550" s="38">
        <v>812.32899999999995</v>
      </c>
      <c r="F550" s="32">
        <v>1274</v>
      </c>
      <c r="G550" s="32">
        <v>50</v>
      </c>
      <c r="H550" s="40">
        <v>600</v>
      </c>
      <c r="I550" s="32">
        <v>695</v>
      </c>
      <c r="J550" s="32">
        <v>50</v>
      </c>
      <c r="K550" s="33"/>
      <c r="L550" s="33"/>
      <c r="M550" s="33"/>
      <c r="N550" s="33"/>
      <c r="O550" s="33"/>
      <c r="P550" s="33"/>
      <c r="Q550" s="33"/>
      <c r="R550" s="33"/>
      <c r="S550" s="33"/>
      <c r="T550" s="33"/>
    </row>
    <row r="551" spans="1:20" ht="15.75">
      <c r="A551" s="13">
        <v>58653</v>
      </c>
      <c r="B551" s="41">
        <v>31</v>
      </c>
      <c r="C551" s="32">
        <v>194.20500000000001</v>
      </c>
      <c r="D551" s="32">
        <v>267.46600000000001</v>
      </c>
      <c r="E551" s="38">
        <v>812.32899999999995</v>
      </c>
      <c r="F551" s="32">
        <v>1274</v>
      </c>
      <c r="G551" s="32">
        <v>50</v>
      </c>
      <c r="H551" s="40">
        <v>600</v>
      </c>
      <c r="I551" s="32">
        <v>695</v>
      </c>
      <c r="J551" s="32">
        <v>0</v>
      </c>
      <c r="K551" s="33"/>
      <c r="L551" s="33"/>
      <c r="M551" s="33"/>
      <c r="N551" s="33"/>
      <c r="O551" s="33"/>
      <c r="P551" s="33"/>
      <c r="Q551" s="33"/>
      <c r="R551" s="33"/>
      <c r="S551" s="33"/>
      <c r="T551" s="33"/>
    </row>
    <row r="552" spans="1:20" ht="15.75">
      <c r="A552" s="13">
        <v>58684</v>
      </c>
      <c r="B552" s="41">
        <v>31</v>
      </c>
      <c r="C552" s="32">
        <v>194.20500000000001</v>
      </c>
      <c r="D552" s="32">
        <v>267.46600000000001</v>
      </c>
      <c r="E552" s="38">
        <v>812.32899999999995</v>
      </c>
      <c r="F552" s="32">
        <v>1274</v>
      </c>
      <c r="G552" s="32">
        <v>50</v>
      </c>
      <c r="H552" s="40">
        <v>600</v>
      </c>
      <c r="I552" s="32">
        <v>695</v>
      </c>
      <c r="J552" s="32">
        <v>0</v>
      </c>
      <c r="K552" s="33"/>
      <c r="L552" s="33"/>
      <c r="M552" s="33"/>
      <c r="N552" s="33"/>
      <c r="O552" s="33"/>
      <c r="P552" s="33"/>
      <c r="Q552" s="33"/>
      <c r="R552" s="33"/>
      <c r="S552" s="33"/>
      <c r="T552" s="33"/>
    </row>
    <row r="553" spans="1:20" ht="15.75">
      <c r="A553" s="13">
        <v>58714</v>
      </c>
      <c r="B553" s="41">
        <v>30</v>
      </c>
      <c r="C553" s="32">
        <v>194.20500000000001</v>
      </c>
      <c r="D553" s="32">
        <v>267.46600000000001</v>
      </c>
      <c r="E553" s="38">
        <v>812.32899999999995</v>
      </c>
      <c r="F553" s="32">
        <v>1274</v>
      </c>
      <c r="G553" s="32">
        <v>50</v>
      </c>
      <c r="H553" s="40">
        <v>600</v>
      </c>
      <c r="I553" s="32">
        <v>695</v>
      </c>
      <c r="J553" s="32">
        <v>0</v>
      </c>
      <c r="K553" s="33"/>
      <c r="L553" s="33"/>
      <c r="M553" s="33"/>
      <c r="N553" s="33"/>
      <c r="O553" s="33"/>
      <c r="P553" s="33"/>
      <c r="Q553" s="33"/>
      <c r="R553" s="33"/>
      <c r="S553" s="33"/>
      <c r="T553" s="33"/>
    </row>
    <row r="554" spans="1:20" ht="15.75">
      <c r="A554" s="13">
        <v>58745</v>
      </c>
      <c r="B554" s="41">
        <v>31</v>
      </c>
      <c r="C554" s="32">
        <v>131.881</v>
      </c>
      <c r="D554" s="32">
        <v>277.16699999999997</v>
      </c>
      <c r="E554" s="38">
        <v>829.952</v>
      </c>
      <c r="F554" s="32">
        <v>1239</v>
      </c>
      <c r="G554" s="32">
        <v>75</v>
      </c>
      <c r="H554" s="40">
        <v>600</v>
      </c>
      <c r="I554" s="32">
        <v>695</v>
      </c>
      <c r="J554" s="32">
        <v>0</v>
      </c>
      <c r="K554" s="33"/>
      <c r="L554" s="33"/>
      <c r="M554" s="33"/>
      <c r="N554" s="33"/>
      <c r="O554" s="33"/>
      <c r="P554" s="33"/>
      <c r="Q554" s="33"/>
      <c r="R554" s="33"/>
      <c r="S554" s="33"/>
      <c r="T554" s="33"/>
    </row>
    <row r="555" spans="1:20" ht="15.75">
      <c r="A555" s="13">
        <v>58775</v>
      </c>
      <c r="B555" s="41">
        <v>30</v>
      </c>
      <c r="C555" s="32">
        <v>122.58</v>
      </c>
      <c r="D555" s="32">
        <v>297.94099999999997</v>
      </c>
      <c r="E555" s="38">
        <v>729.47900000000004</v>
      </c>
      <c r="F555" s="32">
        <v>1150</v>
      </c>
      <c r="G555" s="32">
        <v>100</v>
      </c>
      <c r="H555" s="40">
        <v>600</v>
      </c>
      <c r="I555" s="32">
        <v>695</v>
      </c>
      <c r="J555" s="32">
        <v>50</v>
      </c>
      <c r="K555" s="33"/>
      <c r="L555" s="33"/>
      <c r="M555" s="33"/>
      <c r="N555" s="33"/>
      <c r="O555" s="33"/>
      <c r="P555" s="33"/>
      <c r="Q555" s="33"/>
      <c r="R555" s="33"/>
      <c r="S555" s="33"/>
      <c r="T555" s="33"/>
    </row>
    <row r="556" spans="1:20" ht="15.75">
      <c r="A556" s="13">
        <v>58806</v>
      </c>
      <c r="B556" s="41">
        <v>31</v>
      </c>
      <c r="C556" s="32">
        <v>122.58</v>
      </c>
      <c r="D556" s="32">
        <v>297.94099999999997</v>
      </c>
      <c r="E556" s="38">
        <v>729.47900000000004</v>
      </c>
      <c r="F556" s="32">
        <v>1150</v>
      </c>
      <c r="G556" s="32">
        <v>100</v>
      </c>
      <c r="H556" s="40">
        <v>600</v>
      </c>
      <c r="I556" s="32">
        <v>695</v>
      </c>
      <c r="J556" s="32">
        <v>50</v>
      </c>
      <c r="K556" s="33"/>
      <c r="L556" s="33"/>
      <c r="M556" s="33"/>
      <c r="N556" s="33"/>
      <c r="O556" s="33"/>
      <c r="P556" s="33"/>
      <c r="Q556" s="33"/>
      <c r="R556" s="33"/>
      <c r="S556" s="33"/>
      <c r="T556" s="33"/>
    </row>
    <row r="557" spans="1:20" ht="15.75">
      <c r="A557" s="13">
        <v>58837</v>
      </c>
      <c r="B557" s="41">
        <v>31</v>
      </c>
      <c r="C557" s="32">
        <v>122.58</v>
      </c>
      <c r="D557" s="32">
        <v>297.94099999999997</v>
      </c>
      <c r="E557" s="38">
        <v>729.47900000000004</v>
      </c>
      <c r="F557" s="32">
        <v>1150</v>
      </c>
      <c r="G557" s="32">
        <v>100</v>
      </c>
      <c r="H557" s="40">
        <v>600</v>
      </c>
      <c r="I557" s="32">
        <v>695</v>
      </c>
      <c r="J557" s="32">
        <v>50</v>
      </c>
      <c r="K557" s="33"/>
      <c r="L557" s="33"/>
      <c r="M557" s="33"/>
      <c r="N557" s="33"/>
      <c r="O557" s="33"/>
      <c r="P557" s="33"/>
      <c r="Q557" s="33"/>
      <c r="R557" s="33"/>
      <c r="S557" s="33"/>
      <c r="T557" s="33"/>
    </row>
    <row r="558" spans="1:20" ht="15.75">
      <c r="A558" s="13">
        <v>58865</v>
      </c>
      <c r="B558" s="41">
        <v>28</v>
      </c>
      <c r="C558" s="32">
        <v>122.58</v>
      </c>
      <c r="D558" s="32">
        <v>297.94099999999997</v>
      </c>
      <c r="E558" s="38">
        <v>729.47900000000004</v>
      </c>
      <c r="F558" s="32">
        <v>1150</v>
      </c>
      <c r="G558" s="32">
        <v>100</v>
      </c>
      <c r="H558" s="40">
        <v>600</v>
      </c>
      <c r="I558" s="32">
        <v>695</v>
      </c>
      <c r="J558" s="32">
        <v>50</v>
      </c>
      <c r="K558" s="33"/>
      <c r="L558" s="33"/>
      <c r="M558" s="33"/>
      <c r="N558" s="33"/>
      <c r="O558" s="33"/>
      <c r="P558" s="33"/>
      <c r="Q558" s="33"/>
      <c r="R558" s="33"/>
      <c r="S558" s="33"/>
      <c r="T558" s="33"/>
    </row>
    <row r="559" spans="1:20" ht="15.75">
      <c r="A559" s="13">
        <v>58893</v>
      </c>
      <c r="B559" s="41">
        <v>31</v>
      </c>
      <c r="C559" s="32">
        <v>122.58</v>
      </c>
      <c r="D559" s="32">
        <v>297.94099999999997</v>
      </c>
      <c r="E559" s="38">
        <v>729.47900000000004</v>
      </c>
      <c r="F559" s="32">
        <v>1150</v>
      </c>
      <c r="G559" s="32">
        <v>100</v>
      </c>
      <c r="H559" s="40">
        <v>600</v>
      </c>
      <c r="I559" s="32">
        <v>695</v>
      </c>
      <c r="J559" s="32">
        <v>50</v>
      </c>
      <c r="K559" s="33"/>
      <c r="L559" s="33"/>
      <c r="M559" s="33"/>
      <c r="N559" s="33"/>
      <c r="O559" s="33"/>
      <c r="P559" s="33"/>
      <c r="Q559" s="33"/>
      <c r="R559" s="33"/>
      <c r="S559" s="33"/>
      <c r="T559" s="33"/>
    </row>
    <row r="560" spans="1:20" ht="15.75">
      <c r="A560" s="13">
        <v>58926</v>
      </c>
      <c r="B560" s="41">
        <v>30</v>
      </c>
      <c r="C560" s="32">
        <v>141.29300000000001</v>
      </c>
      <c r="D560" s="32">
        <v>267.99299999999999</v>
      </c>
      <c r="E560" s="38">
        <v>829.71400000000006</v>
      </c>
      <c r="F560" s="32">
        <v>1239</v>
      </c>
      <c r="G560" s="32">
        <v>100</v>
      </c>
      <c r="H560" s="40">
        <v>600</v>
      </c>
      <c r="I560" s="32">
        <v>695</v>
      </c>
      <c r="J560" s="32">
        <v>50</v>
      </c>
      <c r="K560" s="33"/>
      <c r="L560" s="33"/>
      <c r="M560" s="33"/>
      <c r="N560" s="33"/>
      <c r="O560" s="33"/>
      <c r="P560" s="33"/>
      <c r="Q560" s="33"/>
      <c r="R560" s="33"/>
      <c r="S560" s="33"/>
      <c r="T560" s="33"/>
    </row>
    <row r="561" spans="1:20" ht="15.75">
      <c r="A561" s="13">
        <v>58957</v>
      </c>
      <c r="B561" s="41">
        <v>31</v>
      </c>
      <c r="C561" s="32">
        <v>194.20500000000001</v>
      </c>
      <c r="D561" s="32">
        <v>267.46600000000001</v>
      </c>
      <c r="E561" s="38">
        <v>812.32899999999995</v>
      </c>
      <c r="F561" s="32">
        <v>1274</v>
      </c>
      <c r="G561" s="32">
        <v>75</v>
      </c>
      <c r="H561" s="40">
        <v>600</v>
      </c>
      <c r="I561" s="32">
        <v>695</v>
      </c>
      <c r="J561" s="32">
        <v>50</v>
      </c>
      <c r="K561" s="33"/>
      <c r="L561" s="33"/>
      <c r="M561" s="33"/>
      <c r="N561" s="33"/>
      <c r="O561" s="33"/>
      <c r="P561" s="33"/>
      <c r="Q561" s="33"/>
      <c r="R561" s="33"/>
      <c r="S561" s="33"/>
      <c r="T561" s="33"/>
    </row>
    <row r="562" spans="1:20" ht="15.75">
      <c r="A562" s="13">
        <v>58987</v>
      </c>
      <c r="B562" s="41">
        <v>30</v>
      </c>
      <c r="C562" s="32">
        <v>194.20500000000001</v>
      </c>
      <c r="D562" s="32">
        <v>267.46600000000001</v>
      </c>
      <c r="E562" s="38">
        <v>812.32899999999995</v>
      </c>
      <c r="F562" s="32">
        <v>1274</v>
      </c>
      <c r="G562" s="32">
        <v>50</v>
      </c>
      <c r="H562" s="40">
        <v>600</v>
      </c>
      <c r="I562" s="32">
        <v>695</v>
      </c>
      <c r="J562" s="32">
        <v>50</v>
      </c>
      <c r="K562" s="33"/>
      <c r="L562" s="33"/>
      <c r="M562" s="33"/>
      <c r="N562" s="33"/>
      <c r="O562" s="33"/>
      <c r="P562" s="33"/>
      <c r="Q562" s="33"/>
      <c r="R562" s="33"/>
      <c r="S562" s="33"/>
      <c r="T562" s="33"/>
    </row>
    <row r="563" spans="1:20" ht="15.75">
      <c r="A563" s="13">
        <v>59018</v>
      </c>
      <c r="B563" s="41">
        <v>31</v>
      </c>
      <c r="C563" s="32">
        <v>194.20500000000001</v>
      </c>
      <c r="D563" s="32">
        <v>267.46600000000001</v>
      </c>
      <c r="E563" s="38">
        <v>812.32899999999995</v>
      </c>
      <c r="F563" s="32">
        <v>1274</v>
      </c>
      <c r="G563" s="32">
        <v>50</v>
      </c>
      <c r="H563" s="40">
        <v>600</v>
      </c>
      <c r="I563" s="32">
        <v>695</v>
      </c>
      <c r="J563" s="32">
        <v>0</v>
      </c>
      <c r="K563" s="33"/>
      <c r="L563" s="33"/>
      <c r="M563" s="33"/>
      <c r="N563" s="33"/>
      <c r="O563" s="33"/>
      <c r="P563" s="33"/>
      <c r="Q563" s="33"/>
      <c r="R563" s="33"/>
      <c r="S563" s="33"/>
      <c r="T563" s="33"/>
    </row>
    <row r="564" spans="1:20" ht="15.75">
      <c r="A564" s="13">
        <v>59049</v>
      </c>
      <c r="B564" s="41">
        <v>31</v>
      </c>
      <c r="C564" s="32">
        <v>194.20500000000001</v>
      </c>
      <c r="D564" s="32">
        <v>267.46600000000001</v>
      </c>
      <c r="E564" s="38">
        <v>812.32899999999995</v>
      </c>
      <c r="F564" s="32">
        <v>1274</v>
      </c>
      <c r="G564" s="32">
        <v>50</v>
      </c>
      <c r="H564" s="40">
        <v>600</v>
      </c>
      <c r="I564" s="32">
        <v>695</v>
      </c>
      <c r="J564" s="32">
        <v>0</v>
      </c>
      <c r="K564" s="33"/>
      <c r="L564" s="33"/>
      <c r="M564" s="33"/>
      <c r="N564" s="33"/>
      <c r="O564" s="33"/>
      <c r="P564" s="33"/>
      <c r="Q564" s="33"/>
      <c r="R564" s="33"/>
      <c r="S564" s="33"/>
      <c r="T564" s="33"/>
    </row>
    <row r="565" spans="1:20" ht="15.75">
      <c r="A565" s="13">
        <v>59079</v>
      </c>
      <c r="B565" s="41">
        <v>30</v>
      </c>
      <c r="C565" s="32">
        <v>194.20500000000001</v>
      </c>
      <c r="D565" s="32">
        <v>267.46600000000001</v>
      </c>
      <c r="E565" s="38">
        <v>812.32899999999995</v>
      </c>
      <c r="F565" s="32">
        <v>1274</v>
      </c>
      <c r="G565" s="32">
        <v>50</v>
      </c>
      <c r="H565" s="40">
        <v>600</v>
      </c>
      <c r="I565" s="32">
        <v>695</v>
      </c>
      <c r="J565" s="32">
        <v>0</v>
      </c>
      <c r="K565" s="33"/>
      <c r="L565" s="33"/>
      <c r="M565" s="33"/>
      <c r="N565" s="33"/>
      <c r="O565" s="33"/>
      <c r="P565" s="33"/>
      <c r="Q565" s="33"/>
      <c r="R565" s="33"/>
      <c r="S565" s="33"/>
      <c r="T565" s="33"/>
    </row>
    <row r="566" spans="1:20" ht="15.75">
      <c r="A566" s="13">
        <v>59110</v>
      </c>
      <c r="B566" s="41">
        <v>31</v>
      </c>
      <c r="C566" s="32">
        <v>131.881</v>
      </c>
      <c r="D566" s="32">
        <v>277.16699999999997</v>
      </c>
      <c r="E566" s="38">
        <v>829.952</v>
      </c>
      <c r="F566" s="32">
        <v>1239</v>
      </c>
      <c r="G566" s="32">
        <v>75</v>
      </c>
      <c r="H566" s="40">
        <v>600</v>
      </c>
      <c r="I566" s="32">
        <v>695</v>
      </c>
      <c r="J566" s="32">
        <v>0</v>
      </c>
      <c r="K566" s="33"/>
      <c r="L566" s="33"/>
      <c r="M566" s="33"/>
      <c r="N566" s="33"/>
      <c r="O566" s="33"/>
      <c r="P566" s="33"/>
      <c r="Q566" s="33"/>
      <c r="R566" s="33"/>
      <c r="S566" s="33"/>
      <c r="T566" s="33"/>
    </row>
    <row r="567" spans="1:20" ht="15.75">
      <c r="A567" s="13">
        <v>59140</v>
      </c>
      <c r="B567" s="41">
        <v>30</v>
      </c>
      <c r="C567" s="32">
        <v>122.58</v>
      </c>
      <c r="D567" s="32">
        <v>297.94099999999997</v>
      </c>
      <c r="E567" s="38">
        <v>729.47900000000004</v>
      </c>
      <c r="F567" s="32">
        <v>1150</v>
      </c>
      <c r="G567" s="32">
        <v>100</v>
      </c>
      <c r="H567" s="40">
        <v>600</v>
      </c>
      <c r="I567" s="32">
        <v>695</v>
      </c>
      <c r="J567" s="32">
        <v>50</v>
      </c>
      <c r="K567" s="33"/>
      <c r="L567" s="33"/>
      <c r="M567" s="33"/>
      <c r="N567" s="33"/>
      <c r="O567" s="33"/>
      <c r="P567" s="33"/>
      <c r="Q567" s="33"/>
      <c r="R567" s="33"/>
      <c r="S567" s="33"/>
      <c r="T567" s="33"/>
    </row>
    <row r="568" spans="1:20" ht="15.75">
      <c r="A568" s="13">
        <v>59171</v>
      </c>
      <c r="B568" s="41">
        <v>31</v>
      </c>
      <c r="C568" s="32">
        <v>122.58</v>
      </c>
      <c r="D568" s="32">
        <v>297.94099999999997</v>
      </c>
      <c r="E568" s="38">
        <v>729.47900000000004</v>
      </c>
      <c r="F568" s="32">
        <v>1150</v>
      </c>
      <c r="G568" s="32">
        <v>100</v>
      </c>
      <c r="H568" s="40">
        <v>600</v>
      </c>
      <c r="I568" s="32">
        <v>695</v>
      </c>
      <c r="J568" s="32">
        <v>50</v>
      </c>
      <c r="K568" s="33"/>
      <c r="L568" s="33"/>
      <c r="M568" s="33"/>
      <c r="N568" s="33"/>
      <c r="O568" s="33"/>
      <c r="P568" s="33"/>
      <c r="Q568" s="33"/>
      <c r="R568" s="33"/>
      <c r="S568" s="33"/>
      <c r="T568" s="33"/>
    </row>
    <row r="569" spans="1:20" ht="15.75">
      <c r="A569" s="13">
        <v>59202</v>
      </c>
      <c r="B569" s="41">
        <f t="shared" ref="B569:B632" si="0">EOMONTH(A569,0)-EOMONTH(A569,-1)</f>
        <v>31</v>
      </c>
      <c r="C569" s="32">
        <v>122.58</v>
      </c>
      <c r="D569" s="32">
        <v>297.94099999999997</v>
      </c>
      <c r="E569" s="38">
        <v>729.47900000000004</v>
      </c>
      <c r="F569" s="32">
        <v>1150</v>
      </c>
      <c r="G569" s="32">
        <v>100</v>
      </c>
      <c r="H569" s="40">
        <v>600</v>
      </c>
      <c r="I569" s="32">
        <v>695</v>
      </c>
      <c r="J569" s="32">
        <v>50</v>
      </c>
      <c r="K569" s="33"/>
      <c r="L569" s="33"/>
      <c r="M569" s="33"/>
      <c r="N569" s="33"/>
      <c r="O569" s="33"/>
      <c r="P569" s="33"/>
      <c r="Q569" s="33"/>
      <c r="R569" s="33"/>
      <c r="S569" s="33"/>
      <c r="T569" s="33"/>
    </row>
    <row r="570" spans="1:20" ht="15.75">
      <c r="A570" s="13">
        <v>59230</v>
      </c>
      <c r="B570" s="41">
        <f t="shared" si="0"/>
        <v>28</v>
      </c>
      <c r="C570" s="32">
        <v>122.58</v>
      </c>
      <c r="D570" s="32">
        <v>297.94099999999997</v>
      </c>
      <c r="E570" s="38">
        <v>729.47900000000004</v>
      </c>
      <c r="F570" s="32">
        <v>1150</v>
      </c>
      <c r="G570" s="32">
        <v>100</v>
      </c>
      <c r="H570" s="40">
        <v>600</v>
      </c>
      <c r="I570" s="32">
        <v>695</v>
      </c>
      <c r="J570" s="32">
        <v>50</v>
      </c>
      <c r="K570" s="33"/>
      <c r="L570" s="33"/>
      <c r="M570" s="33"/>
      <c r="N570" s="33"/>
      <c r="O570" s="33"/>
      <c r="P570" s="33"/>
      <c r="Q570" s="33"/>
      <c r="R570" s="33"/>
      <c r="S570" s="33"/>
      <c r="T570" s="33"/>
    </row>
    <row r="571" spans="1:20" ht="15.75">
      <c r="A571" s="13">
        <v>59261</v>
      </c>
      <c r="B571" s="41">
        <f t="shared" si="0"/>
        <v>31</v>
      </c>
      <c r="C571" s="32">
        <v>122.58</v>
      </c>
      <c r="D571" s="32">
        <v>297.94099999999997</v>
      </c>
      <c r="E571" s="38">
        <v>729.47900000000004</v>
      </c>
      <c r="F571" s="32">
        <v>1150</v>
      </c>
      <c r="G571" s="32">
        <v>100</v>
      </c>
      <c r="H571" s="40">
        <v>600</v>
      </c>
      <c r="I571" s="32">
        <v>695</v>
      </c>
      <c r="J571" s="32">
        <v>50</v>
      </c>
      <c r="K571" s="33"/>
      <c r="L571" s="33"/>
      <c r="M571" s="33"/>
      <c r="N571" s="33"/>
      <c r="O571" s="33"/>
      <c r="P571" s="33"/>
      <c r="Q571" s="33"/>
      <c r="R571" s="33"/>
      <c r="S571" s="33"/>
      <c r="T571" s="33"/>
    </row>
    <row r="572" spans="1:20" ht="15.75">
      <c r="A572" s="13">
        <v>59291</v>
      </c>
      <c r="B572" s="41">
        <f t="shared" si="0"/>
        <v>30</v>
      </c>
      <c r="C572" s="32">
        <v>141.29300000000001</v>
      </c>
      <c r="D572" s="32">
        <v>267.99299999999999</v>
      </c>
      <c r="E572" s="38">
        <v>829.71400000000006</v>
      </c>
      <c r="F572" s="32">
        <v>1239</v>
      </c>
      <c r="G572" s="32">
        <v>100</v>
      </c>
      <c r="H572" s="40">
        <v>600</v>
      </c>
      <c r="I572" s="32">
        <v>695</v>
      </c>
      <c r="J572" s="32">
        <v>50</v>
      </c>
      <c r="K572" s="33"/>
      <c r="L572" s="33"/>
      <c r="M572" s="33"/>
      <c r="N572" s="33"/>
      <c r="O572" s="33"/>
      <c r="P572" s="33"/>
      <c r="Q572" s="33"/>
      <c r="R572" s="33"/>
      <c r="S572" s="33"/>
      <c r="T572" s="33"/>
    </row>
    <row r="573" spans="1:20" ht="15.75">
      <c r="A573" s="13">
        <v>59322</v>
      </c>
      <c r="B573" s="41">
        <f t="shared" si="0"/>
        <v>31</v>
      </c>
      <c r="C573" s="32">
        <v>194.20500000000001</v>
      </c>
      <c r="D573" s="32">
        <v>267.46600000000001</v>
      </c>
      <c r="E573" s="38">
        <v>812.32899999999995</v>
      </c>
      <c r="F573" s="32">
        <v>1274</v>
      </c>
      <c r="G573" s="32">
        <v>75</v>
      </c>
      <c r="H573" s="40">
        <v>600</v>
      </c>
      <c r="I573" s="32">
        <v>695</v>
      </c>
      <c r="J573" s="32">
        <v>50</v>
      </c>
      <c r="K573" s="33"/>
      <c r="L573" s="33"/>
      <c r="M573" s="33"/>
      <c r="N573" s="33"/>
      <c r="O573" s="33"/>
      <c r="P573" s="33"/>
      <c r="Q573" s="33"/>
      <c r="R573" s="33"/>
      <c r="S573" s="33"/>
      <c r="T573" s="33"/>
    </row>
    <row r="574" spans="1:20" ht="15.75">
      <c r="A574" s="13">
        <v>59352</v>
      </c>
      <c r="B574" s="41">
        <f t="shared" si="0"/>
        <v>30</v>
      </c>
      <c r="C574" s="32">
        <v>194.20500000000001</v>
      </c>
      <c r="D574" s="32">
        <v>267.46600000000001</v>
      </c>
      <c r="E574" s="38">
        <v>812.32899999999995</v>
      </c>
      <c r="F574" s="32">
        <v>1274</v>
      </c>
      <c r="G574" s="32">
        <v>50</v>
      </c>
      <c r="H574" s="40">
        <v>600</v>
      </c>
      <c r="I574" s="32">
        <v>695</v>
      </c>
      <c r="J574" s="32">
        <v>50</v>
      </c>
      <c r="K574" s="33"/>
      <c r="L574" s="33"/>
      <c r="M574" s="33"/>
      <c r="N574" s="33"/>
      <c r="O574" s="33"/>
      <c r="P574" s="33"/>
      <c r="Q574" s="33"/>
      <c r="R574" s="33"/>
      <c r="S574" s="33"/>
      <c r="T574" s="33"/>
    </row>
    <row r="575" spans="1:20" ht="15.75">
      <c r="A575" s="13">
        <v>59383</v>
      </c>
      <c r="B575" s="41">
        <f t="shared" si="0"/>
        <v>31</v>
      </c>
      <c r="C575" s="32">
        <v>194.20500000000001</v>
      </c>
      <c r="D575" s="32">
        <v>267.46600000000001</v>
      </c>
      <c r="E575" s="38">
        <v>812.32899999999995</v>
      </c>
      <c r="F575" s="32">
        <v>1274</v>
      </c>
      <c r="G575" s="32">
        <v>50</v>
      </c>
      <c r="H575" s="40">
        <v>600</v>
      </c>
      <c r="I575" s="32">
        <v>695</v>
      </c>
      <c r="J575" s="32">
        <v>0</v>
      </c>
      <c r="K575" s="33"/>
      <c r="L575" s="33"/>
      <c r="M575" s="33"/>
      <c r="N575" s="33"/>
      <c r="O575" s="33"/>
      <c r="P575" s="33"/>
      <c r="Q575" s="33"/>
      <c r="R575" s="33"/>
      <c r="S575" s="33"/>
      <c r="T575" s="33"/>
    </row>
    <row r="576" spans="1:20" ht="15.75">
      <c r="A576" s="13">
        <v>59414</v>
      </c>
      <c r="B576" s="41">
        <f t="shared" si="0"/>
        <v>31</v>
      </c>
      <c r="C576" s="32">
        <v>194.20500000000001</v>
      </c>
      <c r="D576" s="32">
        <v>267.46600000000001</v>
      </c>
      <c r="E576" s="38">
        <v>812.32899999999995</v>
      </c>
      <c r="F576" s="32">
        <v>1274</v>
      </c>
      <c r="G576" s="32">
        <v>50</v>
      </c>
      <c r="H576" s="40">
        <v>600</v>
      </c>
      <c r="I576" s="32">
        <v>695</v>
      </c>
      <c r="J576" s="32">
        <v>0</v>
      </c>
      <c r="K576" s="33"/>
      <c r="L576" s="33"/>
      <c r="M576" s="33"/>
      <c r="N576" s="33"/>
      <c r="O576" s="33"/>
      <c r="P576" s="33"/>
      <c r="Q576" s="33"/>
      <c r="R576" s="33"/>
      <c r="S576" s="33"/>
      <c r="T576" s="33"/>
    </row>
    <row r="577" spans="1:20" ht="15.75">
      <c r="A577" s="13">
        <v>59444</v>
      </c>
      <c r="B577" s="41">
        <f t="shared" si="0"/>
        <v>30</v>
      </c>
      <c r="C577" s="32">
        <v>194.20500000000001</v>
      </c>
      <c r="D577" s="32">
        <v>267.46600000000001</v>
      </c>
      <c r="E577" s="38">
        <v>812.32899999999995</v>
      </c>
      <c r="F577" s="32">
        <v>1274</v>
      </c>
      <c r="G577" s="32">
        <v>50</v>
      </c>
      <c r="H577" s="40">
        <v>600</v>
      </c>
      <c r="I577" s="32">
        <v>695</v>
      </c>
      <c r="J577" s="32">
        <v>0</v>
      </c>
      <c r="K577" s="33"/>
      <c r="L577" s="33"/>
      <c r="M577" s="33"/>
      <c r="N577" s="33"/>
      <c r="O577" s="33"/>
      <c r="P577" s="33"/>
      <c r="Q577" s="33"/>
      <c r="R577" s="33"/>
      <c r="S577" s="33"/>
      <c r="T577" s="33"/>
    </row>
    <row r="578" spans="1:20" ht="15.75">
      <c r="A578" s="13">
        <v>59475</v>
      </c>
      <c r="B578" s="41">
        <f t="shared" si="0"/>
        <v>31</v>
      </c>
      <c r="C578" s="32">
        <v>131.881</v>
      </c>
      <c r="D578" s="32">
        <v>277.16699999999997</v>
      </c>
      <c r="E578" s="38">
        <v>829.952</v>
      </c>
      <c r="F578" s="32">
        <v>1239</v>
      </c>
      <c r="G578" s="32">
        <v>75</v>
      </c>
      <c r="H578" s="40">
        <v>600</v>
      </c>
      <c r="I578" s="32">
        <v>695</v>
      </c>
      <c r="J578" s="32">
        <v>0</v>
      </c>
      <c r="K578" s="33"/>
      <c r="L578" s="33"/>
      <c r="M578" s="33"/>
      <c r="N578" s="33"/>
      <c r="O578" s="33"/>
      <c r="P578" s="33"/>
      <c r="Q578" s="33"/>
      <c r="R578" s="33"/>
      <c r="S578" s="33"/>
      <c r="T578" s="33"/>
    </row>
    <row r="579" spans="1:20" ht="15.75">
      <c r="A579" s="13">
        <v>59505</v>
      </c>
      <c r="B579" s="41">
        <f t="shared" si="0"/>
        <v>30</v>
      </c>
      <c r="C579" s="32">
        <v>122.58</v>
      </c>
      <c r="D579" s="32">
        <v>297.94099999999997</v>
      </c>
      <c r="E579" s="38">
        <v>729.47900000000004</v>
      </c>
      <c r="F579" s="32">
        <v>1150</v>
      </c>
      <c r="G579" s="32">
        <v>100</v>
      </c>
      <c r="H579" s="40">
        <v>600</v>
      </c>
      <c r="I579" s="32">
        <v>695</v>
      </c>
      <c r="J579" s="32">
        <v>50</v>
      </c>
      <c r="K579" s="33"/>
      <c r="L579" s="33"/>
      <c r="M579" s="33"/>
      <c r="N579" s="33"/>
      <c r="O579" s="33"/>
      <c r="P579" s="33"/>
      <c r="Q579" s="33"/>
      <c r="R579" s="33"/>
      <c r="S579" s="33"/>
      <c r="T579" s="33"/>
    </row>
    <row r="580" spans="1:20" ht="15.75">
      <c r="A580" s="13">
        <v>59536</v>
      </c>
      <c r="B580" s="41">
        <f t="shared" si="0"/>
        <v>31</v>
      </c>
      <c r="C580" s="32">
        <v>122.58</v>
      </c>
      <c r="D580" s="32">
        <v>297.94099999999997</v>
      </c>
      <c r="E580" s="38">
        <v>729.47900000000004</v>
      </c>
      <c r="F580" s="32">
        <v>1150</v>
      </c>
      <c r="G580" s="32">
        <v>100</v>
      </c>
      <c r="H580" s="40">
        <v>600</v>
      </c>
      <c r="I580" s="32">
        <v>695</v>
      </c>
      <c r="J580" s="32">
        <v>50</v>
      </c>
      <c r="K580" s="33"/>
      <c r="L580" s="33"/>
      <c r="M580" s="33"/>
      <c r="N580" s="33"/>
      <c r="O580" s="33"/>
      <c r="P580" s="33"/>
      <c r="Q580" s="33"/>
      <c r="R580" s="33"/>
      <c r="S580" s="33"/>
      <c r="T580" s="33"/>
    </row>
    <row r="581" spans="1:20" ht="15.75">
      <c r="A581" s="13">
        <v>59567</v>
      </c>
      <c r="B581" s="41">
        <f t="shared" si="0"/>
        <v>31</v>
      </c>
      <c r="C581" s="32">
        <v>122.58</v>
      </c>
      <c r="D581" s="32">
        <v>297.94099999999997</v>
      </c>
      <c r="E581" s="38">
        <v>729.47900000000004</v>
      </c>
      <c r="F581" s="32">
        <v>1150</v>
      </c>
      <c r="G581" s="32">
        <v>100</v>
      </c>
      <c r="H581" s="40">
        <v>600</v>
      </c>
      <c r="I581" s="32">
        <v>695</v>
      </c>
      <c r="J581" s="32">
        <v>50</v>
      </c>
      <c r="K581" s="33"/>
      <c r="L581" s="33"/>
      <c r="M581" s="33"/>
      <c r="N581" s="33"/>
      <c r="O581" s="33"/>
      <c r="P581" s="33"/>
      <c r="Q581" s="33"/>
      <c r="R581" s="33"/>
      <c r="S581" s="33"/>
      <c r="T581" s="33"/>
    </row>
    <row r="582" spans="1:20" ht="15.75">
      <c r="A582" s="13">
        <v>59595</v>
      </c>
      <c r="B582" s="41">
        <f t="shared" si="0"/>
        <v>28</v>
      </c>
      <c r="C582" s="32">
        <v>122.58</v>
      </c>
      <c r="D582" s="32">
        <v>297.94099999999997</v>
      </c>
      <c r="E582" s="38">
        <v>729.47900000000004</v>
      </c>
      <c r="F582" s="32">
        <v>1150</v>
      </c>
      <c r="G582" s="32">
        <v>100</v>
      </c>
      <c r="H582" s="40">
        <v>600</v>
      </c>
      <c r="I582" s="32">
        <v>695</v>
      </c>
      <c r="J582" s="32">
        <v>50</v>
      </c>
      <c r="K582" s="33"/>
      <c r="L582" s="33"/>
      <c r="M582" s="33"/>
      <c r="N582" s="33"/>
      <c r="O582" s="33"/>
      <c r="P582" s="33"/>
      <c r="Q582" s="33"/>
      <c r="R582" s="33"/>
      <c r="S582" s="33"/>
      <c r="T582" s="33"/>
    </row>
    <row r="583" spans="1:20" ht="15.75">
      <c r="A583" s="13">
        <v>59626</v>
      </c>
      <c r="B583" s="41">
        <f t="shared" si="0"/>
        <v>31</v>
      </c>
      <c r="C583" s="32">
        <v>122.58</v>
      </c>
      <c r="D583" s="32">
        <v>297.94099999999997</v>
      </c>
      <c r="E583" s="38">
        <v>729.47900000000004</v>
      </c>
      <c r="F583" s="32">
        <v>1150</v>
      </c>
      <c r="G583" s="32">
        <v>100</v>
      </c>
      <c r="H583" s="40">
        <v>600</v>
      </c>
      <c r="I583" s="32">
        <v>695</v>
      </c>
      <c r="J583" s="32">
        <v>50</v>
      </c>
      <c r="K583" s="33"/>
      <c r="L583" s="33"/>
      <c r="M583" s="33"/>
      <c r="N583" s="33"/>
      <c r="O583" s="33"/>
      <c r="P583" s="33"/>
      <c r="Q583" s="33"/>
      <c r="R583" s="33"/>
      <c r="S583" s="33"/>
      <c r="T583" s="33"/>
    </row>
    <row r="584" spans="1:20" ht="15.75">
      <c r="A584" s="13">
        <v>59656</v>
      </c>
      <c r="B584" s="41">
        <f t="shared" si="0"/>
        <v>30</v>
      </c>
      <c r="C584" s="32">
        <v>141.29300000000001</v>
      </c>
      <c r="D584" s="32">
        <v>267.99299999999999</v>
      </c>
      <c r="E584" s="38">
        <v>829.71400000000006</v>
      </c>
      <c r="F584" s="32">
        <v>1239</v>
      </c>
      <c r="G584" s="32">
        <v>100</v>
      </c>
      <c r="H584" s="40">
        <v>600</v>
      </c>
      <c r="I584" s="32">
        <v>695</v>
      </c>
      <c r="J584" s="32">
        <v>50</v>
      </c>
      <c r="K584" s="33"/>
      <c r="L584" s="33"/>
      <c r="M584" s="33"/>
      <c r="N584" s="33"/>
      <c r="O584" s="33"/>
      <c r="P584" s="33"/>
      <c r="Q584" s="33"/>
      <c r="R584" s="33"/>
      <c r="S584" s="33"/>
      <c r="T584" s="33"/>
    </row>
    <row r="585" spans="1:20" ht="15.75">
      <c r="A585" s="13">
        <v>59687</v>
      </c>
      <c r="B585" s="41">
        <f t="shared" si="0"/>
        <v>31</v>
      </c>
      <c r="C585" s="32">
        <v>194.20500000000001</v>
      </c>
      <c r="D585" s="32">
        <v>267.46600000000001</v>
      </c>
      <c r="E585" s="38">
        <v>812.32899999999995</v>
      </c>
      <c r="F585" s="32">
        <v>1274</v>
      </c>
      <c r="G585" s="32">
        <v>75</v>
      </c>
      <c r="H585" s="40">
        <v>600</v>
      </c>
      <c r="I585" s="32">
        <v>695</v>
      </c>
      <c r="J585" s="32">
        <v>50</v>
      </c>
      <c r="K585" s="33"/>
      <c r="L585" s="33"/>
      <c r="M585" s="33"/>
      <c r="N585" s="33"/>
      <c r="O585" s="33"/>
      <c r="P585" s="33"/>
      <c r="Q585" s="33"/>
      <c r="R585" s="33"/>
      <c r="S585" s="33"/>
      <c r="T585" s="33"/>
    </row>
    <row r="586" spans="1:20" ht="15.75">
      <c r="A586" s="13">
        <v>59717</v>
      </c>
      <c r="B586" s="41">
        <f t="shared" si="0"/>
        <v>30</v>
      </c>
      <c r="C586" s="32">
        <v>194.20500000000001</v>
      </c>
      <c r="D586" s="32">
        <v>267.46600000000001</v>
      </c>
      <c r="E586" s="38">
        <v>812.32899999999995</v>
      </c>
      <c r="F586" s="32">
        <v>1274</v>
      </c>
      <c r="G586" s="32">
        <v>50</v>
      </c>
      <c r="H586" s="40">
        <v>600</v>
      </c>
      <c r="I586" s="32">
        <v>695</v>
      </c>
      <c r="J586" s="32">
        <v>50</v>
      </c>
      <c r="K586" s="33"/>
      <c r="L586" s="33"/>
      <c r="M586" s="33"/>
      <c r="N586" s="33"/>
      <c r="O586" s="33"/>
      <c r="P586" s="33"/>
      <c r="Q586" s="33"/>
      <c r="R586" s="33"/>
      <c r="S586" s="33"/>
      <c r="T586" s="33"/>
    </row>
    <row r="587" spans="1:20" ht="15.75">
      <c r="A587" s="13">
        <v>59748</v>
      </c>
      <c r="B587" s="41">
        <f t="shared" si="0"/>
        <v>31</v>
      </c>
      <c r="C587" s="32">
        <v>194.20500000000001</v>
      </c>
      <c r="D587" s="32">
        <v>267.46600000000001</v>
      </c>
      <c r="E587" s="38">
        <v>812.32899999999995</v>
      </c>
      <c r="F587" s="32">
        <v>1274</v>
      </c>
      <c r="G587" s="32">
        <v>50</v>
      </c>
      <c r="H587" s="40">
        <v>600</v>
      </c>
      <c r="I587" s="32">
        <v>695</v>
      </c>
      <c r="J587" s="32">
        <v>0</v>
      </c>
      <c r="K587" s="33"/>
      <c r="L587" s="33"/>
      <c r="M587" s="33"/>
      <c r="N587" s="33"/>
      <c r="O587" s="33"/>
      <c r="P587" s="33"/>
      <c r="Q587" s="33"/>
      <c r="R587" s="33"/>
      <c r="S587" s="33"/>
      <c r="T587" s="33"/>
    </row>
    <row r="588" spans="1:20" ht="15.75">
      <c r="A588" s="13">
        <v>59779</v>
      </c>
      <c r="B588" s="41">
        <f t="shared" si="0"/>
        <v>31</v>
      </c>
      <c r="C588" s="32">
        <v>194.20500000000001</v>
      </c>
      <c r="D588" s="32">
        <v>267.46600000000001</v>
      </c>
      <c r="E588" s="38">
        <v>812.32899999999995</v>
      </c>
      <c r="F588" s="32">
        <v>1274</v>
      </c>
      <c r="G588" s="32">
        <v>50</v>
      </c>
      <c r="H588" s="40">
        <v>600</v>
      </c>
      <c r="I588" s="32">
        <v>695</v>
      </c>
      <c r="J588" s="32">
        <v>0</v>
      </c>
      <c r="K588" s="33"/>
      <c r="L588" s="33"/>
      <c r="M588" s="33"/>
      <c r="N588" s="33"/>
      <c r="O588" s="33"/>
      <c r="P588" s="33"/>
      <c r="Q588" s="33"/>
      <c r="R588" s="33"/>
      <c r="S588" s="33"/>
      <c r="T588" s="33"/>
    </row>
    <row r="589" spans="1:20" ht="15.75">
      <c r="A589" s="13">
        <v>59809</v>
      </c>
      <c r="B589" s="41">
        <f t="shared" si="0"/>
        <v>30</v>
      </c>
      <c r="C589" s="32">
        <v>194.20500000000001</v>
      </c>
      <c r="D589" s="32">
        <v>267.46600000000001</v>
      </c>
      <c r="E589" s="38">
        <v>812.32899999999995</v>
      </c>
      <c r="F589" s="32">
        <v>1274</v>
      </c>
      <c r="G589" s="32">
        <v>50</v>
      </c>
      <c r="H589" s="40">
        <v>600</v>
      </c>
      <c r="I589" s="32">
        <v>695</v>
      </c>
      <c r="J589" s="32">
        <v>0</v>
      </c>
      <c r="K589" s="33"/>
      <c r="L589" s="33"/>
      <c r="M589" s="33"/>
      <c r="N589" s="33"/>
      <c r="O589" s="33"/>
      <c r="P589" s="33"/>
      <c r="Q589" s="33"/>
      <c r="R589" s="33"/>
      <c r="S589" s="33"/>
      <c r="T589" s="33"/>
    </row>
    <row r="590" spans="1:20" ht="15.75">
      <c r="A590" s="13">
        <v>59840</v>
      </c>
      <c r="B590" s="41">
        <f t="shared" si="0"/>
        <v>31</v>
      </c>
      <c r="C590" s="32">
        <v>131.881</v>
      </c>
      <c r="D590" s="32">
        <v>277.16699999999997</v>
      </c>
      <c r="E590" s="38">
        <v>829.952</v>
      </c>
      <c r="F590" s="32">
        <v>1239</v>
      </c>
      <c r="G590" s="32">
        <v>75</v>
      </c>
      <c r="H590" s="40">
        <v>600</v>
      </c>
      <c r="I590" s="32">
        <v>695</v>
      </c>
      <c r="J590" s="32">
        <v>0</v>
      </c>
      <c r="K590" s="33"/>
      <c r="L590" s="33"/>
      <c r="M590" s="33"/>
      <c r="N590" s="33"/>
      <c r="O590" s="33"/>
      <c r="P590" s="33"/>
      <c r="Q590" s="33"/>
      <c r="R590" s="33"/>
      <c r="S590" s="33"/>
      <c r="T590" s="33"/>
    </row>
    <row r="591" spans="1:20" ht="15.75">
      <c r="A591" s="13">
        <v>59870</v>
      </c>
      <c r="B591" s="41">
        <f t="shared" si="0"/>
        <v>30</v>
      </c>
      <c r="C591" s="32">
        <v>122.58</v>
      </c>
      <c r="D591" s="32">
        <v>297.94099999999997</v>
      </c>
      <c r="E591" s="38">
        <v>729.47900000000004</v>
      </c>
      <c r="F591" s="32">
        <v>1150</v>
      </c>
      <c r="G591" s="32">
        <v>100</v>
      </c>
      <c r="H591" s="40">
        <v>600</v>
      </c>
      <c r="I591" s="32">
        <v>695</v>
      </c>
      <c r="J591" s="32">
        <v>50</v>
      </c>
      <c r="K591" s="33"/>
      <c r="L591" s="33"/>
      <c r="M591" s="33"/>
      <c r="N591" s="33"/>
      <c r="O591" s="33"/>
      <c r="P591" s="33"/>
      <c r="Q591" s="33"/>
      <c r="R591" s="33"/>
      <c r="S591" s="33"/>
      <c r="T591" s="33"/>
    </row>
    <row r="592" spans="1:20" ht="15.75">
      <c r="A592" s="13">
        <v>59901</v>
      </c>
      <c r="B592" s="41">
        <f t="shared" si="0"/>
        <v>31</v>
      </c>
      <c r="C592" s="32">
        <v>122.58</v>
      </c>
      <c r="D592" s="32">
        <v>297.94099999999997</v>
      </c>
      <c r="E592" s="38">
        <v>729.47900000000004</v>
      </c>
      <c r="F592" s="32">
        <v>1150</v>
      </c>
      <c r="G592" s="32">
        <v>100</v>
      </c>
      <c r="H592" s="40">
        <v>600</v>
      </c>
      <c r="I592" s="32">
        <v>695</v>
      </c>
      <c r="J592" s="32">
        <v>50</v>
      </c>
      <c r="K592" s="33"/>
      <c r="L592" s="33"/>
      <c r="M592" s="33"/>
      <c r="N592" s="33"/>
      <c r="O592" s="33"/>
      <c r="P592" s="33"/>
      <c r="Q592" s="33"/>
      <c r="R592" s="33"/>
      <c r="S592" s="33"/>
      <c r="T592" s="33"/>
    </row>
    <row r="593" spans="1:20" ht="15.75">
      <c r="A593" s="13">
        <v>59932</v>
      </c>
      <c r="B593" s="41">
        <f t="shared" si="0"/>
        <v>31</v>
      </c>
      <c r="C593" s="32">
        <v>122.58</v>
      </c>
      <c r="D593" s="32">
        <v>297.94099999999997</v>
      </c>
      <c r="E593" s="38">
        <v>729.47900000000004</v>
      </c>
      <c r="F593" s="32">
        <v>1150</v>
      </c>
      <c r="G593" s="32">
        <v>100</v>
      </c>
      <c r="H593" s="40">
        <v>600</v>
      </c>
      <c r="I593" s="32">
        <v>695</v>
      </c>
      <c r="J593" s="32">
        <v>50</v>
      </c>
      <c r="K593" s="33"/>
      <c r="L593" s="33"/>
      <c r="M593" s="33"/>
      <c r="N593" s="33"/>
      <c r="O593" s="33"/>
      <c r="P593" s="33"/>
      <c r="Q593" s="33"/>
      <c r="R593" s="33"/>
      <c r="S593" s="33"/>
      <c r="T593" s="33"/>
    </row>
    <row r="594" spans="1:20" ht="15.75">
      <c r="A594" s="13">
        <v>59961</v>
      </c>
      <c r="B594" s="41">
        <f t="shared" si="0"/>
        <v>29</v>
      </c>
      <c r="C594" s="32">
        <v>122.58</v>
      </c>
      <c r="D594" s="32">
        <v>297.94099999999997</v>
      </c>
      <c r="E594" s="38">
        <v>729.47900000000004</v>
      </c>
      <c r="F594" s="32">
        <v>1150</v>
      </c>
      <c r="G594" s="32">
        <v>100</v>
      </c>
      <c r="H594" s="40">
        <v>600</v>
      </c>
      <c r="I594" s="32">
        <v>695</v>
      </c>
      <c r="J594" s="32">
        <v>50</v>
      </c>
      <c r="K594" s="33"/>
      <c r="L594" s="33"/>
      <c r="M594" s="33"/>
      <c r="N594" s="33"/>
      <c r="O594" s="33"/>
      <c r="P594" s="33"/>
      <c r="Q594" s="33"/>
      <c r="R594" s="33"/>
      <c r="S594" s="33"/>
      <c r="T594" s="33"/>
    </row>
    <row r="595" spans="1:20" ht="15.75">
      <c r="A595" s="13">
        <v>59992</v>
      </c>
      <c r="B595" s="41">
        <f t="shared" si="0"/>
        <v>31</v>
      </c>
      <c r="C595" s="32">
        <v>122.58</v>
      </c>
      <c r="D595" s="32">
        <v>297.94099999999997</v>
      </c>
      <c r="E595" s="38">
        <v>729.47900000000004</v>
      </c>
      <c r="F595" s="32">
        <v>1150</v>
      </c>
      <c r="G595" s="32">
        <v>100</v>
      </c>
      <c r="H595" s="40">
        <v>600</v>
      </c>
      <c r="I595" s="32">
        <v>695</v>
      </c>
      <c r="J595" s="32">
        <v>50</v>
      </c>
      <c r="K595" s="33"/>
      <c r="L595" s="33"/>
      <c r="M595" s="33"/>
      <c r="N595" s="33"/>
      <c r="O595" s="33"/>
      <c r="P595" s="33"/>
      <c r="Q595" s="33"/>
      <c r="R595" s="33"/>
      <c r="S595" s="33"/>
      <c r="T595" s="33"/>
    </row>
    <row r="596" spans="1:20" ht="15.75">
      <c r="A596" s="13">
        <v>60022</v>
      </c>
      <c r="B596" s="41">
        <f t="shared" si="0"/>
        <v>30</v>
      </c>
      <c r="C596" s="32">
        <v>141.29300000000001</v>
      </c>
      <c r="D596" s="32">
        <v>267.99299999999999</v>
      </c>
      <c r="E596" s="38">
        <v>829.71400000000006</v>
      </c>
      <c r="F596" s="32">
        <v>1239</v>
      </c>
      <c r="G596" s="32">
        <v>100</v>
      </c>
      <c r="H596" s="40">
        <v>600</v>
      </c>
      <c r="I596" s="32">
        <v>695</v>
      </c>
      <c r="J596" s="32">
        <v>50</v>
      </c>
      <c r="K596" s="33"/>
      <c r="L596" s="33"/>
      <c r="M596" s="33"/>
      <c r="N596" s="33"/>
      <c r="O596" s="33"/>
      <c r="P596" s="33"/>
      <c r="Q596" s="33"/>
      <c r="R596" s="33"/>
      <c r="S596" s="33"/>
      <c r="T596" s="33"/>
    </row>
    <row r="597" spans="1:20" ht="15.75">
      <c r="A597" s="13">
        <v>60053</v>
      </c>
      <c r="B597" s="41">
        <f t="shared" si="0"/>
        <v>31</v>
      </c>
      <c r="C597" s="32">
        <v>194.20500000000001</v>
      </c>
      <c r="D597" s="32">
        <v>267.46600000000001</v>
      </c>
      <c r="E597" s="38">
        <v>812.32899999999995</v>
      </c>
      <c r="F597" s="32">
        <v>1274</v>
      </c>
      <c r="G597" s="32">
        <v>75</v>
      </c>
      <c r="H597" s="40">
        <v>600</v>
      </c>
      <c r="I597" s="32">
        <v>695</v>
      </c>
      <c r="J597" s="32">
        <v>50</v>
      </c>
      <c r="K597" s="33"/>
      <c r="L597" s="33"/>
      <c r="M597" s="33"/>
      <c r="N597" s="33"/>
      <c r="O597" s="33"/>
      <c r="P597" s="33"/>
      <c r="Q597" s="33"/>
      <c r="R597" s="33"/>
      <c r="S597" s="33"/>
      <c r="T597" s="33"/>
    </row>
    <row r="598" spans="1:20" ht="15.75">
      <c r="A598" s="13">
        <v>60083</v>
      </c>
      <c r="B598" s="41">
        <f t="shared" si="0"/>
        <v>30</v>
      </c>
      <c r="C598" s="32">
        <v>194.20500000000001</v>
      </c>
      <c r="D598" s="32">
        <v>267.46600000000001</v>
      </c>
      <c r="E598" s="38">
        <v>812.32899999999995</v>
      </c>
      <c r="F598" s="32">
        <v>1274</v>
      </c>
      <c r="G598" s="32">
        <v>50</v>
      </c>
      <c r="H598" s="40">
        <v>600</v>
      </c>
      <c r="I598" s="32">
        <v>695</v>
      </c>
      <c r="J598" s="32">
        <v>50</v>
      </c>
      <c r="K598" s="33"/>
      <c r="L598" s="33"/>
      <c r="M598" s="33"/>
      <c r="N598" s="33"/>
      <c r="O598" s="33"/>
      <c r="P598" s="33"/>
      <c r="Q598" s="33"/>
      <c r="R598" s="33"/>
      <c r="S598" s="33"/>
      <c r="T598" s="33"/>
    </row>
    <row r="599" spans="1:20" ht="15.75">
      <c r="A599" s="13">
        <v>60114</v>
      </c>
      <c r="B599" s="41">
        <f t="shared" si="0"/>
        <v>31</v>
      </c>
      <c r="C599" s="32">
        <v>194.20500000000001</v>
      </c>
      <c r="D599" s="32">
        <v>267.46600000000001</v>
      </c>
      <c r="E599" s="38">
        <v>812.32899999999995</v>
      </c>
      <c r="F599" s="32">
        <v>1274</v>
      </c>
      <c r="G599" s="32">
        <v>50</v>
      </c>
      <c r="H599" s="40">
        <v>600</v>
      </c>
      <c r="I599" s="32">
        <v>695</v>
      </c>
      <c r="J599" s="32">
        <v>0</v>
      </c>
      <c r="K599" s="33"/>
      <c r="L599" s="33"/>
      <c r="M599" s="33"/>
      <c r="N599" s="33"/>
      <c r="O599" s="33"/>
      <c r="P599" s="33"/>
      <c r="Q599" s="33"/>
      <c r="R599" s="33"/>
      <c r="S599" s="33"/>
      <c r="T599" s="33"/>
    </row>
    <row r="600" spans="1:20" ht="15.75">
      <c r="A600" s="13">
        <v>60145</v>
      </c>
      <c r="B600" s="41">
        <f t="shared" si="0"/>
        <v>31</v>
      </c>
      <c r="C600" s="32">
        <v>194.20500000000001</v>
      </c>
      <c r="D600" s="32">
        <v>267.46600000000001</v>
      </c>
      <c r="E600" s="38">
        <v>812.32899999999995</v>
      </c>
      <c r="F600" s="32">
        <v>1274</v>
      </c>
      <c r="G600" s="32">
        <v>50</v>
      </c>
      <c r="H600" s="40">
        <v>600</v>
      </c>
      <c r="I600" s="32">
        <v>695</v>
      </c>
      <c r="J600" s="32">
        <v>0</v>
      </c>
      <c r="K600" s="33"/>
      <c r="L600" s="33"/>
      <c r="M600" s="33"/>
      <c r="N600" s="33"/>
      <c r="O600" s="33"/>
      <c r="P600" s="33"/>
      <c r="Q600" s="33"/>
      <c r="R600" s="33"/>
      <c r="S600" s="33"/>
      <c r="T600" s="33"/>
    </row>
    <row r="601" spans="1:20" ht="15.75">
      <c r="A601" s="13">
        <v>60175</v>
      </c>
      <c r="B601" s="41">
        <f t="shared" si="0"/>
        <v>30</v>
      </c>
      <c r="C601" s="32">
        <v>194.20500000000001</v>
      </c>
      <c r="D601" s="32">
        <v>267.46600000000001</v>
      </c>
      <c r="E601" s="38">
        <v>812.32899999999995</v>
      </c>
      <c r="F601" s="32">
        <v>1274</v>
      </c>
      <c r="G601" s="32">
        <v>50</v>
      </c>
      <c r="H601" s="40">
        <v>600</v>
      </c>
      <c r="I601" s="32">
        <v>695</v>
      </c>
      <c r="J601" s="32">
        <v>0</v>
      </c>
      <c r="K601" s="33"/>
      <c r="L601" s="33"/>
      <c r="M601" s="33"/>
      <c r="N601" s="33"/>
      <c r="O601" s="33"/>
      <c r="P601" s="33"/>
      <c r="Q601" s="33"/>
      <c r="R601" s="33"/>
      <c r="S601" s="33"/>
      <c r="T601" s="33"/>
    </row>
    <row r="602" spans="1:20" ht="15.75">
      <c r="A602" s="13">
        <v>60206</v>
      </c>
      <c r="B602" s="41">
        <f t="shared" si="0"/>
        <v>31</v>
      </c>
      <c r="C602" s="32">
        <v>131.881</v>
      </c>
      <c r="D602" s="32">
        <v>277.16699999999997</v>
      </c>
      <c r="E602" s="38">
        <v>829.952</v>
      </c>
      <c r="F602" s="32">
        <v>1239</v>
      </c>
      <c r="G602" s="32">
        <v>75</v>
      </c>
      <c r="H602" s="40">
        <v>600</v>
      </c>
      <c r="I602" s="32">
        <v>695</v>
      </c>
      <c r="J602" s="32">
        <v>0</v>
      </c>
      <c r="K602" s="33"/>
      <c r="L602" s="33"/>
      <c r="M602" s="33"/>
      <c r="N602" s="33"/>
      <c r="O602" s="33"/>
      <c r="P602" s="33"/>
      <c r="Q602" s="33"/>
      <c r="R602" s="33"/>
      <c r="S602" s="33"/>
      <c r="T602" s="33"/>
    </row>
    <row r="603" spans="1:20" ht="15.75">
      <c r="A603" s="13">
        <v>60236</v>
      </c>
      <c r="B603" s="41">
        <f t="shared" si="0"/>
        <v>30</v>
      </c>
      <c r="C603" s="32">
        <v>122.58</v>
      </c>
      <c r="D603" s="32">
        <v>297.94099999999997</v>
      </c>
      <c r="E603" s="38">
        <v>729.47900000000004</v>
      </c>
      <c r="F603" s="32">
        <v>1150</v>
      </c>
      <c r="G603" s="32">
        <v>100</v>
      </c>
      <c r="H603" s="40">
        <v>600</v>
      </c>
      <c r="I603" s="32">
        <v>695</v>
      </c>
      <c r="J603" s="32">
        <v>50</v>
      </c>
      <c r="K603" s="33"/>
      <c r="L603" s="33"/>
      <c r="M603" s="33"/>
      <c r="N603" s="33"/>
      <c r="O603" s="33"/>
      <c r="P603" s="33"/>
      <c r="Q603" s="33"/>
      <c r="R603" s="33"/>
      <c r="S603" s="33"/>
      <c r="T603" s="33"/>
    </row>
    <row r="604" spans="1:20" ht="15.75">
      <c r="A604" s="13">
        <v>60267</v>
      </c>
      <c r="B604" s="41">
        <f t="shared" si="0"/>
        <v>31</v>
      </c>
      <c r="C604" s="32">
        <v>122.58</v>
      </c>
      <c r="D604" s="32">
        <v>297.94099999999997</v>
      </c>
      <c r="E604" s="38">
        <v>729.47900000000004</v>
      </c>
      <c r="F604" s="32">
        <v>1150</v>
      </c>
      <c r="G604" s="32">
        <v>100</v>
      </c>
      <c r="H604" s="40">
        <v>600</v>
      </c>
      <c r="I604" s="32">
        <v>695</v>
      </c>
      <c r="J604" s="32">
        <v>50</v>
      </c>
      <c r="K604" s="33"/>
      <c r="L604" s="33"/>
      <c r="M604" s="33"/>
      <c r="N604" s="33"/>
      <c r="O604" s="33"/>
      <c r="P604" s="33"/>
      <c r="Q604" s="33"/>
      <c r="R604" s="33"/>
      <c r="S604" s="33"/>
      <c r="T604" s="33"/>
    </row>
    <row r="605" spans="1:20" ht="15.75">
      <c r="A605" s="13">
        <v>60298</v>
      </c>
      <c r="B605" s="41">
        <f t="shared" si="0"/>
        <v>31</v>
      </c>
      <c r="C605" s="32">
        <v>122.58</v>
      </c>
      <c r="D605" s="32">
        <v>297.94099999999997</v>
      </c>
      <c r="E605" s="38">
        <v>729.47900000000004</v>
      </c>
      <c r="F605" s="32">
        <v>1150</v>
      </c>
      <c r="G605" s="32">
        <v>100</v>
      </c>
      <c r="H605" s="40">
        <v>600</v>
      </c>
      <c r="I605" s="32">
        <v>695</v>
      </c>
      <c r="J605" s="32">
        <v>50</v>
      </c>
      <c r="K605" s="33"/>
      <c r="L605" s="33"/>
      <c r="M605" s="33"/>
      <c r="N605" s="33"/>
      <c r="O605" s="33"/>
      <c r="P605" s="33"/>
      <c r="Q605" s="33"/>
      <c r="R605" s="33"/>
      <c r="S605" s="33"/>
      <c r="T605" s="33"/>
    </row>
    <row r="606" spans="1:20" ht="15.75">
      <c r="A606" s="13">
        <v>60326</v>
      </c>
      <c r="B606" s="41">
        <f t="shared" si="0"/>
        <v>28</v>
      </c>
      <c r="C606" s="32">
        <v>122.58</v>
      </c>
      <c r="D606" s="32">
        <v>297.94099999999997</v>
      </c>
      <c r="E606" s="38">
        <v>729.47900000000004</v>
      </c>
      <c r="F606" s="32">
        <v>1150</v>
      </c>
      <c r="G606" s="32">
        <v>100</v>
      </c>
      <c r="H606" s="40">
        <v>600</v>
      </c>
      <c r="I606" s="32">
        <v>695</v>
      </c>
      <c r="J606" s="32">
        <v>50</v>
      </c>
      <c r="K606" s="33"/>
      <c r="L606" s="33"/>
      <c r="M606" s="33"/>
      <c r="N606" s="33"/>
      <c r="O606" s="33"/>
      <c r="P606" s="33"/>
      <c r="Q606" s="33"/>
      <c r="R606" s="33"/>
      <c r="S606" s="33"/>
      <c r="T606" s="33"/>
    </row>
    <row r="607" spans="1:20" ht="15.75">
      <c r="A607" s="13">
        <v>60357</v>
      </c>
      <c r="B607" s="41">
        <f t="shared" si="0"/>
        <v>31</v>
      </c>
      <c r="C607" s="32">
        <v>122.58</v>
      </c>
      <c r="D607" s="32">
        <v>297.94099999999997</v>
      </c>
      <c r="E607" s="38">
        <v>729.47900000000004</v>
      </c>
      <c r="F607" s="32">
        <v>1150</v>
      </c>
      <c r="G607" s="32">
        <v>100</v>
      </c>
      <c r="H607" s="40">
        <v>600</v>
      </c>
      <c r="I607" s="32">
        <v>695</v>
      </c>
      <c r="J607" s="32">
        <v>50</v>
      </c>
      <c r="K607" s="33"/>
      <c r="L607" s="33"/>
      <c r="M607" s="33"/>
      <c r="N607" s="33"/>
      <c r="O607" s="33"/>
      <c r="P607" s="33"/>
      <c r="Q607" s="33"/>
      <c r="R607" s="33"/>
      <c r="S607" s="33"/>
      <c r="T607" s="33"/>
    </row>
    <row r="608" spans="1:20" ht="15.75">
      <c r="A608" s="13">
        <v>60387</v>
      </c>
      <c r="B608" s="41">
        <f t="shared" si="0"/>
        <v>30</v>
      </c>
      <c r="C608" s="32">
        <v>141.29300000000001</v>
      </c>
      <c r="D608" s="32">
        <v>267.99299999999999</v>
      </c>
      <c r="E608" s="38">
        <v>829.71400000000006</v>
      </c>
      <c r="F608" s="32">
        <v>1239</v>
      </c>
      <c r="G608" s="32">
        <v>100</v>
      </c>
      <c r="H608" s="40">
        <v>600</v>
      </c>
      <c r="I608" s="32">
        <v>695</v>
      </c>
      <c r="J608" s="32">
        <v>50</v>
      </c>
      <c r="K608" s="33"/>
      <c r="L608" s="33"/>
      <c r="M608" s="33"/>
      <c r="N608" s="33"/>
      <c r="O608" s="33"/>
      <c r="P608" s="33"/>
      <c r="Q608" s="33"/>
      <c r="R608" s="33"/>
      <c r="S608" s="33"/>
      <c r="T608" s="33"/>
    </row>
    <row r="609" spans="1:20" ht="15.75">
      <c r="A609" s="13">
        <v>60418</v>
      </c>
      <c r="B609" s="41">
        <f t="shared" si="0"/>
        <v>31</v>
      </c>
      <c r="C609" s="32">
        <v>194.20500000000001</v>
      </c>
      <c r="D609" s="32">
        <v>267.46600000000001</v>
      </c>
      <c r="E609" s="38">
        <v>812.32899999999995</v>
      </c>
      <c r="F609" s="32">
        <v>1274</v>
      </c>
      <c r="G609" s="32">
        <v>75</v>
      </c>
      <c r="H609" s="40">
        <v>600</v>
      </c>
      <c r="I609" s="32">
        <v>695</v>
      </c>
      <c r="J609" s="32">
        <v>50</v>
      </c>
      <c r="K609" s="33"/>
      <c r="L609" s="33"/>
      <c r="M609" s="33"/>
      <c r="N609" s="33"/>
      <c r="O609" s="33"/>
      <c r="P609" s="33"/>
      <c r="Q609" s="33"/>
      <c r="R609" s="33"/>
      <c r="S609" s="33"/>
      <c r="T609" s="33"/>
    </row>
    <row r="610" spans="1:20" ht="15.75">
      <c r="A610" s="13">
        <v>60448</v>
      </c>
      <c r="B610" s="41">
        <f t="shared" si="0"/>
        <v>30</v>
      </c>
      <c r="C610" s="32">
        <v>194.20500000000001</v>
      </c>
      <c r="D610" s="32">
        <v>267.46600000000001</v>
      </c>
      <c r="E610" s="38">
        <v>812.32899999999995</v>
      </c>
      <c r="F610" s="32">
        <v>1274</v>
      </c>
      <c r="G610" s="32">
        <v>50</v>
      </c>
      <c r="H610" s="40">
        <v>600</v>
      </c>
      <c r="I610" s="32">
        <v>695</v>
      </c>
      <c r="J610" s="32">
        <v>50</v>
      </c>
      <c r="K610" s="33"/>
      <c r="L610" s="33"/>
      <c r="M610" s="33"/>
      <c r="N610" s="33"/>
      <c r="O610" s="33"/>
      <c r="P610" s="33"/>
      <c r="Q610" s="33"/>
      <c r="R610" s="33"/>
      <c r="S610" s="33"/>
      <c r="T610" s="33"/>
    </row>
    <row r="611" spans="1:20" ht="15.75">
      <c r="A611" s="13">
        <v>60479</v>
      </c>
      <c r="B611" s="41">
        <f t="shared" si="0"/>
        <v>31</v>
      </c>
      <c r="C611" s="32">
        <v>194.20500000000001</v>
      </c>
      <c r="D611" s="32">
        <v>267.46600000000001</v>
      </c>
      <c r="E611" s="38">
        <v>812.32899999999995</v>
      </c>
      <c r="F611" s="32">
        <v>1274</v>
      </c>
      <c r="G611" s="32">
        <v>50</v>
      </c>
      <c r="H611" s="40">
        <v>600</v>
      </c>
      <c r="I611" s="32">
        <v>695</v>
      </c>
      <c r="J611" s="32">
        <v>0</v>
      </c>
      <c r="K611" s="33"/>
      <c r="L611" s="33"/>
      <c r="M611" s="33"/>
      <c r="N611" s="33"/>
      <c r="O611" s="33"/>
      <c r="P611" s="33"/>
      <c r="Q611" s="33"/>
      <c r="R611" s="33"/>
      <c r="S611" s="33"/>
      <c r="T611" s="33"/>
    </row>
    <row r="612" spans="1:20" ht="15.75">
      <c r="A612" s="13">
        <v>60510</v>
      </c>
      <c r="B612" s="41">
        <f t="shared" si="0"/>
        <v>31</v>
      </c>
      <c r="C612" s="32">
        <v>194.20500000000001</v>
      </c>
      <c r="D612" s="32">
        <v>267.46600000000001</v>
      </c>
      <c r="E612" s="38">
        <v>812.32899999999995</v>
      </c>
      <c r="F612" s="32">
        <v>1274</v>
      </c>
      <c r="G612" s="32">
        <v>50</v>
      </c>
      <c r="H612" s="40">
        <v>600</v>
      </c>
      <c r="I612" s="32">
        <v>695</v>
      </c>
      <c r="J612" s="32">
        <v>0</v>
      </c>
      <c r="K612" s="33"/>
      <c r="L612" s="33"/>
      <c r="M612" s="33"/>
      <c r="N612" s="33"/>
      <c r="O612" s="33"/>
      <c r="P612" s="33"/>
      <c r="Q612" s="33"/>
      <c r="R612" s="33"/>
      <c r="S612" s="33"/>
      <c r="T612" s="33"/>
    </row>
    <row r="613" spans="1:20" ht="15.75">
      <c r="A613" s="13">
        <v>60540</v>
      </c>
      <c r="B613" s="41">
        <f t="shared" si="0"/>
        <v>30</v>
      </c>
      <c r="C613" s="32">
        <v>194.20500000000001</v>
      </c>
      <c r="D613" s="32">
        <v>267.46600000000001</v>
      </c>
      <c r="E613" s="38">
        <v>812.32899999999995</v>
      </c>
      <c r="F613" s="32">
        <v>1274</v>
      </c>
      <c r="G613" s="32">
        <v>50</v>
      </c>
      <c r="H613" s="40">
        <v>600</v>
      </c>
      <c r="I613" s="32">
        <v>695</v>
      </c>
      <c r="J613" s="32">
        <v>0</v>
      </c>
      <c r="K613" s="33"/>
      <c r="L613" s="33"/>
      <c r="M613" s="33"/>
      <c r="N613" s="33"/>
      <c r="O613" s="33"/>
      <c r="P613" s="33"/>
      <c r="Q613" s="33"/>
      <c r="R613" s="33"/>
      <c r="S613" s="33"/>
      <c r="T613" s="33"/>
    </row>
    <row r="614" spans="1:20" ht="15.75">
      <c r="A614" s="13">
        <v>60571</v>
      </c>
      <c r="B614" s="41">
        <f t="shared" si="0"/>
        <v>31</v>
      </c>
      <c r="C614" s="32">
        <v>131.881</v>
      </c>
      <c r="D614" s="32">
        <v>277.16699999999997</v>
      </c>
      <c r="E614" s="38">
        <v>829.952</v>
      </c>
      <c r="F614" s="32">
        <v>1239</v>
      </c>
      <c r="G614" s="32">
        <v>75</v>
      </c>
      <c r="H614" s="40">
        <v>600</v>
      </c>
      <c r="I614" s="32">
        <v>695</v>
      </c>
      <c r="J614" s="32">
        <v>0</v>
      </c>
      <c r="K614" s="33"/>
      <c r="L614" s="33"/>
      <c r="M614" s="33"/>
      <c r="N614" s="33"/>
      <c r="O614" s="33"/>
      <c r="P614" s="33"/>
      <c r="Q614" s="33"/>
      <c r="R614" s="33"/>
      <c r="S614" s="33"/>
      <c r="T614" s="33"/>
    </row>
    <row r="615" spans="1:20" ht="15.75">
      <c r="A615" s="13">
        <v>60601</v>
      </c>
      <c r="B615" s="41">
        <f t="shared" si="0"/>
        <v>30</v>
      </c>
      <c r="C615" s="32">
        <v>122.58</v>
      </c>
      <c r="D615" s="32">
        <v>297.94099999999997</v>
      </c>
      <c r="E615" s="38">
        <v>729.47900000000004</v>
      </c>
      <c r="F615" s="32">
        <v>1150</v>
      </c>
      <c r="G615" s="32">
        <v>100</v>
      </c>
      <c r="H615" s="40">
        <v>600</v>
      </c>
      <c r="I615" s="32">
        <v>695</v>
      </c>
      <c r="J615" s="32">
        <v>50</v>
      </c>
      <c r="K615" s="33"/>
      <c r="L615" s="33"/>
      <c r="M615" s="33"/>
      <c r="N615" s="33"/>
      <c r="O615" s="33"/>
      <c r="P615" s="33"/>
      <c r="Q615" s="33"/>
      <c r="R615" s="33"/>
      <c r="S615" s="33"/>
      <c r="T615" s="33"/>
    </row>
    <row r="616" spans="1:20" ht="15.75">
      <c r="A616" s="13">
        <v>60632</v>
      </c>
      <c r="B616" s="41">
        <f t="shared" si="0"/>
        <v>31</v>
      </c>
      <c r="C616" s="32">
        <v>122.58</v>
      </c>
      <c r="D616" s="32">
        <v>297.94099999999997</v>
      </c>
      <c r="E616" s="38">
        <v>729.47900000000004</v>
      </c>
      <c r="F616" s="32">
        <v>1150</v>
      </c>
      <c r="G616" s="32">
        <v>100</v>
      </c>
      <c r="H616" s="40">
        <v>600</v>
      </c>
      <c r="I616" s="32">
        <v>695</v>
      </c>
      <c r="J616" s="32">
        <v>50</v>
      </c>
      <c r="K616" s="33"/>
      <c r="L616" s="33"/>
      <c r="M616" s="33"/>
      <c r="N616" s="33"/>
      <c r="O616" s="33"/>
      <c r="P616" s="33"/>
      <c r="Q616" s="33"/>
      <c r="R616" s="33"/>
      <c r="S616" s="33"/>
      <c r="T616" s="33"/>
    </row>
    <row r="617" spans="1:20" ht="15.75">
      <c r="A617" s="13">
        <v>60663</v>
      </c>
      <c r="B617" s="41">
        <f t="shared" si="0"/>
        <v>31</v>
      </c>
      <c r="C617" s="32">
        <v>122.58</v>
      </c>
      <c r="D617" s="32">
        <v>297.94099999999997</v>
      </c>
      <c r="E617" s="38">
        <v>729.47900000000004</v>
      </c>
      <c r="F617" s="32">
        <v>1150</v>
      </c>
      <c r="G617" s="32">
        <v>100</v>
      </c>
      <c r="H617" s="40">
        <v>600</v>
      </c>
      <c r="I617" s="32">
        <v>695</v>
      </c>
      <c r="J617" s="32">
        <v>50</v>
      </c>
      <c r="K617" s="33"/>
      <c r="L617" s="33"/>
      <c r="M617" s="33"/>
      <c r="N617" s="33"/>
      <c r="O617" s="33"/>
      <c r="P617" s="33"/>
      <c r="Q617" s="33"/>
      <c r="R617" s="33"/>
      <c r="S617" s="33"/>
      <c r="T617" s="33"/>
    </row>
    <row r="618" spans="1:20" ht="15.75">
      <c r="A618" s="13">
        <v>60691</v>
      </c>
      <c r="B618" s="41">
        <f t="shared" si="0"/>
        <v>28</v>
      </c>
      <c r="C618" s="32">
        <v>122.58</v>
      </c>
      <c r="D618" s="32">
        <v>297.94099999999997</v>
      </c>
      <c r="E618" s="38">
        <v>729.47900000000004</v>
      </c>
      <c r="F618" s="32">
        <v>1150</v>
      </c>
      <c r="G618" s="32">
        <v>100</v>
      </c>
      <c r="H618" s="40">
        <v>600</v>
      </c>
      <c r="I618" s="32">
        <v>695</v>
      </c>
      <c r="J618" s="32">
        <v>50</v>
      </c>
      <c r="K618" s="33"/>
      <c r="L618" s="33"/>
      <c r="M618" s="33"/>
      <c r="N618" s="33"/>
      <c r="O618" s="33"/>
      <c r="P618" s="33"/>
      <c r="Q618" s="33"/>
      <c r="R618" s="33"/>
      <c r="S618" s="33"/>
      <c r="T618" s="33"/>
    </row>
    <row r="619" spans="1:20" ht="15.75">
      <c r="A619" s="13">
        <v>60722</v>
      </c>
      <c r="B619" s="41">
        <f t="shared" si="0"/>
        <v>31</v>
      </c>
      <c r="C619" s="32">
        <v>122.58</v>
      </c>
      <c r="D619" s="32">
        <v>297.94099999999997</v>
      </c>
      <c r="E619" s="38">
        <v>729.47900000000004</v>
      </c>
      <c r="F619" s="32">
        <v>1150</v>
      </c>
      <c r="G619" s="32">
        <v>100</v>
      </c>
      <c r="H619" s="40">
        <v>600</v>
      </c>
      <c r="I619" s="32">
        <v>695</v>
      </c>
      <c r="J619" s="32">
        <v>50</v>
      </c>
      <c r="K619" s="33"/>
      <c r="L619" s="33"/>
      <c r="M619" s="33"/>
      <c r="N619" s="33"/>
      <c r="O619" s="33"/>
      <c r="P619" s="33"/>
      <c r="Q619" s="33"/>
      <c r="R619" s="33"/>
      <c r="S619" s="33"/>
      <c r="T619" s="33"/>
    </row>
    <row r="620" spans="1:20" ht="15.75">
      <c r="A620" s="13">
        <v>60752</v>
      </c>
      <c r="B620" s="41">
        <f t="shared" si="0"/>
        <v>30</v>
      </c>
      <c r="C620" s="32">
        <v>141.29300000000001</v>
      </c>
      <c r="D620" s="32">
        <v>267.99299999999999</v>
      </c>
      <c r="E620" s="38">
        <v>829.71400000000006</v>
      </c>
      <c r="F620" s="32">
        <v>1239</v>
      </c>
      <c r="G620" s="32">
        <v>100</v>
      </c>
      <c r="H620" s="40">
        <v>600</v>
      </c>
      <c r="I620" s="32">
        <v>695</v>
      </c>
      <c r="J620" s="32">
        <v>50</v>
      </c>
      <c r="K620" s="33"/>
      <c r="L620" s="33"/>
      <c r="M620" s="33"/>
      <c r="N620" s="33"/>
      <c r="O620" s="33"/>
      <c r="P620" s="33"/>
      <c r="Q620" s="33"/>
      <c r="R620" s="33"/>
      <c r="S620" s="33"/>
      <c r="T620" s="33"/>
    </row>
    <row r="621" spans="1:20" ht="15.75">
      <c r="A621" s="13">
        <v>60783</v>
      </c>
      <c r="B621" s="41">
        <f t="shared" si="0"/>
        <v>31</v>
      </c>
      <c r="C621" s="32">
        <v>194.20500000000001</v>
      </c>
      <c r="D621" s="32">
        <v>267.46600000000001</v>
      </c>
      <c r="E621" s="38">
        <v>812.32899999999995</v>
      </c>
      <c r="F621" s="32">
        <v>1274</v>
      </c>
      <c r="G621" s="32">
        <v>75</v>
      </c>
      <c r="H621" s="40">
        <v>600</v>
      </c>
      <c r="I621" s="32">
        <v>695</v>
      </c>
      <c r="J621" s="32">
        <v>50</v>
      </c>
      <c r="K621" s="33"/>
      <c r="L621" s="33"/>
      <c r="M621" s="33"/>
      <c r="N621" s="33"/>
      <c r="O621" s="33"/>
      <c r="P621" s="33"/>
      <c r="Q621" s="33"/>
      <c r="R621" s="33"/>
      <c r="S621" s="33"/>
      <c r="T621" s="33"/>
    </row>
    <row r="622" spans="1:20" ht="15.75">
      <c r="A622" s="13">
        <v>60813</v>
      </c>
      <c r="B622" s="41">
        <f t="shared" si="0"/>
        <v>30</v>
      </c>
      <c r="C622" s="32">
        <v>194.20500000000001</v>
      </c>
      <c r="D622" s="32">
        <v>267.46600000000001</v>
      </c>
      <c r="E622" s="38">
        <v>812.32899999999995</v>
      </c>
      <c r="F622" s="32">
        <v>1274</v>
      </c>
      <c r="G622" s="32">
        <v>50</v>
      </c>
      <c r="H622" s="40">
        <v>600</v>
      </c>
      <c r="I622" s="32">
        <v>695</v>
      </c>
      <c r="J622" s="32">
        <v>50</v>
      </c>
      <c r="K622" s="33"/>
      <c r="L622" s="33"/>
      <c r="M622" s="33"/>
      <c r="N622" s="33"/>
      <c r="O622" s="33"/>
      <c r="P622" s="33"/>
      <c r="Q622" s="33"/>
      <c r="R622" s="33"/>
      <c r="S622" s="33"/>
      <c r="T622" s="33"/>
    </row>
    <row r="623" spans="1:20" ht="15.75">
      <c r="A623" s="13">
        <v>60844</v>
      </c>
      <c r="B623" s="41">
        <f t="shared" si="0"/>
        <v>31</v>
      </c>
      <c r="C623" s="32">
        <v>194.20500000000001</v>
      </c>
      <c r="D623" s="32">
        <v>267.46600000000001</v>
      </c>
      <c r="E623" s="38">
        <v>812.32899999999995</v>
      </c>
      <c r="F623" s="32">
        <v>1274</v>
      </c>
      <c r="G623" s="32">
        <v>50</v>
      </c>
      <c r="H623" s="40">
        <v>600</v>
      </c>
      <c r="I623" s="32">
        <v>695</v>
      </c>
      <c r="J623" s="32">
        <v>0</v>
      </c>
      <c r="K623" s="33"/>
      <c r="L623" s="33"/>
      <c r="M623" s="33"/>
      <c r="N623" s="33"/>
      <c r="O623" s="33"/>
      <c r="P623" s="33"/>
      <c r="Q623" s="33"/>
      <c r="R623" s="33"/>
      <c r="S623" s="33"/>
      <c r="T623" s="33"/>
    </row>
    <row r="624" spans="1:20" ht="15.75">
      <c r="A624" s="13">
        <v>60875</v>
      </c>
      <c r="B624" s="41">
        <f t="shared" si="0"/>
        <v>31</v>
      </c>
      <c r="C624" s="32">
        <v>194.20500000000001</v>
      </c>
      <c r="D624" s="32">
        <v>267.46600000000001</v>
      </c>
      <c r="E624" s="38">
        <v>812.32899999999995</v>
      </c>
      <c r="F624" s="32">
        <v>1274</v>
      </c>
      <c r="G624" s="32">
        <v>50</v>
      </c>
      <c r="H624" s="40">
        <v>600</v>
      </c>
      <c r="I624" s="32">
        <v>695</v>
      </c>
      <c r="J624" s="32">
        <v>0</v>
      </c>
      <c r="K624" s="33"/>
      <c r="L624" s="33"/>
      <c r="M624" s="33"/>
      <c r="N624" s="33"/>
      <c r="O624" s="33"/>
      <c r="P624" s="33"/>
      <c r="Q624" s="33"/>
      <c r="R624" s="33"/>
      <c r="S624" s="33"/>
      <c r="T624" s="33"/>
    </row>
    <row r="625" spans="1:20" ht="15.75">
      <c r="A625" s="13">
        <v>60905</v>
      </c>
      <c r="B625" s="41">
        <f t="shared" si="0"/>
        <v>30</v>
      </c>
      <c r="C625" s="32">
        <v>194.20500000000001</v>
      </c>
      <c r="D625" s="32">
        <v>267.46600000000001</v>
      </c>
      <c r="E625" s="38">
        <v>812.32899999999995</v>
      </c>
      <c r="F625" s="32">
        <v>1274</v>
      </c>
      <c r="G625" s="32">
        <v>50</v>
      </c>
      <c r="H625" s="40">
        <v>600</v>
      </c>
      <c r="I625" s="32">
        <v>695</v>
      </c>
      <c r="J625" s="32">
        <v>0</v>
      </c>
      <c r="K625" s="33"/>
      <c r="L625" s="33"/>
      <c r="M625" s="33"/>
      <c r="N625" s="33"/>
      <c r="O625" s="33"/>
      <c r="P625" s="33"/>
      <c r="Q625" s="33"/>
      <c r="R625" s="33"/>
      <c r="S625" s="33"/>
      <c r="T625" s="33"/>
    </row>
    <row r="626" spans="1:20" ht="15.75">
      <c r="A626" s="13">
        <v>60936</v>
      </c>
      <c r="B626" s="41">
        <f t="shared" si="0"/>
        <v>31</v>
      </c>
      <c r="C626" s="32">
        <v>131.881</v>
      </c>
      <c r="D626" s="32">
        <v>277.16699999999997</v>
      </c>
      <c r="E626" s="38">
        <v>829.952</v>
      </c>
      <c r="F626" s="32">
        <v>1239</v>
      </c>
      <c r="G626" s="32">
        <v>75</v>
      </c>
      <c r="H626" s="40">
        <v>600</v>
      </c>
      <c r="I626" s="32">
        <v>695</v>
      </c>
      <c r="J626" s="32">
        <v>0</v>
      </c>
      <c r="K626" s="33"/>
      <c r="L626" s="33"/>
      <c r="M626" s="33"/>
      <c r="N626" s="33"/>
      <c r="O626" s="33"/>
      <c r="P626" s="33"/>
      <c r="Q626" s="33"/>
      <c r="R626" s="33"/>
      <c r="S626" s="33"/>
      <c r="T626" s="33"/>
    </row>
    <row r="627" spans="1:20" ht="15.75">
      <c r="A627" s="13">
        <v>60966</v>
      </c>
      <c r="B627" s="41">
        <f t="shared" si="0"/>
        <v>30</v>
      </c>
      <c r="C627" s="32">
        <v>122.58</v>
      </c>
      <c r="D627" s="32">
        <v>297.94099999999997</v>
      </c>
      <c r="E627" s="38">
        <v>729.47900000000004</v>
      </c>
      <c r="F627" s="32">
        <v>1150</v>
      </c>
      <c r="G627" s="32">
        <v>100</v>
      </c>
      <c r="H627" s="40">
        <v>600</v>
      </c>
      <c r="I627" s="32">
        <v>695</v>
      </c>
      <c r="J627" s="32">
        <v>50</v>
      </c>
      <c r="K627" s="33"/>
      <c r="L627" s="33"/>
      <c r="M627" s="33"/>
      <c r="N627" s="33"/>
      <c r="O627" s="33"/>
      <c r="P627" s="33"/>
      <c r="Q627" s="33"/>
      <c r="R627" s="33"/>
      <c r="S627" s="33"/>
      <c r="T627" s="33"/>
    </row>
    <row r="628" spans="1:20" ht="15.75">
      <c r="A628" s="13">
        <v>60997</v>
      </c>
      <c r="B628" s="41">
        <f t="shared" si="0"/>
        <v>31</v>
      </c>
      <c r="C628" s="32">
        <v>122.58</v>
      </c>
      <c r="D628" s="32">
        <v>297.94099999999997</v>
      </c>
      <c r="E628" s="38">
        <v>729.47900000000004</v>
      </c>
      <c r="F628" s="32">
        <v>1150</v>
      </c>
      <c r="G628" s="32">
        <v>100</v>
      </c>
      <c r="H628" s="40">
        <v>600</v>
      </c>
      <c r="I628" s="32">
        <v>695</v>
      </c>
      <c r="J628" s="32">
        <v>50</v>
      </c>
      <c r="K628" s="33"/>
      <c r="L628" s="33"/>
      <c r="M628" s="33"/>
      <c r="N628" s="33"/>
      <c r="O628" s="33"/>
      <c r="P628" s="33"/>
      <c r="Q628" s="33"/>
      <c r="R628" s="33"/>
      <c r="S628" s="33"/>
      <c r="T628" s="33"/>
    </row>
    <row r="629" spans="1:20" ht="15.75">
      <c r="A629" s="13">
        <v>61028</v>
      </c>
      <c r="B629" s="41">
        <f t="shared" si="0"/>
        <v>31</v>
      </c>
      <c r="C629" s="32">
        <v>122.58</v>
      </c>
      <c r="D629" s="32">
        <v>297.94099999999997</v>
      </c>
      <c r="E629" s="38">
        <v>729.47900000000004</v>
      </c>
      <c r="F629" s="32">
        <v>1150</v>
      </c>
      <c r="G629" s="32">
        <v>100</v>
      </c>
      <c r="H629" s="40">
        <v>600</v>
      </c>
      <c r="I629" s="32">
        <v>695</v>
      </c>
      <c r="J629" s="32">
        <v>50</v>
      </c>
      <c r="K629" s="33"/>
      <c r="L629" s="33"/>
      <c r="M629" s="33"/>
      <c r="N629" s="33"/>
      <c r="O629" s="33"/>
      <c r="P629" s="33"/>
      <c r="Q629" s="33"/>
      <c r="R629" s="33"/>
      <c r="S629" s="33"/>
      <c r="T629" s="33"/>
    </row>
    <row r="630" spans="1:20" ht="15.75">
      <c r="A630" s="13">
        <v>61056</v>
      </c>
      <c r="B630" s="41">
        <f t="shared" si="0"/>
        <v>28</v>
      </c>
      <c r="C630" s="32">
        <v>122.58</v>
      </c>
      <c r="D630" s="32">
        <v>297.94099999999997</v>
      </c>
      <c r="E630" s="38">
        <v>729.47900000000004</v>
      </c>
      <c r="F630" s="32">
        <v>1150</v>
      </c>
      <c r="G630" s="32">
        <v>100</v>
      </c>
      <c r="H630" s="40">
        <v>600</v>
      </c>
      <c r="I630" s="32">
        <v>695</v>
      </c>
      <c r="J630" s="32">
        <v>50</v>
      </c>
      <c r="K630" s="33"/>
      <c r="L630" s="33"/>
      <c r="M630" s="33"/>
      <c r="N630" s="33"/>
      <c r="O630" s="33"/>
      <c r="P630" s="33"/>
      <c r="Q630" s="33"/>
      <c r="R630" s="33"/>
      <c r="S630" s="33"/>
      <c r="T630" s="33"/>
    </row>
    <row r="631" spans="1:20" ht="15.75">
      <c r="A631" s="13">
        <v>61087</v>
      </c>
      <c r="B631" s="41">
        <f t="shared" si="0"/>
        <v>31</v>
      </c>
      <c r="C631" s="32">
        <v>122.58</v>
      </c>
      <c r="D631" s="32">
        <v>297.94099999999997</v>
      </c>
      <c r="E631" s="38">
        <v>729.47900000000004</v>
      </c>
      <c r="F631" s="32">
        <v>1150</v>
      </c>
      <c r="G631" s="32">
        <v>100</v>
      </c>
      <c r="H631" s="40">
        <v>600</v>
      </c>
      <c r="I631" s="32">
        <v>695</v>
      </c>
      <c r="J631" s="32">
        <v>50</v>
      </c>
      <c r="K631" s="33"/>
      <c r="L631" s="33"/>
      <c r="M631" s="33"/>
      <c r="N631" s="33"/>
      <c r="O631" s="33"/>
      <c r="P631" s="33"/>
      <c r="Q631" s="33"/>
      <c r="R631" s="33"/>
      <c r="S631" s="33"/>
      <c r="T631" s="33"/>
    </row>
    <row r="632" spans="1:20" ht="15.75">
      <c r="A632" s="13">
        <v>61117</v>
      </c>
      <c r="B632" s="41">
        <f t="shared" si="0"/>
        <v>30</v>
      </c>
      <c r="C632" s="32">
        <v>141.29300000000001</v>
      </c>
      <c r="D632" s="32">
        <v>267.99299999999999</v>
      </c>
      <c r="E632" s="38">
        <v>829.71400000000006</v>
      </c>
      <c r="F632" s="32">
        <v>1239</v>
      </c>
      <c r="G632" s="32">
        <v>100</v>
      </c>
      <c r="H632" s="40">
        <v>600</v>
      </c>
      <c r="I632" s="32">
        <v>695</v>
      </c>
      <c r="J632" s="32">
        <v>50</v>
      </c>
      <c r="K632" s="33"/>
      <c r="L632" s="33"/>
      <c r="M632" s="33"/>
      <c r="N632" s="33"/>
      <c r="O632" s="33"/>
      <c r="P632" s="33"/>
      <c r="Q632" s="33"/>
      <c r="R632" s="33"/>
      <c r="S632" s="33"/>
      <c r="T632" s="33"/>
    </row>
    <row r="633" spans="1:20" ht="15.75">
      <c r="A633" s="13">
        <v>61148</v>
      </c>
      <c r="B633" s="41">
        <f t="shared" ref="B633:B696" si="1">EOMONTH(A633,0)-EOMONTH(A633,-1)</f>
        <v>31</v>
      </c>
      <c r="C633" s="32">
        <v>194.20500000000001</v>
      </c>
      <c r="D633" s="32">
        <v>267.46600000000001</v>
      </c>
      <c r="E633" s="38">
        <v>812.32899999999995</v>
      </c>
      <c r="F633" s="32">
        <v>1274</v>
      </c>
      <c r="G633" s="32">
        <v>75</v>
      </c>
      <c r="H633" s="40">
        <v>600</v>
      </c>
      <c r="I633" s="32">
        <v>695</v>
      </c>
      <c r="J633" s="32">
        <v>50</v>
      </c>
      <c r="K633" s="33"/>
      <c r="L633" s="33"/>
      <c r="M633" s="33"/>
      <c r="N633" s="33"/>
      <c r="O633" s="33"/>
      <c r="P633" s="33"/>
      <c r="Q633" s="33"/>
      <c r="R633" s="33"/>
      <c r="S633" s="33"/>
      <c r="T633" s="33"/>
    </row>
    <row r="634" spans="1:20" ht="15.75">
      <c r="A634" s="13">
        <v>61178</v>
      </c>
      <c r="B634" s="41">
        <f t="shared" si="1"/>
        <v>30</v>
      </c>
      <c r="C634" s="32">
        <v>194.20500000000001</v>
      </c>
      <c r="D634" s="32">
        <v>267.46600000000001</v>
      </c>
      <c r="E634" s="38">
        <v>812.32899999999995</v>
      </c>
      <c r="F634" s="32">
        <v>1274</v>
      </c>
      <c r="G634" s="32">
        <v>50</v>
      </c>
      <c r="H634" s="40">
        <v>600</v>
      </c>
      <c r="I634" s="32">
        <v>695</v>
      </c>
      <c r="J634" s="32">
        <v>50</v>
      </c>
      <c r="K634" s="33"/>
      <c r="L634" s="33"/>
      <c r="M634" s="33"/>
      <c r="N634" s="33"/>
      <c r="O634" s="33"/>
      <c r="P634" s="33"/>
      <c r="Q634" s="33"/>
      <c r="R634" s="33"/>
      <c r="S634" s="33"/>
      <c r="T634" s="33"/>
    </row>
    <row r="635" spans="1:20" ht="15.75">
      <c r="A635" s="13">
        <v>61209</v>
      </c>
      <c r="B635" s="41">
        <f t="shared" si="1"/>
        <v>31</v>
      </c>
      <c r="C635" s="32">
        <v>194.20500000000001</v>
      </c>
      <c r="D635" s="32">
        <v>267.46600000000001</v>
      </c>
      <c r="E635" s="38">
        <v>812.32899999999995</v>
      </c>
      <c r="F635" s="32">
        <v>1274</v>
      </c>
      <c r="G635" s="32">
        <v>50</v>
      </c>
      <c r="H635" s="40">
        <v>600</v>
      </c>
      <c r="I635" s="32">
        <v>695</v>
      </c>
      <c r="J635" s="32">
        <v>0</v>
      </c>
      <c r="K635" s="33"/>
      <c r="L635" s="33"/>
      <c r="M635" s="33"/>
      <c r="N635" s="33"/>
      <c r="O635" s="33"/>
      <c r="P635" s="33"/>
      <c r="Q635" s="33"/>
      <c r="R635" s="33"/>
      <c r="S635" s="33"/>
      <c r="T635" s="33"/>
    </row>
    <row r="636" spans="1:20" ht="15.75">
      <c r="A636" s="13">
        <v>61240</v>
      </c>
      <c r="B636" s="41">
        <f t="shared" si="1"/>
        <v>31</v>
      </c>
      <c r="C636" s="32">
        <v>194.20500000000001</v>
      </c>
      <c r="D636" s="32">
        <v>267.46600000000001</v>
      </c>
      <c r="E636" s="38">
        <v>812.32899999999995</v>
      </c>
      <c r="F636" s="32">
        <v>1274</v>
      </c>
      <c r="G636" s="32">
        <v>50</v>
      </c>
      <c r="H636" s="40">
        <v>600</v>
      </c>
      <c r="I636" s="32">
        <v>695</v>
      </c>
      <c r="J636" s="32">
        <v>0</v>
      </c>
      <c r="K636" s="33"/>
      <c r="L636" s="33"/>
      <c r="M636" s="33"/>
      <c r="N636" s="33"/>
      <c r="O636" s="33"/>
      <c r="P636" s="33"/>
      <c r="Q636" s="33"/>
      <c r="R636" s="33"/>
      <c r="S636" s="33"/>
      <c r="T636" s="33"/>
    </row>
    <row r="637" spans="1:20" ht="15.75">
      <c r="A637" s="13">
        <v>61270</v>
      </c>
      <c r="B637" s="41">
        <f t="shared" si="1"/>
        <v>30</v>
      </c>
      <c r="C637" s="32">
        <v>194.20500000000001</v>
      </c>
      <c r="D637" s="32">
        <v>267.46600000000001</v>
      </c>
      <c r="E637" s="38">
        <v>812.32899999999995</v>
      </c>
      <c r="F637" s="32">
        <v>1274</v>
      </c>
      <c r="G637" s="32">
        <v>50</v>
      </c>
      <c r="H637" s="40">
        <v>600</v>
      </c>
      <c r="I637" s="32">
        <v>695</v>
      </c>
      <c r="J637" s="32">
        <v>0</v>
      </c>
      <c r="K637" s="33"/>
      <c r="L637" s="33"/>
      <c r="M637" s="33"/>
      <c r="N637" s="33"/>
      <c r="O637" s="33"/>
      <c r="P637" s="33"/>
      <c r="Q637" s="33"/>
      <c r="R637" s="33"/>
      <c r="S637" s="33"/>
      <c r="T637" s="33"/>
    </row>
    <row r="638" spans="1:20" ht="15.75">
      <c r="A638" s="13">
        <v>61301</v>
      </c>
      <c r="B638" s="41">
        <f t="shared" si="1"/>
        <v>31</v>
      </c>
      <c r="C638" s="32">
        <v>131.881</v>
      </c>
      <c r="D638" s="32">
        <v>277.16699999999997</v>
      </c>
      <c r="E638" s="38">
        <v>829.952</v>
      </c>
      <c r="F638" s="32">
        <v>1239</v>
      </c>
      <c r="G638" s="32">
        <v>75</v>
      </c>
      <c r="H638" s="40">
        <v>600</v>
      </c>
      <c r="I638" s="32">
        <v>695</v>
      </c>
      <c r="J638" s="32">
        <v>0</v>
      </c>
      <c r="K638" s="33"/>
      <c r="L638" s="33"/>
      <c r="M638" s="33"/>
      <c r="N638" s="33"/>
      <c r="O638" s="33"/>
      <c r="P638" s="33"/>
      <c r="Q638" s="33"/>
      <c r="R638" s="33"/>
      <c r="S638" s="33"/>
      <c r="T638" s="33"/>
    </row>
    <row r="639" spans="1:20" ht="15.75">
      <c r="A639" s="13">
        <v>61331</v>
      </c>
      <c r="B639" s="41">
        <f t="shared" si="1"/>
        <v>30</v>
      </c>
      <c r="C639" s="32">
        <v>122.58</v>
      </c>
      <c r="D639" s="32">
        <v>297.94099999999997</v>
      </c>
      <c r="E639" s="38">
        <v>729.47900000000004</v>
      </c>
      <c r="F639" s="32">
        <v>1150</v>
      </c>
      <c r="G639" s="32">
        <v>100</v>
      </c>
      <c r="H639" s="40">
        <v>600</v>
      </c>
      <c r="I639" s="32">
        <v>695</v>
      </c>
      <c r="J639" s="32">
        <v>50</v>
      </c>
      <c r="K639" s="33"/>
      <c r="L639" s="33"/>
      <c r="M639" s="33"/>
      <c r="N639" s="33"/>
      <c r="O639" s="33"/>
      <c r="P639" s="33"/>
      <c r="Q639" s="33"/>
      <c r="R639" s="33"/>
      <c r="S639" s="33"/>
      <c r="T639" s="33"/>
    </row>
    <row r="640" spans="1:20" ht="15.75">
      <c r="A640" s="13">
        <v>61362</v>
      </c>
      <c r="B640" s="41">
        <f t="shared" si="1"/>
        <v>31</v>
      </c>
      <c r="C640" s="32">
        <v>122.58</v>
      </c>
      <c r="D640" s="32">
        <v>297.94099999999997</v>
      </c>
      <c r="E640" s="38">
        <v>729.47900000000004</v>
      </c>
      <c r="F640" s="32">
        <v>1150</v>
      </c>
      <c r="G640" s="32">
        <v>100</v>
      </c>
      <c r="H640" s="40">
        <v>600</v>
      </c>
      <c r="I640" s="32">
        <v>695</v>
      </c>
      <c r="J640" s="32">
        <v>50</v>
      </c>
      <c r="K640" s="33"/>
      <c r="L640" s="33"/>
      <c r="M640" s="33"/>
      <c r="N640" s="33"/>
      <c r="O640" s="33"/>
      <c r="P640" s="33"/>
      <c r="Q640" s="33"/>
      <c r="R640" s="33"/>
      <c r="S640" s="33"/>
      <c r="T640" s="33"/>
    </row>
    <row r="641" spans="1:20" ht="15.75">
      <c r="A641" s="13">
        <v>61393</v>
      </c>
      <c r="B641" s="41">
        <f t="shared" si="1"/>
        <v>31</v>
      </c>
      <c r="C641" s="32">
        <v>122.58</v>
      </c>
      <c r="D641" s="32">
        <v>297.94099999999997</v>
      </c>
      <c r="E641" s="38">
        <v>729.47900000000004</v>
      </c>
      <c r="F641" s="32">
        <v>1150</v>
      </c>
      <c r="G641" s="32">
        <v>100</v>
      </c>
      <c r="H641" s="40">
        <v>600</v>
      </c>
      <c r="I641" s="32">
        <v>695</v>
      </c>
      <c r="J641" s="32">
        <v>50</v>
      </c>
      <c r="K641" s="33"/>
      <c r="L641" s="33"/>
      <c r="M641" s="33"/>
      <c r="N641" s="33"/>
      <c r="O641" s="33"/>
      <c r="P641" s="33"/>
      <c r="Q641" s="33"/>
      <c r="R641" s="33"/>
      <c r="S641" s="33"/>
      <c r="T641" s="33"/>
    </row>
    <row r="642" spans="1:20" ht="15.75">
      <c r="A642" s="13">
        <v>61422</v>
      </c>
      <c r="B642" s="41">
        <f t="shared" si="1"/>
        <v>29</v>
      </c>
      <c r="C642" s="32">
        <v>122.58</v>
      </c>
      <c r="D642" s="32">
        <v>297.94099999999997</v>
      </c>
      <c r="E642" s="38">
        <v>729.47900000000004</v>
      </c>
      <c r="F642" s="32">
        <v>1150</v>
      </c>
      <c r="G642" s="32">
        <v>100</v>
      </c>
      <c r="H642" s="40">
        <v>600</v>
      </c>
      <c r="I642" s="32">
        <v>695</v>
      </c>
      <c r="J642" s="32">
        <v>50</v>
      </c>
      <c r="K642" s="33"/>
      <c r="L642" s="33"/>
      <c r="M642" s="33"/>
      <c r="N642" s="33"/>
      <c r="O642" s="33"/>
      <c r="P642" s="33"/>
      <c r="Q642" s="33"/>
      <c r="R642" s="33"/>
      <c r="S642" s="33"/>
      <c r="T642" s="33"/>
    </row>
    <row r="643" spans="1:20" ht="15.75">
      <c r="A643" s="13">
        <v>61453</v>
      </c>
      <c r="B643" s="41">
        <f t="shared" si="1"/>
        <v>31</v>
      </c>
      <c r="C643" s="32">
        <v>122.58</v>
      </c>
      <c r="D643" s="32">
        <v>297.94099999999997</v>
      </c>
      <c r="E643" s="38">
        <v>729.47900000000004</v>
      </c>
      <c r="F643" s="32">
        <v>1150</v>
      </c>
      <c r="G643" s="32">
        <v>100</v>
      </c>
      <c r="H643" s="40">
        <v>600</v>
      </c>
      <c r="I643" s="32">
        <v>695</v>
      </c>
      <c r="J643" s="32">
        <v>50</v>
      </c>
      <c r="K643" s="33"/>
      <c r="L643" s="33"/>
      <c r="M643" s="33"/>
      <c r="N643" s="33"/>
      <c r="O643" s="33"/>
      <c r="P643" s="33"/>
      <c r="Q643" s="33"/>
      <c r="R643" s="33"/>
      <c r="S643" s="33"/>
      <c r="T643" s="33"/>
    </row>
    <row r="644" spans="1:20" ht="15.75">
      <c r="A644" s="13">
        <v>61483</v>
      </c>
      <c r="B644" s="41">
        <f t="shared" si="1"/>
        <v>30</v>
      </c>
      <c r="C644" s="32">
        <v>141.29300000000001</v>
      </c>
      <c r="D644" s="32">
        <v>267.99299999999999</v>
      </c>
      <c r="E644" s="38">
        <v>829.71400000000006</v>
      </c>
      <c r="F644" s="32">
        <v>1239</v>
      </c>
      <c r="G644" s="32">
        <v>100</v>
      </c>
      <c r="H644" s="40">
        <v>600</v>
      </c>
      <c r="I644" s="32">
        <v>695</v>
      </c>
      <c r="J644" s="32">
        <v>50</v>
      </c>
      <c r="K644" s="33"/>
      <c r="L644" s="33"/>
      <c r="M644" s="33"/>
      <c r="N644" s="33"/>
      <c r="O644" s="33"/>
      <c r="P644" s="33"/>
      <c r="Q644" s="33"/>
      <c r="R644" s="33"/>
      <c r="S644" s="33"/>
      <c r="T644" s="33"/>
    </row>
    <row r="645" spans="1:20" ht="15.75">
      <c r="A645" s="13">
        <v>61514</v>
      </c>
      <c r="B645" s="41">
        <f t="shared" si="1"/>
        <v>31</v>
      </c>
      <c r="C645" s="32">
        <v>194.20500000000001</v>
      </c>
      <c r="D645" s="32">
        <v>267.46600000000001</v>
      </c>
      <c r="E645" s="38">
        <v>812.32899999999995</v>
      </c>
      <c r="F645" s="32">
        <v>1274</v>
      </c>
      <c r="G645" s="32">
        <v>75</v>
      </c>
      <c r="H645" s="40">
        <v>600</v>
      </c>
      <c r="I645" s="32">
        <v>695</v>
      </c>
      <c r="J645" s="32">
        <v>50</v>
      </c>
      <c r="K645" s="33"/>
      <c r="L645" s="33"/>
      <c r="M645" s="33"/>
      <c r="N645" s="33"/>
      <c r="O645" s="33"/>
      <c r="P645" s="33"/>
      <c r="Q645" s="33"/>
      <c r="R645" s="33"/>
      <c r="S645" s="33"/>
      <c r="T645" s="33"/>
    </row>
    <row r="646" spans="1:20" ht="15.75">
      <c r="A646" s="13">
        <v>61544</v>
      </c>
      <c r="B646" s="41">
        <f t="shared" si="1"/>
        <v>30</v>
      </c>
      <c r="C646" s="32">
        <v>194.20500000000001</v>
      </c>
      <c r="D646" s="32">
        <v>267.46600000000001</v>
      </c>
      <c r="E646" s="38">
        <v>812.32899999999995</v>
      </c>
      <c r="F646" s="32">
        <v>1274</v>
      </c>
      <c r="G646" s="32">
        <v>50</v>
      </c>
      <c r="H646" s="40">
        <v>600</v>
      </c>
      <c r="I646" s="32">
        <v>695</v>
      </c>
      <c r="J646" s="32">
        <v>50</v>
      </c>
      <c r="K646" s="33"/>
      <c r="L646" s="33"/>
      <c r="M646" s="33"/>
      <c r="N646" s="33"/>
      <c r="O646" s="33"/>
      <c r="P646" s="33"/>
      <c r="Q646" s="33"/>
      <c r="R646" s="33"/>
      <c r="S646" s="33"/>
      <c r="T646" s="33"/>
    </row>
    <row r="647" spans="1:20" ht="15.75">
      <c r="A647" s="13">
        <v>61575</v>
      </c>
      <c r="B647" s="41">
        <f t="shared" si="1"/>
        <v>31</v>
      </c>
      <c r="C647" s="32">
        <v>194.20500000000001</v>
      </c>
      <c r="D647" s="32">
        <v>267.46600000000001</v>
      </c>
      <c r="E647" s="38">
        <v>812.32899999999995</v>
      </c>
      <c r="F647" s="32">
        <v>1274</v>
      </c>
      <c r="G647" s="32">
        <v>50</v>
      </c>
      <c r="H647" s="40">
        <v>600</v>
      </c>
      <c r="I647" s="32">
        <v>695</v>
      </c>
      <c r="J647" s="32">
        <v>0</v>
      </c>
      <c r="K647" s="33"/>
      <c r="L647" s="33"/>
      <c r="M647" s="33"/>
      <c r="N647" s="33"/>
      <c r="O647" s="33"/>
      <c r="P647" s="33"/>
      <c r="Q647" s="33"/>
      <c r="R647" s="33"/>
      <c r="S647" s="33"/>
      <c r="T647" s="33"/>
    </row>
    <row r="648" spans="1:20" ht="15.75">
      <c r="A648" s="13">
        <v>61606</v>
      </c>
      <c r="B648" s="41">
        <f t="shared" si="1"/>
        <v>31</v>
      </c>
      <c r="C648" s="32">
        <v>194.20500000000001</v>
      </c>
      <c r="D648" s="32">
        <v>267.46600000000001</v>
      </c>
      <c r="E648" s="38">
        <v>812.32899999999995</v>
      </c>
      <c r="F648" s="32">
        <v>1274</v>
      </c>
      <c r="G648" s="32">
        <v>50</v>
      </c>
      <c r="H648" s="40">
        <v>600</v>
      </c>
      <c r="I648" s="32">
        <v>695</v>
      </c>
      <c r="J648" s="32">
        <v>0</v>
      </c>
      <c r="K648" s="33"/>
      <c r="L648" s="33"/>
      <c r="M648" s="33"/>
      <c r="N648" s="33"/>
      <c r="O648" s="33"/>
      <c r="P648" s="33"/>
      <c r="Q648" s="33"/>
      <c r="R648" s="33"/>
      <c r="S648" s="33"/>
      <c r="T648" s="33"/>
    </row>
    <row r="649" spans="1:20" ht="15.75">
      <c r="A649" s="13">
        <v>61636</v>
      </c>
      <c r="B649" s="41">
        <f t="shared" si="1"/>
        <v>30</v>
      </c>
      <c r="C649" s="32">
        <v>194.20500000000001</v>
      </c>
      <c r="D649" s="32">
        <v>267.46600000000001</v>
      </c>
      <c r="E649" s="38">
        <v>812.32899999999995</v>
      </c>
      <c r="F649" s="32">
        <v>1274</v>
      </c>
      <c r="G649" s="32">
        <v>50</v>
      </c>
      <c r="H649" s="40">
        <v>600</v>
      </c>
      <c r="I649" s="32">
        <v>695</v>
      </c>
      <c r="J649" s="32">
        <v>0</v>
      </c>
      <c r="K649" s="33"/>
      <c r="L649" s="33"/>
      <c r="M649" s="33"/>
      <c r="N649" s="33"/>
      <c r="O649" s="33"/>
      <c r="P649" s="33"/>
      <c r="Q649" s="33"/>
      <c r="R649" s="33"/>
      <c r="S649" s="33"/>
      <c r="T649" s="33"/>
    </row>
    <row r="650" spans="1:20" ht="15.75">
      <c r="A650" s="13">
        <v>61667</v>
      </c>
      <c r="B650" s="41">
        <f t="shared" si="1"/>
        <v>31</v>
      </c>
      <c r="C650" s="32">
        <v>131.881</v>
      </c>
      <c r="D650" s="32">
        <v>277.16699999999997</v>
      </c>
      <c r="E650" s="38">
        <v>829.952</v>
      </c>
      <c r="F650" s="32">
        <v>1239</v>
      </c>
      <c r="G650" s="32">
        <v>75</v>
      </c>
      <c r="H650" s="40">
        <v>600</v>
      </c>
      <c r="I650" s="32">
        <v>695</v>
      </c>
      <c r="J650" s="32">
        <v>0</v>
      </c>
      <c r="K650" s="33"/>
      <c r="L650" s="33"/>
      <c r="M650" s="33"/>
      <c r="N650" s="33"/>
      <c r="O650" s="33"/>
      <c r="P650" s="33"/>
      <c r="Q650" s="33"/>
      <c r="R650" s="33"/>
      <c r="S650" s="33"/>
      <c r="T650" s="33"/>
    </row>
    <row r="651" spans="1:20" ht="15.75">
      <c r="A651" s="13">
        <v>61697</v>
      </c>
      <c r="B651" s="41">
        <f t="shared" si="1"/>
        <v>30</v>
      </c>
      <c r="C651" s="32">
        <v>122.58</v>
      </c>
      <c r="D651" s="32">
        <v>297.94099999999997</v>
      </c>
      <c r="E651" s="38">
        <v>729.47900000000004</v>
      </c>
      <c r="F651" s="32">
        <v>1150</v>
      </c>
      <c r="G651" s="32">
        <v>100</v>
      </c>
      <c r="H651" s="40">
        <v>600</v>
      </c>
      <c r="I651" s="32">
        <v>695</v>
      </c>
      <c r="J651" s="32">
        <v>50</v>
      </c>
      <c r="K651" s="33"/>
      <c r="L651" s="33"/>
      <c r="M651" s="33"/>
      <c r="N651" s="33"/>
      <c r="O651" s="33"/>
      <c r="P651" s="33"/>
      <c r="Q651" s="33"/>
      <c r="R651" s="33"/>
      <c r="S651" s="33"/>
      <c r="T651" s="33"/>
    </row>
    <row r="652" spans="1:20" ht="15.75">
      <c r="A652" s="13">
        <v>61728</v>
      </c>
      <c r="B652" s="41">
        <f t="shared" si="1"/>
        <v>31</v>
      </c>
      <c r="C652" s="32">
        <v>122.58</v>
      </c>
      <c r="D652" s="32">
        <v>297.94099999999997</v>
      </c>
      <c r="E652" s="38">
        <v>729.47900000000004</v>
      </c>
      <c r="F652" s="32">
        <v>1150</v>
      </c>
      <c r="G652" s="32">
        <v>100</v>
      </c>
      <c r="H652" s="40">
        <v>600</v>
      </c>
      <c r="I652" s="32">
        <v>695</v>
      </c>
      <c r="J652" s="32">
        <v>50</v>
      </c>
      <c r="K652" s="33"/>
      <c r="L652" s="33"/>
      <c r="M652" s="33"/>
      <c r="N652" s="33"/>
      <c r="O652" s="33"/>
      <c r="P652" s="33"/>
      <c r="Q652" s="33"/>
      <c r="R652" s="33"/>
      <c r="S652" s="33"/>
      <c r="T652" s="33"/>
    </row>
    <row r="653" spans="1:20" ht="15.75">
      <c r="A653" s="13">
        <v>61759</v>
      </c>
      <c r="B653" s="41">
        <f t="shared" si="1"/>
        <v>31</v>
      </c>
      <c r="C653" s="32">
        <v>122.58</v>
      </c>
      <c r="D653" s="32">
        <v>297.94099999999997</v>
      </c>
      <c r="E653" s="38">
        <v>729.47900000000004</v>
      </c>
      <c r="F653" s="32">
        <v>1150</v>
      </c>
      <c r="G653" s="32">
        <v>100</v>
      </c>
      <c r="H653" s="40">
        <v>600</v>
      </c>
      <c r="I653" s="32">
        <v>695</v>
      </c>
      <c r="J653" s="32">
        <v>50</v>
      </c>
      <c r="K653" s="33"/>
      <c r="L653" s="33"/>
      <c r="M653" s="33"/>
      <c r="N653" s="33"/>
      <c r="O653" s="33"/>
      <c r="P653" s="33"/>
      <c r="Q653" s="33"/>
      <c r="R653" s="33"/>
      <c r="S653" s="33"/>
      <c r="T653" s="33"/>
    </row>
    <row r="654" spans="1:20" ht="15.75">
      <c r="A654" s="13">
        <v>61787</v>
      </c>
      <c r="B654" s="41">
        <f t="shared" si="1"/>
        <v>28</v>
      </c>
      <c r="C654" s="32">
        <v>122.58</v>
      </c>
      <c r="D654" s="32">
        <v>297.94099999999997</v>
      </c>
      <c r="E654" s="38">
        <v>729.47900000000004</v>
      </c>
      <c r="F654" s="32">
        <v>1150</v>
      </c>
      <c r="G654" s="32">
        <v>100</v>
      </c>
      <c r="H654" s="40">
        <v>600</v>
      </c>
      <c r="I654" s="32">
        <v>695</v>
      </c>
      <c r="J654" s="32">
        <v>50</v>
      </c>
      <c r="K654" s="33"/>
      <c r="L654" s="33"/>
      <c r="M654" s="33"/>
      <c r="N654" s="33"/>
      <c r="O654" s="33"/>
      <c r="P654" s="33"/>
      <c r="Q654" s="33"/>
      <c r="R654" s="33"/>
      <c r="S654" s="33"/>
      <c r="T654" s="33"/>
    </row>
    <row r="655" spans="1:20" ht="15.75">
      <c r="A655" s="13">
        <v>61818</v>
      </c>
      <c r="B655" s="41">
        <f t="shared" si="1"/>
        <v>31</v>
      </c>
      <c r="C655" s="32">
        <v>122.58</v>
      </c>
      <c r="D655" s="32">
        <v>297.94099999999997</v>
      </c>
      <c r="E655" s="38">
        <v>729.47900000000004</v>
      </c>
      <c r="F655" s="32">
        <v>1150</v>
      </c>
      <c r="G655" s="32">
        <v>100</v>
      </c>
      <c r="H655" s="40">
        <v>600</v>
      </c>
      <c r="I655" s="32">
        <v>695</v>
      </c>
      <c r="J655" s="32">
        <v>50</v>
      </c>
      <c r="K655" s="33"/>
      <c r="L655" s="33"/>
      <c r="M655" s="33"/>
      <c r="N655" s="33"/>
      <c r="O655" s="33"/>
      <c r="P655" s="33"/>
      <c r="Q655" s="33"/>
      <c r="R655" s="33"/>
      <c r="S655" s="33"/>
      <c r="T655" s="33"/>
    </row>
    <row r="656" spans="1:20" ht="15.75">
      <c r="A656" s="13">
        <v>61848</v>
      </c>
      <c r="B656" s="41">
        <f t="shared" si="1"/>
        <v>30</v>
      </c>
      <c r="C656" s="32">
        <v>141.29300000000001</v>
      </c>
      <c r="D656" s="32">
        <v>267.99299999999999</v>
      </c>
      <c r="E656" s="38">
        <v>829.71400000000006</v>
      </c>
      <c r="F656" s="32">
        <v>1239</v>
      </c>
      <c r="G656" s="32">
        <v>100</v>
      </c>
      <c r="H656" s="40">
        <v>600</v>
      </c>
      <c r="I656" s="32">
        <v>695</v>
      </c>
      <c r="J656" s="32">
        <v>50</v>
      </c>
      <c r="K656" s="33"/>
      <c r="L656" s="33"/>
      <c r="M656" s="33"/>
      <c r="N656" s="33"/>
      <c r="O656" s="33"/>
      <c r="P656" s="33"/>
      <c r="Q656" s="33"/>
      <c r="R656" s="33"/>
      <c r="S656" s="33"/>
      <c r="T656" s="33"/>
    </row>
    <row r="657" spans="1:20" ht="15.75">
      <c r="A657" s="13">
        <v>61879</v>
      </c>
      <c r="B657" s="41">
        <f t="shared" si="1"/>
        <v>31</v>
      </c>
      <c r="C657" s="32">
        <v>194.20500000000001</v>
      </c>
      <c r="D657" s="32">
        <v>267.46600000000001</v>
      </c>
      <c r="E657" s="38">
        <v>812.32899999999995</v>
      </c>
      <c r="F657" s="32">
        <v>1274</v>
      </c>
      <c r="G657" s="32">
        <v>75</v>
      </c>
      <c r="H657" s="40">
        <v>600</v>
      </c>
      <c r="I657" s="32">
        <v>695</v>
      </c>
      <c r="J657" s="32">
        <v>50</v>
      </c>
      <c r="K657" s="33"/>
      <c r="L657" s="33"/>
      <c r="M657" s="33"/>
      <c r="N657" s="33"/>
      <c r="O657" s="33"/>
      <c r="P657" s="33"/>
      <c r="Q657" s="33"/>
      <c r="R657" s="33"/>
      <c r="S657" s="33"/>
      <c r="T657" s="33"/>
    </row>
    <row r="658" spans="1:20" ht="15.75">
      <c r="A658" s="13">
        <v>61909</v>
      </c>
      <c r="B658" s="41">
        <f t="shared" si="1"/>
        <v>30</v>
      </c>
      <c r="C658" s="32">
        <v>194.20500000000001</v>
      </c>
      <c r="D658" s="32">
        <v>267.46600000000001</v>
      </c>
      <c r="E658" s="38">
        <v>812.32899999999995</v>
      </c>
      <c r="F658" s="32">
        <v>1274</v>
      </c>
      <c r="G658" s="32">
        <v>50</v>
      </c>
      <c r="H658" s="40">
        <v>600</v>
      </c>
      <c r="I658" s="32">
        <v>695</v>
      </c>
      <c r="J658" s="32">
        <v>50</v>
      </c>
      <c r="K658" s="33"/>
      <c r="L658" s="33"/>
      <c r="M658" s="33"/>
      <c r="N658" s="33"/>
      <c r="O658" s="33"/>
      <c r="P658" s="33"/>
      <c r="Q658" s="33"/>
      <c r="R658" s="33"/>
      <c r="S658" s="33"/>
      <c r="T658" s="33"/>
    </row>
    <row r="659" spans="1:20" ht="15.75">
      <c r="A659" s="13">
        <v>61940</v>
      </c>
      <c r="B659" s="41">
        <f t="shared" si="1"/>
        <v>31</v>
      </c>
      <c r="C659" s="32">
        <v>194.20500000000001</v>
      </c>
      <c r="D659" s="32">
        <v>267.46600000000001</v>
      </c>
      <c r="E659" s="38">
        <v>812.32899999999995</v>
      </c>
      <c r="F659" s="32">
        <v>1274</v>
      </c>
      <c r="G659" s="32">
        <v>50</v>
      </c>
      <c r="H659" s="40">
        <v>600</v>
      </c>
      <c r="I659" s="32">
        <v>695</v>
      </c>
      <c r="J659" s="32">
        <v>0</v>
      </c>
      <c r="K659" s="33"/>
      <c r="L659" s="33"/>
      <c r="M659" s="33"/>
      <c r="N659" s="33"/>
      <c r="O659" s="33"/>
      <c r="P659" s="33"/>
      <c r="Q659" s="33"/>
      <c r="R659" s="33"/>
      <c r="S659" s="33"/>
      <c r="T659" s="33"/>
    </row>
    <row r="660" spans="1:20" ht="15.75">
      <c r="A660" s="13">
        <v>61971</v>
      </c>
      <c r="B660" s="41">
        <f t="shared" si="1"/>
        <v>31</v>
      </c>
      <c r="C660" s="32">
        <v>194.20500000000001</v>
      </c>
      <c r="D660" s="32">
        <v>267.46600000000001</v>
      </c>
      <c r="E660" s="38">
        <v>812.32899999999995</v>
      </c>
      <c r="F660" s="32">
        <v>1274</v>
      </c>
      <c r="G660" s="32">
        <v>50</v>
      </c>
      <c r="H660" s="40">
        <v>600</v>
      </c>
      <c r="I660" s="32">
        <v>695</v>
      </c>
      <c r="J660" s="32">
        <v>0</v>
      </c>
      <c r="K660" s="33"/>
      <c r="L660" s="33"/>
      <c r="M660" s="33"/>
      <c r="N660" s="33"/>
      <c r="O660" s="33"/>
      <c r="P660" s="33"/>
      <c r="Q660" s="33"/>
      <c r="R660" s="33"/>
      <c r="S660" s="33"/>
      <c r="T660" s="33"/>
    </row>
    <row r="661" spans="1:20" ht="15.75">
      <c r="A661" s="13">
        <v>62001</v>
      </c>
      <c r="B661" s="41">
        <f t="shared" si="1"/>
        <v>30</v>
      </c>
      <c r="C661" s="32">
        <v>194.20500000000001</v>
      </c>
      <c r="D661" s="32">
        <v>267.46600000000001</v>
      </c>
      <c r="E661" s="38">
        <v>812.32899999999995</v>
      </c>
      <c r="F661" s="32">
        <v>1274</v>
      </c>
      <c r="G661" s="32">
        <v>50</v>
      </c>
      <c r="H661" s="40">
        <v>600</v>
      </c>
      <c r="I661" s="32">
        <v>695</v>
      </c>
      <c r="J661" s="32">
        <v>0</v>
      </c>
      <c r="K661" s="33"/>
      <c r="L661" s="33"/>
      <c r="M661" s="33"/>
      <c r="N661" s="33"/>
      <c r="O661" s="33"/>
      <c r="P661" s="33"/>
      <c r="Q661" s="33"/>
      <c r="R661" s="33"/>
      <c r="S661" s="33"/>
      <c r="T661" s="33"/>
    </row>
    <row r="662" spans="1:20" ht="15.75">
      <c r="A662" s="13">
        <v>62032</v>
      </c>
      <c r="B662" s="41">
        <f t="shared" si="1"/>
        <v>31</v>
      </c>
      <c r="C662" s="32">
        <v>131.881</v>
      </c>
      <c r="D662" s="32">
        <v>277.16699999999997</v>
      </c>
      <c r="E662" s="38">
        <v>829.952</v>
      </c>
      <c r="F662" s="32">
        <v>1239</v>
      </c>
      <c r="G662" s="32">
        <v>75</v>
      </c>
      <c r="H662" s="40">
        <v>600</v>
      </c>
      <c r="I662" s="32">
        <v>695</v>
      </c>
      <c r="J662" s="32">
        <v>0</v>
      </c>
      <c r="K662" s="33"/>
      <c r="L662" s="33"/>
      <c r="M662" s="33"/>
      <c r="N662" s="33"/>
      <c r="O662" s="33"/>
      <c r="P662" s="33"/>
      <c r="Q662" s="33"/>
      <c r="R662" s="33"/>
      <c r="S662" s="33"/>
      <c r="T662" s="33"/>
    </row>
    <row r="663" spans="1:20" ht="15.75">
      <c r="A663" s="13">
        <v>62062</v>
      </c>
      <c r="B663" s="41">
        <f t="shared" si="1"/>
        <v>30</v>
      </c>
      <c r="C663" s="32">
        <v>122.58</v>
      </c>
      <c r="D663" s="32">
        <v>297.94099999999997</v>
      </c>
      <c r="E663" s="38">
        <v>729.47900000000004</v>
      </c>
      <c r="F663" s="32">
        <v>1150</v>
      </c>
      <c r="G663" s="32">
        <v>100</v>
      </c>
      <c r="H663" s="40">
        <v>600</v>
      </c>
      <c r="I663" s="32">
        <v>695</v>
      </c>
      <c r="J663" s="32">
        <v>50</v>
      </c>
      <c r="K663" s="33"/>
      <c r="L663" s="33"/>
      <c r="M663" s="33"/>
      <c r="N663" s="33"/>
      <c r="O663" s="33"/>
      <c r="P663" s="33"/>
      <c r="Q663" s="33"/>
      <c r="R663" s="33"/>
      <c r="S663" s="33"/>
      <c r="T663" s="33"/>
    </row>
    <row r="664" spans="1:20" ht="15.75">
      <c r="A664" s="13">
        <v>62093</v>
      </c>
      <c r="B664" s="41">
        <f t="shared" si="1"/>
        <v>31</v>
      </c>
      <c r="C664" s="32">
        <v>122.58</v>
      </c>
      <c r="D664" s="32">
        <v>297.94099999999997</v>
      </c>
      <c r="E664" s="38">
        <v>729.47900000000004</v>
      </c>
      <c r="F664" s="32">
        <v>1150</v>
      </c>
      <c r="G664" s="32">
        <v>100</v>
      </c>
      <c r="H664" s="40">
        <v>600</v>
      </c>
      <c r="I664" s="32">
        <v>695</v>
      </c>
      <c r="J664" s="32">
        <v>50</v>
      </c>
      <c r="K664" s="33"/>
      <c r="L664" s="33"/>
      <c r="M664" s="33"/>
      <c r="N664" s="33"/>
      <c r="O664" s="33"/>
      <c r="P664" s="33"/>
      <c r="Q664" s="33"/>
      <c r="R664" s="33"/>
      <c r="S664" s="33"/>
      <c r="T664" s="33"/>
    </row>
    <row r="665" spans="1:20" ht="15.75">
      <c r="A665" s="13">
        <v>62124</v>
      </c>
      <c r="B665" s="41">
        <f t="shared" si="1"/>
        <v>31</v>
      </c>
      <c r="C665" s="32">
        <v>122.58</v>
      </c>
      <c r="D665" s="32">
        <v>297.94099999999997</v>
      </c>
      <c r="E665" s="38">
        <v>729.47900000000004</v>
      </c>
      <c r="F665" s="32">
        <v>1150</v>
      </c>
      <c r="G665" s="32">
        <v>100</v>
      </c>
      <c r="H665" s="40">
        <v>600</v>
      </c>
      <c r="I665" s="32">
        <v>695</v>
      </c>
      <c r="J665" s="32">
        <v>50</v>
      </c>
      <c r="K665" s="33"/>
      <c r="L665" s="33"/>
      <c r="M665" s="33"/>
      <c r="N665" s="33"/>
      <c r="O665" s="33"/>
      <c r="P665" s="33"/>
      <c r="Q665" s="33"/>
      <c r="R665" s="33"/>
      <c r="S665" s="33"/>
      <c r="T665" s="33"/>
    </row>
    <row r="666" spans="1:20" ht="15.75">
      <c r="A666" s="13">
        <v>62152</v>
      </c>
      <c r="B666" s="41">
        <f t="shared" si="1"/>
        <v>28</v>
      </c>
      <c r="C666" s="32">
        <v>122.58</v>
      </c>
      <c r="D666" s="32">
        <v>297.94099999999997</v>
      </c>
      <c r="E666" s="38">
        <v>729.47900000000004</v>
      </c>
      <c r="F666" s="32">
        <v>1150</v>
      </c>
      <c r="G666" s="32">
        <v>100</v>
      </c>
      <c r="H666" s="40">
        <v>600</v>
      </c>
      <c r="I666" s="32">
        <v>695</v>
      </c>
      <c r="J666" s="32">
        <v>50</v>
      </c>
      <c r="K666" s="33"/>
      <c r="L666" s="33"/>
      <c r="M666" s="33"/>
      <c r="N666" s="33"/>
      <c r="O666" s="33"/>
      <c r="P666" s="33"/>
      <c r="Q666" s="33"/>
      <c r="R666" s="33"/>
      <c r="S666" s="33"/>
      <c r="T666" s="33"/>
    </row>
    <row r="667" spans="1:20" ht="15.75">
      <c r="A667" s="13">
        <v>62183</v>
      </c>
      <c r="B667" s="41">
        <f t="shared" si="1"/>
        <v>31</v>
      </c>
      <c r="C667" s="32">
        <v>122.58</v>
      </c>
      <c r="D667" s="32">
        <v>297.94099999999997</v>
      </c>
      <c r="E667" s="38">
        <v>729.47900000000004</v>
      </c>
      <c r="F667" s="32">
        <v>1150</v>
      </c>
      <c r="G667" s="32">
        <v>100</v>
      </c>
      <c r="H667" s="40">
        <v>600</v>
      </c>
      <c r="I667" s="32">
        <v>695</v>
      </c>
      <c r="J667" s="32">
        <v>50</v>
      </c>
      <c r="K667" s="33"/>
      <c r="L667" s="33"/>
      <c r="M667" s="33"/>
      <c r="N667" s="33"/>
      <c r="O667" s="33"/>
      <c r="P667" s="33"/>
      <c r="Q667" s="33"/>
      <c r="R667" s="33"/>
      <c r="S667" s="33"/>
      <c r="T667" s="33"/>
    </row>
    <row r="668" spans="1:20" ht="15.75">
      <c r="A668" s="13">
        <v>62213</v>
      </c>
      <c r="B668" s="41">
        <f t="shared" si="1"/>
        <v>30</v>
      </c>
      <c r="C668" s="32">
        <v>141.29300000000001</v>
      </c>
      <c r="D668" s="32">
        <v>267.99299999999999</v>
      </c>
      <c r="E668" s="38">
        <v>829.71400000000006</v>
      </c>
      <c r="F668" s="32">
        <v>1239</v>
      </c>
      <c r="G668" s="32">
        <v>100</v>
      </c>
      <c r="H668" s="40">
        <v>600</v>
      </c>
      <c r="I668" s="32">
        <v>695</v>
      </c>
      <c r="J668" s="32">
        <v>50</v>
      </c>
      <c r="K668" s="33"/>
      <c r="L668" s="33"/>
      <c r="M668" s="33"/>
      <c r="N668" s="33"/>
      <c r="O668" s="33"/>
      <c r="P668" s="33"/>
      <c r="Q668" s="33"/>
      <c r="R668" s="33"/>
      <c r="S668" s="33"/>
      <c r="T668" s="33"/>
    </row>
    <row r="669" spans="1:20" ht="15.75">
      <c r="A669" s="13">
        <v>62244</v>
      </c>
      <c r="B669" s="41">
        <f t="shared" si="1"/>
        <v>31</v>
      </c>
      <c r="C669" s="32">
        <v>194.20500000000001</v>
      </c>
      <c r="D669" s="32">
        <v>267.46600000000001</v>
      </c>
      <c r="E669" s="38">
        <v>812.32899999999995</v>
      </c>
      <c r="F669" s="32">
        <v>1274</v>
      </c>
      <c r="G669" s="32">
        <v>75</v>
      </c>
      <c r="H669" s="40">
        <v>600</v>
      </c>
      <c r="I669" s="32">
        <v>695</v>
      </c>
      <c r="J669" s="32">
        <v>50</v>
      </c>
      <c r="K669" s="33"/>
      <c r="L669" s="33"/>
      <c r="M669" s="33"/>
      <c r="N669" s="33"/>
      <c r="O669" s="33"/>
      <c r="P669" s="33"/>
      <c r="Q669" s="33"/>
      <c r="R669" s="33"/>
      <c r="S669" s="33"/>
      <c r="T669" s="33"/>
    </row>
    <row r="670" spans="1:20" ht="15.75">
      <c r="A670" s="13">
        <v>62274</v>
      </c>
      <c r="B670" s="41">
        <f t="shared" si="1"/>
        <v>30</v>
      </c>
      <c r="C670" s="32">
        <v>194.20500000000001</v>
      </c>
      <c r="D670" s="32">
        <v>267.46600000000001</v>
      </c>
      <c r="E670" s="38">
        <v>812.32899999999995</v>
      </c>
      <c r="F670" s="32">
        <v>1274</v>
      </c>
      <c r="G670" s="32">
        <v>50</v>
      </c>
      <c r="H670" s="40">
        <v>600</v>
      </c>
      <c r="I670" s="32">
        <v>695</v>
      </c>
      <c r="J670" s="32">
        <v>50</v>
      </c>
      <c r="K670" s="33"/>
      <c r="L670" s="33"/>
      <c r="M670" s="33"/>
      <c r="N670" s="33"/>
      <c r="O670" s="33"/>
      <c r="P670" s="33"/>
      <c r="Q670" s="33"/>
      <c r="R670" s="33"/>
      <c r="S670" s="33"/>
      <c r="T670" s="33"/>
    </row>
    <row r="671" spans="1:20" ht="15.75">
      <c r="A671" s="13">
        <v>62305</v>
      </c>
      <c r="B671" s="41">
        <f t="shared" si="1"/>
        <v>31</v>
      </c>
      <c r="C671" s="32">
        <v>194.20500000000001</v>
      </c>
      <c r="D671" s="32">
        <v>267.46600000000001</v>
      </c>
      <c r="E671" s="38">
        <v>812.32899999999995</v>
      </c>
      <c r="F671" s="32">
        <v>1274</v>
      </c>
      <c r="G671" s="32">
        <v>50</v>
      </c>
      <c r="H671" s="40">
        <v>600</v>
      </c>
      <c r="I671" s="32">
        <v>695</v>
      </c>
      <c r="J671" s="32">
        <v>0</v>
      </c>
      <c r="K671" s="33"/>
      <c r="L671" s="33"/>
      <c r="M671" s="33"/>
      <c r="N671" s="33"/>
      <c r="O671" s="33"/>
      <c r="P671" s="33"/>
      <c r="Q671" s="33"/>
      <c r="R671" s="33"/>
      <c r="S671" s="33"/>
      <c r="T671" s="33"/>
    </row>
    <row r="672" spans="1:20" ht="15.75">
      <c r="A672" s="13">
        <v>62336</v>
      </c>
      <c r="B672" s="41">
        <f t="shared" si="1"/>
        <v>31</v>
      </c>
      <c r="C672" s="32">
        <v>194.20500000000001</v>
      </c>
      <c r="D672" s="32">
        <v>267.46600000000001</v>
      </c>
      <c r="E672" s="38">
        <v>812.32899999999995</v>
      </c>
      <c r="F672" s="32">
        <v>1274</v>
      </c>
      <c r="G672" s="32">
        <v>50</v>
      </c>
      <c r="H672" s="40">
        <v>600</v>
      </c>
      <c r="I672" s="32">
        <v>695</v>
      </c>
      <c r="J672" s="32">
        <v>0</v>
      </c>
      <c r="K672" s="33"/>
      <c r="L672" s="33"/>
      <c r="M672" s="33"/>
      <c r="N672" s="33"/>
      <c r="O672" s="33"/>
      <c r="P672" s="33"/>
      <c r="Q672" s="33"/>
      <c r="R672" s="33"/>
      <c r="S672" s="33"/>
      <c r="T672" s="33"/>
    </row>
    <row r="673" spans="1:20" ht="15.75">
      <c r="A673" s="13">
        <v>62366</v>
      </c>
      <c r="B673" s="41">
        <f t="shared" si="1"/>
        <v>30</v>
      </c>
      <c r="C673" s="32">
        <v>194.20500000000001</v>
      </c>
      <c r="D673" s="32">
        <v>267.46600000000001</v>
      </c>
      <c r="E673" s="38">
        <v>812.32899999999995</v>
      </c>
      <c r="F673" s="32">
        <v>1274</v>
      </c>
      <c r="G673" s="32">
        <v>50</v>
      </c>
      <c r="H673" s="40">
        <v>600</v>
      </c>
      <c r="I673" s="32">
        <v>695</v>
      </c>
      <c r="J673" s="32">
        <v>0</v>
      </c>
      <c r="K673" s="33"/>
      <c r="L673" s="33"/>
      <c r="M673" s="33"/>
      <c r="N673" s="33"/>
      <c r="O673" s="33"/>
      <c r="P673" s="33"/>
      <c r="Q673" s="33"/>
      <c r="R673" s="33"/>
      <c r="S673" s="33"/>
      <c r="T673" s="33"/>
    </row>
    <row r="674" spans="1:20" ht="15.75">
      <c r="A674" s="13">
        <v>62397</v>
      </c>
      <c r="B674" s="41">
        <f t="shared" si="1"/>
        <v>31</v>
      </c>
      <c r="C674" s="32">
        <v>131.881</v>
      </c>
      <c r="D674" s="32">
        <v>277.16699999999997</v>
      </c>
      <c r="E674" s="38">
        <v>829.952</v>
      </c>
      <c r="F674" s="32">
        <v>1239</v>
      </c>
      <c r="G674" s="32">
        <v>75</v>
      </c>
      <c r="H674" s="40">
        <v>600</v>
      </c>
      <c r="I674" s="32">
        <v>695</v>
      </c>
      <c r="J674" s="32">
        <v>0</v>
      </c>
      <c r="K674" s="33"/>
      <c r="L674" s="33"/>
      <c r="M674" s="33"/>
      <c r="N674" s="33"/>
      <c r="O674" s="33"/>
      <c r="P674" s="33"/>
      <c r="Q674" s="33"/>
      <c r="R674" s="33"/>
      <c r="S674" s="33"/>
      <c r="T674" s="33"/>
    </row>
    <row r="675" spans="1:20" ht="15.75">
      <c r="A675" s="13">
        <v>62427</v>
      </c>
      <c r="B675" s="41">
        <f t="shared" si="1"/>
        <v>30</v>
      </c>
      <c r="C675" s="32">
        <v>122.58</v>
      </c>
      <c r="D675" s="32">
        <v>297.94099999999997</v>
      </c>
      <c r="E675" s="38">
        <v>729.47900000000004</v>
      </c>
      <c r="F675" s="32">
        <v>1150</v>
      </c>
      <c r="G675" s="32">
        <v>100</v>
      </c>
      <c r="H675" s="40">
        <v>600</v>
      </c>
      <c r="I675" s="32">
        <v>695</v>
      </c>
      <c r="J675" s="32">
        <v>50</v>
      </c>
      <c r="K675" s="33"/>
      <c r="L675" s="33"/>
      <c r="M675" s="33"/>
      <c r="N675" s="33"/>
      <c r="O675" s="33"/>
      <c r="P675" s="33"/>
      <c r="Q675" s="33"/>
      <c r="R675" s="33"/>
      <c r="S675" s="33"/>
      <c r="T675" s="33"/>
    </row>
    <row r="676" spans="1:20" ht="15.75">
      <c r="A676" s="13">
        <v>62458</v>
      </c>
      <c r="B676" s="41">
        <f t="shared" si="1"/>
        <v>31</v>
      </c>
      <c r="C676" s="32">
        <v>122.58</v>
      </c>
      <c r="D676" s="32">
        <v>297.94099999999997</v>
      </c>
      <c r="E676" s="38">
        <v>729.47900000000004</v>
      </c>
      <c r="F676" s="32">
        <v>1150</v>
      </c>
      <c r="G676" s="32">
        <v>100</v>
      </c>
      <c r="H676" s="40">
        <v>600</v>
      </c>
      <c r="I676" s="32">
        <v>695</v>
      </c>
      <c r="J676" s="32">
        <v>50</v>
      </c>
      <c r="K676" s="33"/>
      <c r="L676" s="33"/>
      <c r="M676" s="33"/>
      <c r="N676" s="33"/>
      <c r="O676" s="33"/>
      <c r="P676" s="33"/>
      <c r="Q676" s="33"/>
      <c r="R676" s="33"/>
      <c r="S676" s="33"/>
      <c r="T676" s="33"/>
    </row>
    <row r="677" spans="1:20" ht="15.75">
      <c r="A677" s="13">
        <v>62489</v>
      </c>
      <c r="B677" s="41">
        <f t="shared" si="1"/>
        <v>31</v>
      </c>
      <c r="C677" s="32">
        <v>122.58</v>
      </c>
      <c r="D677" s="32">
        <v>297.94099999999997</v>
      </c>
      <c r="E677" s="38">
        <v>729.47900000000004</v>
      </c>
      <c r="F677" s="32">
        <v>1150</v>
      </c>
      <c r="G677" s="32">
        <v>100</v>
      </c>
      <c r="H677" s="40">
        <v>600</v>
      </c>
      <c r="I677" s="32">
        <v>695</v>
      </c>
      <c r="J677" s="32">
        <v>50</v>
      </c>
      <c r="K677" s="33"/>
      <c r="L677" s="33"/>
      <c r="M677" s="33"/>
      <c r="N677" s="33"/>
      <c r="O677" s="33"/>
      <c r="P677" s="33"/>
      <c r="Q677" s="33"/>
      <c r="R677" s="33"/>
      <c r="S677" s="33"/>
      <c r="T677" s="33"/>
    </row>
    <row r="678" spans="1:20" ht="15.75">
      <c r="A678" s="13">
        <v>62517</v>
      </c>
      <c r="B678" s="41">
        <f t="shared" si="1"/>
        <v>28</v>
      </c>
      <c r="C678" s="32">
        <v>122.58</v>
      </c>
      <c r="D678" s="32">
        <v>297.94099999999997</v>
      </c>
      <c r="E678" s="38">
        <v>729.47900000000004</v>
      </c>
      <c r="F678" s="32">
        <v>1150</v>
      </c>
      <c r="G678" s="32">
        <v>100</v>
      </c>
      <c r="H678" s="40">
        <v>600</v>
      </c>
      <c r="I678" s="32">
        <v>695</v>
      </c>
      <c r="J678" s="32">
        <v>50</v>
      </c>
      <c r="K678" s="33"/>
      <c r="L678" s="33"/>
      <c r="M678" s="33"/>
      <c r="N678" s="33"/>
      <c r="O678" s="33"/>
      <c r="P678" s="33"/>
      <c r="Q678" s="33"/>
      <c r="R678" s="33"/>
      <c r="S678" s="33"/>
      <c r="T678" s="33"/>
    </row>
    <row r="679" spans="1:20" ht="15.75">
      <c r="A679" s="13">
        <v>62548</v>
      </c>
      <c r="B679" s="41">
        <f t="shared" si="1"/>
        <v>31</v>
      </c>
      <c r="C679" s="32">
        <v>122.58</v>
      </c>
      <c r="D679" s="32">
        <v>297.94099999999997</v>
      </c>
      <c r="E679" s="38">
        <v>729.47900000000004</v>
      </c>
      <c r="F679" s="32">
        <v>1150</v>
      </c>
      <c r="G679" s="32">
        <v>100</v>
      </c>
      <c r="H679" s="40">
        <v>600</v>
      </c>
      <c r="I679" s="32">
        <v>695</v>
      </c>
      <c r="J679" s="32">
        <v>50</v>
      </c>
      <c r="K679" s="33"/>
      <c r="L679" s="33"/>
      <c r="M679" s="33"/>
      <c r="N679" s="33"/>
      <c r="O679" s="33"/>
      <c r="P679" s="33"/>
      <c r="Q679" s="33"/>
      <c r="R679" s="33"/>
      <c r="S679" s="33"/>
      <c r="T679" s="33"/>
    </row>
    <row r="680" spans="1:20" ht="15.75">
      <c r="A680" s="13">
        <v>62578</v>
      </c>
      <c r="B680" s="41">
        <f t="shared" si="1"/>
        <v>30</v>
      </c>
      <c r="C680" s="32">
        <v>141.29300000000001</v>
      </c>
      <c r="D680" s="32">
        <v>267.99299999999999</v>
      </c>
      <c r="E680" s="38">
        <v>829.71400000000006</v>
      </c>
      <c r="F680" s="32">
        <v>1239</v>
      </c>
      <c r="G680" s="32">
        <v>100</v>
      </c>
      <c r="H680" s="40">
        <v>600</v>
      </c>
      <c r="I680" s="32">
        <v>695</v>
      </c>
      <c r="J680" s="32">
        <v>50</v>
      </c>
      <c r="K680" s="33"/>
      <c r="L680" s="33"/>
      <c r="M680" s="33"/>
      <c r="N680" s="33"/>
      <c r="O680" s="33"/>
      <c r="P680" s="33"/>
      <c r="Q680" s="33"/>
      <c r="R680" s="33"/>
      <c r="S680" s="33"/>
      <c r="T680" s="33"/>
    </row>
    <row r="681" spans="1:20" ht="15.75">
      <c r="A681" s="13">
        <v>62609</v>
      </c>
      <c r="B681" s="41">
        <f t="shared" si="1"/>
        <v>31</v>
      </c>
      <c r="C681" s="32">
        <v>194.20500000000001</v>
      </c>
      <c r="D681" s="32">
        <v>267.46600000000001</v>
      </c>
      <c r="E681" s="38">
        <v>812.32899999999995</v>
      </c>
      <c r="F681" s="32">
        <v>1274</v>
      </c>
      <c r="G681" s="32">
        <v>75</v>
      </c>
      <c r="H681" s="40">
        <v>600</v>
      </c>
      <c r="I681" s="32">
        <v>695</v>
      </c>
      <c r="J681" s="32">
        <v>50</v>
      </c>
      <c r="K681" s="33"/>
      <c r="L681" s="33"/>
      <c r="M681" s="33"/>
      <c r="N681" s="33"/>
      <c r="O681" s="33"/>
      <c r="P681" s="33"/>
      <c r="Q681" s="33"/>
      <c r="R681" s="33"/>
      <c r="S681" s="33"/>
      <c r="T681" s="33"/>
    </row>
    <row r="682" spans="1:20" ht="15.75">
      <c r="A682" s="13">
        <v>62639</v>
      </c>
      <c r="B682" s="41">
        <f t="shared" si="1"/>
        <v>30</v>
      </c>
      <c r="C682" s="32">
        <v>194.20500000000001</v>
      </c>
      <c r="D682" s="32">
        <v>267.46600000000001</v>
      </c>
      <c r="E682" s="38">
        <v>812.32899999999995</v>
      </c>
      <c r="F682" s="32">
        <v>1274</v>
      </c>
      <c r="G682" s="32">
        <v>50</v>
      </c>
      <c r="H682" s="40">
        <v>600</v>
      </c>
      <c r="I682" s="32">
        <v>695</v>
      </c>
      <c r="J682" s="32">
        <v>50</v>
      </c>
      <c r="K682" s="33"/>
      <c r="L682" s="33"/>
      <c r="M682" s="33"/>
      <c r="N682" s="33"/>
      <c r="O682" s="33"/>
      <c r="P682" s="33"/>
      <c r="Q682" s="33"/>
      <c r="R682" s="33"/>
      <c r="S682" s="33"/>
      <c r="T682" s="33"/>
    </row>
    <row r="683" spans="1:20" ht="15.75">
      <c r="A683" s="13">
        <v>62670</v>
      </c>
      <c r="B683" s="41">
        <f t="shared" si="1"/>
        <v>31</v>
      </c>
      <c r="C683" s="32">
        <v>194.20500000000001</v>
      </c>
      <c r="D683" s="32">
        <v>267.46600000000001</v>
      </c>
      <c r="E683" s="38">
        <v>812.32899999999995</v>
      </c>
      <c r="F683" s="32">
        <v>1274</v>
      </c>
      <c r="G683" s="32">
        <v>50</v>
      </c>
      <c r="H683" s="40">
        <v>600</v>
      </c>
      <c r="I683" s="32">
        <v>695</v>
      </c>
      <c r="J683" s="32">
        <v>0</v>
      </c>
      <c r="K683" s="33"/>
      <c r="L683" s="33"/>
      <c r="M683" s="33"/>
      <c r="N683" s="33"/>
      <c r="O683" s="33"/>
      <c r="P683" s="33"/>
      <c r="Q683" s="33"/>
      <c r="R683" s="33"/>
      <c r="S683" s="33"/>
      <c r="T683" s="33"/>
    </row>
    <row r="684" spans="1:20" ht="15.75">
      <c r="A684" s="13">
        <v>62701</v>
      </c>
      <c r="B684" s="41">
        <f t="shared" si="1"/>
        <v>31</v>
      </c>
      <c r="C684" s="32">
        <v>194.20500000000001</v>
      </c>
      <c r="D684" s="32">
        <v>267.46600000000001</v>
      </c>
      <c r="E684" s="38">
        <v>812.32899999999995</v>
      </c>
      <c r="F684" s="32">
        <v>1274</v>
      </c>
      <c r="G684" s="32">
        <v>50</v>
      </c>
      <c r="H684" s="40">
        <v>600</v>
      </c>
      <c r="I684" s="32">
        <v>695</v>
      </c>
      <c r="J684" s="32">
        <v>0</v>
      </c>
      <c r="K684" s="33"/>
      <c r="L684" s="33"/>
      <c r="M684" s="33"/>
      <c r="N684" s="33"/>
      <c r="O684" s="33"/>
      <c r="P684" s="33"/>
      <c r="Q684" s="33"/>
      <c r="R684" s="33"/>
      <c r="S684" s="33"/>
      <c r="T684" s="33"/>
    </row>
    <row r="685" spans="1:20" ht="15.75">
      <c r="A685" s="13">
        <v>62731</v>
      </c>
      <c r="B685" s="41">
        <f t="shared" si="1"/>
        <v>30</v>
      </c>
      <c r="C685" s="32">
        <v>194.20500000000001</v>
      </c>
      <c r="D685" s="32">
        <v>267.46600000000001</v>
      </c>
      <c r="E685" s="38">
        <v>812.32899999999995</v>
      </c>
      <c r="F685" s="32">
        <v>1274</v>
      </c>
      <c r="G685" s="32">
        <v>50</v>
      </c>
      <c r="H685" s="40">
        <v>600</v>
      </c>
      <c r="I685" s="32">
        <v>695</v>
      </c>
      <c r="J685" s="32">
        <v>0</v>
      </c>
      <c r="K685" s="33"/>
      <c r="L685" s="33"/>
      <c r="M685" s="33"/>
      <c r="N685" s="33"/>
      <c r="O685" s="33"/>
      <c r="P685" s="33"/>
      <c r="Q685" s="33"/>
      <c r="R685" s="33"/>
      <c r="S685" s="33"/>
      <c r="T685" s="33"/>
    </row>
    <row r="686" spans="1:20" ht="15.75">
      <c r="A686" s="13">
        <v>62762</v>
      </c>
      <c r="B686" s="41">
        <f t="shared" si="1"/>
        <v>31</v>
      </c>
      <c r="C686" s="32">
        <v>131.881</v>
      </c>
      <c r="D686" s="32">
        <v>277.16699999999997</v>
      </c>
      <c r="E686" s="38">
        <v>829.952</v>
      </c>
      <c r="F686" s="32">
        <v>1239</v>
      </c>
      <c r="G686" s="32">
        <v>75</v>
      </c>
      <c r="H686" s="40">
        <v>600</v>
      </c>
      <c r="I686" s="32">
        <v>695</v>
      </c>
      <c r="J686" s="32">
        <v>0</v>
      </c>
      <c r="K686" s="33"/>
      <c r="L686" s="33"/>
      <c r="M686" s="33"/>
      <c r="N686" s="33"/>
      <c r="O686" s="33"/>
      <c r="P686" s="33"/>
      <c r="Q686" s="33"/>
      <c r="R686" s="33"/>
      <c r="S686" s="33"/>
      <c r="T686" s="33"/>
    </row>
    <row r="687" spans="1:20" ht="15.75">
      <c r="A687" s="13">
        <v>62792</v>
      </c>
      <c r="B687" s="41">
        <f t="shared" si="1"/>
        <v>30</v>
      </c>
      <c r="C687" s="32">
        <v>122.58</v>
      </c>
      <c r="D687" s="32">
        <v>297.94099999999997</v>
      </c>
      <c r="E687" s="38">
        <v>729.47900000000004</v>
      </c>
      <c r="F687" s="32">
        <v>1150</v>
      </c>
      <c r="G687" s="32">
        <v>100</v>
      </c>
      <c r="H687" s="40">
        <v>600</v>
      </c>
      <c r="I687" s="32">
        <v>695</v>
      </c>
      <c r="J687" s="32">
        <v>50</v>
      </c>
      <c r="K687" s="33"/>
      <c r="L687" s="33"/>
      <c r="M687" s="33"/>
      <c r="N687" s="33"/>
      <c r="O687" s="33"/>
      <c r="P687" s="33"/>
      <c r="Q687" s="33"/>
      <c r="R687" s="33"/>
      <c r="S687" s="33"/>
      <c r="T687" s="33"/>
    </row>
    <row r="688" spans="1:20" ht="15.75">
      <c r="A688" s="13">
        <v>62823</v>
      </c>
      <c r="B688" s="41">
        <f t="shared" si="1"/>
        <v>31</v>
      </c>
      <c r="C688" s="32">
        <v>122.58</v>
      </c>
      <c r="D688" s="32">
        <v>297.94099999999997</v>
      </c>
      <c r="E688" s="38">
        <v>729.47900000000004</v>
      </c>
      <c r="F688" s="32">
        <v>1150</v>
      </c>
      <c r="G688" s="32">
        <v>100</v>
      </c>
      <c r="H688" s="40">
        <v>600</v>
      </c>
      <c r="I688" s="32">
        <v>695</v>
      </c>
      <c r="J688" s="32">
        <v>50</v>
      </c>
      <c r="K688" s="33"/>
      <c r="L688" s="33"/>
      <c r="M688" s="33"/>
      <c r="N688" s="33"/>
      <c r="O688" s="33"/>
      <c r="P688" s="33"/>
      <c r="Q688" s="33"/>
      <c r="R688" s="33"/>
      <c r="S688" s="33"/>
      <c r="T688" s="33"/>
    </row>
    <row r="689" spans="1:20" ht="15.75">
      <c r="A689" s="13">
        <v>62854</v>
      </c>
      <c r="B689" s="41">
        <f t="shared" si="1"/>
        <v>31</v>
      </c>
      <c r="C689" s="32">
        <v>122.58</v>
      </c>
      <c r="D689" s="32">
        <v>297.94099999999997</v>
      </c>
      <c r="E689" s="38">
        <v>729.47900000000004</v>
      </c>
      <c r="F689" s="32">
        <v>1150</v>
      </c>
      <c r="G689" s="32">
        <v>100</v>
      </c>
      <c r="H689" s="40">
        <v>600</v>
      </c>
      <c r="I689" s="32">
        <v>695</v>
      </c>
      <c r="J689" s="32">
        <v>50</v>
      </c>
      <c r="K689" s="33"/>
      <c r="L689" s="33"/>
      <c r="M689" s="33"/>
      <c r="N689" s="33"/>
      <c r="O689" s="33"/>
      <c r="P689" s="33"/>
      <c r="Q689" s="33"/>
      <c r="R689" s="33"/>
      <c r="S689" s="33"/>
      <c r="T689" s="33"/>
    </row>
    <row r="690" spans="1:20" ht="15.75">
      <c r="A690" s="13">
        <v>62883</v>
      </c>
      <c r="B690" s="41">
        <f t="shared" si="1"/>
        <v>29</v>
      </c>
      <c r="C690" s="32">
        <v>122.58</v>
      </c>
      <c r="D690" s="32">
        <v>297.94099999999997</v>
      </c>
      <c r="E690" s="38">
        <v>729.47900000000004</v>
      </c>
      <c r="F690" s="32">
        <v>1150</v>
      </c>
      <c r="G690" s="32">
        <v>100</v>
      </c>
      <c r="H690" s="40">
        <v>600</v>
      </c>
      <c r="I690" s="32">
        <v>695</v>
      </c>
      <c r="J690" s="32">
        <v>50</v>
      </c>
      <c r="K690" s="33"/>
      <c r="L690" s="33"/>
      <c r="M690" s="33"/>
      <c r="N690" s="33"/>
      <c r="O690" s="33"/>
      <c r="P690" s="33"/>
      <c r="Q690" s="33"/>
      <c r="R690" s="33"/>
      <c r="S690" s="33"/>
      <c r="T690" s="33"/>
    </row>
    <row r="691" spans="1:20" ht="15.75">
      <c r="A691" s="13">
        <v>62914</v>
      </c>
      <c r="B691" s="41">
        <f t="shared" si="1"/>
        <v>31</v>
      </c>
      <c r="C691" s="32">
        <v>122.58</v>
      </c>
      <c r="D691" s="32">
        <v>297.94099999999997</v>
      </c>
      <c r="E691" s="38">
        <v>729.47900000000004</v>
      </c>
      <c r="F691" s="32">
        <v>1150</v>
      </c>
      <c r="G691" s="32">
        <v>100</v>
      </c>
      <c r="H691" s="40">
        <v>600</v>
      </c>
      <c r="I691" s="32">
        <v>695</v>
      </c>
      <c r="J691" s="32">
        <v>50</v>
      </c>
      <c r="K691" s="33"/>
      <c r="L691" s="33"/>
      <c r="M691" s="33"/>
      <c r="N691" s="33"/>
      <c r="O691" s="33"/>
      <c r="P691" s="33"/>
      <c r="Q691" s="33"/>
      <c r="R691" s="33"/>
      <c r="S691" s="33"/>
      <c r="T691" s="33"/>
    </row>
    <row r="692" spans="1:20" ht="15.75">
      <c r="A692" s="13">
        <v>62944</v>
      </c>
      <c r="B692" s="41">
        <f t="shared" si="1"/>
        <v>30</v>
      </c>
      <c r="C692" s="32">
        <v>141.29300000000001</v>
      </c>
      <c r="D692" s="32">
        <v>267.99299999999999</v>
      </c>
      <c r="E692" s="38">
        <v>829.71400000000006</v>
      </c>
      <c r="F692" s="32">
        <v>1239</v>
      </c>
      <c r="G692" s="32">
        <v>100</v>
      </c>
      <c r="H692" s="40">
        <v>600</v>
      </c>
      <c r="I692" s="32">
        <v>695</v>
      </c>
      <c r="J692" s="32">
        <v>50</v>
      </c>
      <c r="K692" s="33"/>
      <c r="L692" s="33"/>
      <c r="M692" s="33"/>
      <c r="N692" s="33"/>
      <c r="O692" s="33"/>
      <c r="P692" s="33"/>
      <c r="Q692" s="33"/>
      <c r="R692" s="33"/>
      <c r="S692" s="33"/>
      <c r="T692" s="33"/>
    </row>
    <row r="693" spans="1:20" ht="15.75">
      <c r="A693" s="13">
        <v>62975</v>
      </c>
      <c r="B693" s="41">
        <f t="shared" si="1"/>
        <v>31</v>
      </c>
      <c r="C693" s="32">
        <v>194.20500000000001</v>
      </c>
      <c r="D693" s="32">
        <v>267.46600000000001</v>
      </c>
      <c r="E693" s="38">
        <v>812.32899999999995</v>
      </c>
      <c r="F693" s="32">
        <v>1274</v>
      </c>
      <c r="G693" s="32">
        <v>75</v>
      </c>
      <c r="H693" s="40">
        <v>600</v>
      </c>
      <c r="I693" s="32">
        <v>695</v>
      </c>
      <c r="J693" s="32">
        <v>50</v>
      </c>
      <c r="K693" s="33"/>
      <c r="L693" s="33"/>
      <c r="M693" s="33"/>
      <c r="N693" s="33"/>
      <c r="O693" s="33"/>
      <c r="P693" s="33"/>
      <c r="Q693" s="33"/>
      <c r="R693" s="33"/>
      <c r="S693" s="33"/>
      <c r="T693" s="33"/>
    </row>
    <row r="694" spans="1:20" ht="15.75">
      <c r="A694" s="13">
        <v>63005</v>
      </c>
      <c r="B694" s="41">
        <f t="shared" si="1"/>
        <v>30</v>
      </c>
      <c r="C694" s="32">
        <v>194.20500000000001</v>
      </c>
      <c r="D694" s="32">
        <v>267.46600000000001</v>
      </c>
      <c r="E694" s="38">
        <v>812.32899999999995</v>
      </c>
      <c r="F694" s="32">
        <v>1274</v>
      </c>
      <c r="G694" s="32">
        <v>50</v>
      </c>
      <c r="H694" s="40">
        <v>600</v>
      </c>
      <c r="I694" s="32">
        <v>695</v>
      </c>
      <c r="J694" s="32">
        <v>50</v>
      </c>
      <c r="K694" s="33"/>
      <c r="L694" s="33"/>
      <c r="M694" s="33"/>
      <c r="N694" s="33"/>
      <c r="O694" s="33"/>
      <c r="P694" s="33"/>
      <c r="Q694" s="33"/>
      <c r="R694" s="33"/>
      <c r="S694" s="33"/>
      <c r="T694" s="33"/>
    </row>
    <row r="695" spans="1:20" ht="15.75">
      <c r="A695" s="13">
        <v>63036</v>
      </c>
      <c r="B695" s="41">
        <f t="shared" si="1"/>
        <v>31</v>
      </c>
      <c r="C695" s="32">
        <v>194.20500000000001</v>
      </c>
      <c r="D695" s="32">
        <v>267.46600000000001</v>
      </c>
      <c r="E695" s="38">
        <v>812.32899999999995</v>
      </c>
      <c r="F695" s="32">
        <v>1274</v>
      </c>
      <c r="G695" s="32">
        <v>50</v>
      </c>
      <c r="H695" s="40">
        <v>600</v>
      </c>
      <c r="I695" s="32">
        <v>695</v>
      </c>
      <c r="J695" s="32">
        <v>0</v>
      </c>
      <c r="K695" s="33"/>
      <c r="L695" s="33"/>
      <c r="M695" s="33"/>
      <c r="N695" s="33"/>
      <c r="O695" s="33"/>
      <c r="P695" s="33"/>
      <c r="Q695" s="33"/>
      <c r="R695" s="33"/>
      <c r="S695" s="33"/>
      <c r="T695" s="33"/>
    </row>
    <row r="696" spans="1:20" ht="15.75">
      <c r="A696" s="13">
        <v>63067</v>
      </c>
      <c r="B696" s="41">
        <f t="shared" si="1"/>
        <v>31</v>
      </c>
      <c r="C696" s="32">
        <v>194.20500000000001</v>
      </c>
      <c r="D696" s="32">
        <v>267.46600000000001</v>
      </c>
      <c r="E696" s="38">
        <v>812.32899999999995</v>
      </c>
      <c r="F696" s="32">
        <v>1274</v>
      </c>
      <c r="G696" s="32">
        <v>50</v>
      </c>
      <c r="H696" s="40">
        <v>600</v>
      </c>
      <c r="I696" s="32">
        <v>695</v>
      </c>
      <c r="J696" s="32">
        <v>0</v>
      </c>
      <c r="K696" s="33"/>
      <c r="L696" s="33"/>
      <c r="M696" s="33"/>
      <c r="N696" s="33"/>
      <c r="O696" s="33"/>
      <c r="P696" s="33"/>
      <c r="Q696" s="33"/>
      <c r="R696" s="33"/>
      <c r="S696" s="33"/>
      <c r="T696" s="33"/>
    </row>
    <row r="697" spans="1:20" ht="15.75">
      <c r="A697" s="13">
        <v>63097</v>
      </c>
      <c r="B697" s="41">
        <f t="shared" ref="B697:B760" si="2">EOMONTH(A697,0)-EOMONTH(A697,-1)</f>
        <v>30</v>
      </c>
      <c r="C697" s="32">
        <v>194.20500000000001</v>
      </c>
      <c r="D697" s="32">
        <v>267.46600000000001</v>
      </c>
      <c r="E697" s="38">
        <v>812.32899999999995</v>
      </c>
      <c r="F697" s="32">
        <v>1274</v>
      </c>
      <c r="G697" s="32">
        <v>50</v>
      </c>
      <c r="H697" s="40">
        <v>600</v>
      </c>
      <c r="I697" s="32">
        <v>695</v>
      </c>
      <c r="J697" s="32">
        <v>0</v>
      </c>
      <c r="K697" s="33"/>
      <c r="L697" s="33"/>
      <c r="M697" s="33"/>
      <c r="N697" s="33"/>
      <c r="O697" s="33"/>
      <c r="P697" s="33"/>
      <c r="Q697" s="33"/>
      <c r="R697" s="33"/>
      <c r="S697" s="33"/>
      <c r="T697" s="33"/>
    </row>
    <row r="698" spans="1:20" ht="15.75">
      <c r="A698" s="13">
        <v>63128</v>
      </c>
      <c r="B698" s="41">
        <f t="shared" si="2"/>
        <v>31</v>
      </c>
      <c r="C698" s="32">
        <v>131.881</v>
      </c>
      <c r="D698" s="32">
        <v>277.16699999999997</v>
      </c>
      <c r="E698" s="38">
        <v>829.952</v>
      </c>
      <c r="F698" s="32">
        <v>1239</v>
      </c>
      <c r="G698" s="32">
        <v>75</v>
      </c>
      <c r="H698" s="40">
        <v>600</v>
      </c>
      <c r="I698" s="32">
        <v>695</v>
      </c>
      <c r="J698" s="32">
        <v>0</v>
      </c>
      <c r="K698" s="33"/>
      <c r="L698" s="33"/>
      <c r="M698" s="33"/>
      <c r="N698" s="33"/>
      <c r="O698" s="33"/>
      <c r="P698" s="33"/>
      <c r="Q698" s="33"/>
      <c r="R698" s="33"/>
      <c r="S698" s="33"/>
      <c r="T698" s="33"/>
    </row>
    <row r="699" spans="1:20" ht="15.75">
      <c r="A699" s="13">
        <v>63158</v>
      </c>
      <c r="B699" s="41">
        <f t="shared" si="2"/>
        <v>30</v>
      </c>
      <c r="C699" s="32">
        <v>122.58</v>
      </c>
      <c r="D699" s="32">
        <v>297.94099999999997</v>
      </c>
      <c r="E699" s="38">
        <v>729.47900000000004</v>
      </c>
      <c r="F699" s="32">
        <v>1150</v>
      </c>
      <c r="G699" s="32">
        <v>100</v>
      </c>
      <c r="H699" s="40">
        <v>600</v>
      </c>
      <c r="I699" s="32">
        <v>695</v>
      </c>
      <c r="J699" s="32">
        <v>50</v>
      </c>
      <c r="K699" s="33"/>
      <c r="L699" s="33"/>
      <c r="M699" s="33"/>
      <c r="N699" s="33"/>
      <c r="O699" s="33"/>
      <c r="P699" s="33"/>
      <c r="Q699" s="33"/>
      <c r="R699" s="33"/>
      <c r="S699" s="33"/>
      <c r="T699" s="33"/>
    </row>
    <row r="700" spans="1:20" ht="15.75">
      <c r="A700" s="13">
        <v>63189</v>
      </c>
      <c r="B700" s="41">
        <f t="shared" si="2"/>
        <v>31</v>
      </c>
      <c r="C700" s="32">
        <v>122.58</v>
      </c>
      <c r="D700" s="32">
        <v>297.94099999999997</v>
      </c>
      <c r="E700" s="38">
        <v>729.47900000000004</v>
      </c>
      <c r="F700" s="32">
        <v>1150</v>
      </c>
      <c r="G700" s="32">
        <v>100</v>
      </c>
      <c r="H700" s="40">
        <v>600</v>
      </c>
      <c r="I700" s="32">
        <v>695</v>
      </c>
      <c r="J700" s="32">
        <v>50</v>
      </c>
      <c r="K700" s="33"/>
      <c r="L700" s="33"/>
      <c r="M700" s="33"/>
      <c r="N700" s="33"/>
      <c r="O700" s="33"/>
      <c r="P700" s="33"/>
      <c r="Q700" s="33"/>
      <c r="R700" s="33"/>
      <c r="S700" s="33"/>
      <c r="T700" s="33"/>
    </row>
    <row r="701" spans="1:20" ht="15.75">
      <c r="A701" s="13">
        <v>63220</v>
      </c>
      <c r="B701" s="41">
        <f t="shared" si="2"/>
        <v>31</v>
      </c>
      <c r="C701" s="32">
        <v>122.58</v>
      </c>
      <c r="D701" s="32">
        <v>297.94099999999997</v>
      </c>
      <c r="E701" s="38">
        <v>729.47900000000004</v>
      </c>
      <c r="F701" s="32">
        <v>1150</v>
      </c>
      <c r="G701" s="32">
        <v>100</v>
      </c>
      <c r="H701" s="40">
        <v>600</v>
      </c>
      <c r="I701" s="32">
        <v>695</v>
      </c>
      <c r="J701" s="32">
        <v>50</v>
      </c>
      <c r="K701" s="33"/>
      <c r="L701" s="33"/>
      <c r="M701" s="33"/>
      <c r="N701" s="33"/>
      <c r="O701" s="33"/>
      <c r="P701" s="33"/>
      <c r="Q701" s="33"/>
      <c r="R701" s="33"/>
      <c r="S701" s="33"/>
      <c r="T701" s="33"/>
    </row>
    <row r="702" spans="1:20" ht="15.75">
      <c r="A702" s="13">
        <v>63248</v>
      </c>
      <c r="B702" s="41">
        <f t="shared" si="2"/>
        <v>28</v>
      </c>
      <c r="C702" s="32">
        <v>122.58</v>
      </c>
      <c r="D702" s="32">
        <v>297.94099999999997</v>
      </c>
      <c r="E702" s="38">
        <v>729.47900000000004</v>
      </c>
      <c r="F702" s="32">
        <v>1150</v>
      </c>
      <c r="G702" s="32">
        <v>100</v>
      </c>
      <c r="H702" s="40">
        <v>600</v>
      </c>
      <c r="I702" s="32">
        <v>695</v>
      </c>
      <c r="J702" s="32">
        <v>50</v>
      </c>
      <c r="K702" s="33"/>
      <c r="L702" s="33"/>
      <c r="M702" s="33"/>
      <c r="N702" s="33"/>
      <c r="O702" s="33"/>
      <c r="P702" s="33"/>
      <c r="Q702" s="33"/>
      <c r="R702" s="33"/>
      <c r="S702" s="33"/>
      <c r="T702" s="33"/>
    </row>
    <row r="703" spans="1:20" ht="15.75">
      <c r="A703" s="13">
        <v>63279</v>
      </c>
      <c r="B703" s="41">
        <f t="shared" si="2"/>
        <v>31</v>
      </c>
      <c r="C703" s="32">
        <v>122.58</v>
      </c>
      <c r="D703" s="32">
        <v>297.94099999999997</v>
      </c>
      <c r="E703" s="38">
        <v>729.47900000000004</v>
      </c>
      <c r="F703" s="32">
        <v>1150</v>
      </c>
      <c r="G703" s="32">
        <v>100</v>
      </c>
      <c r="H703" s="40">
        <v>600</v>
      </c>
      <c r="I703" s="32">
        <v>695</v>
      </c>
      <c r="J703" s="32">
        <v>50</v>
      </c>
      <c r="K703" s="33"/>
      <c r="L703" s="33"/>
      <c r="M703" s="33"/>
      <c r="N703" s="33"/>
      <c r="O703" s="33"/>
      <c r="P703" s="33"/>
      <c r="Q703" s="33"/>
      <c r="R703" s="33"/>
      <c r="S703" s="33"/>
      <c r="T703" s="33"/>
    </row>
    <row r="704" spans="1:20" ht="15.75">
      <c r="A704" s="13">
        <v>63309</v>
      </c>
      <c r="B704" s="41">
        <f t="shared" si="2"/>
        <v>30</v>
      </c>
      <c r="C704" s="32">
        <v>141.29300000000001</v>
      </c>
      <c r="D704" s="32">
        <v>267.99299999999999</v>
      </c>
      <c r="E704" s="38">
        <v>829.71400000000006</v>
      </c>
      <c r="F704" s="32">
        <v>1239</v>
      </c>
      <c r="G704" s="32">
        <v>100</v>
      </c>
      <c r="H704" s="40">
        <v>600</v>
      </c>
      <c r="I704" s="32">
        <v>695</v>
      </c>
      <c r="J704" s="32">
        <v>50</v>
      </c>
      <c r="K704" s="33"/>
      <c r="L704" s="33"/>
      <c r="M704" s="33"/>
      <c r="N704" s="33"/>
      <c r="O704" s="33"/>
      <c r="P704" s="33"/>
      <c r="Q704" s="33"/>
      <c r="R704" s="33"/>
      <c r="S704" s="33"/>
      <c r="T704" s="33"/>
    </row>
    <row r="705" spans="1:20" ht="15.75">
      <c r="A705" s="13">
        <v>63340</v>
      </c>
      <c r="B705" s="41">
        <f t="shared" si="2"/>
        <v>31</v>
      </c>
      <c r="C705" s="32">
        <v>194.20500000000001</v>
      </c>
      <c r="D705" s="32">
        <v>267.46600000000001</v>
      </c>
      <c r="E705" s="38">
        <v>812.32899999999995</v>
      </c>
      <c r="F705" s="32">
        <v>1274</v>
      </c>
      <c r="G705" s="32">
        <v>75</v>
      </c>
      <c r="H705" s="40">
        <v>600</v>
      </c>
      <c r="I705" s="32">
        <v>695</v>
      </c>
      <c r="J705" s="32">
        <v>50</v>
      </c>
      <c r="K705" s="33"/>
      <c r="L705" s="33"/>
      <c r="M705" s="33"/>
      <c r="N705" s="33"/>
      <c r="O705" s="33"/>
      <c r="P705" s="33"/>
      <c r="Q705" s="33"/>
      <c r="R705" s="33"/>
      <c r="S705" s="33"/>
      <c r="T705" s="33"/>
    </row>
    <row r="706" spans="1:20" ht="15.75">
      <c r="A706" s="13">
        <v>63370</v>
      </c>
      <c r="B706" s="41">
        <f t="shared" si="2"/>
        <v>30</v>
      </c>
      <c r="C706" s="32">
        <v>194.20500000000001</v>
      </c>
      <c r="D706" s="32">
        <v>267.46600000000001</v>
      </c>
      <c r="E706" s="38">
        <v>812.32899999999995</v>
      </c>
      <c r="F706" s="32">
        <v>1274</v>
      </c>
      <c r="G706" s="32">
        <v>50</v>
      </c>
      <c r="H706" s="40">
        <v>600</v>
      </c>
      <c r="I706" s="32">
        <v>695</v>
      </c>
      <c r="J706" s="32">
        <v>50</v>
      </c>
      <c r="K706" s="33"/>
      <c r="L706" s="33"/>
      <c r="M706" s="33"/>
      <c r="N706" s="33"/>
      <c r="O706" s="33"/>
      <c r="P706" s="33"/>
      <c r="Q706" s="33"/>
      <c r="R706" s="33"/>
      <c r="S706" s="33"/>
      <c r="T706" s="33"/>
    </row>
    <row r="707" spans="1:20" ht="15.75">
      <c r="A707" s="13">
        <v>63401</v>
      </c>
      <c r="B707" s="41">
        <f t="shared" si="2"/>
        <v>31</v>
      </c>
      <c r="C707" s="32">
        <v>194.20500000000001</v>
      </c>
      <c r="D707" s="32">
        <v>267.46600000000001</v>
      </c>
      <c r="E707" s="38">
        <v>812.32899999999995</v>
      </c>
      <c r="F707" s="32">
        <v>1274</v>
      </c>
      <c r="G707" s="32">
        <v>50</v>
      </c>
      <c r="H707" s="40">
        <v>600</v>
      </c>
      <c r="I707" s="32">
        <v>695</v>
      </c>
      <c r="J707" s="32">
        <v>0</v>
      </c>
      <c r="K707" s="33"/>
      <c r="L707" s="33"/>
      <c r="M707" s="33"/>
      <c r="N707" s="33"/>
      <c r="O707" s="33"/>
      <c r="P707" s="33"/>
      <c r="Q707" s="33"/>
      <c r="R707" s="33"/>
      <c r="S707" s="33"/>
      <c r="T707" s="33"/>
    </row>
    <row r="708" spans="1:20" ht="15.75">
      <c r="A708" s="13">
        <v>63432</v>
      </c>
      <c r="B708" s="41">
        <f t="shared" si="2"/>
        <v>31</v>
      </c>
      <c r="C708" s="32">
        <v>194.20500000000001</v>
      </c>
      <c r="D708" s="32">
        <v>267.46600000000001</v>
      </c>
      <c r="E708" s="38">
        <v>812.32899999999995</v>
      </c>
      <c r="F708" s="32">
        <v>1274</v>
      </c>
      <c r="G708" s="32">
        <v>50</v>
      </c>
      <c r="H708" s="40">
        <v>600</v>
      </c>
      <c r="I708" s="32">
        <v>695</v>
      </c>
      <c r="J708" s="32">
        <v>0</v>
      </c>
      <c r="K708" s="33"/>
      <c r="L708" s="33"/>
      <c r="M708" s="33"/>
      <c r="N708" s="33"/>
      <c r="O708" s="33"/>
      <c r="P708" s="33"/>
      <c r="Q708" s="33"/>
      <c r="R708" s="33"/>
      <c r="S708" s="33"/>
      <c r="T708" s="33"/>
    </row>
    <row r="709" spans="1:20" ht="15.75">
      <c r="A709" s="13">
        <v>63462</v>
      </c>
      <c r="B709" s="41">
        <f t="shared" si="2"/>
        <v>30</v>
      </c>
      <c r="C709" s="32">
        <v>194.20500000000001</v>
      </c>
      <c r="D709" s="32">
        <v>267.46600000000001</v>
      </c>
      <c r="E709" s="38">
        <v>812.32899999999995</v>
      </c>
      <c r="F709" s="32">
        <v>1274</v>
      </c>
      <c r="G709" s="32">
        <v>50</v>
      </c>
      <c r="H709" s="40">
        <v>600</v>
      </c>
      <c r="I709" s="32">
        <v>695</v>
      </c>
      <c r="J709" s="32">
        <v>0</v>
      </c>
      <c r="K709" s="33"/>
      <c r="L709" s="33"/>
      <c r="M709" s="33"/>
      <c r="N709" s="33"/>
      <c r="O709" s="33"/>
      <c r="P709" s="33"/>
      <c r="Q709" s="33"/>
      <c r="R709" s="33"/>
      <c r="S709" s="33"/>
      <c r="T709" s="33"/>
    </row>
    <row r="710" spans="1:20" ht="15.75">
      <c r="A710" s="13">
        <v>63493</v>
      </c>
      <c r="B710" s="41">
        <f t="shared" si="2"/>
        <v>31</v>
      </c>
      <c r="C710" s="32">
        <v>131.881</v>
      </c>
      <c r="D710" s="32">
        <v>277.16699999999997</v>
      </c>
      <c r="E710" s="38">
        <v>829.952</v>
      </c>
      <c r="F710" s="32">
        <v>1239</v>
      </c>
      <c r="G710" s="32">
        <v>75</v>
      </c>
      <c r="H710" s="40">
        <v>600</v>
      </c>
      <c r="I710" s="32">
        <v>695</v>
      </c>
      <c r="J710" s="32">
        <v>0</v>
      </c>
      <c r="K710" s="33"/>
      <c r="L710" s="33"/>
      <c r="M710" s="33"/>
      <c r="N710" s="33"/>
      <c r="O710" s="33"/>
      <c r="P710" s="33"/>
      <c r="Q710" s="33"/>
      <c r="R710" s="33"/>
      <c r="S710" s="33"/>
      <c r="T710" s="33"/>
    </row>
    <row r="711" spans="1:20" ht="15.75">
      <c r="A711" s="13">
        <v>63523</v>
      </c>
      <c r="B711" s="41">
        <f t="shared" si="2"/>
        <v>30</v>
      </c>
      <c r="C711" s="32">
        <v>122.58</v>
      </c>
      <c r="D711" s="32">
        <v>297.94099999999997</v>
      </c>
      <c r="E711" s="38">
        <v>729.47900000000004</v>
      </c>
      <c r="F711" s="32">
        <v>1150</v>
      </c>
      <c r="G711" s="32">
        <v>100</v>
      </c>
      <c r="H711" s="40">
        <v>600</v>
      </c>
      <c r="I711" s="32">
        <v>695</v>
      </c>
      <c r="J711" s="32">
        <v>50</v>
      </c>
      <c r="K711" s="33"/>
      <c r="L711" s="33"/>
      <c r="M711" s="33"/>
      <c r="N711" s="33"/>
      <c r="O711" s="33"/>
      <c r="P711" s="33"/>
      <c r="Q711" s="33"/>
      <c r="R711" s="33"/>
      <c r="S711" s="33"/>
      <c r="T711" s="33"/>
    </row>
    <row r="712" spans="1:20" ht="15.75">
      <c r="A712" s="13">
        <v>63554</v>
      </c>
      <c r="B712" s="41">
        <f t="shared" si="2"/>
        <v>31</v>
      </c>
      <c r="C712" s="32">
        <v>122.58</v>
      </c>
      <c r="D712" s="32">
        <v>297.94099999999997</v>
      </c>
      <c r="E712" s="38">
        <v>729.47900000000004</v>
      </c>
      <c r="F712" s="32">
        <v>1150</v>
      </c>
      <c r="G712" s="32">
        <v>100</v>
      </c>
      <c r="H712" s="40">
        <v>600</v>
      </c>
      <c r="I712" s="32">
        <v>695</v>
      </c>
      <c r="J712" s="32">
        <v>50</v>
      </c>
      <c r="K712" s="33"/>
      <c r="L712" s="33"/>
      <c r="M712" s="33"/>
      <c r="N712" s="33"/>
      <c r="O712" s="33"/>
      <c r="P712" s="33"/>
      <c r="Q712" s="33"/>
      <c r="R712" s="33"/>
      <c r="S712" s="33"/>
      <c r="T712" s="33"/>
    </row>
    <row r="713" spans="1:20" ht="15.75">
      <c r="A713" s="13">
        <v>63585</v>
      </c>
      <c r="B713" s="41">
        <f t="shared" si="2"/>
        <v>31</v>
      </c>
      <c r="C713" s="32">
        <v>122.58</v>
      </c>
      <c r="D713" s="32">
        <v>297.94099999999997</v>
      </c>
      <c r="E713" s="38">
        <v>729.47900000000004</v>
      </c>
      <c r="F713" s="32">
        <v>1150</v>
      </c>
      <c r="G713" s="32">
        <v>100</v>
      </c>
      <c r="H713" s="40">
        <v>600</v>
      </c>
      <c r="I713" s="32">
        <v>695</v>
      </c>
      <c r="J713" s="32">
        <v>50</v>
      </c>
      <c r="K713" s="33"/>
      <c r="L713" s="33"/>
      <c r="M713" s="33"/>
      <c r="N713" s="33"/>
      <c r="O713" s="33"/>
      <c r="P713" s="33"/>
      <c r="Q713" s="33"/>
      <c r="R713" s="33"/>
      <c r="S713" s="33"/>
      <c r="T713" s="33"/>
    </row>
    <row r="714" spans="1:20" ht="15.75">
      <c r="A714" s="13">
        <v>63613</v>
      </c>
      <c r="B714" s="41">
        <f t="shared" si="2"/>
        <v>28</v>
      </c>
      <c r="C714" s="32">
        <v>122.58</v>
      </c>
      <c r="D714" s="32">
        <v>297.94099999999997</v>
      </c>
      <c r="E714" s="38">
        <v>729.47900000000004</v>
      </c>
      <c r="F714" s="32">
        <v>1150</v>
      </c>
      <c r="G714" s="32">
        <v>100</v>
      </c>
      <c r="H714" s="40">
        <v>600</v>
      </c>
      <c r="I714" s="32">
        <v>695</v>
      </c>
      <c r="J714" s="32">
        <v>50</v>
      </c>
      <c r="K714" s="33"/>
      <c r="L714" s="33"/>
      <c r="M714" s="33"/>
      <c r="N714" s="33"/>
      <c r="O714" s="33"/>
      <c r="P714" s="33"/>
      <c r="Q714" s="33"/>
      <c r="R714" s="33"/>
      <c r="S714" s="33"/>
      <c r="T714" s="33"/>
    </row>
    <row r="715" spans="1:20" ht="15.75">
      <c r="A715" s="13">
        <v>63644</v>
      </c>
      <c r="B715" s="41">
        <f t="shared" si="2"/>
        <v>31</v>
      </c>
      <c r="C715" s="32">
        <v>122.58</v>
      </c>
      <c r="D715" s="32">
        <v>297.94099999999997</v>
      </c>
      <c r="E715" s="38">
        <v>729.47900000000004</v>
      </c>
      <c r="F715" s="32">
        <v>1150</v>
      </c>
      <c r="G715" s="32">
        <v>100</v>
      </c>
      <c r="H715" s="40">
        <v>600</v>
      </c>
      <c r="I715" s="32">
        <v>695</v>
      </c>
      <c r="J715" s="32">
        <v>50</v>
      </c>
      <c r="K715" s="33"/>
      <c r="L715" s="33"/>
      <c r="M715" s="33"/>
      <c r="N715" s="33"/>
      <c r="O715" s="33"/>
      <c r="P715" s="33"/>
      <c r="Q715" s="33"/>
      <c r="R715" s="33"/>
      <c r="S715" s="33"/>
      <c r="T715" s="33"/>
    </row>
    <row r="716" spans="1:20" ht="15.75">
      <c r="A716" s="13">
        <v>63674</v>
      </c>
      <c r="B716" s="41">
        <f t="shared" si="2"/>
        <v>30</v>
      </c>
      <c r="C716" s="32">
        <v>141.29300000000001</v>
      </c>
      <c r="D716" s="32">
        <v>267.99299999999999</v>
      </c>
      <c r="E716" s="38">
        <v>829.71400000000006</v>
      </c>
      <c r="F716" s="32">
        <v>1239</v>
      </c>
      <c r="G716" s="32">
        <v>100</v>
      </c>
      <c r="H716" s="40">
        <v>600</v>
      </c>
      <c r="I716" s="32">
        <v>695</v>
      </c>
      <c r="J716" s="32">
        <v>50</v>
      </c>
      <c r="K716" s="33"/>
      <c r="L716" s="33"/>
      <c r="M716" s="33"/>
      <c r="N716" s="33"/>
      <c r="O716" s="33"/>
      <c r="P716" s="33"/>
      <c r="Q716" s="33"/>
      <c r="R716" s="33"/>
      <c r="S716" s="33"/>
      <c r="T716" s="33"/>
    </row>
    <row r="717" spans="1:20" ht="15.75">
      <c r="A717" s="13">
        <v>63705</v>
      </c>
      <c r="B717" s="41">
        <f t="shared" si="2"/>
        <v>31</v>
      </c>
      <c r="C717" s="32">
        <v>194.20500000000001</v>
      </c>
      <c r="D717" s="32">
        <v>267.46600000000001</v>
      </c>
      <c r="E717" s="38">
        <v>812.32899999999995</v>
      </c>
      <c r="F717" s="32">
        <v>1274</v>
      </c>
      <c r="G717" s="32">
        <v>75</v>
      </c>
      <c r="H717" s="40">
        <v>600</v>
      </c>
      <c r="I717" s="32">
        <v>695</v>
      </c>
      <c r="J717" s="32">
        <v>50</v>
      </c>
      <c r="K717" s="33"/>
      <c r="L717" s="33"/>
      <c r="M717" s="33"/>
      <c r="N717" s="33"/>
      <c r="O717" s="33"/>
      <c r="P717" s="33"/>
      <c r="Q717" s="33"/>
      <c r="R717" s="33"/>
      <c r="S717" s="33"/>
      <c r="T717" s="33"/>
    </row>
    <row r="718" spans="1:20" ht="15.75">
      <c r="A718" s="13">
        <v>63735</v>
      </c>
      <c r="B718" s="41">
        <f t="shared" si="2"/>
        <v>30</v>
      </c>
      <c r="C718" s="32">
        <v>194.20500000000001</v>
      </c>
      <c r="D718" s="32">
        <v>267.46600000000001</v>
      </c>
      <c r="E718" s="38">
        <v>812.32899999999995</v>
      </c>
      <c r="F718" s="32">
        <v>1274</v>
      </c>
      <c r="G718" s="32">
        <v>50</v>
      </c>
      <c r="H718" s="40">
        <v>600</v>
      </c>
      <c r="I718" s="32">
        <v>695</v>
      </c>
      <c r="J718" s="32">
        <v>50</v>
      </c>
      <c r="K718" s="33"/>
      <c r="L718" s="33"/>
      <c r="M718" s="33"/>
      <c r="N718" s="33"/>
      <c r="O718" s="33"/>
      <c r="P718" s="33"/>
      <c r="Q718" s="33"/>
      <c r="R718" s="33"/>
      <c r="S718" s="33"/>
      <c r="T718" s="33"/>
    </row>
    <row r="719" spans="1:20" ht="15.75">
      <c r="A719" s="13">
        <v>63766</v>
      </c>
      <c r="B719" s="41">
        <f t="shared" si="2"/>
        <v>31</v>
      </c>
      <c r="C719" s="32">
        <v>194.20500000000001</v>
      </c>
      <c r="D719" s="32">
        <v>267.46600000000001</v>
      </c>
      <c r="E719" s="38">
        <v>812.32899999999995</v>
      </c>
      <c r="F719" s="32">
        <v>1274</v>
      </c>
      <c r="G719" s="32">
        <v>50</v>
      </c>
      <c r="H719" s="40">
        <v>600</v>
      </c>
      <c r="I719" s="32">
        <v>695</v>
      </c>
      <c r="J719" s="32">
        <v>0</v>
      </c>
      <c r="K719" s="33"/>
      <c r="L719" s="33"/>
      <c r="M719" s="33"/>
      <c r="N719" s="33"/>
      <c r="O719" s="33"/>
      <c r="P719" s="33"/>
      <c r="Q719" s="33"/>
      <c r="R719" s="33"/>
      <c r="S719" s="33"/>
      <c r="T719" s="33"/>
    </row>
    <row r="720" spans="1:20" ht="15.75">
      <c r="A720" s="13">
        <v>63797</v>
      </c>
      <c r="B720" s="41">
        <f t="shared" si="2"/>
        <v>31</v>
      </c>
      <c r="C720" s="32">
        <v>194.20500000000001</v>
      </c>
      <c r="D720" s="32">
        <v>267.46600000000001</v>
      </c>
      <c r="E720" s="38">
        <v>812.32899999999995</v>
      </c>
      <c r="F720" s="32">
        <v>1274</v>
      </c>
      <c r="G720" s="32">
        <v>50</v>
      </c>
      <c r="H720" s="40">
        <v>600</v>
      </c>
      <c r="I720" s="32">
        <v>695</v>
      </c>
      <c r="J720" s="32">
        <v>0</v>
      </c>
      <c r="K720" s="33"/>
      <c r="L720" s="33"/>
      <c r="M720" s="33"/>
      <c r="N720" s="33"/>
      <c r="O720" s="33"/>
      <c r="P720" s="33"/>
      <c r="Q720" s="33"/>
      <c r="R720" s="33"/>
      <c r="S720" s="33"/>
      <c r="T720" s="33"/>
    </row>
    <row r="721" spans="1:20" ht="15.75">
      <c r="A721" s="13">
        <v>63827</v>
      </c>
      <c r="B721" s="41">
        <f t="shared" si="2"/>
        <v>30</v>
      </c>
      <c r="C721" s="32">
        <v>194.20500000000001</v>
      </c>
      <c r="D721" s="32">
        <v>267.46600000000001</v>
      </c>
      <c r="E721" s="38">
        <v>812.32899999999995</v>
      </c>
      <c r="F721" s="32">
        <v>1274</v>
      </c>
      <c r="G721" s="32">
        <v>50</v>
      </c>
      <c r="H721" s="40">
        <v>600</v>
      </c>
      <c r="I721" s="32">
        <v>695</v>
      </c>
      <c r="J721" s="32">
        <v>0</v>
      </c>
      <c r="K721" s="33"/>
      <c r="L721" s="33"/>
      <c r="M721" s="33"/>
      <c r="N721" s="33"/>
      <c r="O721" s="33"/>
      <c r="P721" s="33"/>
      <c r="Q721" s="33"/>
      <c r="R721" s="33"/>
      <c r="S721" s="33"/>
      <c r="T721" s="33"/>
    </row>
    <row r="722" spans="1:20" ht="15.75">
      <c r="A722" s="13">
        <v>63858</v>
      </c>
      <c r="B722" s="41">
        <f t="shared" si="2"/>
        <v>31</v>
      </c>
      <c r="C722" s="32">
        <v>131.881</v>
      </c>
      <c r="D722" s="32">
        <v>277.16699999999997</v>
      </c>
      <c r="E722" s="38">
        <v>829.952</v>
      </c>
      <c r="F722" s="32">
        <v>1239</v>
      </c>
      <c r="G722" s="32">
        <v>75</v>
      </c>
      <c r="H722" s="40">
        <v>600</v>
      </c>
      <c r="I722" s="32">
        <v>695</v>
      </c>
      <c r="J722" s="32">
        <v>0</v>
      </c>
      <c r="K722" s="33"/>
      <c r="L722" s="33"/>
      <c r="M722" s="33"/>
      <c r="N722" s="33"/>
      <c r="O722" s="33"/>
      <c r="P722" s="33"/>
      <c r="Q722" s="33"/>
      <c r="R722" s="33"/>
      <c r="S722" s="33"/>
      <c r="T722" s="33"/>
    </row>
    <row r="723" spans="1:20" ht="15.75">
      <c r="A723" s="13">
        <v>63888</v>
      </c>
      <c r="B723" s="41">
        <f t="shared" si="2"/>
        <v>30</v>
      </c>
      <c r="C723" s="32">
        <v>122.58</v>
      </c>
      <c r="D723" s="32">
        <v>297.94099999999997</v>
      </c>
      <c r="E723" s="38">
        <v>729.47900000000004</v>
      </c>
      <c r="F723" s="32">
        <v>1150</v>
      </c>
      <c r="G723" s="32">
        <v>100</v>
      </c>
      <c r="H723" s="40">
        <v>600</v>
      </c>
      <c r="I723" s="32">
        <v>695</v>
      </c>
      <c r="J723" s="32">
        <v>50</v>
      </c>
      <c r="K723" s="33"/>
      <c r="L723" s="33"/>
      <c r="M723" s="33"/>
      <c r="N723" s="33"/>
      <c r="O723" s="33"/>
      <c r="P723" s="33"/>
      <c r="Q723" s="33"/>
      <c r="R723" s="33"/>
      <c r="S723" s="33"/>
      <c r="T723" s="33"/>
    </row>
    <row r="724" spans="1:20" ht="15.75">
      <c r="A724" s="13">
        <v>63919</v>
      </c>
      <c r="B724" s="41">
        <f t="shared" si="2"/>
        <v>31</v>
      </c>
      <c r="C724" s="32">
        <v>122.58</v>
      </c>
      <c r="D724" s="32">
        <v>297.94099999999997</v>
      </c>
      <c r="E724" s="38">
        <v>729.47900000000004</v>
      </c>
      <c r="F724" s="32">
        <v>1150</v>
      </c>
      <c r="G724" s="32">
        <v>100</v>
      </c>
      <c r="H724" s="40">
        <v>600</v>
      </c>
      <c r="I724" s="32">
        <v>695</v>
      </c>
      <c r="J724" s="32">
        <v>50</v>
      </c>
      <c r="K724" s="33"/>
      <c r="L724" s="33"/>
      <c r="M724" s="33"/>
      <c r="N724" s="33"/>
      <c r="O724" s="33"/>
      <c r="P724" s="33"/>
      <c r="Q724" s="33"/>
      <c r="R724" s="33"/>
      <c r="S724" s="33"/>
      <c r="T724" s="33"/>
    </row>
    <row r="725" spans="1:20" ht="15.75">
      <c r="A725" s="13">
        <v>63950</v>
      </c>
      <c r="B725" s="41">
        <f t="shared" si="2"/>
        <v>31</v>
      </c>
      <c r="C725" s="32">
        <v>122.58</v>
      </c>
      <c r="D725" s="32">
        <v>297.94099999999997</v>
      </c>
      <c r="E725" s="38">
        <v>729.47900000000004</v>
      </c>
      <c r="F725" s="32">
        <v>1150</v>
      </c>
      <c r="G725" s="32">
        <v>100</v>
      </c>
      <c r="H725" s="40">
        <v>600</v>
      </c>
      <c r="I725" s="32">
        <v>695</v>
      </c>
      <c r="J725" s="32">
        <v>50</v>
      </c>
      <c r="K725" s="33"/>
      <c r="L725" s="33"/>
      <c r="M725" s="33"/>
      <c r="N725" s="33"/>
      <c r="O725" s="33"/>
      <c r="P725" s="33"/>
      <c r="Q725" s="33"/>
      <c r="R725" s="33"/>
      <c r="S725" s="33"/>
      <c r="T725" s="33"/>
    </row>
    <row r="726" spans="1:20" ht="15.75">
      <c r="A726" s="13">
        <v>63978</v>
      </c>
      <c r="B726" s="41">
        <f t="shared" si="2"/>
        <v>28</v>
      </c>
      <c r="C726" s="32">
        <v>122.58</v>
      </c>
      <c r="D726" s="32">
        <v>297.94099999999997</v>
      </c>
      <c r="E726" s="38">
        <v>729.47900000000004</v>
      </c>
      <c r="F726" s="32">
        <v>1150</v>
      </c>
      <c r="G726" s="32">
        <v>100</v>
      </c>
      <c r="H726" s="40">
        <v>600</v>
      </c>
      <c r="I726" s="32">
        <v>695</v>
      </c>
      <c r="J726" s="32">
        <v>50</v>
      </c>
      <c r="K726" s="33"/>
      <c r="L726" s="33"/>
      <c r="M726" s="33"/>
      <c r="N726" s="33"/>
      <c r="O726" s="33"/>
      <c r="P726" s="33"/>
      <c r="Q726" s="33"/>
      <c r="R726" s="33"/>
      <c r="S726" s="33"/>
      <c r="T726" s="33"/>
    </row>
    <row r="727" spans="1:20" ht="15.75">
      <c r="A727" s="13">
        <v>64009</v>
      </c>
      <c r="B727" s="41">
        <f t="shared" si="2"/>
        <v>31</v>
      </c>
      <c r="C727" s="32">
        <v>122.58</v>
      </c>
      <c r="D727" s="32">
        <v>297.94099999999997</v>
      </c>
      <c r="E727" s="38">
        <v>729.47900000000004</v>
      </c>
      <c r="F727" s="32">
        <v>1150</v>
      </c>
      <c r="G727" s="32">
        <v>100</v>
      </c>
      <c r="H727" s="40">
        <v>600</v>
      </c>
      <c r="I727" s="32">
        <v>695</v>
      </c>
      <c r="J727" s="32">
        <v>50</v>
      </c>
      <c r="K727" s="33"/>
      <c r="L727" s="33"/>
      <c r="M727" s="33"/>
      <c r="N727" s="33"/>
      <c r="O727" s="33"/>
      <c r="P727" s="33"/>
      <c r="Q727" s="33"/>
      <c r="R727" s="33"/>
      <c r="S727" s="33"/>
      <c r="T727" s="33"/>
    </row>
    <row r="728" spans="1:20" ht="15.75">
      <c r="A728" s="13">
        <v>64039</v>
      </c>
      <c r="B728" s="41">
        <f t="shared" si="2"/>
        <v>30</v>
      </c>
      <c r="C728" s="32">
        <v>141.29300000000001</v>
      </c>
      <c r="D728" s="32">
        <v>267.99299999999999</v>
      </c>
      <c r="E728" s="38">
        <v>829.71400000000006</v>
      </c>
      <c r="F728" s="32">
        <v>1239</v>
      </c>
      <c r="G728" s="32">
        <v>100</v>
      </c>
      <c r="H728" s="40">
        <v>600</v>
      </c>
      <c r="I728" s="32">
        <v>695</v>
      </c>
      <c r="J728" s="32">
        <v>50</v>
      </c>
      <c r="K728" s="33"/>
      <c r="L728" s="33"/>
      <c r="M728" s="33"/>
      <c r="N728" s="33"/>
      <c r="O728" s="33"/>
      <c r="P728" s="33"/>
      <c r="Q728" s="33"/>
      <c r="R728" s="33"/>
      <c r="S728" s="33"/>
      <c r="T728" s="33"/>
    </row>
    <row r="729" spans="1:20" ht="15.75">
      <c r="A729" s="13">
        <v>64070</v>
      </c>
      <c r="B729" s="41">
        <f t="shared" si="2"/>
        <v>31</v>
      </c>
      <c r="C729" s="32">
        <v>194.20500000000001</v>
      </c>
      <c r="D729" s="32">
        <v>267.46600000000001</v>
      </c>
      <c r="E729" s="38">
        <v>812.32899999999995</v>
      </c>
      <c r="F729" s="32">
        <v>1274</v>
      </c>
      <c r="G729" s="32">
        <v>75</v>
      </c>
      <c r="H729" s="40">
        <v>600</v>
      </c>
      <c r="I729" s="32">
        <v>695</v>
      </c>
      <c r="J729" s="32">
        <v>50</v>
      </c>
      <c r="K729" s="33"/>
      <c r="L729" s="33"/>
      <c r="M729" s="33"/>
      <c r="N729" s="33"/>
      <c r="O729" s="33"/>
      <c r="P729" s="33"/>
      <c r="Q729" s="33"/>
      <c r="R729" s="33"/>
      <c r="S729" s="33"/>
      <c r="T729" s="33"/>
    </row>
    <row r="730" spans="1:20" ht="15.75">
      <c r="A730" s="13">
        <v>64100</v>
      </c>
      <c r="B730" s="41">
        <f t="shared" si="2"/>
        <v>30</v>
      </c>
      <c r="C730" s="32">
        <v>194.20500000000001</v>
      </c>
      <c r="D730" s="32">
        <v>267.46600000000001</v>
      </c>
      <c r="E730" s="38">
        <v>812.32899999999995</v>
      </c>
      <c r="F730" s="32">
        <v>1274</v>
      </c>
      <c r="G730" s="32">
        <v>50</v>
      </c>
      <c r="H730" s="40">
        <v>600</v>
      </c>
      <c r="I730" s="32">
        <v>695</v>
      </c>
      <c r="J730" s="32">
        <v>50</v>
      </c>
      <c r="K730" s="33"/>
      <c r="L730" s="33"/>
      <c r="M730" s="33"/>
      <c r="N730" s="33"/>
      <c r="O730" s="33"/>
      <c r="P730" s="33"/>
      <c r="Q730" s="33"/>
      <c r="R730" s="33"/>
      <c r="S730" s="33"/>
      <c r="T730" s="33"/>
    </row>
    <row r="731" spans="1:20" ht="15.75">
      <c r="A731" s="13">
        <v>64131</v>
      </c>
      <c r="B731" s="41">
        <f t="shared" si="2"/>
        <v>31</v>
      </c>
      <c r="C731" s="32">
        <v>194.20500000000001</v>
      </c>
      <c r="D731" s="32">
        <v>267.46600000000001</v>
      </c>
      <c r="E731" s="38">
        <v>812.32899999999995</v>
      </c>
      <c r="F731" s="32">
        <v>1274</v>
      </c>
      <c r="G731" s="32">
        <v>50</v>
      </c>
      <c r="H731" s="40">
        <v>600</v>
      </c>
      <c r="I731" s="32">
        <v>695</v>
      </c>
      <c r="J731" s="32">
        <v>0</v>
      </c>
      <c r="K731" s="33"/>
      <c r="L731" s="33"/>
      <c r="M731" s="33"/>
      <c r="N731" s="33"/>
      <c r="O731" s="33"/>
      <c r="P731" s="33"/>
      <c r="Q731" s="33"/>
      <c r="R731" s="33"/>
      <c r="S731" s="33"/>
      <c r="T731" s="33"/>
    </row>
    <row r="732" spans="1:20" ht="15.75">
      <c r="A732" s="13">
        <v>64162</v>
      </c>
      <c r="B732" s="41">
        <f t="shared" si="2"/>
        <v>31</v>
      </c>
      <c r="C732" s="32">
        <v>194.20500000000001</v>
      </c>
      <c r="D732" s="32">
        <v>267.46600000000001</v>
      </c>
      <c r="E732" s="38">
        <v>812.32899999999995</v>
      </c>
      <c r="F732" s="32">
        <v>1274</v>
      </c>
      <c r="G732" s="32">
        <v>50</v>
      </c>
      <c r="H732" s="40">
        <v>600</v>
      </c>
      <c r="I732" s="32">
        <v>695</v>
      </c>
      <c r="J732" s="32">
        <v>0</v>
      </c>
      <c r="K732" s="33"/>
      <c r="L732" s="33"/>
      <c r="M732" s="33"/>
      <c r="N732" s="33"/>
      <c r="O732" s="33"/>
      <c r="P732" s="33"/>
      <c r="Q732" s="33"/>
      <c r="R732" s="33"/>
      <c r="S732" s="33"/>
      <c r="T732" s="33"/>
    </row>
    <row r="733" spans="1:20" ht="15.75">
      <c r="A733" s="13">
        <v>64192</v>
      </c>
      <c r="B733" s="41">
        <f t="shared" si="2"/>
        <v>30</v>
      </c>
      <c r="C733" s="32">
        <v>194.20500000000001</v>
      </c>
      <c r="D733" s="32">
        <v>267.46600000000001</v>
      </c>
      <c r="E733" s="38">
        <v>812.32899999999995</v>
      </c>
      <c r="F733" s="32">
        <v>1274</v>
      </c>
      <c r="G733" s="32">
        <v>50</v>
      </c>
      <c r="H733" s="40">
        <v>600</v>
      </c>
      <c r="I733" s="32">
        <v>695</v>
      </c>
      <c r="J733" s="32">
        <v>0</v>
      </c>
      <c r="K733" s="33"/>
      <c r="L733" s="33"/>
      <c r="M733" s="33"/>
      <c r="N733" s="33"/>
      <c r="O733" s="33"/>
      <c r="P733" s="33"/>
      <c r="Q733" s="33"/>
      <c r="R733" s="33"/>
      <c r="S733" s="33"/>
      <c r="T733" s="33"/>
    </row>
    <row r="734" spans="1:20" ht="15.75">
      <c r="A734" s="13">
        <v>64223</v>
      </c>
      <c r="B734" s="41">
        <f t="shared" si="2"/>
        <v>31</v>
      </c>
      <c r="C734" s="32">
        <v>131.881</v>
      </c>
      <c r="D734" s="32">
        <v>277.16699999999997</v>
      </c>
      <c r="E734" s="38">
        <v>829.952</v>
      </c>
      <c r="F734" s="32">
        <v>1239</v>
      </c>
      <c r="G734" s="32">
        <v>75</v>
      </c>
      <c r="H734" s="40">
        <v>600</v>
      </c>
      <c r="I734" s="32">
        <v>695</v>
      </c>
      <c r="J734" s="32">
        <v>0</v>
      </c>
      <c r="K734" s="33"/>
      <c r="L734" s="33"/>
      <c r="M734" s="33"/>
      <c r="N734" s="33"/>
      <c r="O734" s="33"/>
      <c r="P734" s="33"/>
      <c r="Q734" s="33"/>
      <c r="R734" s="33"/>
      <c r="S734" s="33"/>
      <c r="T734" s="33"/>
    </row>
    <row r="735" spans="1:20" ht="15.75">
      <c r="A735" s="13">
        <v>64253</v>
      </c>
      <c r="B735" s="41">
        <f t="shared" si="2"/>
        <v>30</v>
      </c>
      <c r="C735" s="32">
        <v>122.58</v>
      </c>
      <c r="D735" s="32">
        <v>297.94099999999997</v>
      </c>
      <c r="E735" s="38">
        <v>729.47900000000004</v>
      </c>
      <c r="F735" s="32">
        <v>1150</v>
      </c>
      <c r="G735" s="32">
        <v>100</v>
      </c>
      <c r="H735" s="40">
        <v>600</v>
      </c>
      <c r="I735" s="32">
        <v>695</v>
      </c>
      <c r="J735" s="32">
        <v>50</v>
      </c>
      <c r="K735" s="33"/>
      <c r="L735" s="33"/>
      <c r="M735" s="33"/>
      <c r="N735" s="33"/>
      <c r="O735" s="33"/>
      <c r="P735" s="33"/>
      <c r="Q735" s="33"/>
      <c r="R735" s="33"/>
      <c r="S735" s="33"/>
      <c r="T735" s="33"/>
    </row>
    <row r="736" spans="1:20" ht="15.75">
      <c r="A736" s="13">
        <v>64284</v>
      </c>
      <c r="B736" s="41">
        <f t="shared" si="2"/>
        <v>31</v>
      </c>
      <c r="C736" s="32">
        <v>122.58</v>
      </c>
      <c r="D736" s="32">
        <v>297.94099999999997</v>
      </c>
      <c r="E736" s="38">
        <v>729.47900000000004</v>
      </c>
      <c r="F736" s="32">
        <v>1150</v>
      </c>
      <c r="G736" s="32">
        <v>100</v>
      </c>
      <c r="H736" s="40">
        <v>600</v>
      </c>
      <c r="I736" s="32">
        <v>695</v>
      </c>
      <c r="J736" s="32">
        <v>50</v>
      </c>
      <c r="K736" s="33"/>
      <c r="L736" s="33"/>
      <c r="M736" s="33"/>
      <c r="N736" s="33"/>
      <c r="O736" s="33"/>
      <c r="P736" s="33"/>
      <c r="Q736" s="33"/>
      <c r="R736" s="33"/>
      <c r="S736" s="33"/>
      <c r="T736" s="33"/>
    </row>
    <row r="737" spans="1:20" ht="15.75">
      <c r="A737" s="13">
        <v>64315</v>
      </c>
      <c r="B737" s="41">
        <f t="shared" si="2"/>
        <v>31</v>
      </c>
      <c r="C737" s="32">
        <v>122.58</v>
      </c>
      <c r="D737" s="32">
        <v>297.94099999999997</v>
      </c>
      <c r="E737" s="38">
        <v>729.47900000000004</v>
      </c>
      <c r="F737" s="32">
        <v>1150</v>
      </c>
      <c r="G737" s="32">
        <v>100</v>
      </c>
      <c r="H737" s="40">
        <v>600</v>
      </c>
      <c r="I737" s="32">
        <v>695</v>
      </c>
      <c r="J737" s="32">
        <v>50</v>
      </c>
      <c r="K737" s="33"/>
      <c r="L737" s="33"/>
      <c r="M737" s="33"/>
      <c r="N737" s="33"/>
      <c r="O737" s="33"/>
      <c r="P737" s="33"/>
      <c r="Q737" s="33"/>
      <c r="R737" s="33"/>
      <c r="S737" s="33"/>
      <c r="T737" s="33"/>
    </row>
    <row r="738" spans="1:20" ht="15.75">
      <c r="A738" s="13">
        <v>64344</v>
      </c>
      <c r="B738" s="41">
        <f t="shared" si="2"/>
        <v>29</v>
      </c>
      <c r="C738" s="32">
        <v>122.58</v>
      </c>
      <c r="D738" s="32">
        <v>297.94099999999997</v>
      </c>
      <c r="E738" s="38">
        <v>729.47900000000004</v>
      </c>
      <c r="F738" s="32">
        <v>1150</v>
      </c>
      <c r="G738" s="32">
        <v>100</v>
      </c>
      <c r="H738" s="40">
        <v>600</v>
      </c>
      <c r="I738" s="32">
        <v>695</v>
      </c>
      <c r="J738" s="32">
        <v>50</v>
      </c>
      <c r="K738" s="33"/>
      <c r="L738" s="33"/>
      <c r="M738" s="33"/>
      <c r="N738" s="33"/>
      <c r="O738" s="33"/>
      <c r="P738" s="33"/>
      <c r="Q738" s="33"/>
      <c r="R738" s="33"/>
      <c r="S738" s="33"/>
      <c r="T738" s="33"/>
    </row>
    <row r="739" spans="1:20" ht="15.75">
      <c r="A739" s="13">
        <v>64375</v>
      </c>
      <c r="B739" s="41">
        <f t="shared" si="2"/>
        <v>31</v>
      </c>
      <c r="C739" s="32">
        <v>122.58</v>
      </c>
      <c r="D739" s="32">
        <v>297.94099999999997</v>
      </c>
      <c r="E739" s="38">
        <v>729.47900000000004</v>
      </c>
      <c r="F739" s="32">
        <v>1150</v>
      </c>
      <c r="G739" s="32">
        <v>100</v>
      </c>
      <c r="H739" s="40">
        <v>600</v>
      </c>
      <c r="I739" s="32">
        <v>695</v>
      </c>
      <c r="J739" s="32">
        <v>50</v>
      </c>
      <c r="K739" s="33"/>
      <c r="L739" s="33"/>
      <c r="M739" s="33"/>
      <c r="N739" s="33"/>
      <c r="O739" s="33"/>
      <c r="P739" s="33"/>
      <c r="Q739" s="33"/>
      <c r="R739" s="33"/>
      <c r="S739" s="33"/>
      <c r="T739" s="33"/>
    </row>
    <row r="740" spans="1:20" ht="15.75">
      <c r="A740" s="13">
        <v>64405</v>
      </c>
      <c r="B740" s="41">
        <f t="shared" si="2"/>
        <v>30</v>
      </c>
      <c r="C740" s="32">
        <v>141.29300000000001</v>
      </c>
      <c r="D740" s="32">
        <v>267.99299999999999</v>
      </c>
      <c r="E740" s="38">
        <v>829.71400000000006</v>
      </c>
      <c r="F740" s="32">
        <v>1239</v>
      </c>
      <c r="G740" s="32">
        <v>100</v>
      </c>
      <c r="H740" s="40">
        <v>600</v>
      </c>
      <c r="I740" s="32">
        <v>695</v>
      </c>
      <c r="J740" s="32">
        <v>50</v>
      </c>
      <c r="K740" s="33"/>
      <c r="L740" s="33"/>
      <c r="M740" s="33"/>
      <c r="N740" s="33"/>
      <c r="O740" s="33"/>
      <c r="P740" s="33"/>
      <c r="Q740" s="33"/>
      <c r="R740" s="33"/>
      <c r="S740" s="33"/>
      <c r="T740" s="33"/>
    </row>
    <row r="741" spans="1:20" ht="15.75">
      <c r="A741" s="13">
        <v>64436</v>
      </c>
      <c r="B741" s="41">
        <f t="shared" si="2"/>
        <v>31</v>
      </c>
      <c r="C741" s="32">
        <v>194.20500000000001</v>
      </c>
      <c r="D741" s="32">
        <v>267.46600000000001</v>
      </c>
      <c r="E741" s="38">
        <v>812.32899999999995</v>
      </c>
      <c r="F741" s="32">
        <v>1274</v>
      </c>
      <c r="G741" s="32">
        <v>75</v>
      </c>
      <c r="H741" s="40">
        <v>600</v>
      </c>
      <c r="I741" s="32">
        <v>695</v>
      </c>
      <c r="J741" s="32">
        <v>50</v>
      </c>
      <c r="K741" s="33"/>
      <c r="L741" s="33"/>
      <c r="M741" s="33"/>
      <c r="N741" s="33"/>
      <c r="O741" s="33"/>
      <c r="P741" s="33"/>
      <c r="Q741" s="33"/>
      <c r="R741" s="33"/>
      <c r="S741" s="33"/>
      <c r="T741" s="33"/>
    </row>
    <row r="742" spans="1:20" ht="15.75">
      <c r="A742" s="13">
        <v>64466</v>
      </c>
      <c r="B742" s="41">
        <f t="shared" si="2"/>
        <v>30</v>
      </c>
      <c r="C742" s="32">
        <v>194.20500000000001</v>
      </c>
      <c r="D742" s="32">
        <v>267.46600000000001</v>
      </c>
      <c r="E742" s="38">
        <v>812.32899999999995</v>
      </c>
      <c r="F742" s="32">
        <v>1274</v>
      </c>
      <c r="G742" s="32">
        <v>50</v>
      </c>
      <c r="H742" s="40">
        <v>600</v>
      </c>
      <c r="I742" s="32">
        <v>695</v>
      </c>
      <c r="J742" s="32">
        <v>50</v>
      </c>
      <c r="K742" s="33"/>
      <c r="L742" s="33"/>
      <c r="M742" s="33"/>
      <c r="N742" s="33"/>
      <c r="O742" s="33"/>
      <c r="P742" s="33"/>
      <c r="Q742" s="33"/>
      <c r="R742" s="33"/>
      <c r="S742" s="33"/>
      <c r="T742" s="33"/>
    </row>
    <row r="743" spans="1:20" ht="15.75">
      <c r="A743" s="13">
        <v>64497</v>
      </c>
      <c r="B743" s="41">
        <f t="shared" si="2"/>
        <v>31</v>
      </c>
      <c r="C743" s="32">
        <v>194.20500000000001</v>
      </c>
      <c r="D743" s="32">
        <v>267.46600000000001</v>
      </c>
      <c r="E743" s="38">
        <v>812.32899999999995</v>
      </c>
      <c r="F743" s="32">
        <v>1274</v>
      </c>
      <c r="G743" s="32">
        <v>50</v>
      </c>
      <c r="H743" s="40">
        <v>600</v>
      </c>
      <c r="I743" s="32">
        <v>695</v>
      </c>
      <c r="J743" s="32">
        <v>0</v>
      </c>
      <c r="K743" s="33"/>
      <c r="L743" s="33"/>
      <c r="M743" s="33"/>
      <c r="N743" s="33"/>
      <c r="O743" s="33"/>
      <c r="P743" s="33"/>
      <c r="Q743" s="33"/>
      <c r="R743" s="33"/>
      <c r="S743" s="33"/>
      <c r="T743" s="33"/>
    </row>
    <row r="744" spans="1:20" ht="15.75">
      <c r="A744" s="13">
        <v>64528</v>
      </c>
      <c r="B744" s="41">
        <f t="shared" si="2"/>
        <v>31</v>
      </c>
      <c r="C744" s="32">
        <v>194.20500000000001</v>
      </c>
      <c r="D744" s="32">
        <v>267.46600000000001</v>
      </c>
      <c r="E744" s="38">
        <v>812.32899999999995</v>
      </c>
      <c r="F744" s="32">
        <v>1274</v>
      </c>
      <c r="G744" s="32">
        <v>50</v>
      </c>
      <c r="H744" s="40">
        <v>600</v>
      </c>
      <c r="I744" s="32">
        <v>695</v>
      </c>
      <c r="J744" s="32">
        <v>0</v>
      </c>
      <c r="K744" s="33"/>
      <c r="L744" s="33"/>
      <c r="M744" s="33"/>
      <c r="N744" s="33"/>
      <c r="O744" s="33"/>
      <c r="P744" s="33"/>
      <c r="Q744" s="33"/>
      <c r="R744" s="33"/>
      <c r="S744" s="33"/>
      <c r="T744" s="33"/>
    </row>
    <row r="745" spans="1:20" ht="15.75">
      <c r="A745" s="13">
        <v>64558</v>
      </c>
      <c r="B745" s="41">
        <f t="shared" si="2"/>
        <v>30</v>
      </c>
      <c r="C745" s="32">
        <v>194.20500000000001</v>
      </c>
      <c r="D745" s="32">
        <v>267.46600000000001</v>
      </c>
      <c r="E745" s="38">
        <v>812.32899999999995</v>
      </c>
      <c r="F745" s="32">
        <v>1274</v>
      </c>
      <c r="G745" s="32">
        <v>50</v>
      </c>
      <c r="H745" s="40">
        <v>600</v>
      </c>
      <c r="I745" s="32">
        <v>695</v>
      </c>
      <c r="J745" s="32">
        <v>0</v>
      </c>
      <c r="K745" s="33"/>
      <c r="L745" s="33"/>
      <c r="M745" s="33"/>
      <c r="N745" s="33"/>
      <c r="O745" s="33"/>
      <c r="P745" s="33"/>
      <c r="Q745" s="33"/>
      <c r="R745" s="33"/>
      <c r="S745" s="33"/>
      <c r="T745" s="33"/>
    </row>
    <row r="746" spans="1:20" ht="15.75">
      <c r="A746" s="13">
        <v>64589</v>
      </c>
      <c r="B746" s="41">
        <f t="shared" si="2"/>
        <v>31</v>
      </c>
      <c r="C746" s="32">
        <v>131.881</v>
      </c>
      <c r="D746" s="32">
        <v>277.16699999999997</v>
      </c>
      <c r="E746" s="38">
        <v>829.952</v>
      </c>
      <c r="F746" s="32">
        <v>1239</v>
      </c>
      <c r="G746" s="32">
        <v>75</v>
      </c>
      <c r="H746" s="40">
        <v>600</v>
      </c>
      <c r="I746" s="32">
        <v>695</v>
      </c>
      <c r="J746" s="32">
        <v>0</v>
      </c>
      <c r="K746" s="33"/>
      <c r="L746" s="33"/>
      <c r="M746" s="33"/>
      <c r="N746" s="33"/>
      <c r="O746" s="33"/>
      <c r="P746" s="33"/>
      <c r="Q746" s="33"/>
      <c r="R746" s="33"/>
      <c r="S746" s="33"/>
      <c r="T746" s="33"/>
    </row>
    <row r="747" spans="1:20" ht="15.75">
      <c r="A747" s="13">
        <v>64619</v>
      </c>
      <c r="B747" s="41">
        <f t="shared" si="2"/>
        <v>30</v>
      </c>
      <c r="C747" s="32">
        <v>122.58</v>
      </c>
      <c r="D747" s="32">
        <v>297.94099999999997</v>
      </c>
      <c r="E747" s="38">
        <v>729.47900000000004</v>
      </c>
      <c r="F747" s="32">
        <v>1150</v>
      </c>
      <c r="G747" s="32">
        <v>100</v>
      </c>
      <c r="H747" s="40">
        <v>600</v>
      </c>
      <c r="I747" s="32">
        <v>695</v>
      </c>
      <c r="J747" s="32">
        <v>50</v>
      </c>
      <c r="K747" s="33"/>
      <c r="L747" s="33"/>
      <c r="M747" s="33"/>
      <c r="N747" s="33"/>
      <c r="O747" s="33"/>
      <c r="P747" s="33"/>
      <c r="Q747" s="33"/>
      <c r="R747" s="33"/>
      <c r="S747" s="33"/>
      <c r="T747" s="33"/>
    </row>
    <row r="748" spans="1:20" ht="15.75">
      <c r="A748" s="13">
        <v>64650</v>
      </c>
      <c r="B748" s="41">
        <f t="shared" si="2"/>
        <v>31</v>
      </c>
      <c r="C748" s="32">
        <v>122.58</v>
      </c>
      <c r="D748" s="32">
        <v>297.94099999999997</v>
      </c>
      <c r="E748" s="38">
        <v>729.47900000000004</v>
      </c>
      <c r="F748" s="32">
        <v>1150</v>
      </c>
      <c r="G748" s="32">
        <v>100</v>
      </c>
      <c r="H748" s="40">
        <v>600</v>
      </c>
      <c r="I748" s="32">
        <v>695</v>
      </c>
      <c r="J748" s="32">
        <v>50</v>
      </c>
      <c r="K748" s="33"/>
      <c r="L748" s="33"/>
      <c r="M748" s="33"/>
      <c r="N748" s="33"/>
      <c r="O748" s="33"/>
      <c r="P748" s="33"/>
      <c r="Q748" s="33"/>
      <c r="R748" s="33"/>
      <c r="S748" s="33"/>
      <c r="T748" s="33"/>
    </row>
    <row r="749" spans="1:20" ht="15.75">
      <c r="A749" s="13">
        <v>64681</v>
      </c>
      <c r="B749" s="41">
        <f t="shared" si="2"/>
        <v>31</v>
      </c>
      <c r="C749" s="32">
        <v>122.58</v>
      </c>
      <c r="D749" s="32">
        <v>297.94099999999997</v>
      </c>
      <c r="E749" s="38">
        <v>729.47900000000004</v>
      </c>
      <c r="F749" s="32">
        <v>1150</v>
      </c>
      <c r="G749" s="32">
        <v>100</v>
      </c>
      <c r="H749" s="40">
        <v>600</v>
      </c>
      <c r="I749" s="32">
        <v>695</v>
      </c>
      <c r="J749" s="32">
        <v>50</v>
      </c>
      <c r="K749" s="33"/>
      <c r="L749" s="33"/>
      <c r="M749" s="33"/>
      <c r="N749" s="33"/>
      <c r="O749" s="33"/>
      <c r="P749" s="33"/>
      <c r="Q749" s="33"/>
      <c r="R749" s="33"/>
      <c r="S749" s="33"/>
      <c r="T749" s="33"/>
    </row>
    <row r="750" spans="1:20" ht="15.75">
      <c r="A750" s="13">
        <v>64709</v>
      </c>
      <c r="B750" s="41">
        <f t="shared" si="2"/>
        <v>28</v>
      </c>
      <c r="C750" s="32">
        <v>122.58</v>
      </c>
      <c r="D750" s="32">
        <v>297.94099999999997</v>
      </c>
      <c r="E750" s="38">
        <v>729.47900000000004</v>
      </c>
      <c r="F750" s="32">
        <v>1150</v>
      </c>
      <c r="G750" s="32">
        <v>100</v>
      </c>
      <c r="H750" s="40">
        <v>600</v>
      </c>
      <c r="I750" s="32">
        <v>695</v>
      </c>
      <c r="J750" s="32">
        <v>50</v>
      </c>
      <c r="K750" s="33"/>
      <c r="L750" s="33"/>
      <c r="M750" s="33"/>
      <c r="N750" s="33"/>
      <c r="O750" s="33"/>
      <c r="P750" s="33"/>
      <c r="Q750" s="33"/>
      <c r="R750" s="33"/>
      <c r="S750" s="33"/>
      <c r="T750" s="33"/>
    </row>
    <row r="751" spans="1:20" ht="15.75">
      <c r="A751" s="13">
        <v>64740</v>
      </c>
      <c r="B751" s="41">
        <f t="shared" si="2"/>
        <v>31</v>
      </c>
      <c r="C751" s="32">
        <v>122.58</v>
      </c>
      <c r="D751" s="32">
        <v>297.94099999999997</v>
      </c>
      <c r="E751" s="38">
        <v>729.47900000000004</v>
      </c>
      <c r="F751" s="32">
        <v>1150</v>
      </c>
      <c r="G751" s="32">
        <v>100</v>
      </c>
      <c r="H751" s="40">
        <v>600</v>
      </c>
      <c r="I751" s="32">
        <v>695</v>
      </c>
      <c r="J751" s="32">
        <v>50</v>
      </c>
      <c r="K751" s="33"/>
      <c r="L751" s="33"/>
      <c r="M751" s="33"/>
      <c r="N751" s="33"/>
      <c r="O751" s="33"/>
      <c r="P751" s="33"/>
      <c r="Q751" s="33"/>
      <c r="R751" s="33"/>
      <c r="S751" s="33"/>
      <c r="T751" s="33"/>
    </row>
    <row r="752" spans="1:20" ht="15.75">
      <c r="A752" s="13">
        <v>64770</v>
      </c>
      <c r="B752" s="41">
        <f t="shared" si="2"/>
        <v>30</v>
      </c>
      <c r="C752" s="32">
        <v>141.29300000000001</v>
      </c>
      <c r="D752" s="32">
        <v>267.99299999999999</v>
      </c>
      <c r="E752" s="38">
        <v>829.71400000000006</v>
      </c>
      <c r="F752" s="32">
        <v>1239</v>
      </c>
      <c r="G752" s="32">
        <v>100</v>
      </c>
      <c r="H752" s="40">
        <v>600</v>
      </c>
      <c r="I752" s="32">
        <v>695</v>
      </c>
      <c r="J752" s="32">
        <v>50</v>
      </c>
      <c r="K752" s="33"/>
      <c r="L752" s="33"/>
      <c r="M752" s="33"/>
      <c r="N752" s="33"/>
      <c r="O752" s="33"/>
      <c r="P752" s="33"/>
      <c r="Q752" s="33"/>
      <c r="R752" s="33"/>
      <c r="S752" s="33"/>
      <c r="T752" s="33"/>
    </row>
    <row r="753" spans="1:20" ht="15.75">
      <c r="A753" s="13">
        <v>64801</v>
      </c>
      <c r="B753" s="41">
        <f t="shared" si="2"/>
        <v>31</v>
      </c>
      <c r="C753" s="32">
        <v>194.20500000000001</v>
      </c>
      <c r="D753" s="32">
        <v>267.46600000000001</v>
      </c>
      <c r="E753" s="38">
        <v>812.32899999999995</v>
      </c>
      <c r="F753" s="32">
        <v>1274</v>
      </c>
      <c r="G753" s="32">
        <v>75</v>
      </c>
      <c r="H753" s="40">
        <v>600</v>
      </c>
      <c r="I753" s="32">
        <v>695</v>
      </c>
      <c r="J753" s="32">
        <v>50</v>
      </c>
      <c r="K753" s="33"/>
      <c r="L753" s="33"/>
      <c r="M753" s="33"/>
      <c r="N753" s="33"/>
      <c r="O753" s="33"/>
      <c r="P753" s="33"/>
      <c r="Q753" s="33"/>
      <c r="R753" s="33"/>
      <c r="S753" s="33"/>
      <c r="T753" s="33"/>
    </row>
    <row r="754" spans="1:20" ht="15.75">
      <c r="A754" s="13">
        <v>64831</v>
      </c>
      <c r="B754" s="41">
        <f t="shared" si="2"/>
        <v>30</v>
      </c>
      <c r="C754" s="32">
        <v>194.20500000000001</v>
      </c>
      <c r="D754" s="32">
        <v>267.46600000000001</v>
      </c>
      <c r="E754" s="38">
        <v>812.32899999999995</v>
      </c>
      <c r="F754" s="32">
        <v>1274</v>
      </c>
      <c r="G754" s="32">
        <v>50</v>
      </c>
      <c r="H754" s="40">
        <v>600</v>
      </c>
      <c r="I754" s="32">
        <v>695</v>
      </c>
      <c r="J754" s="32">
        <v>50</v>
      </c>
      <c r="K754" s="33"/>
      <c r="L754" s="33"/>
      <c r="M754" s="33"/>
      <c r="N754" s="33"/>
      <c r="O754" s="33"/>
      <c r="P754" s="33"/>
      <c r="Q754" s="33"/>
      <c r="R754" s="33"/>
      <c r="S754" s="33"/>
      <c r="T754" s="33"/>
    </row>
    <row r="755" spans="1:20" ht="15.75">
      <c r="A755" s="13">
        <v>64862</v>
      </c>
      <c r="B755" s="41">
        <f t="shared" si="2"/>
        <v>31</v>
      </c>
      <c r="C755" s="32">
        <v>194.20500000000001</v>
      </c>
      <c r="D755" s="32">
        <v>267.46600000000001</v>
      </c>
      <c r="E755" s="38">
        <v>812.32899999999995</v>
      </c>
      <c r="F755" s="32">
        <v>1274</v>
      </c>
      <c r="G755" s="32">
        <v>50</v>
      </c>
      <c r="H755" s="40">
        <v>600</v>
      </c>
      <c r="I755" s="32">
        <v>695</v>
      </c>
      <c r="J755" s="32">
        <v>0</v>
      </c>
      <c r="K755" s="33"/>
      <c r="L755" s="33"/>
      <c r="M755" s="33"/>
      <c r="N755" s="33"/>
      <c r="O755" s="33"/>
      <c r="P755" s="33"/>
      <c r="Q755" s="33"/>
      <c r="R755" s="33"/>
      <c r="S755" s="33"/>
      <c r="T755" s="33"/>
    </row>
    <row r="756" spans="1:20" ht="15.75">
      <c r="A756" s="13">
        <v>64893</v>
      </c>
      <c r="B756" s="41">
        <f t="shared" si="2"/>
        <v>31</v>
      </c>
      <c r="C756" s="32">
        <v>194.20500000000001</v>
      </c>
      <c r="D756" s="32">
        <v>267.46600000000001</v>
      </c>
      <c r="E756" s="38">
        <v>812.32899999999995</v>
      </c>
      <c r="F756" s="32">
        <v>1274</v>
      </c>
      <c r="G756" s="32">
        <v>50</v>
      </c>
      <c r="H756" s="40">
        <v>600</v>
      </c>
      <c r="I756" s="32">
        <v>695</v>
      </c>
      <c r="J756" s="32">
        <v>0</v>
      </c>
      <c r="K756" s="33"/>
      <c r="L756" s="33"/>
      <c r="M756" s="33"/>
      <c r="N756" s="33"/>
      <c r="O756" s="33"/>
      <c r="P756" s="33"/>
      <c r="Q756" s="33"/>
      <c r="R756" s="33"/>
      <c r="S756" s="33"/>
      <c r="T756" s="33"/>
    </row>
    <row r="757" spans="1:20" ht="15.75">
      <c r="A757" s="13">
        <v>64923</v>
      </c>
      <c r="B757" s="41">
        <f t="shared" si="2"/>
        <v>30</v>
      </c>
      <c r="C757" s="32">
        <v>194.20500000000001</v>
      </c>
      <c r="D757" s="32">
        <v>267.46600000000001</v>
      </c>
      <c r="E757" s="38">
        <v>812.32899999999995</v>
      </c>
      <c r="F757" s="32">
        <v>1274</v>
      </c>
      <c r="G757" s="32">
        <v>50</v>
      </c>
      <c r="H757" s="40">
        <v>600</v>
      </c>
      <c r="I757" s="32">
        <v>695</v>
      </c>
      <c r="J757" s="32">
        <v>0</v>
      </c>
      <c r="K757" s="33"/>
      <c r="L757" s="33"/>
      <c r="M757" s="33"/>
      <c r="N757" s="33"/>
      <c r="O757" s="33"/>
      <c r="P757" s="33"/>
      <c r="Q757" s="33"/>
      <c r="R757" s="33"/>
      <c r="S757" s="33"/>
      <c r="T757" s="33"/>
    </row>
    <row r="758" spans="1:20" ht="15.75">
      <c r="A758" s="13">
        <v>64954</v>
      </c>
      <c r="B758" s="41">
        <f t="shared" si="2"/>
        <v>31</v>
      </c>
      <c r="C758" s="32">
        <v>131.881</v>
      </c>
      <c r="D758" s="32">
        <v>277.16699999999997</v>
      </c>
      <c r="E758" s="38">
        <v>829.952</v>
      </c>
      <c r="F758" s="32">
        <v>1239</v>
      </c>
      <c r="G758" s="32">
        <v>75</v>
      </c>
      <c r="H758" s="40">
        <v>600</v>
      </c>
      <c r="I758" s="32">
        <v>695</v>
      </c>
      <c r="J758" s="32">
        <v>0</v>
      </c>
      <c r="K758" s="33"/>
      <c r="L758" s="33"/>
      <c r="M758" s="33"/>
      <c r="N758" s="33"/>
      <c r="O758" s="33"/>
      <c r="P758" s="33"/>
      <c r="Q758" s="33"/>
      <c r="R758" s="33"/>
      <c r="S758" s="33"/>
      <c r="T758" s="33"/>
    </row>
    <row r="759" spans="1:20" ht="15.75">
      <c r="A759" s="13">
        <v>64984</v>
      </c>
      <c r="B759" s="41">
        <f t="shared" si="2"/>
        <v>30</v>
      </c>
      <c r="C759" s="32">
        <v>122.58</v>
      </c>
      <c r="D759" s="32">
        <v>297.94099999999997</v>
      </c>
      <c r="E759" s="38">
        <v>729.47900000000004</v>
      </c>
      <c r="F759" s="32">
        <v>1150</v>
      </c>
      <c r="G759" s="32">
        <v>100</v>
      </c>
      <c r="H759" s="40">
        <v>600</v>
      </c>
      <c r="I759" s="32">
        <v>695</v>
      </c>
      <c r="J759" s="32">
        <v>50</v>
      </c>
      <c r="K759" s="33"/>
      <c r="L759" s="33"/>
      <c r="M759" s="33"/>
      <c r="N759" s="33"/>
      <c r="O759" s="33"/>
      <c r="P759" s="33"/>
      <c r="Q759" s="33"/>
      <c r="R759" s="33"/>
      <c r="S759" s="33"/>
      <c r="T759" s="33"/>
    </row>
    <row r="760" spans="1:20" ht="15.75">
      <c r="A760" s="13">
        <v>65015</v>
      </c>
      <c r="B760" s="41">
        <f t="shared" si="2"/>
        <v>31</v>
      </c>
      <c r="C760" s="32">
        <v>122.58</v>
      </c>
      <c r="D760" s="32">
        <v>297.94099999999997</v>
      </c>
      <c r="E760" s="38">
        <v>729.47900000000004</v>
      </c>
      <c r="F760" s="32">
        <v>1150</v>
      </c>
      <c r="G760" s="32">
        <v>100</v>
      </c>
      <c r="H760" s="40">
        <v>600</v>
      </c>
      <c r="I760" s="32">
        <v>695</v>
      </c>
      <c r="J760" s="32">
        <v>50</v>
      </c>
      <c r="K760" s="33"/>
      <c r="L760" s="33"/>
      <c r="M760" s="33"/>
      <c r="N760" s="33"/>
      <c r="O760" s="33"/>
      <c r="P760" s="33"/>
      <c r="Q760" s="33"/>
      <c r="R760" s="33"/>
      <c r="S760" s="33"/>
      <c r="T760" s="33"/>
    </row>
    <row r="761" spans="1:20" ht="15.75">
      <c r="A761" s="13">
        <v>65046</v>
      </c>
      <c r="B761" s="41">
        <f t="shared" ref="B761:B824" si="3">EOMONTH(A761,0)-EOMONTH(A761,-1)</f>
        <v>31</v>
      </c>
      <c r="C761" s="32">
        <v>122.58</v>
      </c>
      <c r="D761" s="32">
        <v>297.94099999999997</v>
      </c>
      <c r="E761" s="38">
        <v>729.47900000000004</v>
      </c>
      <c r="F761" s="32">
        <v>1150</v>
      </c>
      <c r="G761" s="32">
        <v>100</v>
      </c>
      <c r="H761" s="40">
        <v>600</v>
      </c>
      <c r="I761" s="32">
        <v>695</v>
      </c>
      <c r="J761" s="32">
        <v>50</v>
      </c>
      <c r="K761" s="33"/>
      <c r="L761" s="33"/>
      <c r="M761" s="33"/>
      <c r="N761" s="33"/>
      <c r="O761" s="33"/>
      <c r="P761" s="33"/>
      <c r="Q761" s="33"/>
      <c r="R761" s="33"/>
      <c r="S761" s="33"/>
      <c r="T761" s="33"/>
    </row>
    <row r="762" spans="1:20" ht="15.75">
      <c r="A762" s="13">
        <v>65074</v>
      </c>
      <c r="B762" s="41">
        <f t="shared" si="3"/>
        <v>28</v>
      </c>
      <c r="C762" s="32">
        <v>122.58</v>
      </c>
      <c r="D762" s="32">
        <v>297.94099999999997</v>
      </c>
      <c r="E762" s="38">
        <v>729.47900000000004</v>
      </c>
      <c r="F762" s="32">
        <v>1150</v>
      </c>
      <c r="G762" s="32">
        <v>100</v>
      </c>
      <c r="H762" s="40">
        <v>600</v>
      </c>
      <c r="I762" s="32">
        <v>695</v>
      </c>
      <c r="J762" s="32">
        <v>50</v>
      </c>
      <c r="K762" s="33"/>
      <c r="L762" s="33"/>
      <c r="M762" s="33"/>
      <c r="N762" s="33"/>
      <c r="O762" s="33"/>
      <c r="P762" s="33"/>
      <c r="Q762" s="33"/>
      <c r="R762" s="33"/>
      <c r="S762" s="33"/>
      <c r="T762" s="33"/>
    </row>
    <row r="763" spans="1:20" ht="15.75">
      <c r="A763" s="13">
        <v>65105</v>
      </c>
      <c r="B763" s="41">
        <f t="shared" si="3"/>
        <v>31</v>
      </c>
      <c r="C763" s="32">
        <v>122.58</v>
      </c>
      <c r="D763" s="32">
        <v>297.94099999999997</v>
      </c>
      <c r="E763" s="38">
        <v>729.47900000000004</v>
      </c>
      <c r="F763" s="32">
        <v>1150</v>
      </c>
      <c r="G763" s="32">
        <v>100</v>
      </c>
      <c r="H763" s="40">
        <v>600</v>
      </c>
      <c r="I763" s="32">
        <v>695</v>
      </c>
      <c r="J763" s="32">
        <v>50</v>
      </c>
      <c r="K763" s="33"/>
      <c r="L763" s="33"/>
      <c r="M763" s="33"/>
      <c r="N763" s="33"/>
      <c r="O763" s="33"/>
      <c r="P763" s="33"/>
      <c r="Q763" s="33"/>
      <c r="R763" s="33"/>
      <c r="S763" s="33"/>
      <c r="T763" s="33"/>
    </row>
    <row r="764" spans="1:20" ht="15.75">
      <c r="A764" s="13">
        <v>65135</v>
      </c>
      <c r="B764" s="41">
        <f t="shared" si="3"/>
        <v>30</v>
      </c>
      <c r="C764" s="32">
        <v>141.29300000000001</v>
      </c>
      <c r="D764" s="32">
        <v>267.99299999999999</v>
      </c>
      <c r="E764" s="38">
        <v>829.71400000000006</v>
      </c>
      <c r="F764" s="32">
        <v>1239</v>
      </c>
      <c r="G764" s="32">
        <v>100</v>
      </c>
      <c r="H764" s="40">
        <v>600</v>
      </c>
      <c r="I764" s="32">
        <v>695</v>
      </c>
      <c r="J764" s="32">
        <v>50</v>
      </c>
      <c r="K764" s="33"/>
      <c r="L764" s="33"/>
      <c r="M764" s="33"/>
      <c r="N764" s="33"/>
      <c r="O764" s="33"/>
      <c r="P764" s="33"/>
      <c r="Q764" s="33"/>
      <c r="R764" s="33"/>
      <c r="S764" s="33"/>
      <c r="T764" s="33"/>
    </row>
    <row r="765" spans="1:20" ht="15.75">
      <c r="A765" s="13">
        <v>65166</v>
      </c>
      <c r="B765" s="41">
        <f t="shared" si="3"/>
        <v>31</v>
      </c>
      <c r="C765" s="32">
        <v>194.20500000000001</v>
      </c>
      <c r="D765" s="32">
        <v>267.46600000000001</v>
      </c>
      <c r="E765" s="38">
        <v>812.32899999999995</v>
      </c>
      <c r="F765" s="32">
        <v>1274</v>
      </c>
      <c r="G765" s="32">
        <v>75</v>
      </c>
      <c r="H765" s="40">
        <v>600</v>
      </c>
      <c r="I765" s="32">
        <v>695</v>
      </c>
      <c r="J765" s="32">
        <v>50</v>
      </c>
      <c r="K765" s="33"/>
      <c r="L765" s="33"/>
      <c r="M765" s="33"/>
      <c r="N765" s="33"/>
      <c r="O765" s="33"/>
      <c r="P765" s="33"/>
      <c r="Q765" s="33"/>
      <c r="R765" s="33"/>
      <c r="S765" s="33"/>
      <c r="T765" s="33"/>
    </row>
    <row r="766" spans="1:20" ht="15.75">
      <c r="A766" s="13">
        <v>65196</v>
      </c>
      <c r="B766" s="41">
        <f t="shared" si="3"/>
        <v>30</v>
      </c>
      <c r="C766" s="32">
        <v>194.20500000000001</v>
      </c>
      <c r="D766" s="32">
        <v>267.46600000000001</v>
      </c>
      <c r="E766" s="38">
        <v>812.32899999999995</v>
      </c>
      <c r="F766" s="32">
        <v>1274</v>
      </c>
      <c r="G766" s="32">
        <v>50</v>
      </c>
      <c r="H766" s="40">
        <v>600</v>
      </c>
      <c r="I766" s="32">
        <v>695</v>
      </c>
      <c r="J766" s="32">
        <v>50</v>
      </c>
      <c r="K766" s="33"/>
      <c r="L766" s="33"/>
      <c r="M766" s="33"/>
      <c r="N766" s="33"/>
      <c r="O766" s="33"/>
      <c r="P766" s="33"/>
      <c r="Q766" s="33"/>
      <c r="R766" s="33"/>
      <c r="S766" s="33"/>
      <c r="T766" s="33"/>
    </row>
    <row r="767" spans="1:20" ht="15.75">
      <c r="A767" s="13">
        <v>65227</v>
      </c>
      <c r="B767" s="41">
        <f t="shared" si="3"/>
        <v>31</v>
      </c>
      <c r="C767" s="32">
        <v>194.20500000000001</v>
      </c>
      <c r="D767" s="32">
        <v>267.46600000000001</v>
      </c>
      <c r="E767" s="38">
        <v>812.32899999999995</v>
      </c>
      <c r="F767" s="32">
        <v>1274</v>
      </c>
      <c r="G767" s="32">
        <v>50</v>
      </c>
      <c r="H767" s="40">
        <v>600</v>
      </c>
      <c r="I767" s="32">
        <v>695</v>
      </c>
      <c r="J767" s="32">
        <v>0</v>
      </c>
      <c r="K767" s="33"/>
      <c r="L767" s="33"/>
      <c r="M767" s="33"/>
      <c r="N767" s="33"/>
      <c r="O767" s="33"/>
      <c r="P767" s="33"/>
      <c r="Q767" s="33"/>
      <c r="R767" s="33"/>
      <c r="S767" s="33"/>
      <c r="T767" s="33"/>
    </row>
    <row r="768" spans="1:20" ht="15.75">
      <c r="A768" s="13">
        <v>65258</v>
      </c>
      <c r="B768" s="41">
        <f t="shared" si="3"/>
        <v>31</v>
      </c>
      <c r="C768" s="32">
        <v>194.20500000000001</v>
      </c>
      <c r="D768" s="32">
        <v>267.46600000000001</v>
      </c>
      <c r="E768" s="38">
        <v>812.32899999999995</v>
      </c>
      <c r="F768" s="32">
        <v>1274</v>
      </c>
      <c r="G768" s="32">
        <v>50</v>
      </c>
      <c r="H768" s="40">
        <v>600</v>
      </c>
      <c r="I768" s="32">
        <v>695</v>
      </c>
      <c r="J768" s="32">
        <v>0</v>
      </c>
      <c r="K768" s="33"/>
      <c r="L768" s="33"/>
      <c r="M768" s="33"/>
      <c r="N768" s="33"/>
      <c r="O768" s="33"/>
      <c r="P768" s="33"/>
      <c r="Q768" s="33"/>
      <c r="R768" s="33"/>
      <c r="S768" s="33"/>
      <c r="T768" s="33"/>
    </row>
    <row r="769" spans="1:20" ht="15.75">
      <c r="A769" s="13">
        <v>65288</v>
      </c>
      <c r="B769" s="41">
        <f t="shared" si="3"/>
        <v>30</v>
      </c>
      <c r="C769" s="32">
        <v>194.20500000000001</v>
      </c>
      <c r="D769" s="32">
        <v>267.46600000000001</v>
      </c>
      <c r="E769" s="38">
        <v>812.32899999999995</v>
      </c>
      <c r="F769" s="32">
        <v>1274</v>
      </c>
      <c r="G769" s="32">
        <v>50</v>
      </c>
      <c r="H769" s="40">
        <v>600</v>
      </c>
      <c r="I769" s="32">
        <v>695</v>
      </c>
      <c r="J769" s="32">
        <v>0</v>
      </c>
      <c r="K769" s="33"/>
      <c r="L769" s="33"/>
      <c r="M769" s="33"/>
      <c r="N769" s="33"/>
      <c r="O769" s="33"/>
      <c r="P769" s="33"/>
      <c r="Q769" s="33"/>
      <c r="R769" s="33"/>
      <c r="S769" s="33"/>
      <c r="T769" s="33"/>
    </row>
    <row r="770" spans="1:20" ht="15.75">
      <c r="A770" s="13">
        <v>65319</v>
      </c>
      <c r="B770" s="41">
        <f t="shared" si="3"/>
        <v>31</v>
      </c>
      <c r="C770" s="32">
        <v>131.881</v>
      </c>
      <c r="D770" s="32">
        <v>277.16699999999997</v>
      </c>
      <c r="E770" s="38">
        <v>829.952</v>
      </c>
      <c r="F770" s="32">
        <v>1239</v>
      </c>
      <c r="G770" s="32">
        <v>75</v>
      </c>
      <c r="H770" s="40">
        <v>600</v>
      </c>
      <c r="I770" s="32">
        <v>695</v>
      </c>
      <c r="J770" s="32">
        <v>0</v>
      </c>
      <c r="K770" s="33"/>
      <c r="L770" s="33"/>
      <c r="M770" s="33"/>
      <c r="N770" s="33"/>
      <c r="O770" s="33"/>
      <c r="P770" s="33"/>
      <c r="Q770" s="33"/>
      <c r="R770" s="33"/>
      <c r="S770" s="33"/>
      <c r="T770" s="33"/>
    </row>
    <row r="771" spans="1:20" ht="15.75">
      <c r="A771" s="13">
        <v>65349</v>
      </c>
      <c r="B771" s="41">
        <f t="shared" si="3"/>
        <v>30</v>
      </c>
      <c r="C771" s="32">
        <v>122.58</v>
      </c>
      <c r="D771" s="32">
        <v>297.94099999999997</v>
      </c>
      <c r="E771" s="38">
        <v>729.47900000000004</v>
      </c>
      <c r="F771" s="32">
        <v>1150</v>
      </c>
      <c r="G771" s="32">
        <v>100</v>
      </c>
      <c r="H771" s="40">
        <v>600</v>
      </c>
      <c r="I771" s="32">
        <v>695</v>
      </c>
      <c r="J771" s="32">
        <v>50</v>
      </c>
      <c r="K771" s="33"/>
      <c r="L771" s="33"/>
      <c r="M771" s="33"/>
      <c r="N771" s="33"/>
      <c r="O771" s="33"/>
      <c r="P771" s="33"/>
      <c r="Q771" s="33"/>
      <c r="R771" s="33"/>
      <c r="S771" s="33"/>
      <c r="T771" s="33"/>
    </row>
    <row r="772" spans="1:20" ht="15.75">
      <c r="A772" s="13">
        <v>65380</v>
      </c>
      <c r="B772" s="41">
        <f t="shared" si="3"/>
        <v>31</v>
      </c>
      <c r="C772" s="32">
        <v>122.58</v>
      </c>
      <c r="D772" s="32">
        <v>297.94099999999997</v>
      </c>
      <c r="E772" s="38">
        <v>729.47900000000004</v>
      </c>
      <c r="F772" s="32">
        <v>1150</v>
      </c>
      <c r="G772" s="32">
        <v>100</v>
      </c>
      <c r="H772" s="40">
        <v>600</v>
      </c>
      <c r="I772" s="32">
        <v>695</v>
      </c>
      <c r="J772" s="32">
        <v>50</v>
      </c>
      <c r="K772" s="33"/>
      <c r="L772" s="33"/>
      <c r="M772" s="33"/>
      <c r="N772" s="33"/>
      <c r="O772" s="33"/>
      <c r="P772" s="33"/>
      <c r="Q772" s="33"/>
      <c r="R772" s="33"/>
      <c r="S772" s="33"/>
      <c r="T772" s="33"/>
    </row>
    <row r="773" spans="1:20" ht="15.75">
      <c r="A773" s="13">
        <v>65411</v>
      </c>
      <c r="B773" s="41">
        <f t="shared" si="3"/>
        <v>31</v>
      </c>
      <c r="C773" s="32">
        <v>122.58</v>
      </c>
      <c r="D773" s="32">
        <v>297.94099999999997</v>
      </c>
      <c r="E773" s="38">
        <v>729.47900000000004</v>
      </c>
      <c r="F773" s="32">
        <v>1150</v>
      </c>
      <c r="G773" s="32">
        <v>100</v>
      </c>
      <c r="H773" s="40">
        <v>600</v>
      </c>
      <c r="I773" s="32">
        <v>695</v>
      </c>
      <c r="J773" s="32">
        <v>50</v>
      </c>
      <c r="K773" s="33"/>
      <c r="L773" s="33"/>
      <c r="M773" s="33"/>
      <c r="N773" s="33"/>
      <c r="O773" s="33"/>
      <c r="P773" s="33"/>
      <c r="Q773" s="33"/>
      <c r="R773" s="33"/>
      <c r="S773" s="33"/>
      <c r="T773" s="33"/>
    </row>
    <row r="774" spans="1:20" ht="15.75">
      <c r="A774" s="13">
        <v>65439</v>
      </c>
      <c r="B774" s="41">
        <f t="shared" si="3"/>
        <v>28</v>
      </c>
      <c r="C774" s="32">
        <v>122.58</v>
      </c>
      <c r="D774" s="32">
        <v>297.94099999999997</v>
      </c>
      <c r="E774" s="38">
        <v>729.47900000000004</v>
      </c>
      <c r="F774" s="32">
        <v>1150</v>
      </c>
      <c r="G774" s="32">
        <v>100</v>
      </c>
      <c r="H774" s="40">
        <v>600</v>
      </c>
      <c r="I774" s="32">
        <v>695</v>
      </c>
      <c r="J774" s="32">
        <v>50</v>
      </c>
      <c r="K774" s="33"/>
      <c r="L774" s="33"/>
      <c r="M774" s="33"/>
      <c r="N774" s="33"/>
      <c r="O774" s="33"/>
      <c r="P774" s="33"/>
      <c r="Q774" s="33"/>
      <c r="R774" s="33"/>
      <c r="S774" s="33"/>
      <c r="T774" s="33"/>
    </row>
    <row r="775" spans="1:20" ht="15.75">
      <c r="A775" s="13">
        <v>65470</v>
      </c>
      <c r="B775" s="41">
        <f t="shared" si="3"/>
        <v>31</v>
      </c>
      <c r="C775" s="32">
        <v>122.58</v>
      </c>
      <c r="D775" s="32">
        <v>297.94099999999997</v>
      </c>
      <c r="E775" s="38">
        <v>729.47900000000004</v>
      </c>
      <c r="F775" s="32">
        <v>1150</v>
      </c>
      <c r="G775" s="32">
        <v>100</v>
      </c>
      <c r="H775" s="40">
        <v>600</v>
      </c>
      <c r="I775" s="32">
        <v>695</v>
      </c>
      <c r="J775" s="32">
        <v>50</v>
      </c>
      <c r="K775" s="33"/>
      <c r="L775" s="33"/>
      <c r="M775" s="33"/>
      <c r="N775" s="33"/>
      <c r="O775" s="33"/>
      <c r="P775" s="33"/>
      <c r="Q775" s="33"/>
      <c r="R775" s="33"/>
      <c r="S775" s="33"/>
      <c r="T775" s="33"/>
    </row>
    <row r="776" spans="1:20" ht="15.75">
      <c r="A776" s="13">
        <v>65500</v>
      </c>
      <c r="B776" s="41">
        <f t="shared" si="3"/>
        <v>30</v>
      </c>
      <c r="C776" s="32">
        <v>141.29300000000001</v>
      </c>
      <c r="D776" s="32">
        <v>267.99299999999999</v>
      </c>
      <c r="E776" s="38">
        <v>829.71400000000006</v>
      </c>
      <c r="F776" s="32">
        <v>1239</v>
      </c>
      <c r="G776" s="32">
        <v>100</v>
      </c>
      <c r="H776" s="40">
        <v>600</v>
      </c>
      <c r="I776" s="32">
        <v>695</v>
      </c>
      <c r="J776" s="32">
        <v>50</v>
      </c>
      <c r="K776" s="33"/>
      <c r="L776" s="33"/>
      <c r="M776" s="33"/>
      <c r="N776" s="33"/>
      <c r="O776" s="33"/>
      <c r="P776" s="33"/>
      <c r="Q776" s="33"/>
      <c r="R776" s="33"/>
      <c r="S776" s="33"/>
      <c r="T776" s="33"/>
    </row>
    <row r="777" spans="1:20" ht="15.75">
      <c r="A777" s="13">
        <v>65531</v>
      </c>
      <c r="B777" s="41">
        <f t="shared" si="3"/>
        <v>31</v>
      </c>
      <c r="C777" s="32">
        <v>194.20500000000001</v>
      </c>
      <c r="D777" s="32">
        <v>267.46600000000001</v>
      </c>
      <c r="E777" s="38">
        <v>812.32899999999995</v>
      </c>
      <c r="F777" s="32">
        <v>1274</v>
      </c>
      <c r="G777" s="32">
        <v>75</v>
      </c>
      <c r="H777" s="40">
        <v>600</v>
      </c>
      <c r="I777" s="32">
        <v>695</v>
      </c>
      <c r="J777" s="32">
        <v>50</v>
      </c>
      <c r="K777" s="33"/>
      <c r="L777" s="33"/>
      <c r="M777" s="33"/>
      <c r="N777" s="33"/>
      <c r="O777" s="33"/>
      <c r="P777" s="33"/>
      <c r="Q777" s="33"/>
      <c r="R777" s="33"/>
      <c r="S777" s="33"/>
      <c r="T777" s="33"/>
    </row>
    <row r="778" spans="1:20" ht="15.75">
      <c r="A778" s="13">
        <v>65561</v>
      </c>
      <c r="B778" s="41">
        <f t="shared" si="3"/>
        <v>30</v>
      </c>
      <c r="C778" s="32">
        <v>194.20500000000001</v>
      </c>
      <c r="D778" s="32">
        <v>267.46600000000001</v>
      </c>
      <c r="E778" s="38">
        <v>812.32899999999995</v>
      </c>
      <c r="F778" s="32">
        <v>1274</v>
      </c>
      <c r="G778" s="32">
        <v>50</v>
      </c>
      <c r="H778" s="40">
        <v>600</v>
      </c>
      <c r="I778" s="32">
        <v>695</v>
      </c>
      <c r="J778" s="32">
        <v>50</v>
      </c>
      <c r="K778" s="33"/>
      <c r="L778" s="33"/>
      <c r="M778" s="33"/>
      <c r="N778" s="33"/>
      <c r="O778" s="33"/>
      <c r="P778" s="33"/>
      <c r="Q778" s="33"/>
      <c r="R778" s="33"/>
      <c r="S778" s="33"/>
      <c r="T778" s="33"/>
    </row>
    <row r="779" spans="1:20" ht="15.75">
      <c r="A779" s="13">
        <v>65592</v>
      </c>
      <c r="B779" s="41">
        <f t="shared" si="3"/>
        <v>31</v>
      </c>
      <c r="C779" s="32">
        <v>194.20500000000001</v>
      </c>
      <c r="D779" s="32">
        <v>267.46600000000001</v>
      </c>
      <c r="E779" s="38">
        <v>812.32899999999995</v>
      </c>
      <c r="F779" s="32">
        <v>1274</v>
      </c>
      <c r="G779" s="32">
        <v>50</v>
      </c>
      <c r="H779" s="40">
        <v>600</v>
      </c>
      <c r="I779" s="32">
        <v>695</v>
      </c>
      <c r="J779" s="32">
        <v>0</v>
      </c>
      <c r="K779" s="33"/>
      <c r="L779" s="33"/>
      <c r="M779" s="33"/>
      <c r="N779" s="33"/>
      <c r="O779" s="33"/>
      <c r="P779" s="33"/>
      <c r="Q779" s="33"/>
      <c r="R779" s="33"/>
      <c r="S779" s="33"/>
      <c r="T779" s="33"/>
    </row>
    <row r="780" spans="1:20" ht="15.75">
      <c r="A780" s="13">
        <v>65623</v>
      </c>
      <c r="B780" s="41">
        <f t="shared" si="3"/>
        <v>31</v>
      </c>
      <c r="C780" s="32">
        <v>194.20500000000001</v>
      </c>
      <c r="D780" s="32">
        <v>267.46600000000001</v>
      </c>
      <c r="E780" s="38">
        <v>812.32899999999995</v>
      </c>
      <c r="F780" s="32">
        <v>1274</v>
      </c>
      <c r="G780" s="32">
        <v>50</v>
      </c>
      <c r="H780" s="40">
        <v>600</v>
      </c>
      <c r="I780" s="32">
        <v>695</v>
      </c>
      <c r="J780" s="32">
        <v>0</v>
      </c>
      <c r="K780" s="33"/>
      <c r="L780" s="33"/>
      <c r="M780" s="33"/>
      <c r="N780" s="33"/>
      <c r="O780" s="33"/>
      <c r="P780" s="33"/>
      <c r="Q780" s="33"/>
      <c r="R780" s="33"/>
      <c r="S780" s="33"/>
      <c r="T780" s="33"/>
    </row>
    <row r="781" spans="1:20" ht="15.75">
      <c r="A781" s="13">
        <v>65653</v>
      </c>
      <c r="B781" s="41">
        <f t="shared" si="3"/>
        <v>30</v>
      </c>
      <c r="C781" s="32">
        <v>194.20500000000001</v>
      </c>
      <c r="D781" s="32">
        <v>267.46600000000001</v>
      </c>
      <c r="E781" s="38">
        <v>812.32899999999995</v>
      </c>
      <c r="F781" s="32">
        <v>1274</v>
      </c>
      <c r="G781" s="32">
        <v>50</v>
      </c>
      <c r="H781" s="40">
        <v>600</v>
      </c>
      <c r="I781" s="32">
        <v>695</v>
      </c>
      <c r="J781" s="32">
        <v>0</v>
      </c>
      <c r="K781" s="33"/>
      <c r="L781" s="33"/>
      <c r="M781" s="33"/>
      <c r="N781" s="33"/>
      <c r="O781" s="33"/>
      <c r="P781" s="33"/>
      <c r="Q781" s="33"/>
      <c r="R781" s="33"/>
      <c r="S781" s="33"/>
      <c r="T781" s="33"/>
    </row>
    <row r="782" spans="1:20" ht="15.75">
      <c r="A782" s="13">
        <v>65684</v>
      </c>
      <c r="B782" s="41">
        <f t="shared" si="3"/>
        <v>31</v>
      </c>
      <c r="C782" s="32">
        <v>131.881</v>
      </c>
      <c r="D782" s="32">
        <v>277.16699999999997</v>
      </c>
      <c r="E782" s="38">
        <v>829.952</v>
      </c>
      <c r="F782" s="32">
        <v>1239</v>
      </c>
      <c r="G782" s="32">
        <v>75</v>
      </c>
      <c r="H782" s="40">
        <v>600</v>
      </c>
      <c r="I782" s="32">
        <v>695</v>
      </c>
      <c r="J782" s="32">
        <v>0</v>
      </c>
      <c r="K782" s="33"/>
      <c r="L782" s="33"/>
      <c r="M782" s="33"/>
      <c r="N782" s="33"/>
      <c r="O782" s="33"/>
      <c r="P782" s="33"/>
      <c r="Q782" s="33"/>
      <c r="R782" s="33"/>
      <c r="S782" s="33"/>
      <c r="T782" s="33"/>
    </row>
    <row r="783" spans="1:20" ht="15.75">
      <c r="A783" s="13">
        <v>65714</v>
      </c>
      <c r="B783" s="41">
        <f t="shared" si="3"/>
        <v>30</v>
      </c>
      <c r="C783" s="32">
        <v>122.58</v>
      </c>
      <c r="D783" s="32">
        <v>297.94099999999997</v>
      </c>
      <c r="E783" s="38">
        <v>729.47900000000004</v>
      </c>
      <c r="F783" s="32">
        <v>1150</v>
      </c>
      <c r="G783" s="32">
        <v>100</v>
      </c>
      <c r="H783" s="40">
        <v>600</v>
      </c>
      <c r="I783" s="32">
        <v>695</v>
      </c>
      <c r="J783" s="32">
        <v>50</v>
      </c>
      <c r="K783" s="33"/>
      <c r="L783" s="33"/>
      <c r="M783" s="33"/>
      <c r="N783" s="33"/>
      <c r="O783" s="33"/>
      <c r="P783" s="33"/>
      <c r="Q783" s="33"/>
      <c r="R783" s="33"/>
      <c r="S783" s="33"/>
      <c r="T783" s="33"/>
    </row>
    <row r="784" spans="1:20" ht="15.75">
      <c r="A784" s="13">
        <v>65745</v>
      </c>
      <c r="B784" s="41">
        <f t="shared" si="3"/>
        <v>31</v>
      </c>
      <c r="C784" s="32">
        <v>122.58</v>
      </c>
      <c r="D784" s="32">
        <v>297.94099999999997</v>
      </c>
      <c r="E784" s="38">
        <v>729.47900000000004</v>
      </c>
      <c r="F784" s="32">
        <v>1150</v>
      </c>
      <c r="G784" s="32">
        <v>100</v>
      </c>
      <c r="H784" s="40">
        <v>600</v>
      </c>
      <c r="I784" s="32">
        <v>695</v>
      </c>
      <c r="J784" s="32">
        <v>50</v>
      </c>
      <c r="K784" s="33"/>
      <c r="L784" s="33"/>
      <c r="M784" s="33"/>
      <c r="N784" s="33"/>
      <c r="O784" s="33"/>
      <c r="P784" s="33"/>
      <c r="Q784" s="33"/>
      <c r="R784" s="33"/>
      <c r="S784" s="33"/>
      <c r="T784" s="33"/>
    </row>
    <row r="785" spans="1:20" ht="15.75">
      <c r="A785" s="13">
        <v>65776</v>
      </c>
      <c r="B785" s="41">
        <f t="shared" si="3"/>
        <v>31</v>
      </c>
      <c r="C785" s="32">
        <v>122.58</v>
      </c>
      <c r="D785" s="32">
        <v>297.94099999999997</v>
      </c>
      <c r="E785" s="38">
        <v>729.47900000000004</v>
      </c>
      <c r="F785" s="32">
        <v>1150</v>
      </c>
      <c r="G785" s="32">
        <v>100</v>
      </c>
      <c r="H785" s="40">
        <v>600</v>
      </c>
      <c r="I785" s="32">
        <v>695</v>
      </c>
      <c r="J785" s="32">
        <v>50</v>
      </c>
      <c r="K785" s="33"/>
      <c r="L785" s="33"/>
      <c r="M785" s="33"/>
      <c r="N785" s="33"/>
      <c r="O785" s="33"/>
      <c r="P785" s="33"/>
      <c r="Q785" s="33"/>
      <c r="R785" s="33"/>
      <c r="S785" s="33"/>
      <c r="T785" s="33"/>
    </row>
    <row r="786" spans="1:20" ht="15.75">
      <c r="A786" s="13">
        <v>65805</v>
      </c>
      <c r="B786" s="41">
        <f t="shared" si="3"/>
        <v>29</v>
      </c>
      <c r="C786" s="32">
        <v>122.58</v>
      </c>
      <c r="D786" s="32">
        <v>297.94099999999997</v>
      </c>
      <c r="E786" s="38">
        <v>729.47900000000004</v>
      </c>
      <c r="F786" s="32">
        <v>1150</v>
      </c>
      <c r="G786" s="32">
        <v>100</v>
      </c>
      <c r="H786" s="40">
        <v>600</v>
      </c>
      <c r="I786" s="32">
        <v>695</v>
      </c>
      <c r="J786" s="32">
        <v>50</v>
      </c>
      <c r="K786" s="33"/>
      <c r="L786" s="33"/>
      <c r="M786" s="33"/>
      <c r="N786" s="33"/>
      <c r="O786" s="33"/>
      <c r="P786" s="33"/>
      <c r="Q786" s="33"/>
      <c r="R786" s="33"/>
      <c r="S786" s="33"/>
      <c r="T786" s="33"/>
    </row>
    <row r="787" spans="1:20" ht="15.75">
      <c r="A787" s="13">
        <v>65836</v>
      </c>
      <c r="B787" s="41">
        <f t="shared" si="3"/>
        <v>31</v>
      </c>
      <c r="C787" s="32">
        <v>122.58</v>
      </c>
      <c r="D787" s="32">
        <v>297.94099999999997</v>
      </c>
      <c r="E787" s="38">
        <v>729.47900000000004</v>
      </c>
      <c r="F787" s="32">
        <v>1150</v>
      </c>
      <c r="G787" s="32">
        <v>100</v>
      </c>
      <c r="H787" s="40">
        <v>600</v>
      </c>
      <c r="I787" s="32">
        <v>695</v>
      </c>
      <c r="J787" s="32">
        <v>50</v>
      </c>
      <c r="K787" s="33"/>
      <c r="L787" s="33"/>
      <c r="M787" s="33"/>
      <c r="N787" s="33"/>
      <c r="O787" s="33"/>
      <c r="P787" s="33"/>
      <c r="Q787" s="33"/>
      <c r="R787" s="33"/>
      <c r="S787" s="33"/>
      <c r="T787" s="33"/>
    </row>
    <row r="788" spans="1:20" ht="15.75">
      <c r="A788" s="13">
        <v>65866</v>
      </c>
      <c r="B788" s="41">
        <f t="shared" si="3"/>
        <v>30</v>
      </c>
      <c r="C788" s="32">
        <v>141.29300000000001</v>
      </c>
      <c r="D788" s="32">
        <v>267.99299999999999</v>
      </c>
      <c r="E788" s="38">
        <v>829.71400000000006</v>
      </c>
      <c r="F788" s="32">
        <v>1239</v>
      </c>
      <c r="G788" s="32">
        <v>100</v>
      </c>
      <c r="H788" s="40">
        <v>600</v>
      </c>
      <c r="I788" s="32">
        <v>695</v>
      </c>
      <c r="J788" s="32">
        <v>50</v>
      </c>
      <c r="K788" s="33"/>
      <c r="L788" s="33"/>
      <c r="M788" s="33"/>
      <c r="N788" s="33"/>
      <c r="O788" s="33"/>
      <c r="P788" s="33"/>
      <c r="Q788" s="33"/>
      <c r="R788" s="33"/>
      <c r="S788" s="33"/>
      <c r="T788" s="33"/>
    </row>
    <row r="789" spans="1:20" ht="15.75">
      <c r="A789" s="13">
        <v>65897</v>
      </c>
      <c r="B789" s="41">
        <f t="shared" si="3"/>
        <v>31</v>
      </c>
      <c r="C789" s="32">
        <v>194.20500000000001</v>
      </c>
      <c r="D789" s="32">
        <v>267.46600000000001</v>
      </c>
      <c r="E789" s="38">
        <v>812.32899999999995</v>
      </c>
      <c r="F789" s="32">
        <v>1274</v>
      </c>
      <c r="G789" s="32">
        <v>75</v>
      </c>
      <c r="H789" s="40">
        <v>600</v>
      </c>
      <c r="I789" s="32">
        <v>695</v>
      </c>
      <c r="J789" s="32">
        <v>50</v>
      </c>
      <c r="K789" s="33"/>
      <c r="L789" s="33"/>
      <c r="M789" s="33"/>
      <c r="N789" s="33"/>
      <c r="O789" s="33"/>
      <c r="P789" s="33"/>
      <c r="Q789" s="33"/>
      <c r="R789" s="33"/>
      <c r="S789" s="33"/>
      <c r="T789" s="33"/>
    </row>
    <row r="790" spans="1:20" ht="15.75">
      <c r="A790" s="13">
        <v>65927</v>
      </c>
      <c r="B790" s="41">
        <f t="shared" si="3"/>
        <v>30</v>
      </c>
      <c r="C790" s="32">
        <v>194.20500000000001</v>
      </c>
      <c r="D790" s="32">
        <v>267.46600000000001</v>
      </c>
      <c r="E790" s="38">
        <v>812.32899999999995</v>
      </c>
      <c r="F790" s="32">
        <v>1274</v>
      </c>
      <c r="G790" s="32">
        <v>50</v>
      </c>
      <c r="H790" s="40">
        <v>600</v>
      </c>
      <c r="I790" s="32">
        <v>695</v>
      </c>
      <c r="J790" s="32">
        <v>50</v>
      </c>
      <c r="K790" s="33"/>
      <c r="L790" s="33"/>
      <c r="M790" s="33"/>
      <c r="N790" s="33"/>
      <c r="O790" s="33"/>
      <c r="P790" s="33"/>
      <c r="Q790" s="33"/>
      <c r="R790" s="33"/>
      <c r="S790" s="33"/>
      <c r="T790" s="33"/>
    </row>
    <row r="791" spans="1:20" ht="15.75">
      <c r="A791" s="13">
        <v>65958</v>
      </c>
      <c r="B791" s="41">
        <f t="shared" si="3"/>
        <v>31</v>
      </c>
      <c r="C791" s="32">
        <v>194.20500000000001</v>
      </c>
      <c r="D791" s="32">
        <v>267.46600000000001</v>
      </c>
      <c r="E791" s="38">
        <v>812.32899999999995</v>
      </c>
      <c r="F791" s="32">
        <v>1274</v>
      </c>
      <c r="G791" s="32">
        <v>50</v>
      </c>
      <c r="H791" s="40">
        <v>600</v>
      </c>
      <c r="I791" s="32">
        <v>695</v>
      </c>
      <c r="J791" s="32">
        <v>0</v>
      </c>
      <c r="K791" s="33"/>
      <c r="L791" s="33"/>
      <c r="M791" s="33"/>
      <c r="N791" s="33"/>
      <c r="O791" s="33"/>
      <c r="P791" s="33"/>
      <c r="Q791" s="33"/>
      <c r="R791" s="33"/>
      <c r="S791" s="33"/>
      <c r="T791" s="33"/>
    </row>
    <row r="792" spans="1:20" ht="15.75">
      <c r="A792" s="13">
        <v>65989</v>
      </c>
      <c r="B792" s="41">
        <f t="shared" si="3"/>
        <v>31</v>
      </c>
      <c r="C792" s="32">
        <v>194.20500000000001</v>
      </c>
      <c r="D792" s="32">
        <v>267.46600000000001</v>
      </c>
      <c r="E792" s="38">
        <v>812.32899999999995</v>
      </c>
      <c r="F792" s="32">
        <v>1274</v>
      </c>
      <c r="G792" s="32">
        <v>50</v>
      </c>
      <c r="H792" s="40">
        <v>600</v>
      </c>
      <c r="I792" s="32">
        <v>695</v>
      </c>
      <c r="J792" s="32">
        <v>0</v>
      </c>
      <c r="K792" s="33"/>
      <c r="L792" s="33"/>
      <c r="M792" s="33"/>
      <c r="N792" s="33"/>
      <c r="O792" s="33"/>
      <c r="P792" s="33"/>
      <c r="Q792" s="33"/>
      <c r="R792" s="33"/>
      <c r="S792" s="33"/>
      <c r="T792" s="33"/>
    </row>
    <row r="793" spans="1:20" ht="15.75">
      <c r="A793" s="13">
        <v>66019</v>
      </c>
      <c r="B793" s="41">
        <f t="shared" si="3"/>
        <v>30</v>
      </c>
      <c r="C793" s="32">
        <v>194.20500000000001</v>
      </c>
      <c r="D793" s="32">
        <v>267.46600000000001</v>
      </c>
      <c r="E793" s="38">
        <v>812.32899999999995</v>
      </c>
      <c r="F793" s="32">
        <v>1274</v>
      </c>
      <c r="G793" s="32">
        <v>50</v>
      </c>
      <c r="H793" s="40">
        <v>600</v>
      </c>
      <c r="I793" s="32">
        <v>695</v>
      </c>
      <c r="J793" s="32">
        <v>0</v>
      </c>
      <c r="K793" s="33"/>
      <c r="L793" s="33"/>
      <c r="M793" s="33"/>
      <c r="N793" s="33"/>
      <c r="O793" s="33"/>
      <c r="P793" s="33"/>
      <c r="Q793" s="33"/>
      <c r="R793" s="33"/>
      <c r="S793" s="33"/>
      <c r="T793" s="33"/>
    </row>
    <row r="794" spans="1:20" ht="15.75">
      <c r="A794" s="13">
        <v>66050</v>
      </c>
      <c r="B794" s="41">
        <f t="shared" si="3"/>
        <v>31</v>
      </c>
      <c r="C794" s="32">
        <v>131.881</v>
      </c>
      <c r="D794" s="32">
        <v>277.16699999999997</v>
      </c>
      <c r="E794" s="38">
        <v>829.952</v>
      </c>
      <c r="F794" s="32">
        <v>1239</v>
      </c>
      <c r="G794" s="32">
        <v>75</v>
      </c>
      <c r="H794" s="40">
        <v>600</v>
      </c>
      <c r="I794" s="32">
        <v>695</v>
      </c>
      <c r="J794" s="32">
        <v>0</v>
      </c>
      <c r="K794" s="33"/>
      <c r="L794" s="33"/>
      <c r="M794" s="33"/>
      <c r="N794" s="33"/>
      <c r="O794" s="33"/>
      <c r="P794" s="33"/>
      <c r="Q794" s="33"/>
      <c r="R794" s="33"/>
      <c r="S794" s="33"/>
      <c r="T794" s="33"/>
    </row>
    <row r="795" spans="1:20" ht="15.75">
      <c r="A795" s="13">
        <v>66080</v>
      </c>
      <c r="B795" s="41">
        <f t="shared" si="3"/>
        <v>30</v>
      </c>
      <c r="C795" s="32">
        <v>122.58</v>
      </c>
      <c r="D795" s="32">
        <v>297.94099999999997</v>
      </c>
      <c r="E795" s="38">
        <v>729.47900000000004</v>
      </c>
      <c r="F795" s="32">
        <v>1150</v>
      </c>
      <c r="G795" s="32">
        <v>100</v>
      </c>
      <c r="H795" s="40">
        <v>600</v>
      </c>
      <c r="I795" s="32">
        <v>695</v>
      </c>
      <c r="J795" s="32">
        <v>50</v>
      </c>
      <c r="K795" s="33"/>
      <c r="L795" s="33"/>
      <c r="M795" s="33"/>
      <c r="N795" s="33"/>
      <c r="O795" s="33"/>
      <c r="P795" s="33"/>
      <c r="Q795" s="33"/>
      <c r="R795" s="33"/>
      <c r="S795" s="33"/>
      <c r="T795" s="33"/>
    </row>
    <row r="796" spans="1:20" ht="15.75">
      <c r="A796" s="13">
        <v>66111</v>
      </c>
      <c r="B796" s="41">
        <f t="shared" si="3"/>
        <v>31</v>
      </c>
      <c r="C796" s="32">
        <v>122.58</v>
      </c>
      <c r="D796" s="32">
        <v>297.94099999999997</v>
      </c>
      <c r="E796" s="38">
        <v>729.47900000000004</v>
      </c>
      <c r="F796" s="32">
        <v>1150</v>
      </c>
      <c r="G796" s="32">
        <v>100</v>
      </c>
      <c r="H796" s="40">
        <v>600</v>
      </c>
      <c r="I796" s="32">
        <v>695</v>
      </c>
      <c r="J796" s="32">
        <v>50</v>
      </c>
      <c r="K796" s="33"/>
      <c r="L796" s="33"/>
      <c r="M796" s="33"/>
      <c r="N796" s="33"/>
      <c r="O796" s="33"/>
      <c r="P796" s="33"/>
      <c r="Q796" s="33"/>
      <c r="R796" s="33"/>
      <c r="S796" s="33"/>
      <c r="T796" s="33"/>
    </row>
    <row r="797" spans="1:20" ht="15.75">
      <c r="A797" s="13">
        <v>66142</v>
      </c>
      <c r="B797" s="41">
        <f t="shared" si="3"/>
        <v>31</v>
      </c>
      <c r="C797" s="32">
        <v>122.58</v>
      </c>
      <c r="D797" s="32">
        <v>297.94099999999997</v>
      </c>
      <c r="E797" s="38">
        <v>729.47900000000004</v>
      </c>
      <c r="F797" s="32">
        <v>1150</v>
      </c>
      <c r="G797" s="32">
        <v>100</v>
      </c>
      <c r="H797" s="40">
        <v>600</v>
      </c>
      <c r="I797" s="32">
        <v>695</v>
      </c>
      <c r="J797" s="32">
        <v>50</v>
      </c>
      <c r="K797" s="33"/>
      <c r="L797" s="33"/>
      <c r="M797" s="33"/>
      <c r="N797" s="33"/>
      <c r="O797" s="33"/>
      <c r="P797" s="33"/>
      <c r="Q797" s="33"/>
      <c r="R797" s="33"/>
      <c r="S797" s="33"/>
      <c r="T797" s="33"/>
    </row>
    <row r="798" spans="1:20" ht="15.75">
      <c r="A798" s="13">
        <v>66170</v>
      </c>
      <c r="B798" s="41">
        <f t="shared" si="3"/>
        <v>28</v>
      </c>
      <c r="C798" s="32">
        <v>122.58</v>
      </c>
      <c r="D798" s="32">
        <v>297.94099999999997</v>
      </c>
      <c r="E798" s="38">
        <v>729.47900000000004</v>
      </c>
      <c r="F798" s="32">
        <v>1150</v>
      </c>
      <c r="G798" s="32">
        <v>100</v>
      </c>
      <c r="H798" s="40">
        <v>600</v>
      </c>
      <c r="I798" s="32">
        <v>695</v>
      </c>
      <c r="J798" s="32">
        <v>50</v>
      </c>
      <c r="K798" s="33"/>
      <c r="L798" s="33"/>
      <c r="M798" s="33"/>
      <c r="N798" s="33"/>
      <c r="O798" s="33"/>
      <c r="P798" s="33"/>
      <c r="Q798" s="33"/>
      <c r="R798" s="33"/>
      <c r="S798" s="33"/>
      <c r="T798" s="33"/>
    </row>
    <row r="799" spans="1:20" ht="15.75">
      <c r="A799" s="13">
        <v>66201</v>
      </c>
      <c r="B799" s="41">
        <f t="shared" si="3"/>
        <v>31</v>
      </c>
      <c r="C799" s="32">
        <v>122.58</v>
      </c>
      <c r="D799" s="32">
        <v>297.94099999999997</v>
      </c>
      <c r="E799" s="38">
        <v>729.47900000000004</v>
      </c>
      <c r="F799" s="32">
        <v>1150</v>
      </c>
      <c r="G799" s="32">
        <v>100</v>
      </c>
      <c r="H799" s="40">
        <v>600</v>
      </c>
      <c r="I799" s="32">
        <v>695</v>
      </c>
      <c r="J799" s="32">
        <v>50</v>
      </c>
      <c r="K799" s="33"/>
      <c r="L799" s="33"/>
      <c r="M799" s="33"/>
      <c r="N799" s="33"/>
      <c r="O799" s="33"/>
      <c r="P799" s="33"/>
      <c r="Q799" s="33"/>
      <c r="R799" s="33"/>
      <c r="S799" s="33"/>
      <c r="T799" s="33"/>
    </row>
    <row r="800" spans="1:20" ht="15.75">
      <c r="A800" s="13">
        <v>66231</v>
      </c>
      <c r="B800" s="41">
        <f t="shared" si="3"/>
        <v>30</v>
      </c>
      <c r="C800" s="32">
        <v>141.29300000000001</v>
      </c>
      <c r="D800" s="32">
        <v>267.99299999999999</v>
      </c>
      <c r="E800" s="38">
        <v>829.71400000000006</v>
      </c>
      <c r="F800" s="32">
        <v>1239</v>
      </c>
      <c r="G800" s="32">
        <v>100</v>
      </c>
      <c r="H800" s="40">
        <v>600</v>
      </c>
      <c r="I800" s="32">
        <v>695</v>
      </c>
      <c r="J800" s="32">
        <v>50</v>
      </c>
      <c r="K800" s="33"/>
      <c r="L800" s="33"/>
      <c r="M800" s="33"/>
      <c r="N800" s="33"/>
      <c r="O800" s="33"/>
      <c r="P800" s="33"/>
      <c r="Q800" s="33"/>
      <c r="R800" s="33"/>
      <c r="S800" s="33"/>
      <c r="T800" s="33"/>
    </row>
    <row r="801" spans="1:20" ht="15.75">
      <c r="A801" s="13">
        <v>66262</v>
      </c>
      <c r="B801" s="41">
        <f t="shared" si="3"/>
        <v>31</v>
      </c>
      <c r="C801" s="32">
        <v>194.20500000000001</v>
      </c>
      <c r="D801" s="32">
        <v>267.46600000000001</v>
      </c>
      <c r="E801" s="38">
        <v>812.32899999999995</v>
      </c>
      <c r="F801" s="32">
        <v>1274</v>
      </c>
      <c r="G801" s="32">
        <v>75</v>
      </c>
      <c r="H801" s="40">
        <v>600</v>
      </c>
      <c r="I801" s="32">
        <v>695</v>
      </c>
      <c r="J801" s="32">
        <v>50</v>
      </c>
      <c r="K801" s="33"/>
      <c r="L801" s="33"/>
      <c r="M801" s="33"/>
      <c r="N801" s="33"/>
      <c r="O801" s="33"/>
      <c r="P801" s="33"/>
      <c r="Q801" s="33"/>
      <c r="R801" s="33"/>
      <c r="S801" s="33"/>
      <c r="T801" s="33"/>
    </row>
    <row r="802" spans="1:20" ht="15.75">
      <c r="A802" s="13">
        <v>66292</v>
      </c>
      <c r="B802" s="41">
        <f t="shared" si="3"/>
        <v>30</v>
      </c>
      <c r="C802" s="32">
        <v>194.20500000000001</v>
      </c>
      <c r="D802" s="32">
        <v>267.46600000000001</v>
      </c>
      <c r="E802" s="38">
        <v>812.32899999999995</v>
      </c>
      <c r="F802" s="32">
        <v>1274</v>
      </c>
      <c r="G802" s="32">
        <v>50</v>
      </c>
      <c r="H802" s="40">
        <v>600</v>
      </c>
      <c r="I802" s="32">
        <v>695</v>
      </c>
      <c r="J802" s="32">
        <v>50</v>
      </c>
      <c r="K802" s="33"/>
      <c r="L802" s="33"/>
      <c r="M802" s="33"/>
      <c r="N802" s="33"/>
      <c r="O802" s="33"/>
      <c r="P802" s="33"/>
      <c r="Q802" s="33"/>
      <c r="R802" s="33"/>
      <c r="S802" s="33"/>
      <c r="T802" s="33"/>
    </row>
    <row r="803" spans="1:20" ht="15.75">
      <c r="A803" s="13">
        <v>66323</v>
      </c>
      <c r="B803" s="41">
        <f t="shared" si="3"/>
        <v>31</v>
      </c>
      <c r="C803" s="32">
        <v>194.20500000000001</v>
      </c>
      <c r="D803" s="32">
        <v>267.46600000000001</v>
      </c>
      <c r="E803" s="38">
        <v>812.32899999999995</v>
      </c>
      <c r="F803" s="32">
        <v>1274</v>
      </c>
      <c r="G803" s="32">
        <v>50</v>
      </c>
      <c r="H803" s="40">
        <v>600</v>
      </c>
      <c r="I803" s="32">
        <v>695</v>
      </c>
      <c r="J803" s="32">
        <v>0</v>
      </c>
      <c r="K803" s="33"/>
      <c r="L803" s="33"/>
      <c r="M803" s="33"/>
      <c r="N803" s="33"/>
      <c r="O803" s="33"/>
      <c r="P803" s="33"/>
      <c r="Q803" s="33"/>
      <c r="R803" s="33"/>
      <c r="S803" s="33"/>
      <c r="T803" s="33"/>
    </row>
    <row r="804" spans="1:20" ht="15.75">
      <c r="A804" s="13">
        <v>66354</v>
      </c>
      <c r="B804" s="41">
        <f t="shared" si="3"/>
        <v>31</v>
      </c>
      <c r="C804" s="32">
        <v>194.20500000000001</v>
      </c>
      <c r="D804" s="32">
        <v>267.46600000000001</v>
      </c>
      <c r="E804" s="38">
        <v>812.32899999999995</v>
      </c>
      <c r="F804" s="32">
        <v>1274</v>
      </c>
      <c r="G804" s="32">
        <v>50</v>
      </c>
      <c r="H804" s="40">
        <v>600</v>
      </c>
      <c r="I804" s="32">
        <v>695</v>
      </c>
      <c r="J804" s="32">
        <v>0</v>
      </c>
      <c r="K804" s="33"/>
      <c r="L804" s="33"/>
      <c r="M804" s="33"/>
      <c r="N804" s="33"/>
      <c r="O804" s="33"/>
      <c r="P804" s="33"/>
      <c r="Q804" s="33"/>
      <c r="R804" s="33"/>
      <c r="S804" s="33"/>
      <c r="T804" s="33"/>
    </row>
    <row r="805" spans="1:20" ht="15.75">
      <c r="A805" s="13">
        <v>66384</v>
      </c>
      <c r="B805" s="41">
        <f t="shared" si="3"/>
        <v>30</v>
      </c>
      <c r="C805" s="32">
        <v>194.20500000000001</v>
      </c>
      <c r="D805" s="32">
        <v>267.46600000000001</v>
      </c>
      <c r="E805" s="38">
        <v>812.32899999999995</v>
      </c>
      <c r="F805" s="32">
        <v>1274</v>
      </c>
      <c r="G805" s="32">
        <v>50</v>
      </c>
      <c r="H805" s="40">
        <v>600</v>
      </c>
      <c r="I805" s="32">
        <v>695</v>
      </c>
      <c r="J805" s="32">
        <v>0</v>
      </c>
      <c r="K805" s="33"/>
      <c r="L805" s="33"/>
      <c r="M805" s="33"/>
      <c r="N805" s="33"/>
      <c r="O805" s="33"/>
      <c r="P805" s="33"/>
      <c r="Q805" s="33"/>
      <c r="R805" s="33"/>
      <c r="S805" s="33"/>
      <c r="T805" s="33"/>
    </row>
    <row r="806" spans="1:20" ht="15.75">
      <c r="A806" s="13">
        <v>66415</v>
      </c>
      <c r="B806" s="41">
        <f t="shared" si="3"/>
        <v>31</v>
      </c>
      <c r="C806" s="32">
        <v>131.881</v>
      </c>
      <c r="D806" s="32">
        <v>277.16699999999997</v>
      </c>
      <c r="E806" s="38">
        <v>829.952</v>
      </c>
      <c r="F806" s="32">
        <v>1239</v>
      </c>
      <c r="G806" s="32">
        <v>75</v>
      </c>
      <c r="H806" s="40">
        <v>600</v>
      </c>
      <c r="I806" s="32">
        <v>695</v>
      </c>
      <c r="J806" s="32">
        <v>0</v>
      </c>
      <c r="K806" s="33"/>
      <c r="L806" s="33"/>
      <c r="M806" s="33"/>
      <c r="N806" s="33"/>
      <c r="O806" s="33"/>
      <c r="P806" s="33"/>
      <c r="Q806" s="33"/>
      <c r="R806" s="33"/>
      <c r="S806" s="33"/>
      <c r="T806" s="33"/>
    </row>
    <row r="807" spans="1:20" ht="15.75">
      <c r="A807" s="13">
        <v>66445</v>
      </c>
      <c r="B807" s="41">
        <f t="shared" si="3"/>
        <v>30</v>
      </c>
      <c r="C807" s="32">
        <v>122.58</v>
      </c>
      <c r="D807" s="32">
        <v>297.94099999999997</v>
      </c>
      <c r="E807" s="38">
        <v>729.47900000000004</v>
      </c>
      <c r="F807" s="32">
        <v>1150</v>
      </c>
      <c r="G807" s="32">
        <v>100</v>
      </c>
      <c r="H807" s="40">
        <v>600</v>
      </c>
      <c r="I807" s="32">
        <v>695</v>
      </c>
      <c r="J807" s="32">
        <v>50</v>
      </c>
      <c r="K807" s="33"/>
      <c r="L807" s="33"/>
      <c r="M807" s="33"/>
      <c r="N807" s="33"/>
      <c r="O807" s="33"/>
      <c r="P807" s="33"/>
      <c r="Q807" s="33"/>
      <c r="R807" s="33"/>
      <c r="S807" s="33"/>
      <c r="T807" s="33"/>
    </row>
    <row r="808" spans="1:20" ht="15.75">
      <c r="A808" s="13">
        <v>66476</v>
      </c>
      <c r="B808" s="41">
        <f t="shared" si="3"/>
        <v>31</v>
      </c>
      <c r="C808" s="32">
        <v>122.58</v>
      </c>
      <c r="D808" s="32">
        <v>297.94099999999997</v>
      </c>
      <c r="E808" s="38">
        <v>729.47900000000004</v>
      </c>
      <c r="F808" s="32">
        <v>1150</v>
      </c>
      <c r="G808" s="32">
        <v>100</v>
      </c>
      <c r="H808" s="40">
        <v>600</v>
      </c>
      <c r="I808" s="32">
        <v>695</v>
      </c>
      <c r="J808" s="32">
        <v>50</v>
      </c>
      <c r="K808" s="33"/>
      <c r="L808" s="33"/>
      <c r="M808" s="33"/>
      <c r="N808" s="33"/>
      <c r="O808" s="33"/>
      <c r="P808" s="33"/>
      <c r="Q808" s="33"/>
      <c r="R808" s="33"/>
      <c r="S808" s="33"/>
      <c r="T808" s="33"/>
    </row>
    <row r="809" spans="1:20" ht="15.75">
      <c r="A809" s="13">
        <v>66507</v>
      </c>
      <c r="B809" s="41">
        <f t="shared" si="3"/>
        <v>31</v>
      </c>
      <c r="C809" s="32">
        <v>122.58</v>
      </c>
      <c r="D809" s="32">
        <v>297.94099999999997</v>
      </c>
      <c r="E809" s="38">
        <v>729.47900000000004</v>
      </c>
      <c r="F809" s="32">
        <v>1150</v>
      </c>
      <c r="G809" s="32">
        <v>100</v>
      </c>
      <c r="H809" s="40">
        <v>600</v>
      </c>
      <c r="I809" s="32">
        <v>695</v>
      </c>
      <c r="J809" s="32">
        <v>50</v>
      </c>
      <c r="K809" s="33"/>
      <c r="L809" s="33"/>
      <c r="M809" s="33"/>
      <c r="N809" s="33"/>
      <c r="O809" s="33"/>
      <c r="P809" s="33"/>
      <c r="Q809" s="33"/>
      <c r="R809" s="33"/>
      <c r="S809" s="33"/>
      <c r="T809" s="33"/>
    </row>
    <row r="810" spans="1:20" ht="15.75">
      <c r="A810" s="13">
        <v>66535</v>
      </c>
      <c r="B810" s="41">
        <f t="shared" si="3"/>
        <v>28</v>
      </c>
      <c r="C810" s="32">
        <v>122.58</v>
      </c>
      <c r="D810" s="32">
        <v>297.94099999999997</v>
      </c>
      <c r="E810" s="38">
        <v>729.47900000000004</v>
      </c>
      <c r="F810" s="32">
        <v>1150</v>
      </c>
      <c r="G810" s="32">
        <v>100</v>
      </c>
      <c r="H810" s="40">
        <v>600</v>
      </c>
      <c r="I810" s="32">
        <v>695</v>
      </c>
      <c r="J810" s="32">
        <v>50</v>
      </c>
      <c r="K810" s="33"/>
      <c r="L810" s="33"/>
      <c r="M810" s="33"/>
      <c r="N810" s="33"/>
      <c r="O810" s="33"/>
      <c r="P810" s="33"/>
      <c r="Q810" s="33"/>
      <c r="R810" s="33"/>
      <c r="S810" s="33"/>
      <c r="T810" s="33"/>
    </row>
    <row r="811" spans="1:20" ht="15.75">
      <c r="A811" s="13">
        <v>66566</v>
      </c>
      <c r="B811" s="41">
        <f t="shared" si="3"/>
        <v>31</v>
      </c>
      <c r="C811" s="32">
        <v>122.58</v>
      </c>
      <c r="D811" s="32">
        <v>297.94099999999997</v>
      </c>
      <c r="E811" s="38">
        <v>729.47900000000004</v>
      </c>
      <c r="F811" s="32">
        <v>1150</v>
      </c>
      <c r="G811" s="32">
        <v>100</v>
      </c>
      <c r="H811" s="40">
        <v>600</v>
      </c>
      <c r="I811" s="32">
        <v>695</v>
      </c>
      <c r="J811" s="32">
        <v>50</v>
      </c>
      <c r="K811" s="33"/>
      <c r="L811" s="33"/>
      <c r="M811" s="33"/>
      <c r="N811" s="33"/>
      <c r="O811" s="33"/>
      <c r="P811" s="33"/>
      <c r="Q811" s="33"/>
      <c r="R811" s="33"/>
      <c r="S811" s="33"/>
      <c r="T811" s="33"/>
    </row>
    <row r="812" spans="1:20" ht="15.75">
      <c r="A812" s="13">
        <v>66596</v>
      </c>
      <c r="B812" s="41">
        <f t="shared" si="3"/>
        <v>30</v>
      </c>
      <c r="C812" s="32">
        <v>141.29300000000001</v>
      </c>
      <c r="D812" s="32">
        <v>267.99299999999999</v>
      </c>
      <c r="E812" s="38">
        <v>829.71400000000006</v>
      </c>
      <c r="F812" s="32">
        <v>1239</v>
      </c>
      <c r="G812" s="32">
        <v>100</v>
      </c>
      <c r="H812" s="40">
        <v>600</v>
      </c>
      <c r="I812" s="32">
        <v>695</v>
      </c>
      <c r="J812" s="32">
        <v>50</v>
      </c>
      <c r="K812" s="33"/>
      <c r="L812" s="33"/>
      <c r="M812" s="33"/>
      <c r="N812" s="33"/>
      <c r="O812" s="33"/>
      <c r="P812" s="33"/>
      <c r="Q812" s="33"/>
      <c r="R812" s="33"/>
      <c r="S812" s="33"/>
      <c r="T812" s="33"/>
    </row>
    <row r="813" spans="1:20" ht="15.75">
      <c r="A813" s="13">
        <v>66627</v>
      </c>
      <c r="B813" s="41">
        <f t="shared" si="3"/>
        <v>31</v>
      </c>
      <c r="C813" s="32">
        <v>194.20500000000001</v>
      </c>
      <c r="D813" s="32">
        <v>267.46600000000001</v>
      </c>
      <c r="E813" s="38">
        <v>812.32899999999995</v>
      </c>
      <c r="F813" s="32">
        <v>1274</v>
      </c>
      <c r="G813" s="32">
        <v>75</v>
      </c>
      <c r="H813" s="40">
        <v>600</v>
      </c>
      <c r="I813" s="32">
        <v>695</v>
      </c>
      <c r="J813" s="32">
        <v>50</v>
      </c>
      <c r="K813" s="33"/>
      <c r="L813" s="33"/>
      <c r="M813" s="33"/>
      <c r="N813" s="33"/>
      <c r="O813" s="33"/>
      <c r="P813" s="33"/>
      <c r="Q813" s="33"/>
      <c r="R813" s="33"/>
      <c r="S813" s="33"/>
      <c r="T813" s="33"/>
    </row>
    <row r="814" spans="1:20" ht="15.75">
      <c r="A814" s="13">
        <v>66657</v>
      </c>
      <c r="B814" s="41">
        <f t="shared" si="3"/>
        <v>30</v>
      </c>
      <c r="C814" s="32">
        <v>194.20500000000001</v>
      </c>
      <c r="D814" s="32">
        <v>267.46600000000001</v>
      </c>
      <c r="E814" s="38">
        <v>812.32899999999995</v>
      </c>
      <c r="F814" s="32">
        <v>1274</v>
      </c>
      <c r="G814" s="32">
        <v>50</v>
      </c>
      <c r="H814" s="40">
        <v>600</v>
      </c>
      <c r="I814" s="32">
        <v>695</v>
      </c>
      <c r="J814" s="32">
        <v>50</v>
      </c>
      <c r="K814" s="33"/>
      <c r="L814" s="33"/>
      <c r="M814" s="33"/>
      <c r="N814" s="33"/>
      <c r="O814" s="33"/>
      <c r="P814" s="33"/>
      <c r="Q814" s="33"/>
      <c r="R814" s="33"/>
      <c r="S814" s="33"/>
      <c r="T814" s="33"/>
    </row>
    <row r="815" spans="1:20" ht="15.75">
      <c r="A815" s="13">
        <v>66688</v>
      </c>
      <c r="B815" s="41">
        <f t="shared" si="3"/>
        <v>31</v>
      </c>
      <c r="C815" s="32">
        <v>194.20500000000001</v>
      </c>
      <c r="D815" s="32">
        <v>267.46600000000001</v>
      </c>
      <c r="E815" s="38">
        <v>812.32899999999995</v>
      </c>
      <c r="F815" s="32">
        <v>1274</v>
      </c>
      <c r="G815" s="32">
        <v>50</v>
      </c>
      <c r="H815" s="40">
        <v>600</v>
      </c>
      <c r="I815" s="32">
        <v>695</v>
      </c>
      <c r="J815" s="32">
        <v>0</v>
      </c>
      <c r="K815" s="33"/>
      <c r="L815" s="33"/>
      <c r="M815" s="33"/>
      <c r="N815" s="33"/>
      <c r="O815" s="33"/>
      <c r="P815" s="33"/>
      <c r="Q815" s="33"/>
      <c r="R815" s="33"/>
      <c r="S815" s="33"/>
      <c r="T815" s="33"/>
    </row>
    <row r="816" spans="1:20" ht="15.75">
      <c r="A816" s="13">
        <v>66719</v>
      </c>
      <c r="B816" s="41">
        <f t="shared" si="3"/>
        <v>31</v>
      </c>
      <c r="C816" s="32">
        <v>194.20500000000001</v>
      </c>
      <c r="D816" s="32">
        <v>267.46600000000001</v>
      </c>
      <c r="E816" s="38">
        <v>812.32899999999995</v>
      </c>
      <c r="F816" s="32">
        <v>1274</v>
      </c>
      <c r="G816" s="32">
        <v>50</v>
      </c>
      <c r="H816" s="40">
        <v>600</v>
      </c>
      <c r="I816" s="32">
        <v>695</v>
      </c>
      <c r="J816" s="32">
        <v>0</v>
      </c>
      <c r="K816" s="33"/>
      <c r="L816" s="33"/>
      <c r="M816" s="33"/>
      <c r="N816" s="33"/>
      <c r="O816" s="33"/>
      <c r="P816" s="33"/>
      <c r="Q816" s="33"/>
      <c r="R816" s="33"/>
      <c r="S816" s="33"/>
      <c r="T816" s="33"/>
    </row>
    <row r="817" spans="1:20" ht="15.75">
      <c r="A817" s="13">
        <v>66749</v>
      </c>
      <c r="B817" s="41">
        <f t="shared" si="3"/>
        <v>30</v>
      </c>
      <c r="C817" s="32">
        <v>194.20500000000001</v>
      </c>
      <c r="D817" s="32">
        <v>267.46600000000001</v>
      </c>
      <c r="E817" s="38">
        <v>812.32899999999995</v>
      </c>
      <c r="F817" s="32">
        <v>1274</v>
      </c>
      <c r="G817" s="32">
        <v>50</v>
      </c>
      <c r="H817" s="40">
        <v>600</v>
      </c>
      <c r="I817" s="32">
        <v>695</v>
      </c>
      <c r="J817" s="32">
        <v>0</v>
      </c>
      <c r="K817" s="33"/>
      <c r="L817" s="33"/>
      <c r="M817" s="33"/>
      <c r="N817" s="33"/>
      <c r="O817" s="33"/>
      <c r="P817" s="33"/>
      <c r="Q817" s="33"/>
      <c r="R817" s="33"/>
      <c r="S817" s="33"/>
      <c r="T817" s="33"/>
    </row>
    <row r="818" spans="1:20" ht="15.75">
      <c r="A818" s="13">
        <v>66780</v>
      </c>
      <c r="B818" s="41">
        <f t="shared" si="3"/>
        <v>31</v>
      </c>
      <c r="C818" s="32">
        <v>131.881</v>
      </c>
      <c r="D818" s="32">
        <v>277.16699999999997</v>
      </c>
      <c r="E818" s="38">
        <v>829.952</v>
      </c>
      <c r="F818" s="32">
        <v>1239</v>
      </c>
      <c r="G818" s="32">
        <v>75</v>
      </c>
      <c r="H818" s="40">
        <v>600</v>
      </c>
      <c r="I818" s="32">
        <v>695</v>
      </c>
      <c r="J818" s="32">
        <v>0</v>
      </c>
      <c r="K818" s="33"/>
      <c r="L818" s="33"/>
      <c r="M818" s="33"/>
      <c r="N818" s="33"/>
      <c r="O818" s="33"/>
      <c r="P818" s="33"/>
      <c r="Q818" s="33"/>
      <c r="R818" s="33"/>
      <c r="S818" s="33"/>
      <c r="T818" s="33"/>
    </row>
    <row r="819" spans="1:20" ht="15.75">
      <c r="A819" s="13">
        <v>66810</v>
      </c>
      <c r="B819" s="41">
        <f t="shared" si="3"/>
        <v>30</v>
      </c>
      <c r="C819" s="32">
        <v>122.58</v>
      </c>
      <c r="D819" s="32">
        <v>297.94099999999997</v>
      </c>
      <c r="E819" s="38">
        <v>729.47900000000004</v>
      </c>
      <c r="F819" s="32">
        <v>1150</v>
      </c>
      <c r="G819" s="32">
        <v>100</v>
      </c>
      <c r="H819" s="40">
        <v>600</v>
      </c>
      <c r="I819" s="32">
        <v>695</v>
      </c>
      <c r="J819" s="32">
        <v>50</v>
      </c>
      <c r="K819" s="33"/>
      <c r="L819" s="33"/>
      <c r="M819" s="33"/>
      <c r="N819" s="33"/>
      <c r="O819" s="33"/>
      <c r="P819" s="33"/>
      <c r="Q819" s="33"/>
      <c r="R819" s="33"/>
      <c r="S819" s="33"/>
      <c r="T819" s="33"/>
    </row>
    <row r="820" spans="1:20" ht="15.75">
      <c r="A820" s="13">
        <v>66841</v>
      </c>
      <c r="B820" s="41">
        <f t="shared" si="3"/>
        <v>31</v>
      </c>
      <c r="C820" s="32">
        <v>122.58</v>
      </c>
      <c r="D820" s="32">
        <v>297.94099999999997</v>
      </c>
      <c r="E820" s="38">
        <v>729.47900000000004</v>
      </c>
      <c r="F820" s="32">
        <v>1150</v>
      </c>
      <c r="G820" s="32">
        <v>100</v>
      </c>
      <c r="H820" s="40">
        <v>600</v>
      </c>
      <c r="I820" s="32">
        <v>695</v>
      </c>
      <c r="J820" s="32">
        <v>50</v>
      </c>
      <c r="K820" s="33"/>
      <c r="L820" s="33"/>
      <c r="M820" s="33"/>
      <c r="N820" s="33"/>
      <c r="O820" s="33"/>
      <c r="P820" s="33"/>
      <c r="Q820" s="33"/>
      <c r="R820" s="33"/>
      <c r="S820" s="33"/>
      <c r="T820" s="33"/>
    </row>
    <row r="821" spans="1:20" ht="15.75">
      <c r="A821" s="13">
        <v>66872</v>
      </c>
      <c r="B821" s="41">
        <f t="shared" si="3"/>
        <v>31</v>
      </c>
      <c r="C821" s="32">
        <v>122.58</v>
      </c>
      <c r="D821" s="32">
        <v>297.94099999999997</v>
      </c>
      <c r="E821" s="38">
        <v>729.47900000000004</v>
      </c>
      <c r="F821" s="32">
        <v>1150</v>
      </c>
      <c r="G821" s="32">
        <v>100</v>
      </c>
      <c r="H821" s="40">
        <v>600</v>
      </c>
      <c r="I821" s="32">
        <v>695</v>
      </c>
      <c r="J821" s="32">
        <v>50</v>
      </c>
      <c r="K821" s="33"/>
      <c r="L821" s="33"/>
      <c r="M821" s="33"/>
      <c r="N821" s="33"/>
      <c r="O821" s="33"/>
      <c r="P821" s="33"/>
      <c r="Q821" s="33"/>
      <c r="R821" s="33"/>
      <c r="S821" s="33"/>
      <c r="T821" s="33"/>
    </row>
    <row r="822" spans="1:20" ht="15.75">
      <c r="A822" s="13">
        <v>66900</v>
      </c>
      <c r="B822" s="41">
        <f t="shared" si="3"/>
        <v>28</v>
      </c>
      <c r="C822" s="32">
        <v>122.58</v>
      </c>
      <c r="D822" s="32">
        <v>297.94099999999997</v>
      </c>
      <c r="E822" s="38">
        <v>729.47900000000004</v>
      </c>
      <c r="F822" s="32">
        <v>1150</v>
      </c>
      <c r="G822" s="32">
        <v>100</v>
      </c>
      <c r="H822" s="40">
        <v>600</v>
      </c>
      <c r="I822" s="32">
        <v>695</v>
      </c>
      <c r="J822" s="32">
        <v>50</v>
      </c>
      <c r="K822" s="33"/>
      <c r="L822" s="33"/>
      <c r="M822" s="33"/>
      <c r="N822" s="33"/>
      <c r="O822" s="33"/>
      <c r="P822" s="33"/>
      <c r="Q822" s="33"/>
      <c r="R822" s="33"/>
      <c r="S822" s="33"/>
      <c r="T822" s="33"/>
    </row>
    <row r="823" spans="1:20" ht="15.75">
      <c r="A823" s="13">
        <v>66931</v>
      </c>
      <c r="B823" s="41">
        <f t="shared" si="3"/>
        <v>31</v>
      </c>
      <c r="C823" s="32">
        <v>122.58</v>
      </c>
      <c r="D823" s="32">
        <v>297.94099999999997</v>
      </c>
      <c r="E823" s="38">
        <v>729.47900000000004</v>
      </c>
      <c r="F823" s="32">
        <v>1150</v>
      </c>
      <c r="G823" s="32">
        <v>100</v>
      </c>
      <c r="H823" s="40">
        <v>600</v>
      </c>
      <c r="I823" s="32">
        <v>695</v>
      </c>
      <c r="J823" s="32">
        <v>50</v>
      </c>
      <c r="K823" s="33"/>
      <c r="L823" s="33"/>
      <c r="M823" s="33"/>
      <c r="N823" s="33"/>
      <c r="O823" s="33"/>
      <c r="P823" s="33"/>
      <c r="Q823" s="33"/>
      <c r="R823" s="33"/>
      <c r="S823" s="33"/>
      <c r="T823" s="33"/>
    </row>
    <row r="824" spans="1:20" ht="15.75">
      <c r="A824" s="13">
        <v>66961</v>
      </c>
      <c r="B824" s="41">
        <f t="shared" si="3"/>
        <v>30</v>
      </c>
      <c r="C824" s="32">
        <v>141.29300000000001</v>
      </c>
      <c r="D824" s="32">
        <v>267.99299999999999</v>
      </c>
      <c r="E824" s="38">
        <v>829.71400000000006</v>
      </c>
      <c r="F824" s="32">
        <v>1239</v>
      </c>
      <c r="G824" s="32">
        <v>100</v>
      </c>
      <c r="H824" s="40">
        <v>600</v>
      </c>
      <c r="I824" s="32">
        <v>695</v>
      </c>
      <c r="J824" s="32">
        <v>50</v>
      </c>
      <c r="K824" s="33"/>
      <c r="L824" s="33"/>
      <c r="M824" s="33"/>
      <c r="N824" s="33"/>
      <c r="O824" s="33"/>
      <c r="P824" s="33"/>
      <c r="Q824" s="33"/>
      <c r="R824" s="33"/>
      <c r="S824" s="33"/>
      <c r="T824" s="33"/>
    </row>
    <row r="825" spans="1:20" ht="15.75">
      <c r="A825" s="13">
        <v>66992</v>
      </c>
      <c r="B825" s="41">
        <f t="shared" ref="B825:B888" si="4">EOMONTH(A825,0)-EOMONTH(A825,-1)</f>
        <v>31</v>
      </c>
      <c r="C825" s="32">
        <v>194.20500000000001</v>
      </c>
      <c r="D825" s="32">
        <v>267.46600000000001</v>
      </c>
      <c r="E825" s="38">
        <v>812.32899999999995</v>
      </c>
      <c r="F825" s="32">
        <v>1274</v>
      </c>
      <c r="G825" s="32">
        <v>75</v>
      </c>
      <c r="H825" s="40">
        <v>600</v>
      </c>
      <c r="I825" s="32">
        <v>695</v>
      </c>
      <c r="J825" s="32">
        <v>50</v>
      </c>
      <c r="K825" s="33"/>
      <c r="L825" s="33"/>
      <c r="M825" s="33"/>
      <c r="N825" s="33"/>
      <c r="O825" s="33"/>
      <c r="P825" s="33"/>
      <c r="Q825" s="33"/>
      <c r="R825" s="33"/>
      <c r="S825" s="33"/>
      <c r="T825" s="33"/>
    </row>
    <row r="826" spans="1:20" ht="15.75">
      <c r="A826" s="13">
        <v>67022</v>
      </c>
      <c r="B826" s="41">
        <f t="shared" si="4"/>
        <v>30</v>
      </c>
      <c r="C826" s="32">
        <v>194.20500000000001</v>
      </c>
      <c r="D826" s="32">
        <v>267.46600000000001</v>
      </c>
      <c r="E826" s="38">
        <v>812.32899999999995</v>
      </c>
      <c r="F826" s="32">
        <v>1274</v>
      </c>
      <c r="G826" s="32">
        <v>50</v>
      </c>
      <c r="H826" s="40">
        <v>600</v>
      </c>
      <c r="I826" s="32">
        <v>695</v>
      </c>
      <c r="J826" s="32">
        <v>50</v>
      </c>
      <c r="K826" s="33"/>
      <c r="L826" s="33"/>
      <c r="M826" s="33"/>
      <c r="N826" s="33"/>
      <c r="O826" s="33"/>
      <c r="P826" s="33"/>
      <c r="Q826" s="33"/>
      <c r="R826" s="33"/>
      <c r="S826" s="33"/>
      <c r="T826" s="33"/>
    </row>
    <row r="827" spans="1:20" ht="15.75">
      <c r="A827" s="13">
        <v>67053</v>
      </c>
      <c r="B827" s="41">
        <f t="shared" si="4"/>
        <v>31</v>
      </c>
      <c r="C827" s="32">
        <v>194.20500000000001</v>
      </c>
      <c r="D827" s="32">
        <v>267.46600000000001</v>
      </c>
      <c r="E827" s="38">
        <v>812.32899999999995</v>
      </c>
      <c r="F827" s="32">
        <v>1274</v>
      </c>
      <c r="G827" s="32">
        <v>50</v>
      </c>
      <c r="H827" s="40">
        <v>600</v>
      </c>
      <c r="I827" s="32">
        <v>695</v>
      </c>
      <c r="J827" s="32">
        <v>0</v>
      </c>
      <c r="K827" s="33"/>
      <c r="L827" s="33"/>
      <c r="M827" s="33"/>
      <c r="N827" s="33"/>
      <c r="O827" s="33"/>
      <c r="P827" s="33"/>
      <c r="Q827" s="33"/>
      <c r="R827" s="33"/>
      <c r="S827" s="33"/>
      <c r="T827" s="33"/>
    </row>
    <row r="828" spans="1:20" ht="15.75">
      <c r="A828" s="13">
        <v>67084</v>
      </c>
      <c r="B828" s="41">
        <f t="shared" si="4"/>
        <v>31</v>
      </c>
      <c r="C828" s="32">
        <v>194.20500000000001</v>
      </c>
      <c r="D828" s="32">
        <v>267.46600000000001</v>
      </c>
      <c r="E828" s="38">
        <v>812.32899999999995</v>
      </c>
      <c r="F828" s="32">
        <v>1274</v>
      </c>
      <c r="G828" s="32">
        <v>50</v>
      </c>
      <c r="H828" s="40">
        <v>600</v>
      </c>
      <c r="I828" s="32">
        <v>695</v>
      </c>
      <c r="J828" s="32">
        <v>0</v>
      </c>
      <c r="K828" s="33"/>
      <c r="L828" s="33"/>
      <c r="M828" s="33"/>
      <c r="N828" s="33"/>
      <c r="O828" s="33"/>
      <c r="P828" s="33"/>
      <c r="Q828" s="33"/>
      <c r="R828" s="33"/>
      <c r="S828" s="33"/>
      <c r="T828" s="33"/>
    </row>
    <row r="829" spans="1:20" ht="15.75">
      <c r="A829" s="13">
        <v>67114</v>
      </c>
      <c r="B829" s="41">
        <f t="shared" si="4"/>
        <v>30</v>
      </c>
      <c r="C829" s="32">
        <v>194.20500000000001</v>
      </c>
      <c r="D829" s="32">
        <v>267.46600000000001</v>
      </c>
      <c r="E829" s="38">
        <v>812.32899999999995</v>
      </c>
      <c r="F829" s="32">
        <v>1274</v>
      </c>
      <c r="G829" s="32">
        <v>50</v>
      </c>
      <c r="H829" s="40">
        <v>600</v>
      </c>
      <c r="I829" s="32">
        <v>695</v>
      </c>
      <c r="J829" s="32">
        <v>0</v>
      </c>
      <c r="K829" s="33"/>
      <c r="L829" s="33"/>
      <c r="M829" s="33"/>
      <c r="N829" s="33"/>
      <c r="O829" s="33"/>
      <c r="P829" s="33"/>
      <c r="Q829" s="33"/>
      <c r="R829" s="33"/>
      <c r="S829" s="33"/>
      <c r="T829" s="33"/>
    </row>
    <row r="830" spans="1:20" ht="15.75">
      <c r="A830" s="13">
        <v>67145</v>
      </c>
      <c r="B830" s="41">
        <f t="shared" si="4"/>
        <v>31</v>
      </c>
      <c r="C830" s="32">
        <v>131.881</v>
      </c>
      <c r="D830" s="32">
        <v>277.16699999999997</v>
      </c>
      <c r="E830" s="38">
        <v>829.952</v>
      </c>
      <c r="F830" s="32">
        <v>1239</v>
      </c>
      <c r="G830" s="32">
        <v>75</v>
      </c>
      <c r="H830" s="40">
        <v>600</v>
      </c>
      <c r="I830" s="32">
        <v>695</v>
      </c>
      <c r="J830" s="32">
        <v>0</v>
      </c>
      <c r="K830" s="33"/>
      <c r="L830" s="33"/>
      <c r="M830" s="33"/>
      <c r="N830" s="33"/>
      <c r="O830" s="33"/>
      <c r="P830" s="33"/>
      <c r="Q830" s="33"/>
      <c r="R830" s="33"/>
      <c r="S830" s="33"/>
      <c r="T830" s="33"/>
    </row>
    <row r="831" spans="1:20" ht="15.75">
      <c r="A831" s="13">
        <v>67175</v>
      </c>
      <c r="B831" s="41">
        <f t="shared" si="4"/>
        <v>30</v>
      </c>
      <c r="C831" s="32">
        <v>122.58</v>
      </c>
      <c r="D831" s="32">
        <v>297.94099999999997</v>
      </c>
      <c r="E831" s="38">
        <v>729.47900000000004</v>
      </c>
      <c r="F831" s="32">
        <v>1150</v>
      </c>
      <c r="G831" s="32">
        <v>100</v>
      </c>
      <c r="H831" s="40">
        <v>600</v>
      </c>
      <c r="I831" s="32">
        <v>695</v>
      </c>
      <c r="J831" s="32">
        <v>50</v>
      </c>
      <c r="K831" s="33"/>
      <c r="L831" s="33"/>
      <c r="M831" s="33"/>
      <c r="N831" s="33"/>
      <c r="O831" s="33"/>
      <c r="P831" s="33"/>
      <c r="Q831" s="33"/>
      <c r="R831" s="33"/>
      <c r="S831" s="33"/>
      <c r="T831" s="33"/>
    </row>
    <row r="832" spans="1:20" ht="15.75">
      <c r="A832" s="13">
        <v>67206</v>
      </c>
      <c r="B832" s="41">
        <f t="shared" si="4"/>
        <v>31</v>
      </c>
      <c r="C832" s="32">
        <v>122.58</v>
      </c>
      <c r="D832" s="32">
        <v>297.94099999999997</v>
      </c>
      <c r="E832" s="38">
        <v>729.47900000000004</v>
      </c>
      <c r="F832" s="32">
        <v>1150</v>
      </c>
      <c r="G832" s="32">
        <v>100</v>
      </c>
      <c r="H832" s="40">
        <v>600</v>
      </c>
      <c r="I832" s="32">
        <v>695</v>
      </c>
      <c r="J832" s="32">
        <v>50</v>
      </c>
      <c r="K832" s="33"/>
      <c r="L832" s="33"/>
      <c r="M832" s="33"/>
      <c r="N832" s="33"/>
      <c r="O832" s="33"/>
      <c r="P832" s="33"/>
      <c r="Q832" s="33"/>
      <c r="R832" s="33"/>
      <c r="S832" s="33"/>
      <c r="T832" s="33"/>
    </row>
    <row r="833" spans="1:20" ht="15.75">
      <c r="A833" s="13">
        <v>67237</v>
      </c>
      <c r="B833" s="41">
        <f t="shared" si="4"/>
        <v>31</v>
      </c>
      <c r="C833" s="32">
        <v>122.58</v>
      </c>
      <c r="D833" s="32">
        <v>297.94099999999997</v>
      </c>
      <c r="E833" s="38">
        <v>729.47900000000004</v>
      </c>
      <c r="F833" s="32">
        <v>1150</v>
      </c>
      <c r="G833" s="32">
        <v>100</v>
      </c>
      <c r="H833" s="40">
        <v>600</v>
      </c>
      <c r="I833" s="32">
        <v>695</v>
      </c>
      <c r="J833" s="32">
        <v>50</v>
      </c>
      <c r="K833" s="33"/>
      <c r="L833" s="33"/>
      <c r="M833" s="33"/>
      <c r="N833" s="33"/>
      <c r="O833" s="33"/>
      <c r="P833" s="33"/>
      <c r="Q833" s="33"/>
      <c r="R833" s="33"/>
      <c r="S833" s="33"/>
      <c r="T833" s="33"/>
    </row>
    <row r="834" spans="1:20" ht="15.75">
      <c r="A834" s="13">
        <v>67266</v>
      </c>
      <c r="B834" s="41">
        <f t="shared" si="4"/>
        <v>29</v>
      </c>
      <c r="C834" s="32">
        <v>122.58</v>
      </c>
      <c r="D834" s="32">
        <v>297.94099999999997</v>
      </c>
      <c r="E834" s="38">
        <v>729.47900000000004</v>
      </c>
      <c r="F834" s="32">
        <v>1150</v>
      </c>
      <c r="G834" s="32">
        <v>100</v>
      </c>
      <c r="H834" s="40">
        <v>600</v>
      </c>
      <c r="I834" s="32">
        <v>695</v>
      </c>
      <c r="J834" s="32">
        <v>50</v>
      </c>
      <c r="K834" s="33"/>
      <c r="L834" s="33"/>
      <c r="M834" s="33"/>
      <c r="N834" s="33"/>
      <c r="O834" s="33"/>
      <c r="P834" s="33"/>
      <c r="Q834" s="33"/>
      <c r="R834" s="33"/>
      <c r="S834" s="33"/>
      <c r="T834" s="33"/>
    </row>
    <row r="835" spans="1:20" ht="15.75">
      <c r="A835" s="13">
        <v>67297</v>
      </c>
      <c r="B835" s="41">
        <f t="shared" si="4"/>
        <v>31</v>
      </c>
      <c r="C835" s="32">
        <v>122.58</v>
      </c>
      <c r="D835" s="32">
        <v>297.94099999999997</v>
      </c>
      <c r="E835" s="38">
        <v>729.47900000000004</v>
      </c>
      <c r="F835" s="32">
        <v>1150</v>
      </c>
      <c r="G835" s="32">
        <v>100</v>
      </c>
      <c r="H835" s="40">
        <v>600</v>
      </c>
      <c r="I835" s="32">
        <v>695</v>
      </c>
      <c r="J835" s="32">
        <v>50</v>
      </c>
      <c r="K835" s="33"/>
      <c r="L835" s="33"/>
      <c r="M835" s="33"/>
      <c r="N835" s="33"/>
      <c r="O835" s="33"/>
      <c r="P835" s="33"/>
      <c r="Q835" s="33"/>
      <c r="R835" s="33"/>
      <c r="S835" s="33"/>
      <c r="T835" s="33"/>
    </row>
    <row r="836" spans="1:20" ht="15.75">
      <c r="A836" s="13">
        <v>67327</v>
      </c>
      <c r="B836" s="41">
        <f t="shared" si="4"/>
        <v>30</v>
      </c>
      <c r="C836" s="32">
        <v>141.29300000000001</v>
      </c>
      <c r="D836" s="32">
        <v>267.99299999999999</v>
      </c>
      <c r="E836" s="38">
        <v>829.71400000000006</v>
      </c>
      <c r="F836" s="32">
        <v>1239</v>
      </c>
      <c r="G836" s="32">
        <v>100</v>
      </c>
      <c r="H836" s="40">
        <v>600</v>
      </c>
      <c r="I836" s="32">
        <v>695</v>
      </c>
      <c r="J836" s="32">
        <v>50</v>
      </c>
      <c r="K836" s="33"/>
      <c r="L836" s="33"/>
      <c r="M836" s="33"/>
      <c r="N836" s="33"/>
      <c r="O836" s="33"/>
      <c r="P836" s="33"/>
      <c r="Q836" s="33"/>
      <c r="R836" s="33"/>
      <c r="S836" s="33"/>
      <c r="T836" s="33"/>
    </row>
    <row r="837" spans="1:20" ht="15.75">
      <c r="A837" s="13">
        <v>67358</v>
      </c>
      <c r="B837" s="41">
        <f t="shared" si="4"/>
        <v>31</v>
      </c>
      <c r="C837" s="32">
        <v>194.20500000000001</v>
      </c>
      <c r="D837" s="32">
        <v>267.46600000000001</v>
      </c>
      <c r="E837" s="38">
        <v>812.32899999999995</v>
      </c>
      <c r="F837" s="32">
        <v>1274</v>
      </c>
      <c r="G837" s="32">
        <v>75</v>
      </c>
      <c r="H837" s="40">
        <v>600</v>
      </c>
      <c r="I837" s="32">
        <v>695</v>
      </c>
      <c r="J837" s="32">
        <v>50</v>
      </c>
      <c r="K837" s="33"/>
      <c r="L837" s="33"/>
      <c r="M837" s="33"/>
      <c r="N837" s="33"/>
      <c r="O837" s="33"/>
      <c r="P837" s="33"/>
      <c r="Q837" s="33"/>
      <c r="R837" s="33"/>
      <c r="S837" s="33"/>
      <c r="T837" s="33"/>
    </row>
    <row r="838" spans="1:20" ht="15.75">
      <c r="A838" s="13">
        <v>67388</v>
      </c>
      <c r="B838" s="41">
        <f t="shared" si="4"/>
        <v>30</v>
      </c>
      <c r="C838" s="32">
        <v>194.20500000000001</v>
      </c>
      <c r="D838" s="32">
        <v>267.46600000000001</v>
      </c>
      <c r="E838" s="38">
        <v>812.32899999999995</v>
      </c>
      <c r="F838" s="32">
        <v>1274</v>
      </c>
      <c r="G838" s="32">
        <v>50</v>
      </c>
      <c r="H838" s="40">
        <v>600</v>
      </c>
      <c r="I838" s="32">
        <v>695</v>
      </c>
      <c r="J838" s="32">
        <v>50</v>
      </c>
      <c r="K838" s="33"/>
      <c r="L838" s="33"/>
      <c r="M838" s="33"/>
      <c r="N838" s="33"/>
      <c r="O838" s="33"/>
      <c r="P838" s="33"/>
      <c r="Q838" s="33"/>
      <c r="R838" s="33"/>
      <c r="S838" s="33"/>
      <c r="T838" s="33"/>
    </row>
    <row r="839" spans="1:20" ht="15.75">
      <c r="A839" s="13">
        <v>67419</v>
      </c>
      <c r="B839" s="41">
        <f t="shared" si="4"/>
        <v>31</v>
      </c>
      <c r="C839" s="32">
        <v>194.20500000000001</v>
      </c>
      <c r="D839" s="32">
        <v>267.46600000000001</v>
      </c>
      <c r="E839" s="38">
        <v>812.32899999999995</v>
      </c>
      <c r="F839" s="32">
        <v>1274</v>
      </c>
      <c r="G839" s="32">
        <v>50</v>
      </c>
      <c r="H839" s="40">
        <v>600</v>
      </c>
      <c r="I839" s="32">
        <v>695</v>
      </c>
      <c r="J839" s="32">
        <v>0</v>
      </c>
      <c r="K839" s="33"/>
      <c r="L839" s="33"/>
      <c r="M839" s="33"/>
      <c r="N839" s="33"/>
      <c r="O839" s="33"/>
      <c r="P839" s="33"/>
      <c r="Q839" s="33"/>
      <c r="R839" s="33"/>
      <c r="S839" s="33"/>
      <c r="T839" s="33"/>
    </row>
    <row r="840" spans="1:20" ht="15.75">
      <c r="A840" s="13">
        <v>67450</v>
      </c>
      <c r="B840" s="41">
        <f t="shared" si="4"/>
        <v>31</v>
      </c>
      <c r="C840" s="32">
        <v>194.20500000000001</v>
      </c>
      <c r="D840" s="32">
        <v>267.46600000000001</v>
      </c>
      <c r="E840" s="38">
        <v>812.32899999999995</v>
      </c>
      <c r="F840" s="32">
        <v>1274</v>
      </c>
      <c r="G840" s="32">
        <v>50</v>
      </c>
      <c r="H840" s="40">
        <v>600</v>
      </c>
      <c r="I840" s="32">
        <v>695</v>
      </c>
      <c r="J840" s="32">
        <v>0</v>
      </c>
      <c r="K840" s="33"/>
      <c r="L840" s="33"/>
      <c r="M840" s="33"/>
      <c r="N840" s="33"/>
      <c r="O840" s="33"/>
      <c r="P840" s="33"/>
      <c r="Q840" s="33"/>
      <c r="R840" s="33"/>
      <c r="S840" s="33"/>
      <c r="T840" s="33"/>
    </row>
    <row r="841" spans="1:20" ht="15.75">
      <c r="A841" s="13">
        <v>67480</v>
      </c>
      <c r="B841" s="41">
        <f t="shared" si="4"/>
        <v>30</v>
      </c>
      <c r="C841" s="32">
        <v>194.20500000000001</v>
      </c>
      <c r="D841" s="32">
        <v>267.46600000000001</v>
      </c>
      <c r="E841" s="38">
        <v>812.32899999999995</v>
      </c>
      <c r="F841" s="32">
        <v>1274</v>
      </c>
      <c r="G841" s="32">
        <v>50</v>
      </c>
      <c r="H841" s="40">
        <v>600</v>
      </c>
      <c r="I841" s="32">
        <v>695</v>
      </c>
      <c r="J841" s="32">
        <v>0</v>
      </c>
      <c r="K841" s="33"/>
      <c r="L841" s="33"/>
      <c r="M841" s="33"/>
      <c r="N841" s="33"/>
      <c r="O841" s="33"/>
      <c r="P841" s="33"/>
      <c r="Q841" s="33"/>
      <c r="R841" s="33"/>
      <c r="S841" s="33"/>
      <c r="T841" s="33"/>
    </row>
    <row r="842" spans="1:20" ht="15.75">
      <c r="A842" s="13">
        <v>67511</v>
      </c>
      <c r="B842" s="41">
        <f t="shared" si="4"/>
        <v>31</v>
      </c>
      <c r="C842" s="32">
        <v>131.881</v>
      </c>
      <c r="D842" s="32">
        <v>277.16699999999997</v>
      </c>
      <c r="E842" s="38">
        <v>829.952</v>
      </c>
      <c r="F842" s="32">
        <v>1239</v>
      </c>
      <c r="G842" s="32">
        <v>75</v>
      </c>
      <c r="H842" s="40">
        <v>600</v>
      </c>
      <c r="I842" s="32">
        <v>695</v>
      </c>
      <c r="J842" s="32">
        <v>0</v>
      </c>
      <c r="K842" s="33"/>
      <c r="L842" s="33"/>
      <c r="M842" s="33"/>
      <c r="N842" s="33"/>
      <c r="O842" s="33"/>
      <c r="P842" s="33"/>
      <c r="Q842" s="33"/>
      <c r="R842" s="33"/>
      <c r="S842" s="33"/>
      <c r="T842" s="33"/>
    </row>
    <row r="843" spans="1:20" ht="15.75">
      <c r="A843" s="13">
        <v>67541</v>
      </c>
      <c r="B843" s="41">
        <f t="shared" si="4"/>
        <v>30</v>
      </c>
      <c r="C843" s="32">
        <v>122.58</v>
      </c>
      <c r="D843" s="32">
        <v>297.94099999999997</v>
      </c>
      <c r="E843" s="38">
        <v>729.47900000000004</v>
      </c>
      <c r="F843" s="32">
        <v>1150</v>
      </c>
      <c r="G843" s="32">
        <v>100</v>
      </c>
      <c r="H843" s="40">
        <v>600</v>
      </c>
      <c r="I843" s="32">
        <v>695</v>
      </c>
      <c r="J843" s="32">
        <v>50</v>
      </c>
      <c r="K843" s="33"/>
      <c r="L843" s="33"/>
      <c r="M843" s="33"/>
      <c r="N843" s="33"/>
      <c r="O843" s="33"/>
      <c r="P843" s="33"/>
      <c r="Q843" s="33"/>
      <c r="R843" s="33"/>
      <c r="S843" s="33"/>
      <c r="T843" s="33"/>
    </row>
    <row r="844" spans="1:20" ht="15.75">
      <c r="A844" s="13">
        <v>67572</v>
      </c>
      <c r="B844" s="41">
        <f t="shared" si="4"/>
        <v>31</v>
      </c>
      <c r="C844" s="32">
        <v>122.58</v>
      </c>
      <c r="D844" s="32">
        <v>297.94099999999997</v>
      </c>
      <c r="E844" s="38">
        <v>729.47900000000004</v>
      </c>
      <c r="F844" s="32">
        <v>1150</v>
      </c>
      <c r="G844" s="32">
        <v>100</v>
      </c>
      <c r="H844" s="40">
        <v>600</v>
      </c>
      <c r="I844" s="32">
        <v>695</v>
      </c>
      <c r="J844" s="32">
        <v>50</v>
      </c>
      <c r="K844" s="33"/>
      <c r="L844" s="33"/>
      <c r="M844" s="33"/>
      <c r="N844" s="33"/>
      <c r="O844" s="33"/>
      <c r="P844" s="33"/>
      <c r="Q844" s="33"/>
      <c r="R844" s="33"/>
      <c r="S844" s="33"/>
      <c r="T844" s="33"/>
    </row>
    <row r="845" spans="1:20" ht="15.75">
      <c r="A845" s="13">
        <v>67603</v>
      </c>
      <c r="B845" s="41">
        <f t="shared" si="4"/>
        <v>31</v>
      </c>
      <c r="C845" s="32">
        <v>122.58</v>
      </c>
      <c r="D845" s="32">
        <v>297.94099999999997</v>
      </c>
      <c r="E845" s="38">
        <v>729.47900000000004</v>
      </c>
      <c r="F845" s="32">
        <v>1150</v>
      </c>
      <c r="G845" s="32">
        <v>100</v>
      </c>
      <c r="H845" s="40">
        <v>600</v>
      </c>
      <c r="I845" s="32">
        <v>695</v>
      </c>
      <c r="J845" s="32">
        <v>50</v>
      </c>
      <c r="K845" s="33"/>
      <c r="L845" s="33"/>
      <c r="M845" s="33"/>
      <c r="N845" s="33"/>
      <c r="O845" s="33"/>
      <c r="P845" s="33"/>
      <c r="Q845" s="33"/>
      <c r="R845" s="33"/>
      <c r="S845" s="33"/>
      <c r="T845" s="33"/>
    </row>
    <row r="846" spans="1:20" ht="15.75">
      <c r="A846" s="13">
        <v>67631</v>
      </c>
      <c r="B846" s="41">
        <f t="shared" si="4"/>
        <v>28</v>
      </c>
      <c r="C846" s="32">
        <v>122.58</v>
      </c>
      <c r="D846" s="32">
        <v>297.94099999999997</v>
      </c>
      <c r="E846" s="38">
        <v>729.47900000000004</v>
      </c>
      <c r="F846" s="32">
        <v>1150</v>
      </c>
      <c r="G846" s="32">
        <v>100</v>
      </c>
      <c r="H846" s="40">
        <v>600</v>
      </c>
      <c r="I846" s="32">
        <v>695</v>
      </c>
      <c r="J846" s="32">
        <v>50</v>
      </c>
      <c r="K846" s="33"/>
      <c r="L846" s="33"/>
      <c r="M846" s="33"/>
      <c r="N846" s="33"/>
      <c r="O846" s="33"/>
      <c r="P846" s="33"/>
      <c r="Q846" s="33"/>
      <c r="R846" s="33"/>
      <c r="S846" s="33"/>
      <c r="T846" s="33"/>
    </row>
    <row r="847" spans="1:20" ht="15.75">
      <c r="A847" s="13">
        <v>67662</v>
      </c>
      <c r="B847" s="41">
        <f t="shared" si="4"/>
        <v>31</v>
      </c>
      <c r="C847" s="32">
        <v>122.58</v>
      </c>
      <c r="D847" s="32">
        <v>297.94099999999997</v>
      </c>
      <c r="E847" s="38">
        <v>729.47900000000004</v>
      </c>
      <c r="F847" s="32">
        <v>1150</v>
      </c>
      <c r="G847" s="32">
        <v>100</v>
      </c>
      <c r="H847" s="40">
        <v>600</v>
      </c>
      <c r="I847" s="32">
        <v>695</v>
      </c>
      <c r="J847" s="32">
        <v>50</v>
      </c>
      <c r="K847" s="33"/>
      <c r="L847" s="33"/>
      <c r="M847" s="33"/>
      <c r="N847" s="33"/>
      <c r="O847" s="33"/>
      <c r="P847" s="33"/>
      <c r="Q847" s="33"/>
      <c r="R847" s="33"/>
      <c r="S847" s="33"/>
      <c r="T847" s="33"/>
    </row>
    <row r="848" spans="1:20" ht="15.75">
      <c r="A848" s="13">
        <v>67692</v>
      </c>
      <c r="B848" s="41">
        <f t="shared" si="4"/>
        <v>30</v>
      </c>
      <c r="C848" s="32">
        <v>141.29300000000001</v>
      </c>
      <c r="D848" s="32">
        <v>267.99299999999999</v>
      </c>
      <c r="E848" s="38">
        <v>829.71400000000006</v>
      </c>
      <c r="F848" s="32">
        <v>1239</v>
      </c>
      <c r="G848" s="32">
        <v>100</v>
      </c>
      <c r="H848" s="40">
        <v>600</v>
      </c>
      <c r="I848" s="32">
        <v>695</v>
      </c>
      <c r="J848" s="32">
        <v>50</v>
      </c>
      <c r="K848" s="33"/>
      <c r="L848" s="33"/>
      <c r="M848" s="33"/>
      <c r="N848" s="33"/>
      <c r="O848" s="33"/>
      <c r="P848" s="33"/>
      <c r="Q848" s="33"/>
      <c r="R848" s="33"/>
      <c r="S848" s="33"/>
      <c r="T848" s="33"/>
    </row>
    <row r="849" spans="1:20" ht="15.75">
      <c r="A849" s="13">
        <v>67723</v>
      </c>
      <c r="B849" s="41">
        <f t="shared" si="4"/>
        <v>31</v>
      </c>
      <c r="C849" s="32">
        <v>194.20500000000001</v>
      </c>
      <c r="D849" s="32">
        <v>267.46600000000001</v>
      </c>
      <c r="E849" s="38">
        <v>812.32899999999995</v>
      </c>
      <c r="F849" s="32">
        <v>1274</v>
      </c>
      <c r="G849" s="32">
        <v>75</v>
      </c>
      <c r="H849" s="40">
        <v>600</v>
      </c>
      <c r="I849" s="32">
        <v>695</v>
      </c>
      <c r="J849" s="32">
        <v>50</v>
      </c>
      <c r="K849" s="33"/>
      <c r="L849" s="33"/>
      <c r="M849" s="33"/>
      <c r="N849" s="33"/>
      <c r="O849" s="33"/>
      <c r="P849" s="33"/>
      <c r="Q849" s="33"/>
      <c r="R849" s="33"/>
      <c r="S849" s="33"/>
      <c r="T849" s="33"/>
    </row>
    <row r="850" spans="1:20" ht="15.75">
      <c r="A850" s="13">
        <v>67753</v>
      </c>
      <c r="B850" s="41">
        <f t="shared" si="4"/>
        <v>30</v>
      </c>
      <c r="C850" s="32">
        <v>194.20500000000001</v>
      </c>
      <c r="D850" s="32">
        <v>267.46600000000001</v>
      </c>
      <c r="E850" s="38">
        <v>812.32899999999995</v>
      </c>
      <c r="F850" s="32">
        <v>1274</v>
      </c>
      <c r="G850" s="32">
        <v>50</v>
      </c>
      <c r="H850" s="40">
        <v>600</v>
      </c>
      <c r="I850" s="32">
        <v>695</v>
      </c>
      <c r="J850" s="32">
        <v>50</v>
      </c>
      <c r="K850" s="33"/>
      <c r="L850" s="33"/>
      <c r="M850" s="33"/>
      <c r="N850" s="33"/>
      <c r="O850" s="33"/>
      <c r="P850" s="33"/>
      <c r="Q850" s="33"/>
      <c r="R850" s="33"/>
      <c r="S850" s="33"/>
      <c r="T850" s="33"/>
    </row>
    <row r="851" spans="1:20" ht="15.75">
      <c r="A851" s="13">
        <v>67784</v>
      </c>
      <c r="B851" s="41">
        <f t="shared" si="4"/>
        <v>31</v>
      </c>
      <c r="C851" s="32">
        <v>194.20500000000001</v>
      </c>
      <c r="D851" s="32">
        <v>267.46600000000001</v>
      </c>
      <c r="E851" s="38">
        <v>812.32899999999995</v>
      </c>
      <c r="F851" s="32">
        <v>1274</v>
      </c>
      <c r="G851" s="32">
        <v>50</v>
      </c>
      <c r="H851" s="40">
        <v>600</v>
      </c>
      <c r="I851" s="32">
        <v>695</v>
      </c>
      <c r="J851" s="32">
        <v>0</v>
      </c>
      <c r="K851" s="33"/>
      <c r="L851" s="33"/>
      <c r="M851" s="33"/>
      <c r="N851" s="33"/>
      <c r="O851" s="33"/>
      <c r="P851" s="33"/>
      <c r="Q851" s="33"/>
      <c r="R851" s="33"/>
      <c r="S851" s="33"/>
      <c r="T851" s="33"/>
    </row>
    <row r="852" spans="1:20" ht="15.75">
      <c r="A852" s="13">
        <v>67815</v>
      </c>
      <c r="B852" s="41">
        <f t="shared" si="4"/>
        <v>31</v>
      </c>
      <c r="C852" s="32">
        <v>194.20500000000001</v>
      </c>
      <c r="D852" s="32">
        <v>267.46600000000001</v>
      </c>
      <c r="E852" s="38">
        <v>812.32899999999995</v>
      </c>
      <c r="F852" s="32">
        <v>1274</v>
      </c>
      <c r="G852" s="32">
        <v>50</v>
      </c>
      <c r="H852" s="40">
        <v>600</v>
      </c>
      <c r="I852" s="32">
        <v>695</v>
      </c>
      <c r="J852" s="32">
        <v>0</v>
      </c>
      <c r="K852" s="33"/>
      <c r="L852" s="33"/>
      <c r="M852" s="33"/>
      <c r="N852" s="33"/>
      <c r="O852" s="33"/>
      <c r="P852" s="33"/>
      <c r="Q852" s="33"/>
      <c r="R852" s="33"/>
      <c r="S852" s="33"/>
      <c r="T852" s="33"/>
    </row>
    <row r="853" spans="1:20" ht="15.75">
      <c r="A853" s="13">
        <v>67845</v>
      </c>
      <c r="B853" s="41">
        <f t="shared" si="4"/>
        <v>30</v>
      </c>
      <c r="C853" s="32">
        <v>194.20500000000001</v>
      </c>
      <c r="D853" s="32">
        <v>267.46600000000001</v>
      </c>
      <c r="E853" s="38">
        <v>812.32899999999995</v>
      </c>
      <c r="F853" s="32">
        <v>1274</v>
      </c>
      <c r="G853" s="32">
        <v>50</v>
      </c>
      <c r="H853" s="40">
        <v>600</v>
      </c>
      <c r="I853" s="32">
        <v>695</v>
      </c>
      <c r="J853" s="32">
        <v>0</v>
      </c>
      <c r="K853" s="33"/>
      <c r="L853" s="33"/>
      <c r="M853" s="33"/>
      <c r="N853" s="33"/>
      <c r="O853" s="33"/>
      <c r="P853" s="33"/>
      <c r="Q853" s="33"/>
      <c r="R853" s="33"/>
      <c r="S853" s="33"/>
      <c r="T853" s="33"/>
    </row>
    <row r="854" spans="1:20" ht="15.75">
      <c r="A854" s="13">
        <v>67876</v>
      </c>
      <c r="B854" s="41">
        <f t="shared" si="4"/>
        <v>31</v>
      </c>
      <c r="C854" s="32">
        <v>131.881</v>
      </c>
      <c r="D854" s="32">
        <v>277.16699999999997</v>
      </c>
      <c r="E854" s="38">
        <v>829.952</v>
      </c>
      <c r="F854" s="32">
        <v>1239</v>
      </c>
      <c r="G854" s="32">
        <v>75</v>
      </c>
      <c r="H854" s="40">
        <v>600</v>
      </c>
      <c r="I854" s="32">
        <v>695</v>
      </c>
      <c r="J854" s="32">
        <v>0</v>
      </c>
      <c r="K854" s="33"/>
      <c r="L854" s="33"/>
      <c r="M854" s="33"/>
      <c r="N854" s="33"/>
      <c r="O854" s="33"/>
      <c r="P854" s="33"/>
      <c r="Q854" s="33"/>
      <c r="R854" s="33"/>
      <c r="S854" s="33"/>
      <c r="T854" s="33"/>
    </row>
    <row r="855" spans="1:20" ht="15.75">
      <c r="A855" s="13">
        <v>67906</v>
      </c>
      <c r="B855" s="41">
        <f t="shared" si="4"/>
        <v>30</v>
      </c>
      <c r="C855" s="32">
        <v>122.58</v>
      </c>
      <c r="D855" s="32">
        <v>297.94099999999997</v>
      </c>
      <c r="E855" s="38">
        <v>729.47900000000004</v>
      </c>
      <c r="F855" s="32">
        <v>1150</v>
      </c>
      <c r="G855" s="32">
        <v>100</v>
      </c>
      <c r="H855" s="40">
        <v>600</v>
      </c>
      <c r="I855" s="32">
        <v>695</v>
      </c>
      <c r="J855" s="32">
        <v>50</v>
      </c>
      <c r="K855" s="33"/>
      <c r="L855" s="33"/>
      <c r="M855" s="33"/>
      <c r="N855" s="33"/>
      <c r="O855" s="33"/>
      <c r="P855" s="33"/>
      <c r="Q855" s="33"/>
      <c r="R855" s="33"/>
      <c r="S855" s="33"/>
      <c r="T855" s="33"/>
    </row>
    <row r="856" spans="1:20" ht="15.75">
      <c r="A856" s="13">
        <v>67937</v>
      </c>
      <c r="B856" s="41">
        <f t="shared" si="4"/>
        <v>31</v>
      </c>
      <c r="C856" s="32">
        <v>122.58</v>
      </c>
      <c r="D856" s="32">
        <v>297.94099999999997</v>
      </c>
      <c r="E856" s="38">
        <v>729.47900000000004</v>
      </c>
      <c r="F856" s="32">
        <v>1150</v>
      </c>
      <c r="G856" s="32">
        <v>100</v>
      </c>
      <c r="H856" s="40">
        <v>600</v>
      </c>
      <c r="I856" s="32">
        <v>695</v>
      </c>
      <c r="J856" s="32">
        <v>50</v>
      </c>
      <c r="K856" s="33"/>
      <c r="L856" s="33"/>
      <c r="M856" s="33"/>
      <c r="N856" s="33"/>
      <c r="O856" s="33"/>
      <c r="P856" s="33"/>
      <c r="Q856" s="33"/>
      <c r="R856" s="33"/>
      <c r="S856" s="33"/>
      <c r="T856" s="33"/>
    </row>
    <row r="857" spans="1:20" ht="15.75">
      <c r="A857" s="13">
        <v>67968</v>
      </c>
      <c r="B857" s="41">
        <f t="shared" si="4"/>
        <v>31</v>
      </c>
      <c r="C857" s="32">
        <v>122.58</v>
      </c>
      <c r="D857" s="32">
        <v>297.94099999999997</v>
      </c>
      <c r="E857" s="38">
        <v>729.47900000000004</v>
      </c>
      <c r="F857" s="32">
        <v>1150</v>
      </c>
      <c r="G857" s="32">
        <v>100</v>
      </c>
      <c r="H857" s="40">
        <v>600</v>
      </c>
      <c r="I857" s="32">
        <v>695</v>
      </c>
      <c r="J857" s="32">
        <v>50</v>
      </c>
      <c r="K857" s="33"/>
      <c r="L857" s="33"/>
      <c r="M857" s="33"/>
      <c r="N857" s="33"/>
      <c r="O857" s="33"/>
      <c r="P857" s="33"/>
      <c r="Q857" s="33"/>
      <c r="R857" s="33"/>
      <c r="S857" s="33"/>
      <c r="T857" s="33"/>
    </row>
    <row r="858" spans="1:20" ht="15.75">
      <c r="A858" s="13">
        <v>67996</v>
      </c>
      <c r="B858" s="41">
        <f t="shared" si="4"/>
        <v>28</v>
      </c>
      <c r="C858" s="32">
        <v>122.58</v>
      </c>
      <c r="D858" s="32">
        <v>297.94099999999997</v>
      </c>
      <c r="E858" s="38">
        <v>729.47900000000004</v>
      </c>
      <c r="F858" s="32">
        <v>1150</v>
      </c>
      <c r="G858" s="32">
        <v>100</v>
      </c>
      <c r="H858" s="40">
        <v>600</v>
      </c>
      <c r="I858" s="32">
        <v>695</v>
      </c>
      <c r="J858" s="32">
        <v>50</v>
      </c>
      <c r="K858" s="33"/>
      <c r="L858" s="33"/>
      <c r="M858" s="33"/>
      <c r="N858" s="33"/>
      <c r="O858" s="33"/>
      <c r="P858" s="33"/>
      <c r="Q858" s="33"/>
      <c r="R858" s="33"/>
      <c r="S858" s="33"/>
      <c r="T858" s="33"/>
    </row>
    <row r="859" spans="1:20" ht="15.75">
      <c r="A859" s="13">
        <v>68027</v>
      </c>
      <c r="B859" s="41">
        <f t="shared" si="4"/>
        <v>31</v>
      </c>
      <c r="C859" s="32">
        <v>122.58</v>
      </c>
      <c r="D859" s="32">
        <v>297.94099999999997</v>
      </c>
      <c r="E859" s="38">
        <v>729.47900000000004</v>
      </c>
      <c r="F859" s="32">
        <v>1150</v>
      </c>
      <c r="G859" s="32">
        <v>100</v>
      </c>
      <c r="H859" s="40">
        <v>600</v>
      </c>
      <c r="I859" s="32">
        <v>695</v>
      </c>
      <c r="J859" s="32">
        <v>50</v>
      </c>
      <c r="K859" s="33"/>
      <c r="L859" s="33"/>
      <c r="M859" s="33"/>
      <c r="N859" s="33"/>
      <c r="O859" s="33"/>
      <c r="P859" s="33"/>
      <c r="Q859" s="33"/>
      <c r="R859" s="33"/>
      <c r="S859" s="33"/>
      <c r="T859" s="33"/>
    </row>
    <row r="860" spans="1:20" ht="15.75">
      <c r="A860" s="13">
        <v>68057</v>
      </c>
      <c r="B860" s="41">
        <f t="shared" si="4"/>
        <v>30</v>
      </c>
      <c r="C860" s="32">
        <v>141.29300000000001</v>
      </c>
      <c r="D860" s="32">
        <v>267.99299999999999</v>
      </c>
      <c r="E860" s="38">
        <v>829.71400000000006</v>
      </c>
      <c r="F860" s="32">
        <v>1239</v>
      </c>
      <c r="G860" s="32">
        <v>100</v>
      </c>
      <c r="H860" s="40">
        <v>600</v>
      </c>
      <c r="I860" s="32">
        <v>695</v>
      </c>
      <c r="J860" s="32">
        <v>50</v>
      </c>
      <c r="K860" s="33"/>
      <c r="L860" s="33"/>
      <c r="M860" s="33"/>
      <c r="N860" s="33"/>
      <c r="O860" s="33"/>
      <c r="P860" s="33"/>
      <c r="Q860" s="33"/>
      <c r="R860" s="33"/>
      <c r="S860" s="33"/>
      <c r="T860" s="33"/>
    </row>
    <row r="861" spans="1:20" ht="15.75">
      <c r="A861" s="13">
        <v>68088</v>
      </c>
      <c r="B861" s="41">
        <f t="shared" si="4"/>
        <v>31</v>
      </c>
      <c r="C861" s="32">
        <v>194.20500000000001</v>
      </c>
      <c r="D861" s="32">
        <v>267.46600000000001</v>
      </c>
      <c r="E861" s="38">
        <v>812.32899999999995</v>
      </c>
      <c r="F861" s="32">
        <v>1274</v>
      </c>
      <c r="G861" s="32">
        <v>75</v>
      </c>
      <c r="H861" s="40">
        <v>600</v>
      </c>
      <c r="I861" s="32">
        <v>695</v>
      </c>
      <c r="J861" s="32">
        <v>50</v>
      </c>
      <c r="K861" s="33"/>
      <c r="L861" s="33"/>
      <c r="M861" s="33"/>
      <c r="N861" s="33"/>
      <c r="O861" s="33"/>
      <c r="P861" s="33"/>
      <c r="Q861" s="33"/>
      <c r="R861" s="33"/>
      <c r="S861" s="33"/>
      <c r="T861" s="33"/>
    </row>
    <row r="862" spans="1:20" ht="15.75">
      <c r="A862" s="13">
        <v>68118</v>
      </c>
      <c r="B862" s="41">
        <f t="shared" si="4"/>
        <v>30</v>
      </c>
      <c r="C862" s="32">
        <v>194.20500000000001</v>
      </c>
      <c r="D862" s="32">
        <v>267.46600000000001</v>
      </c>
      <c r="E862" s="38">
        <v>812.32899999999995</v>
      </c>
      <c r="F862" s="32">
        <v>1274</v>
      </c>
      <c r="G862" s="32">
        <v>50</v>
      </c>
      <c r="H862" s="40">
        <v>600</v>
      </c>
      <c r="I862" s="32">
        <v>695</v>
      </c>
      <c r="J862" s="32">
        <v>50</v>
      </c>
      <c r="K862" s="33"/>
      <c r="L862" s="33"/>
      <c r="M862" s="33"/>
      <c r="N862" s="33"/>
      <c r="O862" s="33"/>
      <c r="P862" s="33"/>
      <c r="Q862" s="33"/>
      <c r="R862" s="33"/>
      <c r="S862" s="33"/>
      <c r="T862" s="33"/>
    </row>
    <row r="863" spans="1:20" ht="15.75">
      <c r="A863" s="13">
        <v>68149</v>
      </c>
      <c r="B863" s="41">
        <f t="shared" si="4"/>
        <v>31</v>
      </c>
      <c r="C863" s="32">
        <v>194.20500000000001</v>
      </c>
      <c r="D863" s="32">
        <v>267.46600000000001</v>
      </c>
      <c r="E863" s="38">
        <v>812.32899999999995</v>
      </c>
      <c r="F863" s="32">
        <v>1274</v>
      </c>
      <c r="G863" s="32">
        <v>50</v>
      </c>
      <c r="H863" s="40">
        <v>600</v>
      </c>
      <c r="I863" s="32">
        <v>695</v>
      </c>
      <c r="J863" s="32">
        <v>0</v>
      </c>
      <c r="K863" s="33"/>
      <c r="L863" s="33"/>
      <c r="M863" s="33"/>
      <c r="N863" s="33"/>
      <c r="O863" s="33"/>
      <c r="P863" s="33"/>
      <c r="Q863" s="33"/>
      <c r="R863" s="33"/>
      <c r="S863" s="33"/>
      <c r="T863" s="33"/>
    </row>
    <row r="864" spans="1:20" ht="15.75">
      <c r="A864" s="13">
        <v>68180</v>
      </c>
      <c r="B864" s="41">
        <f t="shared" si="4"/>
        <v>31</v>
      </c>
      <c r="C864" s="32">
        <v>194.20500000000001</v>
      </c>
      <c r="D864" s="32">
        <v>267.46600000000001</v>
      </c>
      <c r="E864" s="38">
        <v>812.32899999999995</v>
      </c>
      <c r="F864" s="32">
        <v>1274</v>
      </c>
      <c r="G864" s="32">
        <v>50</v>
      </c>
      <c r="H864" s="40">
        <v>600</v>
      </c>
      <c r="I864" s="32">
        <v>695</v>
      </c>
      <c r="J864" s="32">
        <v>0</v>
      </c>
      <c r="K864" s="33"/>
      <c r="L864" s="33"/>
      <c r="M864" s="33"/>
      <c r="N864" s="33"/>
      <c r="O864" s="33"/>
      <c r="P864" s="33"/>
      <c r="Q864" s="33"/>
      <c r="R864" s="33"/>
      <c r="S864" s="33"/>
      <c r="T864" s="33"/>
    </row>
    <row r="865" spans="1:20" ht="15.75">
      <c r="A865" s="13">
        <v>68210</v>
      </c>
      <c r="B865" s="41">
        <f t="shared" si="4"/>
        <v>30</v>
      </c>
      <c r="C865" s="32">
        <v>194.20500000000001</v>
      </c>
      <c r="D865" s="32">
        <v>267.46600000000001</v>
      </c>
      <c r="E865" s="38">
        <v>812.32899999999995</v>
      </c>
      <c r="F865" s="32">
        <v>1274</v>
      </c>
      <c r="G865" s="32">
        <v>50</v>
      </c>
      <c r="H865" s="40">
        <v>600</v>
      </c>
      <c r="I865" s="32">
        <v>695</v>
      </c>
      <c r="J865" s="32">
        <v>0</v>
      </c>
      <c r="K865" s="33"/>
      <c r="L865" s="33"/>
      <c r="M865" s="33"/>
      <c r="N865" s="33"/>
      <c r="O865" s="33"/>
      <c r="P865" s="33"/>
      <c r="Q865" s="33"/>
      <c r="R865" s="33"/>
      <c r="S865" s="33"/>
      <c r="T865" s="33"/>
    </row>
    <row r="866" spans="1:20" ht="15.75">
      <c r="A866" s="13">
        <v>68241</v>
      </c>
      <c r="B866" s="41">
        <f t="shared" si="4"/>
        <v>31</v>
      </c>
      <c r="C866" s="32">
        <v>131.881</v>
      </c>
      <c r="D866" s="32">
        <v>277.16699999999997</v>
      </c>
      <c r="E866" s="38">
        <v>829.952</v>
      </c>
      <c r="F866" s="32">
        <v>1239</v>
      </c>
      <c r="G866" s="32">
        <v>75</v>
      </c>
      <c r="H866" s="40">
        <v>600</v>
      </c>
      <c r="I866" s="32">
        <v>695</v>
      </c>
      <c r="J866" s="32">
        <v>0</v>
      </c>
      <c r="K866" s="33"/>
      <c r="L866" s="33"/>
      <c r="M866" s="33"/>
      <c r="N866" s="33"/>
      <c r="O866" s="33"/>
      <c r="P866" s="33"/>
      <c r="Q866" s="33"/>
      <c r="R866" s="33"/>
      <c r="S866" s="33"/>
      <c r="T866" s="33"/>
    </row>
    <row r="867" spans="1:20" ht="15.75">
      <c r="A867" s="13">
        <v>68271</v>
      </c>
      <c r="B867" s="41">
        <f t="shared" si="4"/>
        <v>30</v>
      </c>
      <c r="C867" s="32">
        <v>122.58</v>
      </c>
      <c r="D867" s="32">
        <v>297.94099999999997</v>
      </c>
      <c r="E867" s="38">
        <v>729.47900000000004</v>
      </c>
      <c r="F867" s="32">
        <v>1150</v>
      </c>
      <c r="G867" s="32">
        <v>100</v>
      </c>
      <c r="H867" s="40">
        <v>600</v>
      </c>
      <c r="I867" s="32">
        <v>695</v>
      </c>
      <c r="J867" s="32">
        <v>50</v>
      </c>
      <c r="K867" s="33"/>
      <c r="L867" s="33"/>
      <c r="M867" s="33"/>
      <c r="N867" s="33"/>
      <c r="O867" s="33"/>
      <c r="P867" s="33"/>
      <c r="Q867" s="33"/>
      <c r="R867" s="33"/>
      <c r="S867" s="33"/>
      <c r="T867" s="33"/>
    </row>
    <row r="868" spans="1:20" ht="15.75">
      <c r="A868" s="13">
        <v>68302</v>
      </c>
      <c r="B868" s="41">
        <f t="shared" si="4"/>
        <v>31</v>
      </c>
      <c r="C868" s="32">
        <v>122.58</v>
      </c>
      <c r="D868" s="32">
        <v>297.94099999999997</v>
      </c>
      <c r="E868" s="38">
        <v>729.47900000000004</v>
      </c>
      <c r="F868" s="32">
        <v>1150</v>
      </c>
      <c r="G868" s="32">
        <v>100</v>
      </c>
      <c r="H868" s="40">
        <v>600</v>
      </c>
      <c r="I868" s="32">
        <v>695</v>
      </c>
      <c r="J868" s="32">
        <v>50</v>
      </c>
      <c r="K868" s="33"/>
      <c r="L868" s="33"/>
      <c r="M868" s="33"/>
      <c r="N868" s="33"/>
      <c r="O868" s="33"/>
      <c r="P868" s="33"/>
      <c r="Q868" s="33"/>
      <c r="R868" s="33"/>
      <c r="S868" s="33"/>
      <c r="T868" s="33"/>
    </row>
    <row r="869" spans="1:20" ht="15.75">
      <c r="A869" s="13">
        <v>68333</v>
      </c>
      <c r="B869" s="41">
        <f t="shared" si="4"/>
        <v>31</v>
      </c>
      <c r="C869" s="32">
        <v>122.58</v>
      </c>
      <c r="D869" s="32">
        <v>297.94099999999997</v>
      </c>
      <c r="E869" s="38">
        <v>729.47900000000004</v>
      </c>
      <c r="F869" s="32">
        <v>1150</v>
      </c>
      <c r="G869" s="32">
        <v>100</v>
      </c>
      <c r="H869" s="40">
        <v>600</v>
      </c>
      <c r="I869" s="32">
        <v>695</v>
      </c>
      <c r="J869" s="32">
        <v>50</v>
      </c>
      <c r="K869" s="33"/>
      <c r="L869" s="33"/>
      <c r="M869" s="33"/>
      <c r="N869" s="33"/>
      <c r="O869" s="33"/>
      <c r="P869" s="33"/>
      <c r="Q869" s="33"/>
      <c r="R869" s="33"/>
      <c r="S869" s="33"/>
      <c r="T869" s="33"/>
    </row>
    <row r="870" spans="1:20" ht="15.75">
      <c r="A870" s="13">
        <v>68361</v>
      </c>
      <c r="B870" s="41">
        <f t="shared" si="4"/>
        <v>28</v>
      </c>
      <c r="C870" s="32">
        <v>122.58</v>
      </c>
      <c r="D870" s="32">
        <v>297.94099999999997</v>
      </c>
      <c r="E870" s="38">
        <v>729.47900000000004</v>
      </c>
      <c r="F870" s="32">
        <v>1150</v>
      </c>
      <c r="G870" s="32">
        <v>100</v>
      </c>
      <c r="H870" s="40">
        <v>600</v>
      </c>
      <c r="I870" s="32">
        <v>695</v>
      </c>
      <c r="J870" s="32">
        <v>50</v>
      </c>
      <c r="K870" s="33"/>
      <c r="L870" s="33"/>
      <c r="M870" s="33"/>
      <c r="N870" s="33"/>
      <c r="O870" s="33"/>
      <c r="P870" s="33"/>
      <c r="Q870" s="33"/>
      <c r="R870" s="33"/>
      <c r="S870" s="33"/>
      <c r="T870" s="33"/>
    </row>
    <row r="871" spans="1:20" ht="15.75">
      <c r="A871" s="13">
        <v>68392</v>
      </c>
      <c r="B871" s="41">
        <f t="shared" si="4"/>
        <v>31</v>
      </c>
      <c r="C871" s="32">
        <v>122.58</v>
      </c>
      <c r="D871" s="32">
        <v>297.94099999999997</v>
      </c>
      <c r="E871" s="38">
        <v>729.47900000000004</v>
      </c>
      <c r="F871" s="32">
        <v>1150</v>
      </c>
      <c r="G871" s="32">
        <v>100</v>
      </c>
      <c r="H871" s="40">
        <v>600</v>
      </c>
      <c r="I871" s="32">
        <v>695</v>
      </c>
      <c r="J871" s="32">
        <v>50</v>
      </c>
      <c r="K871" s="33"/>
      <c r="L871" s="33"/>
      <c r="M871" s="33"/>
      <c r="N871" s="33"/>
      <c r="O871" s="33"/>
      <c r="P871" s="33"/>
      <c r="Q871" s="33"/>
      <c r="R871" s="33"/>
      <c r="S871" s="33"/>
      <c r="T871" s="33"/>
    </row>
    <row r="872" spans="1:20" ht="15.75">
      <c r="A872" s="13">
        <v>68422</v>
      </c>
      <c r="B872" s="41">
        <f t="shared" si="4"/>
        <v>30</v>
      </c>
      <c r="C872" s="32">
        <v>141.29300000000001</v>
      </c>
      <c r="D872" s="32">
        <v>267.99299999999999</v>
      </c>
      <c r="E872" s="38">
        <v>829.71400000000006</v>
      </c>
      <c r="F872" s="32">
        <v>1239</v>
      </c>
      <c r="G872" s="32">
        <v>100</v>
      </c>
      <c r="H872" s="40">
        <v>600</v>
      </c>
      <c r="I872" s="32">
        <v>695</v>
      </c>
      <c r="J872" s="32">
        <v>50</v>
      </c>
      <c r="K872" s="33"/>
      <c r="L872" s="33"/>
      <c r="M872" s="33"/>
      <c r="N872" s="33"/>
      <c r="O872" s="33"/>
      <c r="P872" s="33"/>
      <c r="Q872" s="33"/>
      <c r="R872" s="33"/>
      <c r="S872" s="33"/>
      <c r="T872" s="33"/>
    </row>
    <row r="873" spans="1:20" ht="15.75">
      <c r="A873" s="13">
        <v>68453</v>
      </c>
      <c r="B873" s="41">
        <f t="shared" si="4"/>
        <v>31</v>
      </c>
      <c r="C873" s="32">
        <v>194.20500000000001</v>
      </c>
      <c r="D873" s="32">
        <v>267.46600000000001</v>
      </c>
      <c r="E873" s="38">
        <v>812.32899999999995</v>
      </c>
      <c r="F873" s="32">
        <v>1274</v>
      </c>
      <c r="G873" s="32">
        <v>75</v>
      </c>
      <c r="H873" s="40">
        <v>600</v>
      </c>
      <c r="I873" s="32">
        <v>695</v>
      </c>
      <c r="J873" s="32">
        <v>50</v>
      </c>
      <c r="K873" s="33"/>
      <c r="L873" s="33"/>
      <c r="M873" s="33"/>
      <c r="N873" s="33"/>
      <c r="O873" s="33"/>
      <c r="P873" s="33"/>
      <c r="Q873" s="33"/>
      <c r="R873" s="33"/>
      <c r="S873" s="33"/>
      <c r="T873" s="33"/>
    </row>
    <row r="874" spans="1:20" ht="15.75">
      <c r="A874" s="13">
        <v>68483</v>
      </c>
      <c r="B874" s="41">
        <f t="shared" si="4"/>
        <v>30</v>
      </c>
      <c r="C874" s="32">
        <v>194.20500000000001</v>
      </c>
      <c r="D874" s="32">
        <v>267.46600000000001</v>
      </c>
      <c r="E874" s="38">
        <v>812.32899999999995</v>
      </c>
      <c r="F874" s="32">
        <v>1274</v>
      </c>
      <c r="G874" s="32">
        <v>50</v>
      </c>
      <c r="H874" s="40">
        <v>600</v>
      </c>
      <c r="I874" s="32">
        <v>695</v>
      </c>
      <c r="J874" s="32">
        <v>50</v>
      </c>
      <c r="K874" s="33"/>
      <c r="L874" s="33"/>
      <c r="M874" s="33"/>
      <c r="N874" s="33"/>
      <c r="O874" s="33"/>
      <c r="P874" s="33"/>
      <c r="Q874" s="33"/>
      <c r="R874" s="33"/>
      <c r="S874" s="33"/>
      <c r="T874" s="33"/>
    </row>
    <row r="875" spans="1:20" ht="15.75">
      <c r="A875" s="13">
        <v>68514</v>
      </c>
      <c r="B875" s="41">
        <f t="shared" si="4"/>
        <v>31</v>
      </c>
      <c r="C875" s="32">
        <v>194.20500000000001</v>
      </c>
      <c r="D875" s="32">
        <v>267.46600000000001</v>
      </c>
      <c r="E875" s="38">
        <v>812.32899999999995</v>
      </c>
      <c r="F875" s="32">
        <v>1274</v>
      </c>
      <c r="G875" s="32">
        <v>50</v>
      </c>
      <c r="H875" s="40">
        <v>600</v>
      </c>
      <c r="I875" s="32">
        <v>695</v>
      </c>
      <c r="J875" s="32">
        <v>0</v>
      </c>
      <c r="K875" s="33"/>
      <c r="L875" s="33"/>
      <c r="M875" s="33"/>
      <c r="N875" s="33"/>
      <c r="O875" s="33"/>
      <c r="P875" s="33"/>
      <c r="Q875" s="33"/>
      <c r="R875" s="33"/>
      <c r="S875" s="33"/>
      <c r="T875" s="33"/>
    </row>
    <row r="876" spans="1:20" ht="15.75">
      <c r="A876" s="13">
        <v>68545</v>
      </c>
      <c r="B876" s="41">
        <f t="shared" si="4"/>
        <v>31</v>
      </c>
      <c r="C876" s="32">
        <v>194.20500000000001</v>
      </c>
      <c r="D876" s="32">
        <v>267.46600000000001</v>
      </c>
      <c r="E876" s="38">
        <v>812.32899999999995</v>
      </c>
      <c r="F876" s="32">
        <v>1274</v>
      </c>
      <c r="G876" s="32">
        <v>50</v>
      </c>
      <c r="H876" s="40">
        <v>600</v>
      </c>
      <c r="I876" s="32">
        <v>695</v>
      </c>
      <c r="J876" s="32">
        <v>0</v>
      </c>
      <c r="K876" s="33"/>
      <c r="L876" s="33"/>
      <c r="M876" s="33"/>
      <c r="N876" s="33"/>
      <c r="O876" s="33"/>
      <c r="P876" s="33"/>
      <c r="Q876" s="33"/>
      <c r="R876" s="33"/>
      <c r="S876" s="33"/>
      <c r="T876" s="33"/>
    </row>
    <row r="877" spans="1:20" ht="15.75">
      <c r="A877" s="13">
        <v>68575</v>
      </c>
      <c r="B877" s="41">
        <f t="shared" si="4"/>
        <v>30</v>
      </c>
      <c r="C877" s="32">
        <v>194.20500000000001</v>
      </c>
      <c r="D877" s="32">
        <v>267.46600000000001</v>
      </c>
      <c r="E877" s="38">
        <v>812.32899999999995</v>
      </c>
      <c r="F877" s="32">
        <v>1274</v>
      </c>
      <c r="G877" s="32">
        <v>50</v>
      </c>
      <c r="H877" s="40">
        <v>600</v>
      </c>
      <c r="I877" s="32">
        <v>695</v>
      </c>
      <c r="J877" s="32">
        <v>0</v>
      </c>
      <c r="K877" s="33"/>
      <c r="L877" s="33"/>
      <c r="M877" s="33"/>
      <c r="N877" s="33"/>
      <c r="O877" s="33"/>
      <c r="P877" s="33"/>
      <c r="Q877" s="33"/>
      <c r="R877" s="33"/>
      <c r="S877" s="33"/>
      <c r="T877" s="33"/>
    </row>
    <row r="878" spans="1:20" ht="15.75">
      <c r="A878" s="13">
        <v>68606</v>
      </c>
      <c r="B878" s="41">
        <f t="shared" si="4"/>
        <v>31</v>
      </c>
      <c r="C878" s="32">
        <v>131.881</v>
      </c>
      <c r="D878" s="32">
        <v>277.16699999999997</v>
      </c>
      <c r="E878" s="38">
        <v>829.952</v>
      </c>
      <c r="F878" s="32">
        <v>1239</v>
      </c>
      <c r="G878" s="32">
        <v>75</v>
      </c>
      <c r="H878" s="40">
        <v>600</v>
      </c>
      <c r="I878" s="32">
        <v>695</v>
      </c>
      <c r="J878" s="32">
        <v>0</v>
      </c>
      <c r="K878" s="33"/>
      <c r="L878" s="33"/>
      <c r="M878" s="33"/>
      <c r="N878" s="33"/>
      <c r="O878" s="33"/>
      <c r="P878" s="33"/>
      <c r="Q878" s="33"/>
      <c r="R878" s="33"/>
      <c r="S878" s="33"/>
      <c r="T878" s="33"/>
    </row>
    <row r="879" spans="1:20" ht="15.75">
      <c r="A879" s="13">
        <v>68636</v>
      </c>
      <c r="B879" s="41">
        <f t="shared" si="4"/>
        <v>30</v>
      </c>
      <c r="C879" s="32">
        <v>122.58</v>
      </c>
      <c r="D879" s="32">
        <v>297.94099999999997</v>
      </c>
      <c r="E879" s="38">
        <v>729.47900000000004</v>
      </c>
      <c r="F879" s="32">
        <v>1150</v>
      </c>
      <c r="G879" s="32">
        <v>100</v>
      </c>
      <c r="H879" s="40">
        <v>600</v>
      </c>
      <c r="I879" s="32">
        <v>695</v>
      </c>
      <c r="J879" s="32">
        <v>50</v>
      </c>
      <c r="K879" s="33"/>
      <c r="L879" s="33"/>
      <c r="M879" s="33"/>
      <c r="N879" s="33"/>
      <c r="O879" s="33"/>
      <c r="P879" s="33"/>
      <c r="Q879" s="33"/>
      <c r="R879" s="33"/>
      <c r="S879" s="33"/>
      <c r="T879" s="33"/>
    </row>
    <row r="880" spans="1:20" ht="15.75">
      <c r="A880" s="13">
        <v>68667</v>
      </c>
      <c r="B880" s="41">
        <f t="shared" si="4"/>
        <v>31</v>
      </c>
      <c r="C880" s="32">
        <v>122.58</v>
      </c>
      <c r="D880" s="32">
        <v>297.94099999999997</v>
      </c>
      <c r="E880" s="38">
        <v>729.47900000000004</v>
      </c>
      <c r="F880" s="32">
        <v>1150</v>
      </c>
      <c r="G880" s="32">
        <v>100</v>
      </c>
      <c r="H880" s="40">
        <v>600</v>
      </c>
      <c r="I880" s="32">
        <v>695</v>
      </c>
      <c r="J880" s="32">
        <v>50</v>
      </c>
      <c r="K880" s="33"/>
      <c r="L880" s="33"/>
      <c r="M880" s="33"/>
      <c r="N880" s="33"/>
      <c r="O880" s="33"/>
      <c r="P880" s="33"/>
      <c r="Q880" s="33"/>
      <c r="R880" s="33"/>
      <c r="S880" s="33"/>
      <c r="T880" s="33"/>
    </row>
    <row r="881" spans="1:20" ht="15.75">
      <c r="A881" s="13">
        <v>68698</v>
      </c>
      <c r="B881" s="41">
        <f t="shared" si="4"/>
        <v>31</v>
      </c>
      <c r="C881" s="32">
        <v>122.58</v>
      </c>
      <c r="D881" s="32">
        <v>297.94099999999997</v>
      </c>
      <c r="E881" s="38">
        <v>729.47900000000004</v>
      </c>
      <c r="F881" s="32">
        <v>1150</v>
      </c>
      <c r="G881" s="32">
        <v>100</v>
      </c>
      <c r="H881" s="40">
        <v>600</v>
      </c>
      <c r="I881" s="32">
        <v>695</v>
      </c>
      <c r="J881" s="32">
        <v>50</v>
      </c>
      <c r="K881" s="33"/>
      <c r="L881" s="33"/>
      <c r="M881" s="33"/>
      <c r="N881" s="33"/>
      <c r="O881" s="33"/>
      <c r="P881" s="33"/>
      <c r="Q881" s="33"/>
      <c r="R881" s="33"/>
      <c r="S881" s="33"/>
      <c r="T881" s="33"/>
    </row>
    <row r="882" spans="1:20" ht="15.75">
      <c r="A882" s="13">
        <v>68727</v>
      </c>
      <c r="B882" s="41">
        <f t="shared" si="4"/>
        <v>29</v>
      </c>
      <c r="C882" s="32">
        <v>122.58</v>
      </c>
      <c r="D882" s="32">
        <v>297.94099999999997</v>
      </c>
      <c r="E882" s="38">
        <v>729.47900000000004</v>
      </c>
      <c r="F882" s="32">
        <v>1150</v>
      </c>
      <c r="G882" s="32">
        <v>100</v>
      </c>
      <c r="H882" s="40">
        <v>600</v>
      </c>
      <c r="I882" s="32">
        <v>695</v>
      </c>
      <c r="J882" s="32">
        <v>50</v>
      </c>
      <c r="K882" s="33"/>
      <c r="L882" s="33"/>
      <c r="M882" s="33"/>
      <c r="N882" s="33"/>
      <c r="O882" s="33"/>
      <c r="P882" s="33"/>
      <c r="Q882" s="33"/>
      <c r="R882" s="33"/>
      <c r="S882" s="33"/>
      <c r="T882" s="33"/>
    </row>
    <row r="883" spans="1:20" ht="15.75">
      <c r="A883" s="13">
        <v>68758</v>
      </c>
      <c r="B883" s="41">
        <f t="shared" si="4"/>
        <v>31</v>
      </c>
      <c r="C883" s="32">
        <v>122.58</v>
      </c>
      <c r="D883" s="32">
        <v>297.94099999999997</v>
      </c>
      <c r="E883" s="38">
        <v>729.47900000000004</v>
      </c>
      <c r="F883" s="32">
        <v>1150</v>
      </c>
      <c r="G883" s="32">
        <v>100</v>
      </c>
      <c r="H883" s="40">
        <v>600</v>
      </c>
      <c r="I883" s="32">
        <v>695</v>
      </c>
      <c r="J883" s="32">
        <v>50</v>
      </c>
      <c r="K883" s="33"/>
      <c r="L883" s="33"/>
      <c r="M883" s="33"/>
      <c r="N883" s="33"/>
      <c r="O883" s="33"/>
      <c r="P883" s="33"/>
      <c r="Q883" s="33"/>
      <c r="R883" s="33"/>
      <c r="S883" s="33"/>
      <c r="T883" s="33"/>
    </row>
    <row r="884" spans="1:20" ht="15.75">
      <c r="A884" s="13">
        <v>68788</v>
      </c>
      <c r="B884" s="41">
        <f t="shared" si="4"/>
        <v>30</v>
      </c>
      <c r="C884" s="32">
        <v>141.29300000000001</v>
      </c>
      <c r="D884" s="32">
        <v>267.99299999999999</v>
      </c>
      <c r="E884" s="38">
        <v>829.71400000000006</v>
      </c>
      <c r="F884" s="32">
        <v>1239</v>
      </c>
      <c r="G884" s="32">
        <v>100</v>
      </c>
      <c r="H884" s="40">
        <v>600</v>
      </c>
      <c r="I884" s="32">
        <v>695</v>
      </c>
      <c r="J884" s="32">
        <v>50</v>
      </c>
      <c r="K884" s="33"/>
      <c r="L884" s="33"/>
      <c r="M884" s="33"/>
      <c r="N884" s="33"/>
      <c r="O884" s="33"/>
      <c r="P884" s="33"/>
      <c r="Q884" s="33"/>
      <c r="R884" s="33"/>
      <c r="S884" s="33"/>
      <c r="T884" s="33"/>
    </row>
    <row r="885" spans="1:20" ht="15.75">
      <c r="A885" s="13">
        <v>68819</v>
      </c>
      <c r="B885" s="41">
        <f t="shared" si="4"/>
        <v>31</v>
      </c>
      <c r="C885" s="32">
        <v>194.20500000000001</v>
      </c>
      <c r="D885" s="32">
        <v>267.46600000000001</v>
      </c>
      <c r="E885" s="38">
        <v>812.32899999999995</v>
      </c>
      <c r="F885" s="32">
        <v>1274</v>
      </c>
      <c r="G885" s="32">
        <v>75</v>
      </c>
      <c r="H885" s="40">
        <v>600</v>
      </c>
      <c r="I885" s="32">
        <v>695</v>
      </c>
      <c r="J885" s="32">
        <v>50</v>
      </c>
      <c r="K885" s="33"/>
      <c r="L885" s="33"/>
      <c r="M885" s="33"/>
      <c r="N885" s="33"/>
      <c r="O885" s="33"/>
      <c r="P885" s="33"/>
      <c r="Q885" s="33"/>
      <c r="R885" s="33"/>
      <c r="S885" s="33"/>
      <c r="T885" s="33"/>
    </row>
    <row r="886" spans="1:20" ht="15.75">
      <c r="A886" s="13">
        <v>68849</v>
      </c>
      <c r="B886" s="41">
        <f t="shared" si="4"/>
        <v>30</v>
      </c>
      <c r="C886" s="32">
        <v>194.20500000000001</v>
      </c>
      <c r="D886" s="32">
        <v>267.46600000000001</v>
      </c>
      <c r="E886" s="38">
        <v>812.32899999999995</v>
      </c>
      <c r="F886" s="32">
        <v>1274</v>
      </c>
      <c r="G886" s="32">
        <v>50</v>
      </c>
      <c r="H886" s="40">
        <v>600</v>
      </c>
      <c r="I886" s="32">
        <v>695</v>
      </c>
      <c r="J886" s="32">
        <v>50</v>
      </c>
      <c r="K886" s="33"/>
      <c r="L886" s="33"/>
      <c r="M886" s="33"/>
      <c r="N886" s="33"/>
      <c r="O886" s="33"/>
      <c r="P886" s="33"/>
      <c r="Q886" s="33"/>
      <c r="R886" s="33"/>
      <c r="S886" s="33"/>
      <c r="T886" s="33"/>
    </row>
    <row r="887" spans="1:20" ht="15.75">
      <c r="A887" s="13">
        <v>68880</v>
      </c>
      <c r="B887" s="41">
        <f t="shared" si="4"/>
        <v>31</v>
      </c>
      <c r="C887" s="32">
        <v>194.20500000000001</v>
      </c>
      <c r="D887" s="32">
        <v>267.46600000000001</v>
      </c>
      <c r="E887" s="38">
        <v>812.32899999999995</v>
      </c>
      <c r="F887" s="32">
        <v>1274</v>
      </c>
      <c r="G887" s="32">
        <v>50</v>
      </c>
      <c r="H887" s="40">
        <v>600</v>
      </c>
      <c r="I887" s="32">
        <v>695</v>
      </c>
      <c r="J887" s="32">
        <v>0</v>
      </c>
      <c r="K887" s="33"/>
      <c r="L887" s="33"/>
      <c r="M887" s="33"/>
      <c r="N887" s="33"/>
      <c r="O887" s="33"/>
      <c r="P887" s="33"/>
      <c r="Q887" s="33"/>
      <c r="R887" s="33"/>
      <c r="S887" s="33"/>
      <c r="T887" s="33"/>
    </row>
    <row r="888" spans="1:20" ht="15.75">
      <c r="A888" s="13">
        <v>68911</v>
      </c>
      <c r="B888" s="41">
        <f t="shared" si="4"/>
        <v>31</v>
      </c>
      <c r="C888" s="32">
        <v>194.20500000000001</v>
      </c>
      <c r="D888" s="32">
        <v>267.46600000000001</v>
      </c>
      <c r="E888" s="38">
        <v>812.32899999999995</v>
      </c>
      <c r="F888" s="32">
        <v>1274</v>
      </c>
      <c r="G888" s="32">
        <v>50</v>
      </c>
      <c r="H888" s="40">
        <v>600</v>
      </c>
      <c r="I888" s="32">
        <v>695</v>
      </c>
      <c r="J888" s="32">
        <v>0</v>
      </c>
      <c r="K888" s="33"/>
      <c r="L888" s="33"/>
      <c r="M888" s="33"/>
      <c r="N888" s="33"/>
      <c r="O888" s="33"/>
      <c r="P888" s="33"/>
      <c r="Q888" s="33"/>
      <c r="R888" s="33"/>
      <c r="S888" s="33"/>
      <c r="T888" s="33"/>
    </row>
    <row r="889" spans="1:20" ht="15.75">
      <c r="A889" s="13">
        <v>68941</v>
      </c>
      <c r="B889" s="41">
        <f t="shared" ref="B889:B952" si="5">EOMONTH(A889,0)-EOMONTH(A889,-1)</f>
        <v>30</v>
      </c>
      <c r="C889" s="32">
        <v>194.20500000000001</v>
      </c>
      <c r="D889" s="32">
        <v>267.46600000000001</v>
      </c>
      <c r="E889" s="38">
        <v>812.32899999999995</v>
      </c>
      <c r="F889" s="32">
        <v>1274</v>
      </c>
      <c r="G889" s="32">
        <v>50</v>
      </c>
      <c r="H889" s="40">
        <v>600</v>
      </c>
      <c r="I889" s="32">
        <v>695</v>
      </c>
      <c r="J889" s="32">
        <v>0</v>
      </c>
      <c r="K889" s="33"/>
      <c r="L889" s="33"/>
      <c r="M889" s="33"/>
      <c r="N889" s="33"/>
      <c r="O889" s="33"/>
      <c r="P889" s="33"/>
      <c r="Q889" s="33"/>
      <c r="R889" s="33"/>
      <c r="S889" s="33"/>
      <c r="T889" s="33"/>
    </row>
    <row r="890" spans="1:20" ht="15.75">
      <c r="A890" s="13">
        <v>68972</v>
      </c>
      <c r="B890" s="41">
        <f t="shared" si="5"/>
        <v>31</v>
      </c>
      <c r="C890" s="32">
        <v>131.881</v>
      </c>
      <c r="D890" s="32">
        <v>277.16699999999997</v>
      </c>
      <c r="E890" s="38">
        <v>829.952</v>
      </c>
      <c r="F890" s="32">
        <v>1239</v>
      </c>
      <c r="G890" s="32">
        <v>75</v>
      </c>
      <c r="H890" s="40">
        <v>600</v>
      </c>
      <c r="I890" s="32">
        <v>695</v>
      </c>
      <c r="J890" s="32">
        <v>0</v>
      </c>
      <c r="K890" s="33"/>
      <c r="L890" s="33"/>
      <c r="M890" s="33"/>
      <c r="N890" s="33"/>
      <c r="O890" s="33"/>
      <c r="P890" s="33"/>
      <c r="Q890" s="33"/>
      <c r="R890" s="33"/>
      <c r="S890" s="33"/>
      <c r="T890" s="33"/>
    </row>
    <row r="891" spans="1:20" ht="15.75">
      <c r="A891" s="13">
        <v>69002</v>
      </c>
      <c r="B891" s="41">
        <f t="shared" si="5"/>
        <v>30</v>
      </c>
      <c r="C891" s="32">
        <v>122.58</v>
      </c>
      <c r="D891" s="32">
        <v>297.94099999999997</v>
      </c>
      <c r="E891" s="38">
        <v>729.47900000000004</v>
      </c>
      <c r="F891" s="32">
        <v>1150</v>
      </c>
      <c r="G891" s="32">
        <v>100</v>
      </c>
      <c r="H891" s="40">
        <v>600</v>
      </c>
      <c r="I891" s="32">
        <v>695</v>
      </c>
      <c r="J891" s="32">
        <v>50</v>
      </c>
      <c r="K891" s="33"/>
      <c r="L891" s="33"/>
      <c r="M891" s="33"/>
      <c r="N891" s="33"/>
      <c r="O891" s="33"/>
      <c r="P891" s="33"/>
      <c r="Q891" s="33"/>
      <c r="R891" s="33"/>
      <c r="S891" s="33"/>
      <c r="T891" s="33"/>
    </row>
    <row r="892" spans="1:20" ht="15.75">
      <c r="A892" s="13">
        <v>69033</v>
      </c>
      <c r="B892" s="41">
        <f t="shared" si="5"/>
        <v>31</v>
      </c>
      <c r="C892" s="32">
        <v>122.58</v>
      </c>
      <c r="D892" s="32">
        <v>297.94099999999997</v>
      </c>
      <c r="E892" s="38">
        <v>729.47900000000004</v>
      </c>
      <c r="F892" s="32">
        <v>1150</v>
      </c>
      <c r="G892" s="32">
        <v>100</v>
      </c>
      <c r="H892" s="40">
        <v>600</v>
      </c>
      <c r="I892" s="32">
        <v>695</v>
      </c>
      <c r="J892" s="32">
        <v>50</v>
      </c>
      <c r="K892" s="33"/>
      <c r="L892" s="33"/>
      <c r="M892" s="33"/>
      <c r="N892" s="33"/>
      <c r="O892" s="33"/>
      <c r="P892" s="33"/>
      <c r="Q892" s="33"/>
      <c r="R892" s="33"/>
      <c r="S892" s="33"/>
      <c r="T892" s="33"/>
    </row>
    <row r="893" spans="1:20" ht="15.75">
      <c r="A893" s="13">
        <v>69064</v>
      </c>
      <c r="B893" s="41">
        <f t="shared" si="5"/>
        <v>31</v>
      </c>
      <c r="C893" s="32">
        <v>122.58</v>
      </c>
      <c r="D893" s="32">
        <v>297.94099999999997</v>
      </c>
      <c r="E893" s="38">
        <v>729.47900000000004</v>
      </c>
      <c r="F893" s="32">
        <v>1150</v>
      </c>
      <c r="G893" s="32">
        <v>100</v>
      </c>
      <c r="H893" s="40">
        <v>600</v>
      </c>
      <c r="I893" s="32">
        <v>695</v>
      </c>
      <c r="J893" s="32">
        <v>50</v>
      </c>
      <c r="K893" s="33"/>
      <c r="L893" s="33"/>
      <c r="M893" s="33"/>
      <c r="N893" s="33"/>
      <c r="O893" s="33"/>
      <c r="P893" s="33"/>
      <c r="Q893" s="33"/>
      <c r="R893" s="33"/>
      <c r="S893" s="33"/>
      <c r="T893" s="33"/>
    </row>
    <row r="894" spans="1:20" ht="15.75">
      <c r="A894" s="13">
        <v>69092</v>
      </c>
      <c r="B894" s="41">
        <f t="shared" si="5"/>
        <v>28</v>
      </c>
      <c r="C894" s="32">
        <v>122.58</v>
      </c>
      <c r="D894" s="32">
        <v>297.94099999999997</v>
      </c>
      <c r="E894" s="38">
        <v>729.47900000000004</v>
      </c>
      <c r="F894" s="32">
        <v>1150</v>
      </c>
      <c r="G894" s="32">
        <v>100</v>
      </c>
      <c r="H894" s="40">
        <v>600</v>
      </c>
      <c r="I894" s="32">
        <v>695</v>
      </c>
      <c r="J894" s="32">
        <v>50</v>
      </c>
      <c r="K894" s="33"/>
      <c r="L894" s="33"/>
      <c r="M894" s="33"/>
      <c r="N894" s="33"/>
      <c r="O894" s="33"/>
      <c r="P894" s="33"/>
      <c r="Q894" s="33"/>
      <c r="R894" s="33"/>
      <c r="S894" s="33"/>
      <c r="T894" s="33"/>
    </row>
    <row r="895" spans="1:20" ht="15.75">
      <c r="A895" s="13">
        <v>69123</v>
      </c>
      <c r="B895" s="41">
        <f t="shared" si="5"/>
        <v>31</v>
      </c>
      <c r="C895" s="32">
        <v>122.58</v>
      </c>
      <c r="D895" s="32">
        <v>297.94099999999997</v>
      </c>
      <c r="E895" s="38">
        <v>729.47900000000004</v>
      </c>
      <c r="F895" s="32">
        <v>1150</v>
      </c>
      <c r="G895" s="32">
        <v>100</v>
      </c>
      <c r="H895" s="40">
        <v>600</v>
      </c>
      <c r="I895" s="32">
        <v>695</v>
      </c>
      <c r="J895" s="32">
        <v>50</v>
      </c>
      <c r="K895" s="33"/>
      <c r="L895" s="33"/>
      <c r="M895" s="33"/>
      <c r="N895" s="33"/>
      <c r="O895" s="33"/>
      <c r="P895" s="33"/>
      <c r="Q895" s="33"/>
      <c r="R895" s="33"/>
      <c r="S895" s="33"/>
      <c r="T895" s="33"/>
    </row>
    <row r="896" spans="1:20" ht="15.75">
      <c r="A896" s="13">
        <v>69153</v>
      </c>
      <c r="B896" s="41">
        <f t="shared" si="5"/>
        <v>30</v>
      </c>
      <c r="C896" s="32">
        <v>141.29300000000001</v>
      </c>
      <c r="D896" s="32">
        <v>267.99299999999999</v>
      </c>
      <c r="E896" s="38">
        <v>829.71400000000006</v>
      </c>
      <c r="F896" s="32">
        <v>1239</v>
      </c>
      <c r="G896" s="32">
        <v>100</v>
      </c>
      <c r="H896" s="40">
        <v>600</v>
      </c>
      <c r="I896" s="32">
        <v>695</v>
      </c>
      <c r="J896" s="32">
        <v>50</v>
      </c>
      <c r="K896" s="33"/>
      <c r="L896" s="33"/>
      <c r="M896" s="33"/>
      <c r="N896" s="33"/>
      <c r="O896" s="33"/>
      <c r="P896" s="33"/>
      <c r="Q896" s="33"/>
      <c r="R896" s="33"/>
      <c r="S896" s="33"/>
      <c r="T896" s="33"/>
    </row>
    <row r="897" spans="1:20" ht="15.75">
      <c r="A897" s="13">
        <v>69184</v>
      </c>
      <c r="B897" s="41">
        <f t="shared" si="5"/>
        <v>31</v>
      </c>
      <c r="C897" s="32">
        <v>194.20500000000001</v>
      </c>
      <c r="D897" s="32">
        <v>267.46600000000001</v>
      </c>
      <c r="E897" s="38">
        <v>812.32899999999995</v>
      </c>
      <c r="F897" s="32">
        <v>1274</v>
      </c>
      <c r="G897" s="32">
        <v>75</v>
      </c>
      <c r="H897" s="40">
        <v>600</v>
      </c>
      <c r="I897" s="32">
        <v>695</v>
      </c>
      <c r="J897" s="32">
        <v>50</v>
      </c>
      <c r="K897" s="33"/>
      <c r="L897" s="33"/>
      <c r="M897" s="33"/>
      <c r="N897" s="33"/>
      <c r="O897" s="33"/>
      <c r="P897" s="33"/>
      <c r="Q897" s="33"/>
      <c r="R897" s="33"/>
      <c r="S897" s="33"/>
      <c r="T897" s="33"/>
    </row>
    <row r="898" spans="1:20" ht="15.75">
      <c r="A898" s="13">
        <v>69214</v>
      </c>
      <c r="B898" s="41">
        <f t="shared" si="5"/>
        <v>30</v>
      </c>
      <c r="C898" s="32">
        <v>194.20500000000001</v>
      </c>
      <c r="D898" s="32">
        <v>267.46600000000001</v>
      </c>
      <c r="E898" s="38">
        <v>812.32899999999995</v>
      </c>
      <c r="F898" s="32">
        <v>1274</v>
      </c>
      <c r="G898" s="32">
        <v>50</v>
      </c>
      <c r="H898" s="40">
        <v>600</v>
      </c>
      <c r="I898" s="32">
        <v>695</v>
      </c>
      <c r="J898" s="32">
        <v>50</v>
      </c>
      <c r="K898" s="33"/>
      <c r="L898" s="33"/>
      <c r="M898" s="33"/>
      <c r="N898" s="33"/>
      <c r="O898" s="33"/>
      <c r="P898" s="33"/>
      <c r="Q898" s="33"/>
      <c r="R898" s="33"/>
      <c r="S898" s="33"/>
      <c r="T898" s="33"/>
    </row>
    <row r="899" spans="1:20" ht="15.75">
      <c r="A899" s="13">
        <v>69245</v>
      </c>
      <c r="B899" s="41">
        <f t="shared" si="5"/>
        <v>31</v>
      </c>
      <c r="C899" s="32">
        <v>194.20500000000001</v>
      </c>
      <c r="D899" s="32">
        <v>267.46600000000001</v>
      </c>
      <c r="E899" s="38">
        <v>812.32899999999995</v>
      </c>
      <c r="F899" s="32">
        <v>1274</v>
      </c>
      <c r="G899" s="32">
        <v>50</v>
      </c>
      <c r="H899" s="40">
        <v>600</v>
      </c>
      <c r="I899" s="32">
        <v>695</v>
      </c>
      <c r="J899" s="32">
        <v>0</v>
      </c>
      <c r="K899" s="33"/>
      <c r="L899" s="33"/>
      <c r="M899" s="33"/>
      <c r="N899" s="33"/>
      <c r="O899" s="33"/>
      <c r="P899" s="33"/>
      <c r="Q899" s="33"/>
      <c r="R899" s="33"/>
      <c r="S899" s="33"/>
      <c r="T899" s="33"/>
    </row>
    <row r="900" spans="1:20" ht="15.75">
      <c r="A900" s="13">
        <v>69276</v>
      </c>
      <c r="B900" s="41">
        <f t="shared" si="5"/>
        <v>31</v>
      </c>
      <c r="C900" s="32">
        <v>194.20500000000001</v>
      </c>
      <c r="D900" s="32">
        <v>267.46600000000001</v>
      </c>
      <c r="E900" s="38">
        <v>812.32899999999995</v>
      </c>
      <c r="F900" s="32">
        <v>1274</v>
      </c>
      <c r="G900" s="32">
        <v>50</v>
      </c>
      <c r="H900" s="40">
        <v>600</v>
      </c>
      <c r="I900" s="32">
        <v>695</v>
      </c>
      <c r="J900" s="32">
        <v>0</v>
      </c>
      <c r="K900" s="33"/>
      <c r="L900" s="33"/>
      <c r="M900" s="33"/>
      <c r="N900" s="33"/>
      <c r="O900" s="33"/>
      <c r="P900" s="33"/>
      <c r="Q900" s="33"/>
      <c r="R900" s="33"/>
      <c r="S900" s="33"/>
      <c r="T900" s="33"/>
    </row>
    <row r="901" spans="1:20" ht="15.75">
      <c r="A901" s="13">
        <v>69306</v>
      </c>
      <c r="B901" s="41">
        <f t="shared" si="5"/>
        <v>30</v>
      </c>
      <c r="C901" s="32">
        <v>194.20500000000001</v>
      </c>
      <c r="D901" s="32">
        <v>267.46600000000001</v>
      </c>
      <c r="E901" s="38">
        <v>812.32899999999995</v>
      </c>
      <c r="F901" s="32">
        <v>1274</v>
      </c>
      <c r="G901" s="32">
        <v>50</v>
      </c>
      <c r="H901" s="40">
        <v>600</v>
      </c>
      <c r="I901" s="32">
        <v>695</v>
      </c>
      <c r="J901" s="32">
        <v>0</v>
      </c>
      <c r="K901" s="33"/>
      <c r="L901" s="33"/>
      <c r="M901" s="33"/>
      <c r="N901" s="33"/>
      <c r="O901" s="33"/>
      <c r="P901" s="33"/>
      <c r="Q901" s="33"/>
      <c r="R901" s="33"/>
      <c r="S901" s="33"/>
      <c r="T901" s="33"/>
    </row>
    <row r="902" spans="1:20" ht="15.75">
      <c r="A902" s="13">
        <v>69337</v>
      </c>
      <c r="B902" s="41">
        <f t="shared" si="5"/>
        <v>31</v>
      </c>
      <c r="C902" s="32">
        <v>131.881</v>
      </c>
      <c r="D902" s="32">
        <v>277.16699999999997</v>
      </c>
      <c r="E902" s="38">
        <v>829.952</v>
      </c>
      <c r="F902" s="32">
        <v>1239</v>
      </c>
      <c r="G902" s="32">
        <v>75</v>
      </c>
      <c r="H902" s="40">
        <v>600</v>
      </c>
      <c r="I902" s="32">
        <v>695</v>
      </c>
      <c r="J902" s="32">
        <v>0</v>
      </c>
      <c r="K902" s="33"/>
      <c r="L902" s="33"/>
      <c r="M902" s="33"/>
      <c r="N902" s="33"/>
      <c r="O902" s="33"/>
      <c r="P902" s="33"/>
      <c r="Q902" s="33"/>
      <c r="R902" s="33"/>
      <c r="S902" s="33"/>
      <c r="T902" s="33"/>
    </row>
    <row r="903" spans="1:20" ht="15.75">
      <c r="A903" s="13">
        <v>69367</v>
      </c>
      <c r="B903" s="41">
        <f t="shared" si="5"/>
        <v>30</v>
      </c>
      <c r="C903" s="32">
        <v>122.58</v>
      </c>
      <c r="D903" s="32">
        <v>297.94099999999997</v>
      </c>
      <c r="E903" s="38">
        <v>729.47900000000004</v>
      </c>
      <c r="F903" s="32">
        <v>1150</v>
      </c>
      <c r="G903" s="32">
        <v>100</v>
      </c>
      <c r="H903" s="40">
        <v>600</v>
      </c>
      <c r="I903" s="32">
        <v>695</v>
      </c>
      <c r="J903" s="32">
        <v>50</v>
      </c>
      <c r="K903" s="33"/>
      <c r="L903" s="33"/>
      <c r="M903" s="33"/>
      <c r="N903" s="33"/>
      <c r="O903" s="33"/>
      <c r="P903" s="33"/>
      <c r="Q903" s="33"/>
      <c r="R903" s="33"/>
      <c r="S903" s="33"/>
      <c r="T903" s="33"/>
    </row>
    <row r="904" spans="1:20" ht="15.75">
      <c r="A904" s="13">
        <v>69398</v>
      </c>
      <c r="B904" s="41">
        <f t="shared" si="5"/>
        <v>31</v>
      </c>
      <c r="C904" s="32">
        <v>122.58</v>
      </c>
      <c r="D904" s="32">
        <v>297.94099999999997</v>
      </c>
      <c r="E904" s="38">
        <v>729.47900000000004</v>
      </c>
      <c r="F904" s="32">
        <v>1150</v>
      </c>
      <c r="G904" s="32">
        <v>100</v>
      </c>
      <c r="H904" s="40">
        <v>600</v>
      </c>
      <c r="I904" s="32">
        <v>695</v>
      </c>
      <c r="J904" s="32">
        <v>50</v>
      </c>
      <c r="K904" s="33"/>
      <c r="L904" s="33"/>
      <c r="M904" s="33"/>
      <c r="N904" s="33"/>
      <c r="O904" s="33"/>
      <c r="P904" s="33"/>
      <c r="Q904" s="33"/>
      <c r="R904" s="33"/>
      <c r="S904" s="33"/>
      <c r="T904" s="33"/>
    </row>
    <row r="905" spans="1:20" ht="15.75">
      <c r="A905" s="13">
        <v>69429</v>
      </c>
      <c r="B905" s="41">
        <f t="shared" si="5"/>
        <v>31</v>
      </c>
      <c r="C905" s="32">
        <v>122.58</v>
      </c>
      <c r="D905" s="32">
        <v>297.94099999999997</v>
      </c>
      <c r="E905" s="38">
        <v>729.47900000000004</v>
      </c>
      <c r="F905" s="32">
        <v>1150</v>
      </c>
      <c r="G905" s="32">
        <v>100</v>
      </c>
      <c r="H905" s="40">
        <v>600</v>
      </c>
      <c r="I905" s="32">
        <v>695</v>
      </c>
      <c r="J905" s="32">
        <v>50</v>
      </c>
      <c r="K905" s="33"/>
      <c r="L905" s="33"/>
      <c r="M905" s="33"/>
      <c r="N905" s="33"/>
      <c r="O905" s="33"/>
      <c r="P905" s="33"/>
      <c r="Q905" s="33"/>
      <c r="R905" s="33"/>
      <c r="S905" s="33"/>
      <c r="T905" s="33"/>
    </row>
    <row r="906" spans="1:20" ht="15.75">
      <c r="A906" s="13">
        <v>69457</v>
      </c>
      <c r="B906" s="41">
        <f t="shared" si="5"/>
        <v>28</v>
      </c>
      <c r="C906" s="32">
        <v>122.58</v>
      </c>
      <c r="D906" s="32">
        <v>297.94099999999997</v>
      </c>
      <c r="E906" s="38">
        <v>729.47900000000004</v>
      </c>
      <c r="F906" s="32">
        <v>1150</v>
      </c>
      <c r="G906" s="32">
        <v>100</v>
      </c>
      <c r="H906" s="40">
        <v>600</v>
      </c>
      <c r="I906" s="32">
        <v>695</v>
      </c>
      <c r="J906" s="32">
        <v>50</v>
      </c>
      <c r="K906" s="33"/>
      <c r="L906" s="33"/>
      <c r="M906" s="33"/>
      <c r="N906" s="33"/>
      <c r="O906" s="33"/>
      <c r="P906" s="33"/>
      <c r="Q906" s="33"/>
      <c r="R906" s="33"/>
      <c r="S906" s="33"/>
      <c r="T906" s="33"/>
    </row>
    <row r="907" spans="1:20" ht="15.75">
      <c r="A907" s="13">
        <v>69488</v>
      </c>
      <c r="B907" s="41">
        <f t="shared" si="5"/>
        <v>31</v>
      </c>
      <c r="C907" s="32">
        <v>122.58</v>
      </c>
      <c r="D907" s="32">
        <v>297.94099999999997</v>
      </c>
      <c r="E907" s="38">
        <v>729.47900000000004</v>
      </c>
      <c r="F907" s="32">
        <v>1150</v>
      </c>
      <c r="G907" s="32">
        <v>100</v>
      </c>
      <c r="H907" s="40">
        <v>600</v>
      </c>
      <c r="I907" s="32">
        <v>695</v>
      </c>
      <c r="J907" s="32">
        <v>50</v>
      </c>
      <c r="K907" s="33"/>
      <c r="L907" s="33"/>
      <c r="M907" s="33"/>
      <c r="N907" s="33"/>
      <c r="O907" s="33"/>
      <c r="P907" s="33"/>
      <c r="Q907" s="33"/>
      <c r="R907" s="33"/>
      <c r="S907" s="33"/>
      <c r="T907" s="33"/>
    </row>
    <row r="908" spans="1:20" ht="15.75">
      <c r="A908" s="13">
        <v>69518</v>
      </c>
      <c r="B908" s="41">
        <f t="shared" si="5"/>
        <v>30</v>
      </c>
      <c r="C908" s="32">
        <v>141.29300000000001</v>
      </c>
      <c r="D908" s="32">
        <v>267.99299999999999</v>
      </c>
      <c r="E908" s="38">
        <v>829.71400000000006</v>
      </c>
      <c r="F908" s="32">
        <v>1239</v>
      </c>
      <c r="G908" s="32">
        <v>100</v>
      </c>
      <c r="H908" s="40">
        <v>600</v>
      </c>
      <c r="I908" s="32">
        <v>695</v>
      </c>
      <c r="J908" s="32">
        <v>50</v>
      </c>
      <c r="K908" s="33"/>
      <c r="L908" s="33"/>
      <c r="M908" s="33"/>
      <c r="N908" s="33"/>
      <c r="O908" s="33"/>
      <c r="P908" s="33"/>
      <c r="Q908" s="33"/>
      <c r="R908" s="33"/>
      <c r="S908" s="33"/>
      <c r="T908" s="33"/>
    </row>
    <row r="909" spans="1:20" ht="15.75">
      <c r="A909" s="13">
        <v>69549</v>
      </c>
      <c r="B909" s="41">
        <f t="shared" si="5"/>
        <v>31</v>
      </c>
      <c r="C909" s="32">
        <v>194.20500000000001</v>
      </c>
      <c r="D909" s="32">
        <v>267.46600000000001</v>
      </c>
      <c r="E909" s="38">
        <v>812.32899999999995</v>
      </c>
      <c r="F909" s="32">
        <v>1274</v>
      </c>
      <c r="G909" s="32">
        <v>75</v>
      </c>
      <c r="H909" s="40">
        <v>600</v>
      </c>
      <c r="I909" s="32">
        <v>695</v>
      </c>
      <c r="J909" s="32">
        <v>50</v>
      </c>
      <c r="K909" s="33"/>
      <c r="L909" s="33"/>
      <c r="M909" s="33"/>
      <c r="N909" s="33"/>
      <c r="O909" s="33"/>
      <c r="P909" s="33"/>
      <c r="Q909" s="33"/>
      <c r="R909" s="33"/>
      <c r="S909" s="33"/>
      <c r="T909" s="33"/>
    </row>
    <row r="910" spans="1:20" ht="15.75">
      <c r="A910" s="13">
        <v>69579</v>
      </c>
      <c r="B910" s="41">
        <f t="shared" si="5"/>
        <v>30</v>
      </c>
      <c r="C910" s="32">
        <v>194.20500000000001</v>
      </c>
      <c r="D910" s="32">
        <v>267.46600000000001</v>
      </c>
      <c r="E910" s="38">
        <v>812.32899999999995</v>
      </c>
      <c r="F910" s="32">
        <v>1274</v>
      </c>
      <c r="G910" s="32">
        <v>50</v>
      </c>
      <c r="H910" s="40">
        <v>600</v>
      </c>
      <c r="I910" s="32">
        <v>695</v>
      </c>
      <c r="J910" s="32">
        <v>50</v>
      </c>
      <c r="K910" s="33"/>
      <c r="L910" s="33"/>
      <c r="M910" s="33"/>
      <c r="N910" s="33"/>
      <c r="O910" s="33"/>
      <c r="P910" s="33"/>
      <c r="Q910" s="33"/>
      <c r="R910" s="33"/>
      <c r="S910" s="33"/>
      <c r="T910" s="33"/>
    </row>
    <row r="911" spans="1:20" ht="15.75">
      <c r="A911" s="13">
        <v>69610</v>
      </c>
      <c r="B911" s="41">
        <f t="shared" si="5"/>
        <v>31</v>
      </c>
      <c r="C911" s="32">
        <v>194.20500000000001</v>
      </c>
      <c r="D911" s="32">
        <v>267.46600000000001</v>
      </c>
      <c r="E911" s="38">
        <v>812.32899999999995</v>
      </c>
      <c r="F911" s="32">
        <v>1274</v>
      </c>
      <c r="G911" s="32">
        <v>50</v>
      </c>
      <c r="H911" s="40">
        <v>600</v>
      </c>
      <c r="I911" s="32">
        <v>695</v>
      </c>
      <c r="J911" s="32">
        <v>0</v>
      </c>
      <c r="K911" s="33"/>
      <c r="L911" s="33"/>
      <c r="M911" s="33"/>
      <c r="N911" s="33"/>
      <c r="O911" s="33"/>
      <c r="P911" s="33"/>
      <c r="Q911" s="33"/>
      <c r="R911" s="33"/>
      <c r="S911" s="33"/>
      <c r="T911" s="33"/>
    </row>
    <row r="912" spans="1:20" ht="15.75">
      <c r="A912" s="13">
        <v>69641</v>
      </c>
      <c r="B912" s="41">
        <f t="shared" si="5"/>
        <v>31</v>
      </c>
      <c r="C912" s="32">
        <v>194.20500000000001</v>
      </c>
      <c r="D912" s="32">
        <v>267.46600000000001</v>
      </c>
      <c r="E912" s="38">
        <v>812.32899999999995</v>
      </c>
      <c r="F912" s="32">
        <v>1274</v>
      </c>
      <c r="G912" s="32">
        <v>50</v>
      </c>
      <c r="H912" s="40">
        <v>600</v>
      </c>
      <c r="I912" s="32">
        <v>695</v>
      </c>
      <c r="J912" s="32">
        <v>0</v>
      </c>
      <c r="K912" s="33"/>
      <c r="L912" s="33"/>
      <c r="M912" s="33"/>
      <c r="N912" s="33"/>
      <c r="O912" s="33"/>
      <c r="P912" s="33"/>
      <c r="Q912" s="33"/>
      <c r="R912" s="33"/>
      <c r="S912" s="33"/>
      <c r="T912" s="33"/>
    </row>
    <row r="913" spans="1:20" ht="15.75">
      <c r="A913" s="13">
        <v>69671</v>
      </c>
      <c r="B913" s="41">
        <f t="shared" si="5"/>
        <v>30</v>
      </c>
      <c r="C913" s="32">
        <v>194.20500000000001</v>
      </c>
      <c r="D913" s="32">
        <v>267.46600000000001</v>
      </c>
      <c r="E913" s="38">
        <v>812.32899999999995</v>
      </c>
      <c r="F913" s="32">
        <v>1274</v>
      </c>
      <c r="G913" s="32">
        <v>50</v>
      </c>
      <c r="H913" s="40">
        <v>600</v>
      </c>
      <c r="I913" s="32">
        <v>695</v>
      </c>
      <c r="J913" s="32">
        <v>0</v>
      </c>
      <c r="K913" s="33"/>
      <c r="L913" s="33"/>
      <c r="M913" s="33"/>
      <c r="N913" s="33"/>
      <c r="O913" s="33"/>
      <c r="P913" s="33"/>
      <c r="Q913" s="33"/>
      <c r="R913" s="33"/>
      <c r="S913" s="33"/>
      <c r="T913" s="33"/>
    </row>
    <row r="914" spans="1:20" ht="15.75">
      <c r="A914" s="13">
        <v>69702</v>
      </c>
      <c r="B914" s="41">
        <f t="shared" si="5"/>
        <v>31</v>
      </c>
      <c r="C914" s="32">
        <v>131.881</v>
      </c>
      <c r="D914" s="32">
        <v>277.16699999999997</v>
      </c>
      <c r="E914" s="38">
        <v>829.952</v>
      </c>
      <c r="F914" s="32">
        <v>1239</v>
      </c>
      <c r="G914" s="32">
        <v>75</v>
      </c>
      <c r="H914" s="40">
        <v>600</v>
      </c>
      <c r="I914" s="32">
        <v>695</v>
      </c>
      <c r="J914" s="32">
        <v>0</v>
      </c>
      <c r="K914" s="33"/>
      <c r="L914" s="33"/>
      <c r="M914" s="33"/>
      <c r="N914" s="33"/>
      <c r="O914" s="33"/>
      <c r="P914" s="33"/>
      <c r="Q914" s="33"/>
      <c r="R914" s="33"/>
      <c r="S914" s="33"/>
      <c r="T914" s="33"/>
    </row>
    <row r="915" spans="1:20" ht="15.75">
      <c r="A915" s="13">
        <v>69732</v>
      </c>
      <c r="B915" s="41">
        <f t="shared" si="5"/>
        <v>30</v>
      </c>
      <c r="C915" s="32">
        <v>122.58</v>
      </c>
      <c r="D915" s="32">
        <v>297.94099999999997</v>
      </c>
      <c r="E915" s="38">
        <v>729.47900000000004</v>
      </c>
      <c r="F915" s="32">
        <v>1150</v>
      </c>
      <c r="G915" s="32">
        <v>100</v>
      </c>
      <c r="H915" s="40">
        <v>600</v>
      </c>
      <c r="I915" s="32">
        <v>695</v>
      </c>
      <c r="J915" s="32">
        <v>50</v>
      </c>
      <c r="K915" s="33"/>
      <c r="L915" s="33"/>
      <c r="M915" s="33"/>
      <c r="N915" s="33"/>
      <c r="O915" s="33"/>
      <c r="P915" s="33"/>
      <c r="Q915" s="33"/>
      <c r="R915" s="33"/>
      <c r="S915" s="33"/>
      <c r="T915" s="33"/>
    </row>
    <row r="916" spans="1:20" ht="15.75">
      <c r="A916" s="13">
        <v>69763</v>
      </c>
      <c r="B916" s="41">
        <f t="shared" si="5"/>
        <v>31</v>
      </c>
      <c r="C916" s="32">
        <v>122.58</v>
      </c>
      <c r="D916" s="32">
        <v>297.94099999999997</v>
      </c>
      <c r="E916" s="38">
        <v>729.47900000000004</v>
      </c>
      <c r="F916" s="32">
        <v>1150</v>
      </c>
      <c r="G916" s="32">
        <v>100</v>
      </c>
      <c r="H916" s="40">
        <v>600</v>
      </c>
      <c r="I916" s="32">
        <v>695</v>
      </c>
      <c r="J916" s="32">
        <v>50</v>
      </c>
      <c r="K916" s="33"/>
      <c r="L916" s="33"/>
      <c r="M916" s="33"/>
      <c r="N916" s="33"/>
      <c r="O916" s="33"/>
      <c r="P916" s="33"/>
      <c r="Q916" s="33"/>
      <c r="R916" s="33"/>
      <c r="S916" s="33"/>
      <c r="T916" s="33"/>
    </row>
    <row r="917" spans="1:20" ht="15.75">
      <c r="A917" s="13">
        <v>69794</v>
      </c>
      <c r="B917" s="41">
        <f t="shared" si="5"/>
        <v>31</v>
      </c>
      <c r="C917" s="32">
        <v>122.58</v>
      </c>
      <c r="D917" s="32">
        <v>297.94099999999997</v>
      </c>
      <c r="E917" s="38">
        <v>729.47900000000004</v>
      </c>
      <c r="F917" s="32">
        <v>1150</v>
      </c>
      <c r="G917" s="32">
        <v>100</v>
      </c>
      <c r="H917" s="40">
        <v>600</v>
      </c>
      <c r="I917" s="32">
        <v>695</v>
      </c>
      <c r="J917" s="32">
        <v>50</v>
      </c>
      <c r="K917" s="33"/>
      <c r="L917" s="33"/>
      <c r="M917" s="33"/>
      <c r="N917" s="33"/>
      <c r="O917" s="33"/>
      <c r="P917" s="33"/>
      <c r="Q917" s="33"/>
      <c r="R917" s="33"/>
      <c r="S917" s="33"/>
      <c r="T917" s="33"/>
    </row>
    <row r="918" spans="1:20" ht="15.75">
      <c r="A918" s="13">
        <v>69822</v>
      </c>
      <c r="B918" s="41">
        <f t="shared" si="5"/>
        <v>28</v>
      </c>
      <c r="C918" s="32">
        <v>122.58</v>
      </c>
      <c r="D918" s="32">
        <v>297.94099999999997</v>
      </c>
      <c r="E918" s="38">
        <v>729.47900000000004</v>
      </c>
      <c r="F918" s="32">
        <v>1150</v>
      </c>
      <c r="G918" s="32">
        <v>100</v>
      </c>
      <c r="H918" s="40">
        <v>600</v>
      </c>
      <c r="I918" s="32">
        <v>695</v>
      </c>
      <c r="J918" s="32">
        <v>50</v>
      </c>
      <c r="K918" s="33"/>
      <c r="L918" s="33"/>
      <c r="M918" s="33"/>
      <c r="N918" s="33"/>
      <c r="O918" s="33"/>
      <c r="P918" s="33"/>
      <c r="Q918" s="33"/>
      <c r="R918" s="33"/>
      <c r="S918" s="33"/>
      <c r="T918" s="33"/>
    </row>
    <row r="919" spans="1:20" ht="15.75">
      <c r="A919" s="13">
        <v>69853</v>
      </c>
      <c r="B919" s="41">
        <f t="shared" si="5"/>
        <v>31</v>
      </c>
      <c r="C919" s="32">
        <v>122.58</v>
      </c>
      <c r="D919" s="32">
        <v>297.94099999999997</v>
      </c>
      <c r="E919" s="38">
        <v>729.47900000000004</v>
      </c>
      <c r="F919" s="32">
        <v>1150</v>
      </c>
      <c r="G919" s="32">
        <v>100</v>
      </c>
      <c r="H919" s="40">
        <v>600</v>
      </c>
      <c r="I919" s="32">
        <v>695</v>
      </c>
      <c r="J919" s="32">
        <v>50</v>
      </c>
      <c r="K919" s="33"/>
      <c r="L919" s="33"/>
      <c r="M919" s="33"/>
      <c r="N919" s="33"/>
      <c r="O919" s="33"/>
      <c r="P919" s="33"/>
      <c r="Q919" s="33"/>
      <c r="R919" s="33"/>
      <c r="S919" s="33"/>
      <c r="T919" s="33"/>
    </row>
    <row r="920" spans="1:20" ht="15.75">
      <c r="A920" s="13">
        <v>69883</v>
      </c>
      <c r="B920" s="41">
        <f t="shared" si="5"/>
        <v>30</v>
      </c>
      <c r="C920" s="32">
        <v>141.29300000000001</v>
      </c>
      <c r="D920" s="32">
        <v>267.99299999999999</v>
      </c>
      <c r="E920" s="38">
        <v>829.71400000000006</v>
      </c>
      <c r="F920" s="32">
        <v>1239</v>
      </c>
      <c r="G920" s="32">
        <v>100</v>
      </c>
      <c r="H920" s="40">
        <v>600</v>
      </c>
      <c r="I920" s="32">
        <v>695</v>
      </c>
      <c r="J920" s="32">
        <v>50</v>
      </c>
      <c r="K920" s="33"/>
      <c r="L920" s="33"/>
      <c r="M920" s="33"/>
      <c r="N920" s="33"/>
      <c r="O920" s="33"/>
      <c r="P920" s="33"/>
      <c r="Q920" s="33"/>
      <c r="R920" s="33"/>
      <c r="S920" s="33"/>
      <c r="T920" s="33"/>
    </row>
    <row r="921" spans="1:20" ht="15.75">
      <c r="A921" s="13">
        <v>69914</v>
      </c>
      <c r="B921" s="41">
        <f t="shared" si="5"/>
        <v>31</v>
      </c>
      <c r="C921" s="32">
        <v>194.20500000000001</v>
      </c>
      <c r="D921" s="32">
        <v>267.46600000000001</v>
      </c>
      <c r="E921" s="38">
        <v>812.32899999999995</v>
      </c>
      <c r="F921" s="32">
        <v>1274</v>
      </c>
      <c r="G921" s="32">
        <v>75</v>
      </c>
      <c r="H921" s="40">
        <v>600</v>
      </c>
      <c r="I921" s="32">
        <v>695</v>
      </c>
      <c r="J921" s="32">
        <v>50</v>
      </c>
      <c r="K921" s="33"/>
      <c r="L921" s="33"/>
      <c r="M921" s="33"/>
      <c r="N921" s="33"/>
      <c r="O921" s="33"/>
      <c r="P921" s="33"/>
      <c r="Q921" s="33"/>
      <c r="R921" s="33"/>
      <c r="S921" s="33"/>
      <c r="T921" s="33"/>
    </row>
    <row r="922" spans="1:20" ht="15.75">
      <c r="A922" s="13">
        <v>69944</v>
      </c>
      <c r="B922" s="41">
        <f t="shared" si="5"/>
        <v>30</v>
      </c>
      <c r="C922" s="32">
        <v>194.20500000000001</v>
      </c>
      <c r="D922" s="32">
        <v>267.46600000000001</v>
      </c>
      <c r="E922" s="38">
        <v>812.32899999999995</v>
      </c>
      <c r="F922" s="32">
        <v>1274</v>
      </c>
      <c r="G922" s="32">
        <v>50</v>
      </c>
      <c r="H922" s="40">
        <v>600</v>
      </c>
      <c r="I922" s="32">
        <v>695</v>
      </c>
      <c r="J922" s="32">
        <v>50</v>
      </c>
      <c r="K922" s="33"/>
      <c r="L922" s="33"/>
      <c r="M922" s="33"/>
      <c r="N922" s="33"/>
      <c r="O922" s="33"/>
      <c r="P922" s="33"/>
      <c r="Q922" s="33"/>
      <c r="R922" s="33"/>
      <c r="S922" s="33"/>
      <c r="T922" s="33"/>
    </row>
    <row r="923" spans="1:20" ht="15.75">
      <c r="A923" s="13">
        <v>69975</v>
      </c>
      <c r="B923" s="41">
        <f t="shared" si="5"/>
        <v>31</v>
      </c>
      <c r="C923" s="32">
        <v>194.20500000000001</v>
      </c>
      <c r="D923" s="32">
        <v>267.46600000000001</v>
      </c>
      <c r="E923" s="38">
        <v>812.32899999999995</v>
      </c>
      <c r="F923" s="32">
        <v>1274</v>
      </c>
      <c r="G923" s="32">
        <v>50</v>
      </c>
      <c r="H923" s="40">
        <v>600</v>
      </c>
      <c r="I923" s="32">
        <v>695</v>
      </c>
      <c r="J923" s="32">
        <v>0</v>
      </c>
      <c r="K923" s="33"/>
      <c r="L923" s="33"/>
      <c r="M923" s="33"/>
      <c r="N923" s="33"/>
      <c r="O923" s="33"/>
      <c r="P923" s="33"/>
      <c r="Q923" s="33"/>
      <c r="R923" s="33"/>
      <c r="S923" s="33"/>
      <c r="T923" s="33"/>
    </row>
    <row r="924" spans="1:20" ht="15.75">
      <c r="A924" s="13">
        <v>70006</v>
      </c>
      <c r="B924" s="41">
        <f t="shared" si="5"/>
        <v>31</v>
      </c>
      <c r="C924" s="32">
        <v>194.20500000000001</v>
      </c>
      <c r="D924" s="32">
        <v>267.46600000000001</v>
      </c>
      <c r="E924" s="38">
        <v>812.32899999999995</v>
      </c>
      <c r="F924" s="32">
        <v>1274</v>
      </c>
      <c r="G924" s="32">
        <v>50</v>
      </c>
      <c r="H924" s="40">
        <v>600</v>
      </c>
      <c r="I924" s="32">
        <v>695</v>
      </c>
      <c r="J924" s="32">
        <v>0</v>
      </c>
      <c r="K924" s="33"/>
      <c r="L924" s="33"/>
      <c r="M924" s="33"/>
      <c r="N924" s="33"/>
      <c r="O924" s="33"/>
      <c r="P924" s="33"/>
      <c r="Q924" s="33"/>
      <c r="R924" s="33"/>
      <c r="S924" s="33"/>
      <c r="T924" s="33"/>
    </row>
    <row r="925" spans="1:20" ht="15.75">
      <c r="A925" s="13">
        <v>70036</v>
      </c>
      <c r="B925" s="41">
        <f t="shared" si="5"/>
        <v>30</v>
      </c>
      <c r="C925" s="32">
        <v>194.20500000000001</v>
      </c>
      <c r="D925" s="32">
        <v>267.46600000000001</v>
      </c>
      <c r="E925" s="38">
        <v>812.32899999999995</v>
      </c>
      <c r="F925" s="32">
        <v>1274</v>
      </c>
      <c r="G925" s="32">
        <v>50</v>
      </c>
      <c r="H925" s="40">
        <v>600</v>
      </c>
      <c r="I925" s="32">
        <v>695</v>
      </c>
      <c r="J925" s="32">
        <v>0</v>
      </c>
      <c r="K925" s="33"/>
      <c r="L925" s="33"/>
      <c r="M925" s="33"/>
      <c r="N925" s="33"/>
      <c r="O925" s="33"/>
      <c r="P925" s="33"/>
      <c r="Q925" s="33"/>
      <c r="R925" s="33"/>
      <c r="S925" s="33"/>
      <c r="T925" s="33"/>
    </row>
    <row r="926" spans="1:20" ht="15.75">
      <c r="A926" s="13">
        <v>70067</v>
      </c>
      <c r="B926" s="41">
        <f t="shared" si="5"/>
        <v>31</v>
      </c>
      <c r="C926" s="32">
        <v>131.881</v>
      </c>
      <c r="D926" s="32">
        <v>277.16699999999997</v>
      </c>
      <c r="E926" s="38">
        <v>829.952</v>
      </c>
      <c r="F926" s="32">
        <v>1239</v>
      </c>
      <c r="G926" s="32">
        <v>75</v>
      </c>
      <c r="H926" s="40">
        <v>600</v>
      </c>
      <c r="I926" s="32">
        <v>695</v>
      </c>
      <c r="J926" s="32">
        <v>0</v>
      </c>
      <c r="K926" s="33"/>
      <c r="L926" s="33"/>
      <c r="M926" s="33"/>
      <c r="N926" s="33"/>
      <c r="O926" s="33"/>
      <c r="P926" s="33"/>
      <c r="Q926" s="33"/>
      <c r="R926" s="33"/>
      <c r="S926" s="33"/>
      <c r="T926" s="33"/>
    </row>
    <row r="927" spans="1:20" ht="15.75">
      <c r="A927" s="13">
        <v>70097</v>
      </c>
      <c r="B927" s="41">
        <f t="shared" si="5"/>
        <v>30</v>
      </c>
      <c r="C927" s="32">
        <v>122.58</v>
      </c>
      <c r="D927" s="32">
        <v>297.94099999999997</v>
      </c>
      <c r="E927" s="38">
        <v>729.47900000000004</v>
      </c>
      <c r="F927" s="32">
        <v>1150</v>
      </c>
      <c r="G927" s="32">
        <v>100</v>
      </c>
      <c r="H927" s="40">
        <v>600</v>
      </c>
      <c r="I927" s="32">
        <v>695</v>
      </c>
      <c r="J927" s="32">
        <v>50</v>
      </c>
      <c r="K927" s="33"/>
      <c r="L927" s="33"/>
      <c r="M927" s="33"/>
      <c r="N927" s="33"/>
      <c r="O927" s="33"/>
      <c r="P927" s="33"/>
      <c r="Q927" s="33"/>
      <c r="R927" s="33"/>
      <c r="S927" s="33"/>
      <c r="T927" s="33"/>
    </row>
    <row r="928" spans="1:20" ht="15.75">
      <c r="A928" s="13">
        <v>70128</v>
      </c>
      <c r="B928" s="41">
        <f t="shared" si="5"/>
        <v>31</v>
      </c>
      <c r="C928" s="32">
        <v>122.58</v>
      </c>
      <c r="D928" s="32">
        <v>297.94099999999997</v>
      </c>
      <c r="E928" s="38">
        <v>729.47900000000004</v>
      </c>
      <c r="F928" s="32">
        <v>1150</v>
      </c>
      <c r="G928" s="32">
        <v>100</v>
      </c>
      <c r="H928" s="40">
        <v>600</v>
      </c>
      <c r="I928" s="32">
        <v>695</v>
      </c>
      <c r="J928" s="32">
        <v>50</v>
      </c>
      <c r="K928" s="33"/>
      <c r="L928" s="33"/>
      <c r="M928" s="33"/>
      <c r="N928" s="33"/>
      <c r="O928" s="33"/>
      <c r="P928" s="33"/>
      <c r="Q928" s="33"/>
      <c r="R928" s="33"/>
      <c r="S928" s="33"/>
      <c r="T928" s="33"/>
    </row>
    <row r="929" spans="1:20" ht="15.75">
      <c r="A929" s="13">
        <v>70159</v>
      </c>
      <c r="B929" s="41">
        <f t="shared" si="5"/>
        <v>31</v>
      </c>
      <c r="C929" s="32">
        <v>122.58</v>
      </c>
      <c r="D929" s="32">
        <v>297.94099999999997</v>
      </c>
      <c r="E929" s="38">
        <v>729.47900000000004</v>
      </c>
      <c r="F929" s="32">
        <v>1150</v>
      </c>
      <c r="G929" s="32">
        <v>100</v>
      </c>
      <c r="H929" s="40">
        <v>600</v>
      </c>
      <c r="I929" s="32">
        <v>695</v>
      </c>
      <c r="J929" s="32">
        <v>50</v>
      </c>
      <c r="K929" s="33"/>
      <c r="L929" s="33"/>
      <c r="M929" s="33"/>
      <c r="N929" s="33"/>
      <c r="O929" s="33"/>
      <c r="P929" s="33"/>
      <c r="Q929" s="33"/>
      <c r="R929" s="33"/>
      <c r="S929" s="33"/>
      <c r="T929" s="33"/>
    </row>
    <row r="930" spans="1:20" ht="15.75">
      <c r="A930" s="13">
        <v>70188</v>
      </c>
      <c r="B930" s="41">
        <f t="shared" si="5"/>
        <v>29</v>
      </c>
      <c r="C930" s="32">
        <v>122.58</v>
      </c>
      <c r="D930" s="32">
        <v>297.94099999999997</v>
      </c>
      <c r="E930" s="38">
        <v>729.47900000000004</v>
      </c>
      <c r="F930" s="32">
        <v>1150</v>
      </c>
      <c r="G930" s="32">
        <v>100</v>
      </c>
      <c r="H930" s="40">
        <v>600</v>
      </c>
      <c r="I930" s="32">
        <v>695</v>
      </c>
      <c r="J930" s="32">
        <v>50</v>
      </c>
      <c r="K930" s="33"/>
      <c r="L930" s="33"/>
      <c r="M930" s="33"/>
      <c r="N930" s="33"/>
      <c r="O930" s="33"/>
      <c r="P930" s="33"/>
      <c r="Q930" s="33"/>
      <c r="R930" s="33"/>
      <c r="S930" s="33"/>
      <c r="T930" s="33"/>
    </row>
    <row r="931" spans="1:20" ht="15.75">
      <c r="A931" s="13">
        <v>70219</v>
      </c>
      <c r="B931" s="41">
        <f t="shared" si="5"/>
        <v>31</v>
      </c>
      <c r="C931" s="32">
        <v>122.58</v>
      </c>
      <c r="D931" s="32">
        <v>297.94099999999997</v>
      </c>
      <c r="E931" s="38">
        <v>729.47900000000004</v>
      </c>
      <c r="F931" s="32">
        <v>1150</v>
      </c>
      <c r="G931" s="32">
        <v>100</v>
      </c>
      <c r="H931" s="40">
        <v>600</v>
      </c>
      <c r="I931" s="32">
        <v>695</v>
      </c>
      <c r="J931" s="32">
        <v>50</v>
      </c>
      <c r="K931" s="33"/>
      <c r="L931" s="33"/>
      <c r="M931" s="33"/>
      <c r="N931" s="33"/>
      <c r="O931" s="33"/>
      <c r="P931" s="33"/>
      <c r="Q931" s="33"/>
      <c r="R931" s="33"/>
      <c r="S931" s="33"/>
      <c r="T931" s="33"/>
    </row>
    <row r="932" spans="1:20" ht="15.75">
      <c r="A932" s="13">
        <v>70249</v>
      </c>
      <c r="B932" s="41">
        <f t="shared" si="5"/>
        <v>30</v>
      </c>
      <c r="C932" s="32">
        <v>141.29300000000001</v>
      </c>
      <c r="D932" s="32">
        <v>267.99299999999999</v>
      </c>
      <c r="E932" s="38">
        <v>829.71400000000006</v>
      </c>
      <c r="F932" s="32">
        <v>1239</v>
      </c>
      <c r="G932" s="32">
        <v>100</v>
      </c>
      <c r="H932" s="40">
        <v>600</v>
      </c>
      <c r="I932" s="32">
        <v>695</v>
      </c>
      <c r="J932" s="32">
        <v>50</v>
      </c>
      <c r="K932" s="33"/>
      <c r="L932" s="33"/>
      <c r="M932" s="33"/>
      <c r="N932" s="33"/>
      <c r="O932" s="33"/>
      <c r="P932" s="33"/>
      <c r="Q932" s="33"/>
      <c r="R932" s="33"/>
      <c r="S932" s="33"/>
      <c r="T932" s="33"/>
    </row>
    <row r="933" spans="1:20" ht="15.75">
      <c r="A933" s="13">
        <v>70280</v>
      </c>
      <c r="B933" s="41">
        <f t="shared" si="5"/>
        <v>31</v>
      </c>
      <c r="C933" s="32">
        <v>194.20500000000001</v>
      </c>
      <c r="D933" s="32">
        <v>267.46600000000001</v>
      </c>
      <c r="E933" s="38">
        <v>812.32899999999995</v>
      </c>
      <c r="F933" s="32">
        <v>1274</v>
      </c>
      <c r="G933" s="32">
        <v>75</v>
      </c>
      <c r="H933" s="40">
        <v>600</v>
      </c>
      <c r="I933" s="32">
        <v>695</v>
      </c>
      <c r="J933" s="32">
        <v>50</v>
      </c>
      <c r="K933" s="33"/>
      <c r="L933" s="33"/>
      <c r="M933" s="33"/>
      <c r="N933" s="33"/>
      <c r="O933" s="33"/>
      <c r="P933" s="33"/>
      <c r="Q933" s="33"/>
      <c r="R933" s="33"/>
      <c r="S933" s="33"/>
      <c r="T933" s="33"/>
    </row>
    <row r="934" spans="1:20" ht="15.75">
      <c r="A934" s="13">
        <v>70310</v>
      </c>
      <c r="B934" s="41">
        <f t="shared" si="5"/>
        <v>30</v>
      </c>
      <c r="C934" s="32">
        <v>194.20500000000001</v>
      </c>
      <c r="D934" s="32">
        <v>267.46600000000001</v>
      </c>
      <c r="E934" s="38">
        <v>812.32899999999995</v>
      </c>
      <c r="F934" s="32">
        <v>1274</v>
      </c>
      <c r="G934" s="32">
        <v>50</v>
      </c>
      <c r="H934" s="40">
        <v>600</v>
      </c>
      <c r="I934" s="32">
        <v>695</v>
      </c>
      <c r="J934" s="32">
        <v>50</v>
      </c>
      <c r="K934" s="33"/>
      <c r="L934" s="33"/>
      <c r="M934" s="33"/>
      <c r="N934" s="33"/>
      <c r="O934" s="33"/>
      <c r="P934" s="33"/>
      <c r="Q934" s="33"/>
      <c r="R934" s="33"/>
      <c r="S934" s="33"/>
      <c r="T934" s="33"/>
    </row>
    <row r="935" spans="1:20" ht="15.75">
      <c r="A935" s="13">
        <v>70341</v>
      </c>
      <c r="B935" s="41">
        <f t="shared" si="5"/>
        <v>31</v>
      </c>
      <c r="C935" s="32">
        <v>194.20500000000001</v>
      </c>
      <c r="D935" s="32">
        <v>267.46600000000001</v>
      </c>
      <c r="E935" s="38">
        <v>812.32899999999995</v>
      </c>
      <c r="F935" s="32">
        <v>1274</v>
      </c>
      <c r="G935" s="32">
        <v>50</v>
      </c>
      <c r="H935" s="40">
        <v>600</v>
      </c>
      <c r="I935" s="32">
        <v>695</v>
      </c>
      <c r="J935" s="32">
        <v>0</v>
      </c>
      <c r="K935" s="33"/>
      <c r="L935" s="33"/>
      <c r="M935" s="33"/>
      <c r="N935" s="33"/>
      <c r="O935" s="33"/>
      <c r="P935" s="33"/>
      <c r="Q935" s="33"/>
      <c r="R935" s="33"/>
      <c r="S935" s="33"/>
      <c r="T935" s="33"/>
    </row>
    <row r="936" spans="1:20" ht="15.75">
      <c r="A936" s="13">
        <v>70372</v>
      </c>
      <c r="B936" s="41">
        <f t="shared" si="5"/>
        <v>31</v>
      </c>
      <c r="C936" s="32">
        <v>194.20500000000001</v>
      </c>
      <c r="D936" s="32">
        <v>267.46600000000001</v>
      </c>
      <c r="E936" s="38">
        <v>812.32899999999995</v>
      </c>
      <c r="F936" s="32">
        <v>1274</v>
      </c>
      <c r="G936" s="32">
        <v>50</v>
      </c>
      <c r="H936" s="40">
        <v>600</v>
      </c>
      <c r="I936" s="32">
        <v>695</v>
      </c>
      <c r="J936" s="32">
        <v>0</v>
      </c>
      <c r="K936" s="33"/>
      <c r="L936" s="33"/>
      <c r="M936" s="33"/>
      <c r="N936" s="33"/>
      <c r="O936" s="33"/>
      <c r="P936" s="33"/>
      <c r="Q936" s="33"/>
      <c r="R936" s="33"/>
      <c r="S936" s="33"/>
      <c r="T936" s="33"/>
    </row>
    <row r="937" spans="1:20" ht="15.75">
      <c r="A937" s="13">
        <v>70402</v>
      </c>
      <c r="B937" s="41">
        <f t="shared" si="5"/>
        <v>30</v>
      </c>
      <c r="C937" s="32">
        <v>194.20500000000001</v>
      </c>
      <c r="D937" s="32">
        <v>267.46600000000001</v>
      </c>
      <c r="E937" s="38">
        <v>812.32899999999995</v>
      </c>
      <c r="F937" s="32">
        <v>1274</v>
      </c>
      <c r="G937" s="32">
        <v>50</v>
      </c>
      <c r="H937" s="40">
        <v>600</v>
      </c>
      <c r="I937" s="32">
        <v>695</v>
      </c>
      <c r="J937" s="32">
        <v>0</v>
      </c>
      <c r="K937" s="33"/>
      <c r="L937" s="33"/>
      <c r="M937" s="33"/>
      <c r="N937" s="33"/>
      <c r="O937" s="33"/>
      <c r="P937" s="33"/>
      <c r="Q937" s="33"/>
      <c r="R937" s="33"/>
      <c r="S937" s="33"/>
      <c r="T937" s="33"/>
    </row>
    <row r="938" spans="1:20" ht="15.75">
      <c r="A938" s="13">
        <v>70433</v>
      </c>
      <c r="B938" s="41">
        <f t="shared" si="5"/>
        <v>31</v>
      </c>
      <c r="C938" s="32">
        <v>131.881</v>
      </c>
      <c r="D938" s="32">
        <v>277.16699999999997</v>
      </c>
      <c r="E938" s="38">
        <v>829.952</v>
      </c>
      <c r="F938" s="32">
        <v>1239</v>
      </c>
      <c r="G938" s="32">
        <v>75</v>
      </c>
      <c r="H938" s="40">
        <v>600</v>
      </c>
      <c r="I938" s="32">
        <v>695</v>
      </c>
      <c r="J938" s="32">
        <v>0</v>
      </c>
      <c r="K938" s="33"/>
      <c r="L938" s="33"/>
      <c r="M938" s="33"/>
      <c r="N938" s="33"/>
      <c r="O938" s="33"/>
      <c r="P938" s="33"/>
      <c r="Q938" s="33"/>
      <c r="R938" s="33"/>
      <c r="S938" s="33"/>
      <c r="T938" s="33"/>
    </row>
    <row r="939" spans="1:20" ht="15.75">
      <c r="A939" s="13">
        <v>70463</v>
      </c>
      <c r="B939" s="41">
        <f t="shared" si="5"/>
        <v>30</v>
      </c>
      <c r="C939" s="32">
        <v>122.58</v>
      </c>
      <c r="D939" s="32">
        <v>297.94099999999997</v>
      </c>
      <c r="E939" s="38">
        <v>729.47900000000004</v>
      </c>
      <c r="F939" s="32">
        <v>1150</v>
      </c>
      <c r="G939" s="32">
        <v>100</v>
      </c>
      <c r="H939" s="40">
        <v>600</v>
      </c>
      <c r="I939" s="32">
        <v>695</v>
      </c>
      <c r="J939" s="32">
        <v>50</v>
      </c>
      <c r="K939" s="33"/>
      <c r="L939" s="33"/>
      <c r="M939" s="33"/>
      <c r="N939" s="33"/>
      <c r="O939" s="33"/>
      <c r="P939" s="33"/>
      <c r="Q939" s="33"/>
      <c r="R939" s="33"/>
      <c r="S939" s="33"/>
      <c r="T939" s="33"/>
    </row>
    <row r="940" spans="1:20" ht="15.75">
      <c r="A940" s="13">
        <v>70494</v>
      </c>
      <c r="B940" s="41">
        <f t="shared" si="5"/>
        <v>31</v>
      </c>
      <c r="C940" s="32">
        <v>122.58</v>
      </c>
      <c r="D940" s="32">
        <v>297.94099999999997</v>
      </c>
      <c r="E940" s="38">
        <v>729.47900000000004</v>
      </c>
      <c r="F940" s="32">
        <v>1150</v>
      </c>
      <c r="G940" s="32">
        <v>100</v>
      </c>
      <c r="H940" s="40">
        <v>600</v>
      </c>
      <c r="I940" s="32">
        <v>695</v>
      </c>
      <c r="J940" s="32">
        <v>50</v>
      </c>
      <c r="K940" s="33"/>
      <c r="L940" s="33"/>
      <c r="M940" s="33"/>
      <c r="N940" s="33"/>
      <c r="O940" s="33"/>
      <c r="P940" s="33"/>
      <c r="Q940" s="33"/>
      <c r="R940" s="33"/>
      <c r="S940" s="33"/>
      <c r="T940" s="33"/>
    </row>
    <row r="941" spans="1:20" ht="15.75">
      <c r="A941" s="13">
        <v>70525</v>
      </c>
      <c r="B941" s="41">
        <f t="shared" si="5"/>
        <v>31</v>
      </c>
      <c r="C941" s="32">
        <v>122.58</v>
      </c>
      <c r="D941" s="32">
        <v>297.94099999999997</v>
      </c>
      <c r="E941" s="38">
        <v>729.47900000000004</v>
      </c>
      <c r="F941" s="32">
        <v>1150</v>
      </c>
      <c r="G941" s="32">
        <v>100</v>
      </c>
      <c r="H941" s="40">
        <v>600</v>
      </c>
      <c r="I941" s="32">
        <v>695</v>
      </c>
      <c r="J941" s="32">
        <v>50</v>
      </c>
      <c r="K941" s="33"/>
      <c r="L941" s="33"/>
      <c r="M941" s="33"/>
      <c r="N941" s="33"/>
      <c r="O941" s="33"/>
      <c r="P941" s="33"/>
      <c r="Q941" s="33"/>
      <c r="R941" s="33"/>
      <c r="S941" s="33"/>
      <c r="T941" s="33"/>
    </row>
    <row r="942" spans="1:20" ht="15.75">
      <c r="A942" s="13">
        <v>70553</v>
      </c>
      <c r="B942" s="41">
        <f t="shared" si="5"/>
        <v>28</v>
      </c>
      <c r="C942" s="32">
        <v>122.58</v>
      </c>
      <c r="D942" s="32">
        <v>297.94099999999997</v>
      </c>
      <c r="E942" s="38">
        <v>729.47900000000004</v>
      </c>
      <c r="F942" s="32">
        <v>1150</v>
      </c>
      <c r="G942" s="32">
        <v>100</v>
      </c>
      <c r="H942" s="40">
        <v>600</v>
      </c>
      <c r="I942" s="32">
        <v>695</v>
      </c>
      <c r="J942" s="32">
        <v>50</v>
      </c>
      <c r="K942" s="33"/>
      <c r="L942" s="33"/>
      <c r="M942" s="33"/>
      <c r="N942" s="33"/>
      <c r="O942" s="33"/>
      <c r="P942" s="33"/>
      <c r="Q942" s="33"/>
      <c r="R942" s="33"/>
      <c r="S942" s="33"/>
      <c r="T942" s="33"/>
    </row>
    <row r="943" spans="1:20" ht="15.75">
      <c r="A943" s="13">
        <v>70584</v>
      </c>
      <c r="B943" s="41">
        <f t="shared" si="5"/>
        <v>31</v>
      </c>
      <c r="C943" s="32">
        <v>122.58</v>
      </c>
      <c r="D943" s="32">
        <v>297.94099999999997</v>
      </c>
      <c r="E943" s="38">
        <v>729.47900000000004</v>
      </c>
      <c r="F943" s="32">
        <v>1150</v>
      </c>
      <c r="G943" s="32">
        <v>100</v>
      </c>
      <c r="H943" s="40">
        <v>600</v>
      </c>
      <c r="I943" s="32">
        <v>695</v>
      </c>
      <c r="J943" s="32">
        <v>50</v>
      </c>
      <c r="K943" s="33"/>
      <c r="L943" s="33"/>
      <c r="M943" s="33"/>
      <c r="N943" s="33"/>
      <c r="O943" s="33"/>
      <c r="P943" s="33"/>
      <c r="Q943" s="33"/>
      <c r="R943" s="33"/>
      <c r="S943" s="33"/>
      <c r="T943" s="33"/>
    </row>
    <row r="944" spans="1:20" ht="15.75">
      <c r="A944" s="13">
        <v>70614</v>
      </c>
      <c r="B944" s="41">
        <f t="shared" si="5"/>
        <v>30</v>
      </c>
      <c r="C944" s="32">
        <v>141.29300000000001</v>
      </c>
      <c r="D944" s="32">
        <v>267.99299999999999</v>
      </c>
      <c r="E944" s="38">
        <v>829.71400000000006</v>
      </c>
      <c r="F944" s="32">
        <v>1239</v>
      </c>
      <c r="G944" s="32">
        <v>100</v>
      </c>
      <c r="H944" s="40">
        <v>600</v>
      </c>
      <c r="I944" s="32">
        <v>695</v>
      </c>
      <c r="J944" s="32">
        <v>50</v>
      </c>
      <c r="K944" s="33"/>
      <c r="L944" s="33"/>
      <c r="M944" s="33"/>
      <c r="N944" s="33"/>
      <c r="O944" s="33"/>
      <c r="P944" s="33"/>
      <c r="Q944" s="33"/>
      <c r="R944" s="33"/>
      <c r="S944" s="33"/>
      <c r="T944" s="33"/>
    </row>
    <row r="945" spans="1:20" ht="15.75">
      <c r="A945" s="13">
        <v>70645</v>
      </c>
      <c r="B945" s="41">
        <f t="shared" si="5"/>
        <v>31</v>
      </c>
      <c r="C945" s="32">
        <v>194.20500000000001</v>
      </c>
      <c r="D945" s="32">
        <v>267.46600000000001</v>
      </c>
      <c r="E945" s="38">
        <v>812.32899999999995</v>
      </c>
      <c r="F945" s="32">
        <v>1274</v>
      </c>
      <c r="G945" s="32">
        <v>75</v>
      </c>
      <c r="H945" s="40">
        <v>600</v>
      </c>
      <c r="I945" s="32">
        <v>695</v>
      </c>
      <c r="J945" s="32">
        <v>50</v>
      </c>
      <c r="K945" s="33"/>
      <c r="L945" s="33"/>
      <c r="M945" s="33"/>
      <c r="N945" s="33"/>
      <c r="O945" s="33"/>
      <c r="P945" s="33"/>
      <c r="Q945" s="33"/>
      <c r="R945" s="33"/>
      <c r="S945" s="33"/>
      <c r="T945" s="33"/>
    </row>
    <row r="946" spans="1:20" ht="15.75">
      <c r="A946" s="13">
        <v>70675</v>
      </c>
      <c r="B946" s="41">
        <f t="shared" si="5"/>
        <v>30</v>
      </c>
      <c r="C946" s="32">
        <v>194.20500000000001</v>
      </c>
      <c r="D946" s="32">
        <v>267.46600000000001</v>
      </c>
      <c r="E946" s="38">
        <v>812.32899999999995</v>
      </c>
      <c r="F946" s="32">
        <v>1274</v>
      </c>
      <c r="G946" s="32">
        <v>50</v>
      </c>
      <c r="H946" s="40">
        <v>600</v>
      </c>
      <c r="I946" s="32">
        <v>695</v>
      </c>
      <c r="J946" s="32">
        <v>50</v>
      </c>
      <c r="K946" s="33"/>
      <c r="L946" s="33"/>
      <c r="M946" s="33"/>
      <c r="N946" s="33"/>
      <c r="O946" s="33"/>
      <c r="P946" s="33"/>
      <c r="Q946" s="33"/>
      <c r="R946" s="33"/>
      <c r="S946" s="33"/>
      <c r="T946" s="33"/>
    </row>
    <row r="947" spans="1:20" ht="15.75">
      <c r="A947" s="13">
        <v>70706</v>
      </c>
      <c r="B947" s="41">
        <f t="shared" si="5"/>
        <v>31</v>
      </c>
      <c r="C947" s="32">
        <v>194.20500000000001</v>
      </c>
      <c r="D947" s="32">
        <v>267.46600000000001</v>
      </c>
      <c r="E947" s="38">
        <v>812.32899999999995</v>
      </c>
      <c r="F947" s="32">
        <v>1274</v>
      </c>
      <c r="G947" s="32">
        <v>50</v>
      </c>
      <c r="H947" s="40">
        <v>600</v>
      </c>
      <c r="I947" s="32">
        <v>695</v>
      </c>
      <c r="J947" s="32">
        <v>0</v>
      </c>
      <c r="K947" s="33"/>
      <c r="L947" s="33"/>
      <c r="M947" s="33"/>
      <c r="N947" s="33"/>
      <c r="O947" s="33"/>
      <c r="P947" s="33"/>
      <c r="Q947" s="33"/>
      <c r="R947" s="33"/>
      <c r="S947" s="33"/>
      <c r="T947" s="33"/>
    </row>
    <row r="948" spans="1:20" ht="15.75">
      <c r="A948" s="13">
        <v>70737</v>
      </c>
      <c r="B948" s="41">
        <f t="shared" si="5"/>
        <v>31</v>
      </c>
      <c r="C948" s="32">
        <v>194.20500000000001</v>
      </c>
      <c r="D948" s="32">
        <v>267.46600000000001</v>
      </c>
      <c r="E948" s="38">
        <v>812.32899999999995</v>
      </c>
      <c r="F948" s="32">
        <v>1274</v>
      </c>
      <c r="G948" s="32">
        <v>50</v>
      </c>
      <c r="H948" s="40">
        <v>600</v>
      </c>
      <c r="I948" s="32">
        <v>695</v>
      </c>
      <c r="J948" s="32">
        <v>0</v>
      </c>
      <c r="K948" s="33"/>
      <c r="L948" s="33"/>
      <c r="M948" s="33"/>
      <c r="N948" s="33"/>
      <c r="O948" s="33"/>
      <c r="P948" s="33"/>
      <c r="Q948" s="33"/>
      <c r="R948" s="33"/>
      <c r="S948" s="33"/>
      <c r="T948" s="33"/>
    </row>
    <row r="949" spans="1:20" ht="15.75">
      <c r="A949" s="13">
        <v>70767</v>
      </c>
      <c r="B949" s="41">
        <f t="shared" si="5"/>
        <v>30</v>
      </c>
      <c r="C949" s="32">
        <v>194.20500000000001</v>
      </c>
      <c r="D949" s="32">
        <v>267.46600000000001</v>
      </c>
      <c r="E949" s="38">
        <v>812.32899999999995</v>
      </c>
      <c r="F949" s="32">
        <v>1274</v>
      </c>
      <c r="G949" s="32">
        <v>50</v>
      </c>
      <c r="H949" s="40">
        <v>600</v>
      </c>
      <c r="I949" s="32">
        <v>695</v>
      </c>
      <c r="J949" s="32">
        <v>0</v>
      </c>
      <c r="K949" s="33"/>
      <c r="L949" s="33"/>
      <c r="M949" s="33"/>
      <c r="N949" s="33"/>
      <c r="O949" s="33"/>
      <c r="P949" s="33"/>
      <c r="Q949" s="33"/>
      <c r="R949" s="33"/>
      <c r="S949" s="33"/>
      <c r="T949" s="33"/>
    </row>
    <row r="950" spans="1:20" ht="15.75">
      <c r="A950" s="13">
        <v>70798</v>
      </c>
      <c r="B950" s="41">
        <f t="shared" si="5"/>
        <v>31</v>
      </c>
      <c r="C950" s="32">
        <v>131.881</v>
      </c>
      <c r="D950" s="32">
        <v>277.16699999999997</v>
      </c>
      <c r="E950" s="38">
        <v>829.952</v>
      </c>
      <c r="F950" s="32">
        <v>1239</v>
      </c>
      <c r="G950" s="32">
        <v>75</v>
      </c>
      <c r="H950" s="40">
        <v>600</v>
      </c>
      <c r="I950" s="32">
        <v>695</v>
      </c>
      <c r="J950" s="32">
        <v>0</v>
      </c>
      <c r="K950" s="33"/>
      <c r="L950" s="33"/>
      <c r="M950" s="33"/>
      <c r="N950" s="33"/>
      <c r="O950" s="33"/>
      <c r="P950" s="33"/>
      <c r="Q950" s="33"/>
      <c r="R950" s="33"/>
      <c r="S950" s="33"/>
      <c r="T950" s="33"/>
    </row>
    <row r="951" spans="1:20" ht="15.75">
      <c r="A951" s="13">
        <v>70828</v>
      </c>
      <c r="B951" s="41">
        <f t="shared" si="5"/>
        <v>30</v>
      </c>
      <c r="C951" s="32">
        <v>122.58</v>
      </c>
      <c r="D951" s="32">
        <v>297.94099999999997</v>
      </c>
      <c r="E951" s="38">
        <v>729.47900000000004</v>
      </c>
      <c r="F951" s="32">
        <v>1150</v>
      </c>
      <c r="G951" s="32">
        <v>100</v>
      </c>
      <c r="H951" s="40">
        <v>600</v>
      </c>
      <c r="I951" s="32">
        <v>695</v>
      </c>
      <c r="J951" s="32">
        <v>50</v>
      </c>
      <c r="K951" s="33"/>
      <c r="L951" s="33"/>
      <c r="M951" s="33"/>
      <c r="N951" s="33"/>
      <c r="O951" s="33"/>
      <c r="P951" s="33"/>
      <c r="Q951" s="33"/>
      <c r="R951" s="33"/>
      <c r="S951" s="33"/>
      <c r="T951" s="33"/>
    </row>
    <row r="952" spans="1:20" ht="15.75">
      <c r="A952" s="13">
        <v>70859</v>
      </c>
      <c r="B952" s="41">
        <f t="shared" si="5"/>
        <v>31</v>
      </c>
      <c r="C952" s="32">
        <v>122.58</v>
      </c>
      <c r="D952" s="32">
        <v>297.94099999999997</v>
      </c>
      <c r="E952" s="38">
        <v>729.47900000000004</v>
      </c>
      <c r="F952" s="32">
        <v>1150</v>
      </c>
      <c r="G952" s="32">
        <v>100</v>
      </c>
      <c r="H952" s="40">
        <v>600</v>
      </c>
      <c r="I952" s="32">
        <v>695</v>
      </c>
      <c r="J952" s="32">
        <v>50</v>
      </c>
      <c r="K952" s="33"/>
      <c r="L952" s="33"/>
      <c r="M952" s="33"/>
      <c r="N952" s="33"/>
      <c r="O952" s="33"/>
      <c r="P952" s="33"/>
      <c r="Q952" s="33"/>
      <c r="R952" s="33"/>
      <c r="S952" s="33"/>
      <c r="T952" s="33"/>
    </row>
    <row r="953" spans="1:20" ht="15.75">
      <c r="A953" s="13">
        <v>70890</v>
      </c>
      <c r="B953" s="41">
        <f t="shared" ref="B953:B1016" si="6">EOMONTH(A953,0)-EOMONTH(A953,-1)</f>
        <v>31</v>
      </c>
      <c r="C953" s="32">
        <v>122.58</v>
      </c>
      <c r="D953" s="32">
        <v>297.94099999999997</v>
      </c>
      <c r="E953" s="38">
        <v>729.47900000000004</v>
      </c>
      <c r="F953" s="32">
        <v>1150</v>
      </c>
      <c r="G953" s="32">
        <v>100</v>
      </c>
      <c r="H953" s="40">
        <v>600</v>
      </c>
      <c r="I953" s="32">
        <v>695</v>
      </c>
      <c r="J953" s="32">
        <v>50</v>
      </c>
      <c r="K953" s="33"/>
      <c r="L953" s="33"/>
      <c r="M953" s="33"/>
      <c r="N953" s="33"/>
      <c r="O953" s="33"/>
      <c r="P953" s="33"/>
      <c r="Q953" s="33"/>
      <c r="R953" s="33"/>
      <c r="S953" s="33"/>
      <c r="T953" s="33"/>
    </row>
    <row r="954" spans="1:20" ht="15.75">
      <c r="A954" s="13">
        <v>70918</v>
      </c>
      <c r="B954" s="41">
        <f t="shared" si="6"/>
        <v>28</v>
      </c>
      <c r="C954" s="32">
        <v>122.58</v>
      </c>
      <c r="D954" s="32">
        <v>297.94099999999997</v>
      </c>
      <c r="E954" s="38">
        <v>729.47900000000004</v>
      </c>
      <c r="F954" s="32">
        <v>1150</v>
      </c>
      <c r="G954" s="32">
        <v>100</v>
      </c>
      <c r="H954" s="40">
        <v>600</v>
      </c>
      <c r="I954" s="32">
        <v>695</v>
      </c>
      <c r="J954" s="32">
        <v>50</v>
      </c>
      <c r="K954" s="33"/>
      <c r="L954" s="33"/>
      <c r="M954" s="33"/>
      <c r="N954" s="33"/>
      <c r="O954" s="33"/>
      <c r="P954" s="33"/>
      <c r="Q954" s="33"/>
      <c r="R954" s="33"/>
      <c r="S954" s="33"/>
      <c r="T954" s="33"/>
    </row>
    <row r="955" spans="1:20" ht="15.75">
      <c r="A955" s="13">
        <v>70949</v>
      </c>
      <c r="B955" s="41">
        <f t="shared" si="6"/>
        <v>31</v>
      </c>
      <c r="C955" s="32">
        <v>122.58</v>
      </c>
      <c r="D955" s="32">
        <v>297.94099999999997</v>
      </c>
      <c r="E955" s="38">
        <v>729.47900000000004</v>
      </c>
      <c r="F955" s="32">
        <v>1150</v>
      </c>
      <c r="G955" s="32">
        <v>100</v>
      </c>
      <c r="H955" s="40">
        <v>600</v>
      </c>
      <c r="I955" s="32">
        <v>695</v>
      </c>
      <c r="J955" s="32">
        <v>50</v>
      </c>
      <c r="K955" s="33"/>
      <c r="L955" s="33"/>
      <c r="M955" s="33"/>
      <c r="N955" s="33"/>
      <c r="O955" s="33"/>
      <c r="P955" s="33"/>
      <c r="Q955" s="33"/>
      <c r="R955" s="33"/>
      <c r="S955" s="33"/>
      <c r="T955" s="33"/>
    </row>
    <row r="956" spans="1:20" ht="15.75">
      <c r="A956" s="13">
        <v>70979</v>
      </c>
      <c r="B956" s="41">
        <f t="shared" si="6"/>
        <v>30</v>
      </c>
      <c r="C956" s="32">
        <v>141.29300000000001</v>
      </c>
      <c r="D956" s="32">
        <v>267.99299999999999</v>
      </c>
      <c r="E956" s="38">
        <v>829.71400000000006</v>
      </c>
      <c r="F956" s="32">
        <v>1239</v>
      </c>
      <c r="G956" s="32">
        <v>100</v>
      </c>
      <c r="H956" s="40">
        <v>600</v>
      </c>
      <c r="I956" s="32">
        <v>695</v>
      </c>
      <c r="J956" s="32">
        <v>50</v>
      </c>
      <c r="K956" s="33"/>
      <c r="L956" s="33"/>
      <c r="M956" s="33"/>
      <c r="N956" s="33"/>
      <c r="O956" s="33"/>
      <c r="P956" s="33"/>
      <c r="Q956" s="33"/>
      <c r="R956" s="33"/>
      <c r="S956" s="33"/>
      <c r="T956" s="33"/>
    </row>
    <row r="957" spans="1:20" ht="15.75">
      <c r="A957" s="13">
        <v>71010</v>
      </c>
      <c r="B957" s="41">
        <f t="shared" si="6"/>
        <v>31</v>
      </c>
      <c r="C957" s="32">
        <v>194.20500000000001</v>
      </c>
      <c r="D957" s="32">
        <v>267.46600000000001</v>
      </c>
      <c r="E957" s="38">
        <v>812.32899999999995</v>
      </c>
      <c r="F957" s="32">
        <v>1274</v>
      </c>
      <c r="G957" s="32">
        <v>75</v>
      </c>
      <c r="H957" s="40">
        <v>600</v>
      </c>
      <c r="I957" s="32">
        <v>695</v>
      </c>
      <c r="J957" s="32">
        <v>50</v>
      </c>
      <c r="K957" s="33"/>
      <c r="L957" s="33"/>
      <c r="M957" s="33"/>
      <c r="N957" s="33"/>
      <c r="O957" s="33"/>
      <c r="P957" s="33"/>
      <c r="Q957" s="33"/>
      <c r="R957" s="33"/>
      <c r="S957" s="33"/>
      <c r="T957" s="33"/>
    </row>
    <row r="958" spans="1:20" ht="15.75">
      <c r="A958" s="13">
        <v>71040</v>
      </c>
      <c r="B958" s="41">
        <f t="shared" si="6"/>
        <v>30</v>
      </c>
      <c r="C958" s="32">
        <v>194.20500000000001</v>
      </c>
      <c r="D958" s="32">
        <v>267.46600000000001</v>
      </c>
      <c r="E958" s="38">
        <v>812.32899999999995</v>
      </c>
      <c r="F958" s="32">
        <v>1274</v>
      </c>
      <c r="G958" s="32">
        <v>50</v>
      </c>
      <c r="H958" s="40">
        <v>600</v>
      </c>
      <c r="I958" s="32">
        <v>695</v>
      </c>
      <c r="J958" s="32">
        <v>50</v>
      </c>
      <c r="K958" s="33"/>
      <c r="L958" s="33"/>
      <c r="M958" s="33"/>
      <c r="N958" s="33"/>
      <c r="O958" s="33"/>
      <c r="P958" s="33"/>
      <c r="Q958" s="33"/>
      <c r="R958" s="33"/>
      <c r="S958" s="33"/>
      <c r="T958" s="33"/>
    </row>
    <row r="959" spans="1:20" ht="15.75">
      <c r="A959" s="13">
        <v>71071</v>
      </c>
      <c r="B959" s="41">
        <f t="shared" si="6"/>
        <v>31</v>
      </c>
      <c r="C959" s="32">
        <v>194.20500000000001</v>
      </c>
      <c r="D959" s="32">
        <v>267.46600000000001</v>
      </c>
      <c r="E959" s="38">
        <v>812.32899999999995</v>
      </c>
      <c r="F959" s="32">
        <v>1274</v>
      </c>
      <c r="G959" s="32">
        <v>50</v>
      </c>
      <c r="H959" s="40">
        <v>600</v>
      </c>
      <c r="I959" s="32">
        <v>695</v>
      </c>
      <c r="J959" s="32">
        <v>0</v>
      </c>
      <c r="K959" s="33"/>
      <c r="L959" s="33"/>
      <c r="M959" s="33"/>
      <c r="N959" s="33"/>
      <c r="O959" s="33"/>
      <c r="P959" s="33"/>
      <c r="Q959" s="33"/>
      <c r="R959" s="33"/>
      <c r="S959" s="33"/>
      <c r="T959" s="33"/>
    </row>
    <row r="960" spans="1:20" ht="15.75">
      <c r="A960" s="13">
        <v>71102</v>
      </c>
      <c r="B960" s="41">
        <f t="shared" si="6"/>
        <v>31</v>
      </c>
      <c r="C960" s="32">
        <v>194.20500000000001</v>
      </c>
      <c r="D960" s="32">
        <v>267.46600000000001</v>
      </c>
      <c r="E960" s="38">
        <v>812.32899999999995</v>
      </c>
      <c r="F960" s="32">
        <v>1274</v>
      </c>
      <c r="G960" s="32">
        <v>50</v>
      </c>
      <c r="H960" s="40">
        <v>600</v>
      </c>
      <c r="I960" s="32">
        <v>695</v>
      </c>
      <c r="J960" s="32">
        <v>0</v>
      </c>
      <c r="K960" s="33"/>
      <c r="L960" s="33"/>
      <c r="M960" s="33"/>
      <c r="N960" s="33"/>
      <c r="O960" s="33"/>
      <c r="P960" s="33"/>
      <c r="Q960" s="33"/>
      <c r="R960" s="33"/>
      <c r="S960" s="33"/>
      <c r="T960" s="33"/>
    </row>
    <row r="961" spans="1:20" ht="15.75">
      <c r="A961" s="13">
        <v>71132</v>
      </c>
      <c r="B961" s="41">
        <f t="shared" si="6"/>
        <v>30</v>
      </c>
      <c r="C961" s="32">
        <v>194.20500000000001</v>
      </c>
      <c r="D961" s="32">
        <v>267.46600000000001</v>
      </c>
      <c r="E961" s="38">
        <v>812.32899999999995</v>
      </c>
      <c r="F961" s="32">
        <v>1274</v>
      </c>
      <c r="G961" s="32">
        <v>50</v>
      </c>
      <c r="H961" s="40">
        <v>600</v>
      </c>
      <c r="I961" s="32">
        <v>695</v>
      </c>
      <c r="J961" s="32">
        <v>0</v>
      </c>
      <c r="K961" s="33"/>
      <c r="L961" s="33"/>
      <c r="M961" s="33"/>
      <c r="N961" s="33"/>
      <c r="O961" s="33"/>
      <c r="P961" s="33"/>
      <c r="Q961" s="33"/>
      <c r="R961" s="33"/>
      <c r="S961" s="33"/>
      <c r="T961" s="33"/>
    </row>
    <row r="962" spans="1:20" ht="15.75">
      <c r="A962" s="13">
        <v>71163</v>
      </c>
      <c r="B962" s="41">
        <f t="shared" si="6"/>
        <v>31</v>
      </c>
      <c r="C962" s="32">
        <v>131.881</v>
      </c>
      <c r="D962" s="32">
        <v>277.16699999999997</v>
      </c>
      <c r="E962" s="38">
        <v>829.952</v>
      </c>
      <c r="F962" s="32">
        <v>1239</v>
      </c>
      <c r="G962" s="32">
        <v>75</v>
      </c>
      <c r="H962" s="40">
        <v>600</v>
      </c>
      <c r="I962" s="32">
        <v>695</v>
      </c>
      <c r="J962" s="32">
        <v>0</v>
      </c>
      <c r="K962" s="33"/>
      <c r="L962" s="33"/>
      <c r="M962" s="33"/>
      <c r="N962" s="33"/>
      <c r="O962" s="33"/>
      <c r="P962" s="33"/>
      <c r="Q962" s="33"/>
      <c r="R962" s="33"/>
      <c r="S962" s="33"/>
      <c r="T962" s="33"/>
    </row>
    <row r="963" spans="1:20" ht="15.75">
      <c r="A963" s="13">
        <v>71193</v>
      </c>
      <c r="B963" s="41">
        <f t="shared" si="6"/>
        <v>30</v>
      </c>
      <c r="C963" s="32">
        <v>122.58</v>
      </c>
      <c r="D963" s="32">
        <v>297.94099999999997</v>
      </c>
      <c r="E963" s="38">
        <v>729.47900000000004</v>
      </c>
      <c r="F963" s="32">
        <v>1150</v>
      </c>
      <c r="G963" s="32">
        <v>100</v>
      </c>
      <c r="H963" s="40">
        <v>600</v>
      </c>
      <c r="I963" s="32">
        <v>695</v>
      </c>
      <c r="J963" s="32">
        <v>50</v>
      </c>
      <c r="K963" s="33"/>
      <c r="L963" s="33"/>
      <c r="M963" s="33"/>
      <c r="N963" s="33"/>
      <c r="O963" s="33"/>
      <c r="P963" s="33"/>
      <c r="Q963" s="33"/>
      <c r="R963" s="33"/>
      <c r="S963" s="33"/>
      <c r="T963" s="33"/>
    </row>
    <row r="964" spans="1:20" ht="15.75">
      <c r="A964" s="13">
        <v>71224</v>
      </c>
      <c r="B964" s="41">
        <f t="shared" si="6"/>
        <v>31</v>
      </c>
      <c r="C964" s="32">
        <v>122.58</v>
      </c>
      <c r="D964" s="32">
        <v>297.94099999999997</v>
      </c>
      <c r="E964" s="38">
        <v>729.47900000000004</v>
      </c>
      <c r="F964" s="32">
        <v>1150</v>
      </c>
      <c r="G964" s="32">
        <v>100</v>
      </c>
      <c r="H964" s="40">
        <v>600</v>
      </c>
      <c r="I964" s="32">
        <v>695</v>
      </c>
      <c r="J964" s="32">
        <v>50</v>
      </c>
      <c r="K964" s="33"/>
      <c r="L964" s="33"/>
      <c r="M964" s="33"/>
      <c r="N964" s="33"/>
      <c r="O964" s="33"/>
      <c r="P964" s="33"/>
      <c r="Q964" s="33"/>
      <c r="R964" s="33"/>
      <c r="S964" s="33"/>
      <c r="T964" s="33"/>
    </row>
    <row r="965" spans="1:20" ht="15.75">
      <c r="A965" s="13">
        <v>71255</v>
      </c>
      <c r="B965" s="41">
        <f t="shared" si="6"/>
        <v>31</v>
      </c>
      <c r="C965" s="32">
        <v>122.58</v>
      </c>
      <c r="D965" s="32">
        <v>297.94099999999997</v>
      </c>
      <c r="E965" s="38">
        <v>729.47900000000004</v>
      </c>
      <c r="F965" s="32">
        <v>1150</v>
      </c>
      <c r="G965" s="32">
        <v>100</v>
      </c>
      <c r="H965" s="40">
        <v>600</v>
      </c>
      <c r="I965" s="32">
        <v>695</v>
      </c>
      <c r="J965" s="32">
        <v>50</v>
      </c>
      <c r="K965" s="33"/>
      <c r="L965" s="33"/>
      <c r="M965" s="33"/>
      <c r="N965" s="33"/>
      <c r="O965" s="33"/>
      <c r="P965" s="33"/>
      <c r="Q965" s="33"/>
      <c r="R965" s="33"/>
      <c r="S965" s="33"/>
      <c r="T965" s="33"/>
    </row>
    <row r="966" spans="1:20" ht="15.75">
      <c r="A966" s="13">
        <v>71283</v>
      </c>
      <c r="B966" s="41">
        <f t="shared" si="6"/>
        <v>28</v>
      </c>
      <c r="C966" s="32">
        <v>122.58</v>
      </c>
      <c r="D966" s="32">
        <v>297.94099999999997</v>
      </c>
      <c r="E966" s="38">
        <v>729.47900000000004</v>
      </c>
      <c r="F966" s="32">
        <v>1150</v>
      </c>
      <c r="G966" s="32">
        <v>100</v>
      </c>
      <c r="H966" s="40">
        <v>600</v>
      </c>
      <c r="I966" s="32">
        <v>695</v>
      </c>
      <c r="J966" s="32">
        <v>50</v>
      </c>
      <c r="K966" s="33"/>
      <c r="L966" s="33"/>
      <c r="M966" s="33"/>
      <c r="N966" s="33"/>
      <c r="O966" s="33"/>
      <c r="P966" s="33"/>
      <c r="Q966" s="33"/>
      <c r="R966" s="33"/>
      <c r="S966" s="33"/>
      <c r="T966" s="33"/>
    </row>
    <row r="967" spans="1:20" ht="15.75">
      <c r="A967" s="13">
        <v>71314</v>
      </c>
      <c r="B967" s="41">
        <f t="shared" si="6"/>
        <v>31</v>
      </c>
      <c r="C967" s="32">
        <v>122.58</v>
      </c>
      <c r="D967" s="32">
        <v>297.94099999999997</v>
      </c>
      <c r="E967" s="38">
        <v>729.47900000000004</v>
      </c>
      <c r="F967" s="32">
        <v>1150</v>
      </c>
      <c r="G967" s="32">
        <v>100</v>
      </c>
      <c r="H967" s="40">
        <v>600</v>
      </c>
      <c r="I967" s="32">
        <v>695</v>
      </c>
      <c r="J967" s="32">
        <v>50</v>
      </c>
      <c r="K967" s="33"/>
      <c r="L967" s="33"/>
      <c r="M967" s="33"/>
      <c r="N967" s="33"/>
      <c r="O967" s="33"/>
      <c r="P967" s="33"/>
      <c r="Q967" s="33"/>
      <c r="R967" s="33"/>
      <c r="S967" s="33"/>
      <c r="T967" s="33"/>
    </row>
    <row r="968" spans="1:20" ht="15.75">
      <c r="A968" s="13">
        <v>71344</v>
      </c>
      <c r="B968" s="41">
        <f t="shared" si="6"/>
        <v>30</v>
      </c>
      <c r="C968" s="32">
        <v>141.29300000000001</v>
      </c>
      <c r="D968" s="32">
        <v>267.99299999999999</v>
      </c>
      <c r="E968" s="38">
        <v>829.71400000000006</v>
      </c>
      <c r="F968" s="32">
        <v>1239</v>
      </c>
      <c r="G968" s="32">
        <v>100</v>
      </c>
      <c r="H968" s="40">
        <v>600</v>
      </c>
      <c r="I968" s="32">
        <v>695</v>
      </c>
      <c r="J968" s="32">
        <v>50</v>
      </c>
      <c r="K968" s="33"/>
      <c r="L968" s="33"/>
      <c r="M968" s="33"/>
      <c r="N968" s="33"/>
      <c r="O968" s="33"/>
      <c r="P968" s="33"/>
      <c r="Q968" s="33"/>
      <c r="R968" s="33"/>
      <c r="S968" s="33"/>
      <c r="T968" s="33"/>
    </row>
    <row r="969" spans="1:20" ht="15.75">
      <c r="A969" s="13">
        <v>71375</v>
      </c>
      <c r="B969" s="41">
        <f t="shared" si="6"/>
        <v>31</v>
      </c>
      <c r="C969" s="32">
        <v>194.20500000000001</v>
      </c>
      <c r="D969" s="32">
        <v>267.46600000000001</v>
      </c>
      <c r="E969" s="38">
        <v>812.32899999999995</v>
      </c>
      <c r="F969" s="32">
        <v>1274</v>
      </c>
      <c r="G969" s="32">
        <v>75</v>
      </c>
      <c r="H969" s="40">
        <v>600</v>
      </c>
      <c r="I969" s="32">
        <v>695</v>
      </c>
      <c r="J969" s="32">
        <v>50</v>
      </c>
      <c r="K969" s="33"/>
      <c r="L969" s="33"/>
      <c r="M969" s="33"/>
      <c r="N969" s="33"/>
      <c r="O969" s="33"/>
      <c r="P969" s="33"/>
      <c r="Q969" s="33"/>
      <c r="R969" s="33"/>
      <c r="S969" s="33"/>
      <c r="T969" s="33"/>
    </row>
    <row r="970" spans="1:20" ht="15.75">
      <c r="A970" s="13">
        <v>71405</v>
      </c>
      <c r="B970" s="41">
        <f t="shared" si="6"/>
        <v>30</v>
      </c>
      <c r="C970" s="32">
        <v>194.20500000000001</v>
      </c>
      <c r="D970" s="32">
        <v>267.46600000000001</v>
      </c>
      <c r="E970" s="38">
        <v>812.32899999999995</v>
      </c>
      <c r="F970" s="32">
        <v>1274</v>
      </c>
      <c r="G970" s="32">
        <v>50</v>
      </c>
      <c r="H970" s="40">
        <v>600</v>
      </c>
      <c r="I970" s="32">
        <v>695</v>
      </c>
      <c r="J970" s="32">
        <v>50</v>
      </c>
      <c r="K970" s="33"/>
      <c r="L970" s="33"/>
      <c r="M970" s="33"/>
      <c r="N970" s="33"/>
      <c r="O970" s="33"/>
      <c r="P970" s="33"/>
      <c r="Q970" s="33"/>
      <c r="R970" s="33"/>
      <c r="S970" s="33"/>
      <c r="T970" s="33"/>
    </row>
    <row r="971" spans="1:20" ht="15.75">
      <c r="A971" s="13">
        <v>71436</v>
      </c>
      <c r="B971" s="41">
        <f t="shared" si="6"/>
        <v>31</v>
      </c>
      <c r="C971" s="32">
        <v>194.20500000000001</v>
      </c>
      <c r="D971" s="32">
        <v>267.46600000000001</v>
      </c>
      <c r="E971" s="38">
        <v>812.32899999999995</v>
      </c>
      <c r="F971" s="32">
        <v>1274</v>
      </c>
      <c r="G971" s="32">
        <v>50</v>
      </c>
      <c r="H971" s="40">
        <v>600</v>
      </c>
      <c r="I971" s="32">
        <v>695</v>
      </c>
      <c r="J971" s="32">
        <v>0</v>
      </c>
      <c r="K971" s="33"/>
      <c r="L971" s="33"/>
      <c r="M971" s="33"/>
      <c r="N971" s="33"/>
      <c r="O971" s="33"/>
      <c r="P971" s="33"/>
      <c r="Q971" s="33"/>
      <c r="R971" s="33"/>
      <c r="S971" s="33"/>
      <c r="T971" s="33"/>
    </row>
    <row r="972" spans="1:20" ht="15.75">
      <c r="A972" s="13">
        <v>71467</v>
      </c>
      <c r="B972" s="41">
        <f t="shared" si="6"/>
        <v>31</v>
      </c>
      <c r="C972" s="32">
        <v>194.20500000000001</v>
      </c>
      <c r="D972" s="32">
        <v>267.46600000000001</v>
      </c>
      <c r="E972" s="38">
        <v>812.32899999999995</v>
      </c>
      <c r="F972" s="32">
        <v>1274</v>
      </c>
      <c r="G972" s="32">
        <v>50</v>
      </c>
      <c r="H972" s="40">
        <v>600</v>
      </c>
      <c r="I972" s="32">
        <v>695</v>
      </c>
      <c r="J972" s="32">
        <v>0</v>
      </c>
      <c r="K972" s="33"/>
      <c r="L972" s="33"/>
      <c r="M972" s="33"/>
      <c r="N972" s="33"/>
      <c r="O972" s="33"/>
      <c r="P972" s="33"/>
      <c r="Q972" s="33"/>
      <c r="R972" s="33"/>
      <c r="S972" s="33"/>
      <c r="T972" s="33"/>
    </row>
    <row r="973" spans="1:20" ht="15.75">
      <c r="A973" s="13">
        <v>71497</v>
      </c>
      <c r="B973" s="41">
        <f t="shared" si="6"/>
        <v>30</v>
      </c>
      <c r="C973" s="32">
        <v>194.20500000000001</v>
      </c>
      <c r="D973" s="32">
        <v>267.46600000000001</v>
      </c>
      <c r="E973" s="38">
        <v>812.32899999999995</v>
      </c>
      <c r="F973" s="32">
        <v>1274</v>
      </c>
      <c r="G973" s="32">
        <v>50</v>
      </c>
      <c r="H973" s="40">
        <v>600</v>
      </c>
      <c r="I973" s="32">
        <v>695</v>
      </c>
      <c r="J973" s="32">
        <v>0</v>
      </c>
      <c r="K973" s="33"/>
      <c r="L973" s="33"/>
      <c r="M973" s="33"/>
      <c r="N973" s="33"/>
      <c r="O973" s="33"/>
      <c r="P973" s="33"/>
      <c r="Q973" s="33"/>
      <c r="R973" s="33"/>
      <c r="S973" s="33"/>
      <c r="T973" s="33"/>
    </row>
    <row r="974" spans="1:20" ht="15.75">
      <c r="A974" s="13">
        <v>71528</v>
      </c>
      <c r="B974" s="41">
        <f t="shared" si="6"/>
        <v>31</v>
      </c>
      <c r="C974" s="32">
        <v>131.881</v>
      </c>
      <c r="D974" s="32">
        <v>277.16699999999997</v>
      </c>
      <c r="E974" s="38">
        <v>829.952</v>
      </c>
      <c r="F974" s="32">
        <v>1239</v>
      </c>
      <c r="G974" s="32">
        <v>75</v>
      </c>
      <c r="H974" s="40">
        <v>600</v>
      </c>
      <c r="I974" s="32">
        <v>695</v>
      </c>
      <c r="J974" s="32">
        <v>0</v>
      </c>
      <c r="K974" s="33"/>
      <c r="L974" s="33"/>
      <c r="M974" s="33"/>
      <c r="N974" s="33"/>
      <c r="O974" s="33"/>
      <c r="P974" s="33"/>
      <c r="Q974" s="33"/>
      <c r="R974" s="33"/>
      <c r="S974" s="33"/>
      <c r="T974" s="33"/>
    </row>
    <row r="975" spans="1:20" ht="15.75">
      <c r="A975" s="13">
        <v>71558</v>
      </c>
      <c r="B975" s="41">
        <f t="shared" si="6"/>
        <v>30</v>
      </c>
      <c r="C975" s="32">
        <v>122.58</v>
      </c>
      <c r="D975" s="32">
        <v>297.94099999999997</v>
      </c>
      <c r="E975" s="38">
        <v>729.47900000000004</v>
      </c>
      <c r="F975" s="32">
        <v>1150</v>
      </c>
      <c r="G975" s="32">
        <v>100</v>
      </c>
      <c r="H975" s="40">
        <v>600</v>
      </c>
      <c r="I975" s="32">
        <v>695</v>
      </c>
      <c r="J975" s="32">
        <v>50</v>
      </c>
      <c r="K975" s="33"/>
      <c r="L975" s="33"/>
      <c r="M975" s="33"/>
      <c r="N975" s="33"/>
      <c r="O975" s="33"/>
      <c r="P975" s="33"/>
      <c r="Q975" s="33"/>
      <c r="R975" s="33"/>
      <c r="S975" s="33"/>
      <c r="T975" s="33"/>
    </row>
    <row r="976" spans="1:20" ht="15.75">
      <c r="A976" s="13">
        <v>71589</v>
      </c>
      <c r="B976" s="41">
        <f t="shared" si="6"/>
        <v>31</v>
      </c>
      <c r="C976" s="32">
        <v>122.58</v>
      </c>
      <c r="D976" s="32">
        <v>297.94099999999997</v>
      </c>
      <c r="E976" s="38">
        <v>729.47900000000004</v>
      </c>
      <c r="F976" s="32">
        <v>1150</v>
      </c>
      <c r="G976" s="32">
        <v>100</v>
      </c>
      <c r="H976" s="40">
        <v>600</v>
      </c>
      <c r="I976" s="32">
        <v>695</v>
      </c>
      <c r="J976" s="32">
        <v>50</v>
      </c>
      <c r="K976" s="33"/>
      <c r="L976" s="33"/>
      <c r="M976" s="33"/>
      <c r="N976" s="33"/>
      <c r="O976" s="33"/>
      <c r="P976" s="33"/>
      <c r="Q976" s="33"/>
      <c r="R976" s="33"/>
      <c r="S976" s="33"/>
      <c r="T976" s="33"/>
    </row>
    <row r="977" spans="1:20" ht="15.75">
      <c r="A977" s="13">
        <v>71620</v>
      </c>
      <c r="B977" s="41">
        <f t="shared" si="6"/>
        <v>31</v>
      </c>
      <c r="C977" s="32">
        <v>122.58</v>
      </c>
      <c r="D977" s="32">
        <v>297.94099999999997</v>
      </c>
      <c r="E977" s="38">
        <v>729.47900000000004</v>
      </c>
      <c r="F977" s="32">
        <v>1150</v>
      </c>
      <c r="G977" s="32">
        <v>100</v>
      </c>
      <c r="H977" s="40">
        <v>600</v>
      </c>
      <c r="I977" s="32">
        <v>695</v>
      </c>
      <c r="J977" s="32">
        <v>50</v>
      </c>
      <c r="K977" s="33"/>
      <c r="L977" s="33"/>
      <c r="M977" s="33"/>
      <c r="N977" s="33"/>
      <c r="O977" s="33"/>
      <c r="P977" s="33"/>
      <c r="Q977" s="33"/>
      <c r="R977" s="33"/>
      <c r="S977" s="33"/>
      <c r="T977" s="33"/>
    </row>
    <row r="978" spans="1:20" ht="15.75">
      <c r="A978" s="13">
        <v>71649</v>
      </c>
      <c r="B978" s="41">
        <f t="shared" si="6"/>
        <v>29</v>
      </c>
      <c r="C978" s="32">
        <v>122.58</v>
      </c>
      <c r="D978" s="32">
        <v>297.94099999999997</v>
      </c>
      <c r="E978" s="38">
        <v>729.47900000000004</v>
      </c>
      <c r="F978" s="32">
        <v>1150</v>
      </c>
      <c r="G978" s="32">
        <v>100</v>
      </c>
      <c r="H978" s="40">
        <v>600</v>
      </c>
      <c r="I978" s="32">
        <v>695</v>
      </c>
      <c r="J978" s="32">
        <v>50</v>
      </c>
      <c r="K978" s="33"/>
      <c r="L978" s="33"/>
      <c r="M978" s="33"/>
      <c r="N978" s="33"/>
      <c r="O978" s="33"/>
      <c r="P978" s="33"/>
      <c r="Q978" s="33"/>
      <c r="R978" s="33"/>
      <c r="S978" s="33"/>
      <c r="T978" s="33"/>
    </row>
    <row r="979" spans="1:20" ht="15.75">
      <c r="A979" s="13">
        <v>71680</v>
      </c>
      <c r="B979" s="41">
        <f t="shared" si="6"/>
        <v>31</v>
      </c>
      <c r="C979" s="32">
        <v>122.58</v>
      </c>
      <c r="D979" s="32">
        <v>297.94099999999997</v>
      </c>
      <c r="E979" s="38">
        <v>729.47900000000004</v>
      </c>
      <c r="F979" s="32">
        <v>1150</v>
      </c>
      <c r="G979" s="32">
        <v>100</v>
      </c>
      <c r="H979" s="40">
        <v>600</v>
      </c>
      <c r="I979" s="32">
        <v>695</v>
      </c>
      <c r="J979" s="32">
        <v>50</v>
      </c>
      <c r="K979" s="33"/>
      <c r="L979" s="33"/>
      <c r="M979" s="33"/>
      <c r="N979" s="33"/>
      <c r="O979" s="33"/>
      <c r="P979" s="33"/>
      <c r="Q979" s="33"/>
      <c r="R979" s="33"/>
      <c r="S979" s="33"/>
      <c r="T979" s="33"/>
    </row>
    <row r="980" spans="1:20" ht="15.75">
      <c r="A980" s="13">
        <v>71710</v>
      </c>
      <c r="B980" s="41">
        <f t="shared" si="6"/>
        <v>30</v>
      </c>
      <c r="C980" s="32">
        <v>141.29300000000001</v>
      </c>
      <c r="D980" s="32">
        <v>267.99299999999999</v>
      </c>
      <c r="E980" s="38">
        <v>829.71400000000006</v>
      </c>
      <c r="F980" s="32">
        <v>1239</v>
      </c>
      <c r="G980" s="32">
        <v>100</v>
      </c>
      <c r="H980" s="40">
        <v>600</v>
      </c>
      <c r="I980" s="32">
        <v>695</v>
      </c>
      <c r="J980" s="32">
        <v>50</v>
      </c>
      <c r="K980" s="33"/>
      <c r="L980" s="33"/>
      <c r="M980" s="33"/>
      <c r="N980" s="33"/>
      <c r="O980" s="33"/>
      <c r="P980" s="33"/>
      <c r="Q980" s="33"/>
      <c r="R980" s="33"/>
      <c r="S980" s="33"/>
      <c r="T980" s="33"/>
    </row>
    <row r="981" spans="1:20" ht="15.75">
      <c r="A981" s="13">
        <v>71741</v>
      </c>
      <c r="B981" s="41">
        <f t="shared" si="6"/>
        <v>31</v>
      </c>
      <c r="C981" s="32">
        <v>194.20500000000001</v>
      </c>
      <c r="D981" s="32">
        <v>267.46600000000001</v>
      </c>
      <c r="E981" s="38">
        <v>812.32899999999995</v>
      </c>
      <c r="F981" s="32">
        <v>1274</v>
      </c>
      <c r="G981" s="32">
        <v>75</v>
      </c>
      <c r="H981" s="40">
        <v>600</v>
      </c>
      <c r="I981" s="32">
        <v>695</v>
      </c>
      <c r="J981" s="32">
        <v>50</v>
      </c>
      <c r="K981" s="33"/>
      <c r="L981" s="33"/>
      <c r="M981" s="33"/>
      <c r="N981" s="33"/>
      <c r="O981" s="33"/>
      <c r="P981" s="33"/>
      <c r="Q981" s="33"/>
      <c r="R981" s="33"/>
      <c r="S981" s="33"/>
      <c r="T981" s="33"/>
    </row>
    <row r="982" spans="1:20" ht="15.75">
      <c r="A982" s="13">
        <v>71771</v>
      </c>
      <c r="B982" s="41">
        <f t="shared" si="6"/>
        <v>30</v>
      </c>
      <c r="C982" s="32">
        <v>194.20500000000001</v>
      </c>
      <c r="D982" s="32">
        <v>267.46600000000001</v>
      </c>
      <c r="E982" s="38">
        <v>812.32899999999995</v>
      </c>
      <c r="F982" s="32">
        <v>1274</v>
      </c>
      <c r="G982" s="32">
        <v>50</v>
      </c>
      <c r="H982" s="40">
        <v>600</v>
      </c>
      <c r="I982" s="32">
        <v>695</v>
      </c>
      <c r="J982" s="32">
        <v>50</v>
      </c>
      <c r="K982" s="33"/>
      <c r="L982" s="33"/>
      <c r="M982" s="33"/>
      <c r="N982" s="33"/>
      <c r="O982" s="33"/>
      <c r="P982" s="33"/>
      <c r="Q982" s="33"/>
      <c r="R982" s="33"/>
      <c r="S982" s="33"/>
      <c r="T982" s="33"/>
    </row>
    <row r="983" spans="1:20" ht="15.75">
      <c r="A983" s="13">
        <v>71802</v>
      </c>
      <c r="B983" s="41">
        <f t="shared" si="6"/>
        <v>31</v>
      </c>
      <c r="C983" s="32">
        <v>194.20500000000001</v>
      </c>
      <c r="D983" s="32">
        <v>267.46600000000001</v>
      </c>
      <c r="E983" s="38">
        <v>812.32899999999995</v>
      </c>
      <c r="F983" s="32">
        <v>1274</v>
      </c>
      <c r="G983" s="32">
        <v>50</v>
      </c>
      <c r="H983" s="40">
        <v>600</v>
      </c>
      <c r="I983" s="32">
        <v>695</v>
      </c>
      <c r="J983" s="32">
        <v>0</v>
      </c>
      <c r="K983" s="33"/>
      <c r="L983" s="33"/>
      <c r="M983" s="33"/>
      <c r="N983" s="33"/>
      <c r="O983" s="33"/>
      <c r="P983" s="33"/>
      <c r="Q983" s="33"/>
      <c r="R983" s="33"/>
      <c r="S983" s="33"/>
      <c r="T983" s="33"/>
    </row>
    <row r="984" spans="1:20" ht="15.75">
      <c r="A984" s="13">
        <v>71833</v>
      </c>
      <c r="B984" s="41">
        <f t="shared" si="6"/>
        <v>31</v>
      </c>
      <c r="C984" s="32">
        <v>194.20500000000001</v>
      </c>
      <c r="D984" s="32">
        <v>267.46600000000001</v>
      </c>
      <c r="E984" s="38">
        <v>812.32899999999995</v>
      </c>
      <c r="F984" s="32">
        <v>1274</v>
      </c>
      <c r="G984" s="32">
        <v>50</v>
      </c>
      <c r="H984" s="40">
        <v>600</v>
      </c>
      <c r="I984" s="32">
        <v>695</v>
      </c>
      <c r="J984" s="32">
        <v>0</v>
      </c>
      <c r="K984" s="33"/>
      <c r="L984" s="33"/>
      <c r="M984" s="33"/>
      <c r="N984" s="33"/>
      <c r="O984" s="33"/>
      <c r="P984" s="33"/>
      <c r="Q984" s="33"/>
      <c r="R984" s="33"/>
      <c r="S984" s="33"/>
      <c r="T984" s="33"/>
    </row>
    <row r="985" spans="1:20" ht="15.75">
      <c r="A985" s="13">
        <v>71863</v>
      </c>
      <c r="B985" s="41">
        <f t="shared" si="6"/>
        <v>30</v>
      </c>
      <c r="C985" s="32">
        <v>194.20500000000001</v>
      </c>
      <c r="D985" s="32">
        <v>267.46600000000001</v>
      </c>
      <c r="E985" s="38">
        <v>812.32899999999995</v>
      </c>
      <c r="F985" s="32">
        <v>1274</v>
      </c>
      <c r="G985" s="32">
        <v>50</v>
      </c>
      <c r="H985" s="40">
        <v>600</v>
      </c>
      <c r="I985" s="32">
        <v>695</v>
      </c>
      <c r="J985" s="32">
        <v>0</v>
      </c>
      <c r="K985" s="33"/>
      <c r="L985" s="33"/>
      <c r="M985" s="33"/>
      <c r="N985" s="33"/>
      <c r="O985" s="33"/>
      <c r="P985" s="33"/>
      <c r="Q985" s="33"/>
      <c r="R985" s="33"/>
      <c r="S985" s="33"/>
      <c r="T985" s="33"/>
    </row>
    <row r="986" spans="1:20" ht="15.75">
      <c r="A986" s="13">
        <v>71894</v>
      </c>
      <c r="B986" s="41">
        <f t="shared" si="6"/>
        <v>31</v>
      </c>
      <c r="C986" s="32">
        <v>131.881</v>
      </c>
      <c r="D986" s="32">
        <v>277.16699999999997</v>
      </c>
      <c r="E986" s="38">
        <v>829.952</v>
      </c>
      <c r="F986" s="32">
        <v>1239</v>
      </c>
      <c r="G986" s="32">
        <v>75</v>
      </c>
      <c r="H986" s="40">
        <v>600</v>
      </c>
      <c r="I986" s="32">
        <v>695</v>
      </c>
      <c r="J986" s="32">
        <v>0</v>
      </c>
      <c r="K986" s="33"/>
      <c r="L986" s="33"/>
      <c r="M986" s="33"/>
      <c r="N986" s="33"/>
      <c r="O986" s="33"/>
      <c r="P986" s="33"/>
      <c r="Q986" s="33"/>
      <c r="R986" s="33"/>
      <c r="S986" s="33"/>
      <c r="T986" s="33"/>
    </row>
    <row r="987" spans="1:20" ht="15.75">
      <c r="A987" s="13">
        <v>71924</v>
      </c>
      <c r="B987" s="41">
        <f t="shared" si="6"/>
        <v>30</v>
      </c>
      <c r="C987" s="32">
        <v>122.58</v>
      </c>
      <c r="D987" s="32">
        <v>297.94099999999997</v>
      </c>
      <c r="E987" s="38">
        <v>729.47900000000004</v>
      </c>
      <c r="F987" s="32">
        <v>1150</v>
      </c>
      <c r="G987" s="32">
        <v>100</v>
      </c>
      <c r="H987" s="40">
        <v>600</v>
      </c>
      <c r="I987" s="32">
        <v>695</v>
      </c>
      <c r="J987" s="32">
        <v>50</v>
      </c>
      <c r="K987" s="33"/>
      <c r="L987" s="33"/>
      <c r="M987" s="33"/>
      <c r="N987" s="33"/>
      <c r="O987" s="33"/>
      <c r="P987" s="33"/>
      <c r="Q987" s="33"/>
      <c r="R987" s="33"/>
      <c r="S987" s="33"/>
      <c r="T987" s="33"/>
    </row>
    <row r="988" spans="1:20" ht="15.75">
      <c r="A988" s="13">
        <v>71955</v>
      </c>
      <c r="B988" s="41">
        <f t="shared" si="6"/>
        <v>31</v>
      </c>
      <c r="C988" s="32">
        <v>122.58</v>
      </c>
      <c r="D988" s="32">
        <v>297.94099999999997</v>
      </c>
      <c r="E988" s="38">
        <v>729.47900000000004</v>
      </c>
      <c r="F988" s="32">
        <v>1150</v>
      </c>
      <c r="G988" s="32">
        <v>100</v>
      </c>
      <c r="H988" s="40">
        <v>600</v>
      </c>
      <c r="I988" s="32">
        <v>695</v>
      </c>
      <c r="J988" s="32">
        <v>50</v>
      </c>
      <c r="K988" s="33"/>
      <c r="L988" s="33"/>
      <c r="M988" s="33"/>
      <c r="N988" s="33"/>
      <c r="O988" s="33"/>
      <c r="P988" s="33"/>
      <c r="Q988" s="33"/>
      <c r="R988" s="33"/>
      <c r="S988" s="33"/>
      <c r="T988" s="33"/>
    </row>
    <row r="989" spans="1:20" ht="15.75">
      <c r="A989" s="13">
        <v>71986</v>
      </c>
      <c r="B989" s="41">
        <f t="shared" si="6"/>
        <v>31</v>
      </c>
      <c r="C989" s="32">
        <v>122.58</v>
      </c>
      <c r="D989" s="32">
        <v>297.94099999999997</v>
      </c>
      <c r="E989" s="38">
        <v>729.47900000000004</v>
      </c>
      <c r="F989" s="32">
        <v>1150</v>
      </c>
      <c r="G989" s="32">
        <v>100</v>
      </c>
      <c r="H989" s="40">
        <v>600</v>
      </c>
      <c r="I989" s="32">
        <v>695</v>
      </c>
      <c r="J989" s="32">
        <v>50</v>
      </c>
      <c r="K989" s="33"/>
      <c r="L989" s="33"/>
      <c r="M989" s="33"/>
      <c r="N989" s="33"/>
      <c r="O989" s="33"/>
      <c r="P989" s="33"/>
      <c r="Q989" s="33"/>
      <c r="R989" s="33"/>
      <c r="S989" s="33"/>
      <c r="T989" s="33"/>
    </row>
    <row r="990" spans="1:20" ht="15.75">
      <c r="A990" s="13">
        <v>72014</v>
      </c>
      <c r="B990" s="41">
        <f t="shared" si="6"/>
        <v>28</v>
      </c>
      <c r="C990" s="32">
        <v>122.58</v>
      </c>
      <c r="D990" s="32">
        <v>297.94099999999997</v>
      </c>
      <c r="E990" s="38">
        <v>729.47900000000004</v>
      </c>
      <c r="F990" s="32">
        <v>1150</v>
      </c>
      <c r="G990" s="32">
        <v>100</v>
      </c>
      <c r="H990" s="40">
        <v>600</v>
      </c>
      <c r="I990" s="32">
        <v>695</v>
      </c>
      <c r="J990" s="32">
        <v>50</v>
      </c>
      <c r="K990" s="33"/>
      <c r="L990" s="33"/>
      <c r="M990" s="33"/>
      <c r="N990" s="33"/>
      <c r="O990" s="33"/>
      <c r="P990" s="33"/>
      <c r="Q990" s="33"/>
      <c r="R990" s="33"/>
      <c r="S990" s="33"/>
      <c r="T990" s="33"/>
    </row>
    <row r="991" spans="1:20" ht="15.75">
      <c r="A991" s="13">
        <v>72045</v>
      </c>
      <c r="B991" s="41">
        <f t="shared" si="6"/>
        <v>31</v>
      </c>
      <c r="C991" s="32">
        <v>122.58</v>
      </c>
      <c r="D991" s="32">
        <v>297.94099999999997</v>
      </c>
      <c r="E991" s="38">
        <v>729.47900000000004</v>
      </c>
      <c r="F991" s="32">
        <v>1150</v>
      </c>
      <c r="G991" s="32">
        <v>100</v>
      </c>
      <c r="H991" s="40">
        <v>600</v>
      </c>
      <c r="I991" s="32">
        <v>695</v>
      </c>
      <c r="J991" s="32">
        <v>50</v>
      </c>
      <c r="K991" s="33"/>
      <c r="L991" s="33"/>
      <c r="M991" s="33"/>
      <c r="N991" s="33"/>
      <c r="O991" s="33"/>
      <c r="P991" s="33"/>
      <c r="Q991" s="33"/>
      <c r="R991" s="33"/>
      <c r="S991" s="33"/>
      <c r="T991" s="33"/>
    </row>
    <row r="992" spans="1:20" ht="15.75">
      <c r="A992" s="13">
        <v>72075</v>
      </c>
      <c r="B992" s="41">
        <f t="shared" si="6"/>
        <v>30</v>
      </c>
      <c r="C992" s="32">
        <v>141.29300000000001</v>
      </c>
      <c r="D992" s="32">
        <v>267.99299999999999</v>
      </c>
      <c r="E992" s="38">
        <v>829.71400000000006</v>
      </c>
      <c r="F992" s="32">
        <v>1239</v>
      </c>
      <c r="G992" s="32">
        <v>100</v>
      </c>
      <c r="H992" s="40">
        <v>600</v>
      </c>
      <c r="I992" s="32">
        <v>695</v>
      </c>
      <c r="J992" s="32">
        <v>50</v>
      </c>
      <c r="K992" s="33"/>
      <c r="L992" s="33"/>
      <c r="M992" s="33"/>
      <c r="N992" s="33"/>
      <c r="O992" s="33"/>
      <c r="P992" s="33"/>
      <c r="Q992" s="33"/>
      <c r="R992" s="33"/>
      <c r="S992" s="33"/>
      <c r="T992" s="33"/>
    </row>
    <row r="993" spans="1:20" ht="15.75">
      <c r="A993" s="13">
        <v>72106</v>
      </c>
      <c r="B993" s="41">
        <f t="shared" si="6"/>
        <v>31</v>
      </c>
      <c r="C993" s="32">
        <v>194.20500000000001</v>
      </c>
      <c r="D993" s="32">
        <v>267.46600000000001</v>
      </c>
      <c r="E993" s="38">
        <v>812.32899999999995</v>
      </c>
      <c r="F993" s="32">
        <v>1274</v>
      </c>
      <c r="G993" s="32">
        <v>75</v>
      </c>
      <c r="H993" s="40">
        <v>600</v>
      </c>
      <c r="I993" s="32">
        <v>695</v>
      </c>
      <c r="J993" s="32">
        <v>50</v>
      </c>
      <c r="K993" s="33"/>
      <c r="L993" s="33"/>
      <c r="M993" s="33"/>
      <c r="N993" s="33"/>
      <c r="O993" s="33"/>
      <c r="P993" s="33"/>
      <c r="Q993" s="33"/>
      <c r="R993" s="33"/>
      <c r="S993" s="33"/>
      <c r="T993" s="33"/>
    </row>
    <row r="994" spans="1:20" ht="15.75">
      <c r="A994" s="13">
        <v>72136</v>
      </c>
      <c r="B994" s="41">
        <f t="shared" si="6"/>
        <v>30</v>
      </c>
      <c r="C994" s="32">
        <v>194.20500000000001</v>
      </c>
      <c r="D994" s="32">
        <v>267.46600000000001</v>
      </c>
      <c r="E994" s="38">
        <v>812.32899999999995</v>
      </c>
      <c r="F994" s="32">
        <v>1274</v>
      </c>
      <c r="G994" s="32">
        <v>50</v>
      </c>
      <c r="H994" s="40">
        <v>600</v>
      </c>
      <c r="I994" s="32">
        <v>695</v>
      </c>
      <c r="J994" s="32">
        <v>50</v>
      </c>
      <c r="K994" s="33"/>
      <c r="L994" s="33"/>
      <c r="M994" s="33"/>
      <c r="N994" s="33"/>
      <c r="O994" s="33"/>
      <c r="P994" s="33"/>
      <c r="Q994" s="33"/>
      <c r="R994" s="33"/>
      <c r="S994" s="33"/>
      <c r="T994" s="33"/>
    </row>
    <row r="995" spans="1:20" ht="15.75">
      <c r="A995" s="13">
        <v>72167</v>
      </c>
      <c r="B995" s="41">
        <f t="shared" si="6"/>
        <v>31</v>
      </c>
      <c r="C995" s="32">
        <v>194.20500000000001</v>
      </c>
      <c r="D995" s="32">
        <v>267.46600000000001</v>
      </c>
      <c r="E995" s="38">
        <v>812.32899999999995</v>
      </c>
      <c r="F995" s="32">
        <v>1274</v>
      </c>
      <c r="G995" s="32">
        <v>50</v>
      </c>
      <c r="H995" s="40">
        <v>600</v>
      </c>
      <c r="I995" s="32">
        <v>695</v>
      </c>
      <c r="J995" s="32">
        <v>0</v>
      </c>
      <c r="K995" s="33"/>
      <c r="L995" s="33"/>
      <c r="M995" s="33"/>
      <c r="N995" s="33"/>
      <c r="O995" s="33"/>
      <c r="P995" s="33"/>
      <c r="Q995" s="33"/>
      <c r="R995" s="33"/>
      <c r="S995" s="33"/>
      <c r="T995" s="33"/>
    </row>
    <row r="996" spans="1:20" ht="15.75">
      <c r="A996" s="13">
        <v>72198</v>
      </c>
      <c r="B996" s="41">
        <f t="shared" si="6"/>
        <v>31</v>
      </c>
      <c r="C996" s="32">
        <v>194.20500000000001</v>
      </c>
      <c r="D996" s="32">
        <v>267.46600000000001</v>
      </c>
      <c r="E996" s="38">
        <v>812.32899999999995</v>
      </c>
      <c r="F996" s="32">
        <v>1274</v>
      </c>
      <c r="G996" s="32">
        <v>50</v>
      </c>
      <c r="H996" s="40">
        <v>600</v>
      </c>
      <c r="I996" s="32">
        <v>695</v>
      </c>
      <c r="J996" s="32">
        <v>0</v>
      </c>
      <c r="K996" s="33"/>
      <c r="L996" s="33"/>
      <c r="M996" s="33"/>
      <c r="N996" s="33"/>
      <c r="O996" s="33"/>
      <c r="P996" s="33"/>
      <c r="Q996" s="33"/>
      <c r="R996" s="33"/>
      <c r="S996" s="33"/>
      <c r="T996" s="33"/>
    </row>
    <row r="997" spans="1:20" ht="15.75">
      <c r="A997" s="13">
        <v>72228</v>
      </c>
      <c r="B997" s="41">
        <f t="shared" si="6"/>
        <v>30</v>
      </c>
      <c r="C997" s="32">
        <v>194.20500000000001</v>
      </c>
      <c r="D997" s="32">
        <v>267.46600000000001</v>
      </c>
      <c r="E997" s="38">
        <v>812.32899999999995</v>
      </c>
      <c r="F997" s="32">
        <v>1274</v>
      </c>
      <c r="G997" s="32">
        <v>50</v>
      </c>
      <c r="H997" s="40">
        <v>600</v>
      </c>
      <c r="I997" s="32">
        <v>695</v>
      </c>
      <c r="J997" s="32">
        <v>0</v>
      </c>
      <c r="K997" s="33"/>
      <c r="L997" s="33"/>
      <c r="M997" s="33"/>
      <c r="N997" s="33"/>
      <c r="O997" s="33"/>
      <c r="P997" s="33"/>
      <c r="Q997" s="33"/>
      <c r="R997" s="33"/>
      <c r="S997" s="33"/>
      <c r="T997" s="33"/>
    </row>
    <row r="998" spans="1:20" ht="15.75">
      <c r="A998" s="13">
        <v>72259</v>
      </c>
      <c r="B998" s="41">
        <f t="shared" si="6"/>
        <v>31</v>
      </c>
      <c r="C998" s="32">
        <v>131.881</v>
      </c>
      <c r="D998" s="32">
        <v>277.16699999999997</v>
      </c>
      <c r="E998" s="38">
        <v>829.952</v>
      </c>
      <c r="F998" s="32">
        <v>1239</v>
      </c>
      <c r="G998" s="32">
        <v>75</v>
      </c>
      <c r="H998" s="40">
        <v>600</v>
      </c>
      <c r="I998" s="32">
        <v>695</v>
      </c>
      <c r="J998" s="32">
        <v>0</v>
      </c>
      <c r="K998" s="33"/>
      <c r="L998" s="33"/>
      <c r="M998" s="33"/>
      <c r="N998" s="33"/>
      <c r="O998" s="33"/>
      <c r="P998" s="33"/>
      <c r="Q998" s="33"/>
      <c r="R998" s="33"/>
      <c r="S998" s="33"/>
      <c r="T998" s="33"/>
    </row>
    <row r="999" spans="1:20" ht="15.75">
      <c r="A999" s="13">
        <v>72289</v>
      </c>
      <c r="B999" s="41">
        <f t="shared" si="6"/>
        <v>30</v>
      </c>
      <c r="C999" s="32">
        <v>122.58</v>
      </c>
      <c r="D999" s="32">
        <v>297.94099999999997</v>
      </c>
      <c r="E999" s="38">
        <v>729.47900000000004</v>
      </c>
      <c r="F999" s="32">
        <v>1150</v>
      </c>
      <c r="G999" s="32">
        <v>100</v>
      </c>
      <c r="H999" s="40">
        <v>600</v>
      </c>
      <c r="I999" s="32">
        <v>695</v>
      </c>
      <c r="J999" s="32">
        <v>50</v>
      </c>
      <c r="K999" s="33"/>
      <c r="L999" s="33"/>
      <c r="M999" s="33"/>
      <c r="N999" s="33"/>
      <c r="O999" s="33"/>
      <c r="P999" s="33"/>
      <c r="Q999" s="33"/>
      <c r="R999" s="33"/>
      <c r="S999" s="33"/>
      <c r="T999" s="33"/>
    </row>
    <row r="1000" spans="1:20" ht="15.75">
      <c r="A1000" s="13">
        <v>72320</v>
      </c>
      <c r="B1000" s="41">
        <f t="shared" si="6"/>
        <v>31</v>
      </c>
      <c r="C1000" s="32">
        <v>122.58</v>
      </c>
      <c r="D1000" s="32">
        <v>297.94099999999997</v>
      </c>
      <c r="E1000" s="38">
        <v>729.47900000000004</v>
      </c>
      <c r="F1000" s="32">
        <v>1150</v>
      </c>
      <c r="G1000" s="32">
        <v>100</v>
      </c>
      <c r="H1000" s="40">
        <v>600</v>
      </c>
      <c r="I1000" s="32">
        <v>695</v>
      </c>
      <c r="J1000" s="32">
        <v>50</v>
      </c>
      <c r="K1000" s="33"/>
      <c r="L1000" s="33"/>
      <c r="M1000" s="33"/>
      <c r="N1000" s="33"/>
      <c r="O1000" s="33"/>
      <c r="P1000" s="33"/>
      <c r="Q1000" s="33"/>
      <c r="R1000" s="33"/>
      <c r="S1000" s="33"/>
      <c r="T1000" s="33"/>
    </row>
    <row r="1001" spans="1:20" ht="15.75">
      <c r="A1001" s="13">
        <v>72351</v>
      </c>
      <c r="B1001" s="41">
        <f t="shared" si="6"/>
        <v>31</v>
      </c>
      <c r="C1001" s="32">
        <v>122.58</v>
      </c>
      <c r="D1001" s="32">
        <v>297.94099999999997</v>
      </c>
      <c r="E1001" s="38">
        <v>729.47900000000004</v>
      </c>
      <c r="F1001" s="32">
        <v>1150</v>
      </c>
      <c r="G1001" s="32">
        <v>100</v>
      </c>
      <c r="H1001" s="40">
        <v>600</v>
      </c>
      <c r="I1001" s="32">
        <v>695</v>
      </c>
      <c r="J1001" s="32">
        <v>50</v>
      </c>
      <c r="K1001" s="33"/>
      <c r="L1001" s="33"/>
      <c r="M1001" s="33"/>
      <c r="N1001" s="33"/>
      <c r="O1001" s="33"/>
      <c r="P1001" s="33"/>
      <c r="Q1001" s="33"/>
      <c r="R1001" s="33"/>
      <c r="S1001" s="33"/>
      <c r="T1001" s="33"/>
    </row>
    <row r="1002" spans="1:20" ht="15.75">
      <c r="A1002" s="13">
        <v>72379</v>
      </c>
      <c r="B1002" s="41">
        <f t="shared" si="6"/>
        <v>28</v>
      </c>
      <c r="C1002" s="32">
        <v>122.58</v>
      </c>
      <c r="D1002" s="32">
        <v>297.94099999999997</v>
      </c>
      <c r="E1002" s="38">
        <v>729.47900000000004</v>
      </c>
      <c r="F1002" s="32">
        <v>1150</v>
      </c>
      <c r="G1002" s="32">
        <v>100</v>
      </c>
      <c r="H1002" s="40">
        <v>600</v>
      </c>
      <c r="I1002" s="32">
        <v>695</v>
      </c>
      <c r="J1002" s="32">
        <v>50</v>
      </c>
      <c r="K1002" s="33"/>
      <c r="L1002" s="33"/>
      <c r="M1002" s="33"/>
      <c r="N1002" s="33"/>
      <c r="O1002" s="33"/>
      <c r="P1002" s="33"/>
      <c r="Q1002" s="33"/>
      <c r="R1002" s="33"/>
      <c r="S1002" s="33"/>
      <c r="T1002" s="33"/>
    </row>
    <row r="1003" spans="1:20" ht="15.75">
      <c r="A1003" s="13">
        <v>72410</v>
      </c>
      <c r="B1003" s="41">
        <f t="shared" si="6"/>
        <v>31</v>
      </c>
      <c r="C1003" s="32">
        <v>122.58</v>
      </c>
      <c r="D1003" s="32">
        <v>297.94099999999997</v>
      </c>
      <c r="E1003" s="38">
        <v>729.47900000000004</v>
      </c>
      <c r="F1003" s="32">
        <v>1150</v>
      </c>
      <c r="G1003" s="32">
        <v>100</v>
      </c>
      <c r="H1003" s="40">
        <v>600</v>
      </c>
      <c r="I1003" s="32">
        <v>695</v>
      </c>
      <c r="J1003" s="32">
        <v>50</v>
      </c>
      <c r="K1003" s="33"/>
      <c r="L1003" s="33"/>
      <c r="M1003" s="33"/>
      <c r="N1003" s="33"/>
      <c r="O1003" s="33"/>
      <c r="P1003" s="33"/>
      <c r="Q1003" s="33"/>
      <c r="R1003" s="33"/>
      <c r="S1003" s="33"/>
      <c r="T1003" s="33"/>
    </row>
    <row r="1004" spans="1:20" ht="15.75">
      <c r="A1004" s="13">
        <v>72440</v>
      </c>
      <c r="B1004" s="41">
        <f t="shared" si="6"/>
        <v>30</v>
      </c>
      <c r="C1004" s="32">
        <v>141.29300000000001</v>
      </c>
      <c r="D1004" s="32">
        <v>267.99299999999999</v>
      </c>
      <c r="E1004" s="38">
        <v>829.71400000000006</v>
      </c>
      <c r="F1004" s="32">
        <v>1239</v>
      </c>
      <c r="G1004" s="32">
        <v>100</v>
      </c>
      <c r="H1004" s="40">
        <v>600</v>
      </c>
      <c r="I1004" s="32">
        <v>695</v>
      </c>
      <c r="J1004" s="32">
        <v>50</v>
      </c>
      <c r="K1004" s="33"/>
      <c r="L1004" s="33"/>
      <c r="M1004" s="33"/>
      <c r="N1004" s="33"/>
      <c r="O1004" s="33"/>
      <c r="P1004" s="33"/>
      <c r="Q1004" s="33"/>
      <c r="R1004" s="33"/>
      <c r="S1004" s="33"/>
      <c r="T1004" s="33"/>
    </row>
    <row r="1005" spans="1:20" ht="15.75">
      <c r="A1005" s="13">
        <v>72471</v>
      </c>
      <c r="B1005" s="41">
        <f t="shared" si="6"/>
        <v>31</v>
      </c>
      <c r="C1005" s="32">
        <v>194.20500000000001</v>
      </c>
      <c r="D1005" s="32">
        <v>267.46600000000001</v>
      </c>
      <c r="E1005" s="38">
        <v>812.32899999999995</v>
      </c>
      <c r="F1005" s="32">
        <v>1274</v>
      </c>
      <c r="G1005" s="32">
        <v>75</v>
      </c>
      <c r="H1005" s="40">
        <v>600</v>
      </c>
      <c r="I1005" s="32">
        <v>695</v>
      </c>
      <c r="J1005" s="32">
        <v>50</v>
      </c>
      <c r="K1005" s="33"/>
      <c r="L1005" s="33"/>
      <c r="M1005" s="33"/>
      <c r="N1005" s="33"/>
      <c r="O1005" s="33"/>
      <c r="P1005" s="33"/>
      <c r="Q1005" s="33"/>
      <c r="R1005" s="33"/>
      <c r="S1005" s="33"/>
      <c r="T1005" s="33"/>
    </row>
    <row r="1006" spans="1:20" ht="15.75">
      <c r="A1006" s="13">
        <v>72501</v>
      </c>
      <c r="B1006" s="41">
        <f t="shared" si="6"/>
        <v>30</v>
      </c>
      <c r="C1006" s="32">
        <v>194.20500000000001</v>
      </c>
      <c r="D1006" s="32">
        <v>267.46600000000001</v>
      </c>
      <c r="E1006" s="38">
        <v>812.32899999999995</v>
      </c>
      <c r="F1006" s="32">
        <v>1274</v>
      </c>
      <c r="G1006" s="32">
        <v>50</v>
      </c>
      <c r="H1006" s="40">
        <v>600</v>
      </c>
      <c r="I1006" s="32">
        <v>695</v>
      </c>
      <c r="J1006" s="32">
        <v>50</v>
      </c>
      <c r="K1006" s="33"/>
      <c r="L1006" s="33"/>
      <c r="M1006" s="33"/>
      <c r="N1006" s="33"/>
      <c r="O1006" s="33"/>
      <c r="P1006" s="33"/>
      <c r="Q1006" s="33"/>
      <c r="R1006" s="33"/>
      <c r="S1006" s="33"/>
      <c r="T1006" s="33"/>
    </row>
    <row r="1007" spans="1:20" ht="15.75">
      <c r="A1007" s="13">
        <v>72532</v>
      </c>
      <c r="B1007" s="41">
        <f t="shared" si="6"/>
        <v>31</v>
      </c>
      <c r="C1007" s="32">
        <v>194.20500000000001</v>
      </c>
      <c r="D1007" s="32">
        <v>267.46600000000001</v>
      </c>
      <c r="E1007" s="38">
        <v>812.32899999999995</v>
      </c>
      <c r="F1007" s="32">
        <v>1274</v>
      </c>
      <c r="G1007" s="32">
        <v>50</v>
      </c>
      <c r="H1007" s="40">
        <v>600</v>
      </c>
      <c r="I1007" s="32">
        <v>695</v>
      </c>
      <c r="J1007" s="32">
        <v>0</v>
      </c>
      <c r="K1007" s="33"/>
      <c r="L1007" s="33"/>
      <c r="M1007" s="33"/>
      <c r="N1007" s="33"/>
      <c r="O1007" s="33"/>
      <c r="P1007" s="33"/>
      <c r="Q1007" s="33"/>
      <c r="R1007" s="33"/>
      <c r="S1007" s="33"/>
      <c r="T1007" s="33"/>
    </row>
    <row r="1008" spans="1:20" ht="15.75">
      <c r="A1008" s="13">
        <v>72563</v>
      </c>
      <c r="B1008" s="41">
        <f t="shared" si="6"/>
        <v>31</v>
      </c>
      <c r="C1008" s="32">
        <v>194.20500000000001</v>
      </c>
      <c r="D1008" s="32">
        <v>267.46600000000001</v>
      </c>
      <c r="E1008" s="38">
        <v>812.32899999999995</v>
      </c>
      <c r="F1008" s="32">
        <v>1274</v>
      </c>
      <c r="G1008" s="32">
        <v>50</v>
      </c>
      <c r="H1008" s="40">
        <v>600</v>
      </c>
      <c r="I1008" s="32">
        <v>695</v>
      </c>
      <c r="J1008" s="32">
        <v>0</v>
      </c>
      <c r="K1008" s="33"/>
      <c r="L1008" s="33"/>
      <c r="M1008" s="33"/>
      <c r="N1008" s="33"/>
      <c r="O1008" s="33"/>
      <c r="P1008" s="33"/>
      <c r="Q1008" s="33"/>
      <c r="R1008" s="33"/>
      <c r="S1008" s="33"/>
      <c r="T1008" s="33"/>
    </row>
    <row r="1009" spans="1:20" ht="15.75">
      <c r="A1009" s="13">
        <v>72593</v>
      </c>
      <c r="B1009" s="41">
        <f t="shared" si="6"/>
        <v>30</v>
      </c>
      <c r="C1009" s="32">
        <v>194.20500000000001</v>
      </c>
      <c r="D1009" s="32">
        <v>267.46600000000001</v>
      </c>
      <c r="E1009" s="38">
        <v>812.32899999999995</v>
      </c>
      <c r="F1009" s="32">
        <v>1274</v>
      </c>
      <c r="G1009" s="32">
        <v>50</v>
      </c>
      <c r="H1009" s="40">
        <v>600</v>
      </c>
      <c r="I1009" s="32">
        <v>695</v>
      </c>
      <c r="J1009" s="32">
        <v>0</v>
      </c>
      <c r="K1009" s="33"/>
      <c r="L1009" s="33"/>
      <c r="M1009" s="33"/>
      <c r="N1009" s="33"/>
      <c r="O1009" s="33"/>
      <c r="P1009" s="33"/>
      <c r="Q1009" s="33"/>
      <c r="R1009" s="33"/>
      <c r="S1009" s="33"/>
      <c r="T1009" s="33"/>
    </row>
    <row r="1010" spans="1:20" ht="15.75">
      <c r="A1010" s="13">
        <v>72624</v>
      </c>
      <c r="B1010" s="41">
        <f t="shared" si="6"/>
        <v>31</v>
      </c>
      <c r="C1010" s="32">
        <v>131.881</v>
      </c>
      <c r="D1010" s="32">
        <v>277.16699999999997</v>
      </c>
      <c r="E1010" s="38">
        <v>829.952</v>
      </c>
      <c r="F1010" s="32">
        <v>1239</v>
      </c>
      <c r="G1010" s="32">
        <v>75</v>
      </c>
      <c r="H1010" s="40">
        <v>600</v>
      </c>
      <c r="I1010" s="32">
        <v>695</v>
      </c>
      <c r="J1010" s="32">
        <v>0</v>
      </c>
      <c r="K1010" s="33"/>
      <c r="L1010" s="33"/>
      <c r="M1010" s="33"/>
      <c r="N1010" s="33"/>
      <c r="O1010" s="33"/>
      <c r="P1010" s="33"/>
      <c r="Q1010" s="33"/>
      <c r="R1010" s="33"/>
      <c r="S1010" s="33"/>
      <c r="T1010" s="33"/>
    </row>
    <row r="1011" spans="1:20" ht="15.75">
      <c r="A1011" s="13">
        <v>72654</v>
      </c>
      <c r="B1011" s="41">
        <f t="shared" si="6"/>
        <v>30</v>
      </c>
      <c r="C1011" s="32">
        <v>122.58</v>
      </c>
      <c r="D1011" s="32">
        <v>297.94099999999997</v>
      </c>
      <c r="E1011" s="38">
        <v>729.47900000000004</v>
      </c>
      <c r="F1011" s="32">
        <v>1150</v>
      </c>
      <c r="G1011" s="32">
        <v>100</v>
      </c>
      <c r="H1011" s="40">
        <v>600</v>
      </c>
      <c r="I1011" s="32">
        <v>695</v>
      </c>
      <c r="J1011" s="32">
        <v>50</v>
      </c>
      <c r="K1011" s="33"/>
      <c r="L1011" s="33"/>
      <c r="M1011" s="33"/>
      <c r="N1011" s="33"/>
      <c r="O1011" s="33"/>
      <c r="P1011" s="33"/>
      <c r="Q1011" s="33"/>
      <c r="R1011" s="33"/>
      <c r="S1011" s="33"/>
      <c r="T1011" s="33"/>
    </row>
    <row r="1012" spans="1:20" ht="15.75">
      <c r="A1012" s="13">
        <v>72685</v>
      </c>
      <c r="B1012" s="41">
        <f t="shared" si="6"/>
        <v>31</v>
      </c>
      <c r="C1012" s="32">
        <v>122.58</v>
      </c>
      <c r="D1012" s="32">
        <v>297.94099999999997</v>
      </c>
      <c r="E1012" s="38">
        <v>729.47900000000004</v>
      </c>
      <c r="F1012" s="32">
        <v>1150</v>
      </c>
      <c r="G1012" s="32">
        <v>100</v>
      </c>
      <c r="H1012" s="40">
        <v>600</v>
      </c>
      <c r="I1012" s="32">
        <v>695</v>
      </c>
      <c r="J1012" s="32">
        <v>50</v>
      </c>
      <c r="K1012" s="33"/>
      <c r="L1012" s="33"/>
      <c r="M1012" s="33"/>
      <c r="N1012" s="33"/>
      <c r="O1012" s="33"/>
      <c r="P1012" s="33"/>
      <c r="Q1012" s="33"/>
      <c r="R1012" s="33"/>
      <c r="S1012" s="33"/>
      <c r="T1012" s="33"/>
    </row>
    <row r="1013" spans="1:20" ht="15.75">
      <c r="A1013" s="13">
        <v>72716</v>
      </c>
      <c r="B1013" s="41">
        <f t="shared" si="6"/>
        <v>31</v>
      </c>
      <c r="C1013" s="32">
        <v>122.58</v>
      </c>
      <c r="D1013" s="32">
        <v>297.94099999999997</v>
      </c>
      <c r="E1013" s="38">
        <v>729.47900000000004</v>
      </c>
      <c r="F1013" s="32">
        <v>1150</v>
      </c>
      <c r="G1013" s="32">
        <v>100</v>
      </c>
      <c r="H1013" s="40">
        <v>600</v>
      </c>
      <c r="I1013" s="32">
        <v>695</v>
      </c>
      <c r="J1013" s="32">
        <v>50</v>
      </c>
      <c r="K1013" s="33"/>
      <c r="L1013" s="33"/>
      <c r="M1013" s="33"/>
      <c r="N1013" s="33"/>
      <c r="O1013" s="33"/>
      <c r="P1013" s="33"/>
      <c r="Q1013" s="33"/>
      <c r="R1013" s="33"/>
      <c r="S1013" s="33"/>
      <c r="T1013" s="33"/>
    </row>
    <row r="1014" spans="1:20" ht="15.75">
      <c r="A1014" s="13">
        <v>72744</v>
      </c>
      <c r="B1014" s="41">
        <f t="shared" si="6"/>
        <v>28</v>
      </c>
      <c r="C1014" s="32">
        <v>122.58</v>
      </c>
      <c r="D1014" s="32">
        <v>297.94099999999997</v>
      </c>
      <c r="E1014" s="38">
        <v>729.47900000000004</v>
      </c>
      <c r="F1014" s="32">
        <v>1150</v>
      </c>
      <c r="G1014" s="32">
        <v>100</v>
      </c>
      <c r="H1014" s="40">
        <v>600</v>
      </c>
      <c r="I1014" s="32">
        <v>695</v>
      </c>
      <c r="J1014" s="32">
        <v>50</v>
      </c>
      <c r="K1014" s="33"/>
      <c r="L1014" s="33"/>
      <c r="M1014" s="33"/>
      <c r="N1014" s="33"/>
      <c r="O1014" s="33"/>
      <c r="P1014" s="33"/>
      <c r="Q1014" s="33"/>
      <c r="R1014" s="33"/>
      <c r="S1014" s="33"/>
      <c r="T1014" s="33"/>
    </row>
    <row r="1015" spans="1:20" ht="15.75">
      <c r="A1015" s="13">
        <v>72775</v>
      </c>
      <c r="B1015" s="41">
        <f t="shared" si="6"/>
        <v>31</v>
      </c>
      <c r="C1015" s="32">
        <v>122.58</v>
      </c>
      <c r="D1015" s="32">
        <v>297.94099999999997</v>
      </c>
      <c r="E1015" s="38">
        <v>729.47900000000004</v>
      </c>
      <c r="F1015" s="32">
        <v>1150</v>
      </c>
      <c r="G1015" s="32">
        <v>100</v>
      </c>
      <c r="H1015" s="40">
        <v>600</v>
      </c>
      <c r="I1015" s="32">
        <v>695</v>
      </c>
      <c r="J1015" s="32">
        <v>50</v>
      </c>
      <c r="K1015" s="33"/>
      <c r="L1015" s="33"/>
      <c r="M1015" s="33"/>
      <c r="N1015" s="33"/>
      <c r="O1015" s="33"/>
      <c r="P1015" s="33"/>
      <c r="Q1015" s="33"/>
      <c r="R1015" s="33"/>
      <c r="S1015" s="33"/>
      <c r="T1015" s="33"/>
    </row>
    <row r="1016" spans="1:20" ht="15.75">
      <c r="A1016" s="13">
        <v>72805</v>
      </c>
      <c r="B1016" s="41">
        <f t="shared" si="6"/>
        <v>30</v>
      </c>
      <c r="C1016" s="32">
        <v>141.29300000000001</v>
      </c>
      <c r="D1016" s="32">
        <v>267.99299999999999</v>
      </c>
      <c r="E1016" s="38">
        <v>829.71400000000006</v>
      </c>
      <c r="F1016" s="32">
        <v>1239</v>
      </c>
      <c r="G1016" s="32">
        <v>100</v>
      </c>
      <c r="H1016" s="40">
        <v>600</v>
      </c>
      <c r="I1016" s="32">
        <v>695</v>
      </c>
      <c r="J1016" s="32">
        <v>50</v>
      </c>
      <c r="K1016" s="33"/>
      <c r="L1016" s="33"/>
      <c r="M1016" s="33"/>
      <c r="N1016" s="33"/>
      <c r="O1016" s="33"/>
      <c r="P1016" s="33"/>
      <c r="Q1016" s="33"/>
      <c r="R1016" s="33"/>
      <c r="S1016" s="33"/>
      <c r="T1016" s="33"/>
    </row>
    <row r="1017" spans="1:20" ht="15.75">
      <c r="A1017" s="13">
        <v>72836</v>
      </c>
      <c r="B1017" s="41">
        <f t="shared" ref="B1017:B1036" si="7">EOMONTH(A1017,0)-EOMONTH(A1017,-1)</f>
        <v>31</v>
      </c>
      <c r="C1017" s="32">
        <v>194.20500000000001</v>
      </c>
      <c r="D1017" s="32">
        <v>267.46600000000001</v>
      </c>
      <c r="E1017" s="38">
        <v>812.32899999999995</v>
      </c>
      <c r="F1017" s="32">
        <v>1274</v>
      </c>
      <c r="G1017" s="32">
        <v>75</v>
      </c>
      <c r="H1017" s="40">
        <v>600</v>
      </c>
      <c r="I1017" s="32">
        <v>695</v>
      </c>
      <c r="J1017" s="32">
        <v>50</v>
      </c>
      <c r="K1017" s="33"/>
      <c r="L1017" s="33"/>
      <c r="M1017" s="33"/>
      <c r="N1017" s="33"/>
      <c r="O1017" s="33"/>
      <c r="P1017" s="33"/>
      <c r="Q1017" s="33"/>
      <c r="R1017" s="33"/>
      <c r="S1017" s="33"/>
      <c r="T1017" s="33"/>
    </row>
    <row r="1018" spans="1:20" ht="15.75">
      <c r="A1018" s="13">
        <v>72866</v>
      </c>
      <c r="B1018" s="41">
        <f t="shared" si="7"/>
        <v>30</v>
      </c>
      <c r="C1018" s="32">
        <v>194.20500000000001</v>
      </c>
      <c r="D1018" s="32">
        <v>267.46600000000001</v>
      </c>
      <c r="E1018" s="38">
        <v>812.32899999999995</v>
      </c>
      <c r="F1018" s="32">
        <v>1274</v>
      </c>
      <c r="G1018" s="32">
        <v>50</v>
      </c>
      <c r="H1018" s="40">
        <v>600</v>
      </c>
      <c r="I1018" s="32">
        <v>695</v>
      </c>
      <c r="J1018" s="32">
        <v>50</v>
      </c>
      <c r="K1018" s="33"/>
      <c r="L1018" s="33"/>
      <c r="M1018" s="33"/>
      <c r="N1018" s="33"/>
      <c r="O1018" s="33"/>
      <c r="P1018" s="33"/>
      <c r="Q1018" s="33"/>
      <c r="R1018" s="33"/>
      <c r="S1018" s="33"/>
      <c r="T1018" s="33"/>
    </row>
    <row r="1019" spans="1:20" ht="15.75">
      <c r="A1019" s="13">
        <v>72897</v>
      </c>
      <c r="B1019" s="41">
        <f t="shared" si="7"/>
        <v>31</v>
      </c>
      <c r="C1019" s="32">
        <v>194.20500000000001</v>
      </c>
      <c r="D1019" s="32">
        <v>267.46600000000001</v>
      </c>
      <c r="E1019" s="38">
        <v>812.32899999999995</v>
      </c>
      <c r="F1019" s="32">
        <v>1274</v>
      </c>
      <c r="G1019" s="32">
        <v>50</v>
      </c>
      <c r="H1019" s="40">
        <v>600</v>
      </c>
      <c r="I1019" s="32">
        <v>695</v>
      </c>
      <c r="J1019" s="32">
        <v>0</v>
      </c>
      <c r="K1019" s="33"/>
      <c r="L1019" s="33"/>
      <c r="M1019" s="33"/>
      <c r="N1019" s="33"/>
      <c r="O1019" s="33"/>
      <c r="P1019" s="33"/>
      <c r="Q1019" s="33"/>
      <c r="R1019" s="33"/>
      <c r="S1019" s="33"/>
      <c r="T1019" s="33"/>
    </row>
    <row r="1020" spans="1:20" ht="15.75">
      <c r="A1020" s="13">
        <v>72928</v>
      </c>
      <c r="B1020" s="41">
        <f t="shared" si="7"/>
        <v>31</v>
      </c>
      <c r="C1020" s="32">
        <v>194.20500000000001</v>
      </c>
      <c r="D1020" s="32">
        <v>267.46600000000001</v>
      </c>
      <c r="E1020" s="38">
        <v>812.32899999999995</v>
      </c>
      <c r="F1020" s="32">
        <v>1274</v>
      </c>
      <c r="G1020" s="32">
        <v>50</v>
      </c>
      <c r="H1020" s="40">
        <v>600</v>
      </c>
      <c r="I1020" s="32">
        <v>695</v>
      </c>
      <c r="J1020" s="32">
        <v>0</v>
      </c>
      <c r="K1020" s="33"/>
      <c r="L1020" s="33"/>
      <c r="M1020" s="33"/>
      <c r="N1020" s="33"/>
      <c r="O1020" s="33"/>
      <c r="P1020" s="33"/>
      <c r="Q1020" s="33"/>
      <c r="R1020" s="33"/>
      <c r="S1020" s="33"/>
      <c r="T1020" s="33"/>
    </row>
    <row r="1021" spans="1:20" ht="15.75">
      <c r="A1021" s="13">
        <v>72958</v>
      </c>
      <c r="B1021" s="41">
        <f t="shared" si="7"/>
        <v>30</v>
      </c>
      <c r="C1021" s="32">
        <v>194.20500000000001</v>
      </c>
      <c r="D1021" s="32">
        <v>267.46600000000001</v>
      </c>
      <c r="E1021" s="38">
        <v>812.32899999999995</v>
      </c>
      <c r="F1021" s="32">
        <v>1274</v>
      </c>
      <c r="G1021" s="32">
        <v>50</v>
      </c>
      <c r="H1021" s="40">
        <v>600</v>
      </c>
      <c r="I1021" s="32">
        <v>695</v>
      </c>
      <c r="J1021" s="32">
        <v>0</v>
      </c>
      <c r="K1021" s="33"/>
      <c r="L1021" s="33"/>
      <c r="M1021" s="33"/>
      <c r="N1021" s="33"/>
      <c r="O1021" s="33"/>
      <c r="P1021" s="33"/>
      <c r="Q1021" s="33"/>
      <c r="R1021" s="33"/>
      <c r="S1021" s="33"/>
      <c r="T1021" s="33"/>
    </row>
    <row r="1022" spans="1:20" ht="15.75">
      <c r="A1022" s="13">
        <v>72989</v>
      </c>
      <c r="B1022" s="41">
        <f t="shared" si="7"/>
        <v>31</v>
      </c>
      <c r="C1022" s="32">
        <v>131.881</v>
      </c>
      <c r="D1022" s="32">
        <v>277.16699999999997</v>
      </c>
      <c r="E1022" s="38">
        <v>829.952</v>
      </c>
      <c r="F1022" s="32">
        <v>1239</v>
      </c>
      <c r="G1022" s="32">
        <v>75</v>
      </c>
      <c r="H1022" s="40">
        <v>600</v>
      </c>
      <c r="I1022" s="32">
        <v>695</v>
      </c>
      <c r="J1022" s="32">
        <v>0</v>
      </c>
      <c r="K1022" s="33"/>
      <c r="L1022" s="33"/>
      <c r="M1022" s="33"/>
      <c r="N1022" s="33"/>
      <c r="O1022" s="33"/>
      <c r="P1022" s="33"/>
      <c r="Q1022" s="33"/>
      <c r="R1022" s="33"/>
      <c r="S1022" s="33"/>
      <c r="T1022" s="33"/>
    </row>
    <row r="1023" spans="1:20" ht="15.75">
      <c r="A1023" s="13">
        <v>73019</v>
      </c>
      <c r="B1023" s="41">
        <f t="shared" si="7"/>
        <v>30</v>
      </c>
      <c r="C1023" s="32">
        <v>122.58</v>
      </c>
      <c r="D1023" s="32">
        <v>297.94099999999997</v>
      </c>
      <c r="E1023" s="38">
        <v>729.47900000000004</v>
      </c>
      <c r="F1023" s="32">
        <v>1150</v>
      </c>
      <c r="G1023" s="32">
        <v>100</v>
      </c>
      <c r="H1023" s="40">
        <v>600</v>
      </c>
      <c r="I1023" s="32">
        <v>695</v>
      </c>
      <c r="J1023" s="32">
        <v>50</v>
      </c>
      <c r="K1023" s="33"/>
      <c r="L1023" s="33"/>
      <c r="M1023" s="33"/>
      <c r="N1023" s="33"/>
      <c r="O1023" s="33"/>
      <c r="P1023" s="33"/>
      <c r="Q1023" s="33"/>
      <c r="R1023" s="33"/>
      <c r="S1023" s="33"/>
      <c r="T1023" s="33"/>
    </row>
    <row r="1024" spans="1:20" ht="15.75">
      <c r="A1024" s="13">
        <v>73050</v>
      </c>
      <c r="B1024" s="41">
        <f t="shared" si="7"/>
        <v>31</v>
      </c>
      <c r="C1024" s="32">
        <v>122.58</v>
      </c>
      <c r="D1024" s="32">
        <v>297.94099999999997</v>
      </c>
      <c r="E1024" s="38">
        <v>729.47900000000004</v>
      </c>
      <c r="F1024" s="32">
        <v>1150</v>
      </c>
      <c r="G1024" s="32">
        <v>100</v>
      </c>
      <c r="H1024" s="40">
        <v>600</v>
      </c>
      <c r="I1024" s="32">
        <v>695</v>
      </c>
      <c r="J1024" s="32">
        <v>50</v>
      </c>
      <c r="K1024" s="33"/>
      <c r="L1024" s="33"/>
      <c r="M1024" s="33"/>
      <c r="N1024" s="33"/>
      <c r="O1024" s="33"/>
      <c r="P1024" s="33"/>
      <c r="Q1024" s="33"/>
      <c r="R1024" s="33"/>
      <c r="S1024" s="33"/>
      <c r="T1024" s="33"/>
    </row>
    <row r="1025" spans="1:20" ht="15.75">
      <c r="A1025" s="13">
        <v>73081</v>
      </c>
      <c r="B1025" s="41">
        <f t="shared" si="7"/>
        <v>31</v>
      </c>
      <c r="C1025" s="32">
        <v>122.58</v>
      </c>
      <c r="D1025" s="32">
        <v>297.94099999999997</v>
      </c>
      <c r="E1025" s="38">
        <v>729.47900000000004</v>
      </c>
      <c r="F1025" s="32">
        <v>1150</v>
      </c>
      <c r="G1025" s="32">
        <v>100</v>
      </c>
      <c r="H1025" s="40">
        <v>600</v>
      </c>
      <c r="I1025" s="32">
        <v>695</v>
      </c>
      <c r="J1025" s="32">
        <v>50</v>
      </c>
      <c r="K1025" s="33"/>
      <c r="L1025" s="33"/>
      <c r="M1025" s="33"/>
      <c r="N1025" s="33"/>
      <c r="O1025" s="33"/>
      <c r="P1025" s="33"/>
      <c r="Q1025" s="33"/>
      <c r="R1025" s="33"/>
      <c r="S1025" s="33"/>
      <c r="T1025" s="33"/>
    </row>
    <row r="1026" spans="1:20" ht="15.75">
      <c r="A1026" s="13">
        <v>73109</v>
      </c>
      <c r="B1026" s="41">
        <f t="shared" si="7"/>
        <v>28</v>
      </c>
      <c r="C1026" s="32">
        <v>122.58</v>
      </c>
      <c r="D1026" s="32">
        <v>297.94099999999997</v>
      </c>
      <c r="E1026" s="38">
        <v>729.47900000000004</v>
      </c>
      <c r="F1026" s="32">
        <v>1150</v>
      </c>
      <c r="G1026" s="32">
        <v>100</v>
      </c>
      <c r="H1026" s="40">
        <v>600</v>
      </c>
      <c r="I1026" s="32">
        <v>695</v>
      </c>
      <c r="J1026" s="32">
        <v>50</v>
      </c>
      <c r="K1026" s="33"/>
      <c r="L1026" s="33"/>
      <c r="M1026" s="33"/>
      <c r="N1026" s="33"/>
      <c r="O1026" s="33"/>
      <c r="P1026" s="33"/>
      <c r="Q1026" s="33"/>
      <c r="R1026" s="33"/>
      <c r="S1026" s="33"/>
      <c r="T1026" s="33"/>
    </row>
    <row r="1027" spans="1:20" ht="15.75">
      <c r="A1027" s="13">
        <v>73140</v>
      </c>
      <c r="B1027" s="41">
        <f t="shared" si="7"/>
        <v>31</v>
      </c>
      <c r="C1027" s="32">
        <v>122.58</v>
      </c>
      <c r="D1027" s="32">
        <v>297.94099999999997</v>
      </c>
      <c r="E1027" s="38">
        <v>729.47900000000004</v>
      </c>
      <c r="F1027" s="32">
        <v>1150</v>
      </c>
      <c r="G1027" s="32">
        <v>100</v>
      </c>
      <c r="H1027" s="40">
        <v>600</v>
      </c>
      <c r="I1027" s="32">
        <v>695</v>
      </c>
      <c r="J1027" s="32">
        <v>50</v>
      </c>
      <c r="K1027" s="33"/>
      <c r="L1027" s="33"/>
      <c r="M1027" s="33"/>
      <c r="N1027" s="33"/>
      <c r="O1027" s="33"/>
      <c r="P1027" s="33"/>
      <c r="Q1027" s="33"/>
      <c r="R1027" s="33"/>
      <c r="S1027" s="33"/>
      <c r="T1027" s="33"/>
    </row>
    <row r="1028" spans="1:20" ht="15.75">
      <c r="A1028" s="13">
        <v>73170</v>
      </c>
      <c r="B1028" s="41">
        <f t="shared" si="7"/>
        <v>30</v>
      </c>
      <c r="C1028" s="32">
        <v>141.29300000000001</v>
      </c>
      <c r="D1028" s="32">
        <v>267.99299999999999</v>
      </c>
      <c r="E1028" s="38">
        <v>829.71400000000006</v>
      </c>
      <c r="F1028" s="32">
        <v>1239</v>
      </c>
      <c r="G1028" s="32">
        <v>100</v>
      </c>
      <c r="H1028" s="40">
        <v>600</v>
      </c>
      <c r="I1028" s="32">
        <v>695</v>
      </c>
      <c r="J1028" s="32">
        <v>50</v>
      </c>
      <c r="K1028" s="33"/>
      <c r="L1028" s="33"/>
      <c r="M1028" s="33"/>
      <c r="N1028" s="33"/>
      <c r="O1028" s="33"/>
      <c r="P1028" s="33"/>
      <c r="Q1028" s="33"/>
      <c r="R1028" s="33"/>
      <c r="S1028" s="33"/>
      <c r="T1028" s="33"/>
    </row>
    <row r="1029" spans="1:20" ht="15.75">
      <c r="A1029" s="13">
        <v>73201</v>
      </c>
      <c r="B1029" s="41">
        <f t="shared" si="7"/>
        <v>31</v>
      </c>
      <c r="C1029" s="32">
        <v>194.20500000000001</v>
      </c>
      <c r="D1029" s="32">
        <v>267.46600000000001</v>
      </c>
      <c r="E1029" s="38">
        <v>812.32899999999995</v>
      </c>
      <c r="F1029" s="32">
        <v>1274</v>
      </c>
      <c r="G1029" s="32">
        <v>75</v>
      </c>
      <c r="H1029" s="40">
        <v>600</v>
      </c>
      <c r="I1029" s="32">
        <v>695</v>
      </c>
      <c r="J1029" s="32">
        <v>50</v>
      </c>
      <c r="K1029" s="33"/>
      <c r="L1029" s="33"/>
      <c r="M1029" s="33"/>
      <c r="N1029" s="33"/>
      <c r="O1029" s="33"/>
      <c r="P1029" s="33"/>
      <c r="Q1029" s="33"/>
      <c r="R1029" s="33"/>
      <c r="S1029" s="33"/>
      <c r="T1029" s="33"/>
    </row>
    <row r="1030" spans="1:20" ht="15.75">
      <c r="A1030" s="13">
        <v>73231</v>
      </c>
      <c r="B1030" s="41">
        <f t="shared" si="7"/>
        <v>30</v>
      </c>
      <c r="C1030" s="32">
        <v>194.20500000000001</v>
      </c>
      <c r="D1030" s="32">
        <v>267.46600000000001</v>
      </c>
      <c r="E1030" s="38">
        <v>812.32899999999995</v>
      </c>
      <c r="F1030" s="32">
        <v>1274</v>
      </c>
      <c r="G1030" s="32">
        <v>50</v>
      </c>
      <c r="H1030" s="40">
        <v>600</v>
      </c>
      <c r="I1030" s="32">
        <v>695</v>
      </c>
      <c r="J1030" s="32">
        <v>50</v>
      </c>
      <c r="K1030" s="33"/>
      <c r="L1030" s="33"/>
      <c r="M1030" s="33"/>
      <c r="N1030" s="33"/>
      <c r="O1030" s="33"/>
      <c r="P1030" s="33"/>
      <c r="Q1030" s="33"/>
      <c r="R1030" s="33"/>
      <c r="S1030" s="33"/>
      <c r="T1030" s="33"/>
    </row>
    <row r="1031" spans="1:20" ht="15.75">
      <c r="A1031" s="13">
        <v>73262</v>
      </c>
      <c r="B1031" s="41">
        <f t="shared" si="7"/>
        <v>31</v>
      </c>
      <c r="C1031" s="32">
        <v>194.20500000000001</v>
      </c>
      <c r="D1031" s="32">
        <v>267.46600000000001</v>
      </c>
      <c r="E1031" s="38">
        <v>812.32899999999995</v>
      </c>
      <c r="F1031" s="32">
        <v>1274</v>
      </c>
      <c r="G1031" s="32">
        <v>50</v>
      </c>
      <c r="H1031" s="40">
        <v>600</v>
      </c>
      <c r="I1031" s="32">
        <v>695</v>
      </c>
      <c r="J1031" s="32">
        <v>0</v>
      </c>
      <c r="K1031" s="33"/>
      <c r="L1031" s="33"/>
      <c r="M1031" s="33"/>
      <c r="N1031" s="33"/>
      <c r="O1031" s="33"/>
      <c r="P1031" s="33"/>
      <c r="Q1031" s="33"/>
      <c r="R1031" s="33"/>
      <c r="S1031" s="33"/>
      <c r="T1031" s="33"/>
    </row>
    <row r="1032" spans="1:20" ht="15.75">
      <c r="A1032" s="13">
        <v>73293</v>
      </c>
      <c r="B1032" s="41">
        <f t="shared" si="7"/>
        <v>31</v>
      </c>
      <c r="C1032" s="32">
        <v>194.20500000000001</v>
      </c>
      <c r="D1032" s="32">
        <v>267.46600000000001</v>
      </c>
      <c r="E1032" s="38">
        <v>812.32899999999995</v>
      </c>
      <c r="F1032" s="32">
        <v>1274</v>
      </c>
      <c r="G1032" s="32">
        <v>50</v>
      </c>
      <c r="H1032" s="40">
        <v>600</v>
      </c>
      <c r="I1032" s="32">
        <v>695</v>
      </c>
      <c r="J1032" s="32">
        <v>0</v>
      </c>
      <c r="K1032" s="33"/>
      <c r="L1032" s="33"/>
      <c r="M1032" s="33"/>
      <c r="N1032" s="33"/>
      <c r="O1032" s="33"/>
      <c r="P1032" s="33"/>
      <c r="Q1032" s="33"/>
      <c r="R1032" s="33"/>
      <c r="S1032" s="33"/>
      <c r="T1032" s="33"/>
    </row>
    <row r="1033" spans="1:20" ht="15.75">
      <c r="A1033" s="13">
        <v>73323</v>
      </c>
      <c r="B1033" s="41">
        <f t="shared" si="7"/>
        <v>30</v>
      </c>
      <c r="C1033" s="32">
        <v>194.20500000000001</v>
      </c>
      <c r="D1033" s="32">
        <v>267.46600000000001</v>
      </c>
      <c r="E1033" s="38">
        <v>812.32899999999995</v>
      </c>
      <c r="F1033" s="32">
        <v>1274</v>
      </c>
      <c r="G1033" s="32">
        <v>50</v>
      </c>
      <c r="H1033" s="40">
        <v>600</v>
      </c>
      <c r="I1033" s="32">
        <v>695</v>
      </c>
      <c r="J1033" s="32">
        <v>0</v>
      </c>
      <c r="K1033" s="33"/>
      <c r="L1033" s="33"/>
      <c r="M1033" s="33"/>
      <c r="N1033" s="33"/>
      <c r="O1033" s="33"/>
      <c r="P1033" s="33"/>
      <c r="Q1033" s="33"/>
      <c r="R1033" s="33"/>
      <c r="S1033" s="33"/>
      <c r="T1033" s="33"/>
    </row>
    <row r="1034" spans="1:20" ht="15.75">
      <c r="A1034" s="13">
        <v>73354</v>
      </c>
      <c r="B1034" s="41">
        <f t="shared" si="7"/>
        <v>31</v>
      </c>
      <c r="C1034" s="32">
        <v>131.881</v>
      </c>
      <c r="D1034" s="32">
        <v>277.16699999999997</v>
      </c>
      <c r="E1034" s="38">
        <v>829.952</v>
      </c>
      <c r="F1034" s="32">
        <v>1239</v>
      </c>
      <c r="G1034" s="32">
        <v>75</v>
      </c>
      <c r="H1034" s="40">
        <v>600</v>
      </c>
      <c r="I1034" s="32">
        <v>695</v>
      </c>
      <c r="J1034" s="32">
        <v>0</v>
      </c>
      <c r="K1034" s="33"/>
      <c r="L1034" s="33"/>
      <c r="M1034" s="33"/>
      <c r="N1034" s="33"/>
      <c r="O1034" s="33"/>
      <c r="P1034" s="33"/>
      <c r="Q1034" s="33"/>
      <c r="R1034" s="33"/>
      <c r="S1034" s="33"/>
      <c r="T1034" s="33"/>
    </row>
    <row r="1035" spans="1:20" ht="15.75">
      <c r="A1035" s="13">
        <v>73384</v>
      </c>
      <c r="B1035" s="41">
        <f t="shared" si="7"/>
        <v>30</v>
      </c>
      <c r="C1035" s="32">
        <v>122.58</v>
      </c>
      <c r="D1035" s="32">
        <v>297.94099999999997</v>
      </c>
      <c r="E1035" s="38">
        <v>729.47900000000004</v>
      </c>
      <c r="F1035" s="32">
        <v>1150</v>
      </c>
      <c r="G1035" s="32">
        <v>100</v>
      </c>
      <c r="H1035" s="40">
        <v>600</v>
      </c>
      <c r="I1035" s="32">
        <v>695</v>
      </c>
      <c r="J1035" s="32">
        <v>50</v>
      </c>
      <c r="K1035" s="33"/>
      <c r="L1035" s="33"/>
      <c r="M1035" s="33"/>
      <c r="N1035" s="33"/>
      <c r="O1035" s="33"/>
      <c r="P1035" s="33"/>
      <c r="Q1035" s="33"/>
      <c r="R1035" s="33"/>
      <c r="S1035" s="33"/>
      <c r="T1035" s="33"/>
    </row>
    <row r="1036" spans="1:20" ht="15.75">
      <c r="A1036" s="13">
        <v>73415</v>
      </c>
      <c r="B1036" s="41">
        <f t="shared" si="7"/>
        <v>31</v>
      </c>
      <c r="C1036" s="32">
        <v>122.58</v>
      </c>
      <c r="D1036" s="32">
        <v>297.94099999999997</v>
      </c>
      <c r="E1036" s="38">
        <v>729.47900000000004</v>
      </c>
      <c r="F1036" s="32">
        <v>1150</v>
      </c>
      <c r="G1036" s="32">
        <v>100</v>
      </c>
      <c r="H1036" s="40">
        <v>600</v>
      </c>
      <c r="I1036" s="32">
        <v>695</v>
      </c>
      <c r="J1036" s="32">
        <v>50</v>
      </c>
      <c r="K1036" s="33"/>
      <c r="L1036" s="33"/>
      <c r="M1036" s="33"/>
      <c r="N1036" s="33"/>
      <c r="O1036" s="33"/>
      <c r="P1036" s="33"/>
      <c r="Q1036" s="33"/>
      <c r="R1036" s="33"/>
      <c r="S1036" s="33"/>
      <c r="T1036" s="33"/>
    </row>
    <row r="1037" spans="1:20" ht="15">
      <c r="A1037" s="10"/>
      <c r="B1037" s="39"/>
      <c r="C1037" s="32"/>
      <c r="D1037" s="32"/>
      <c r="E1037" s="38"/>
      <c r="F1037" s="32"/>
      <c r="G1037" s="32"/>
      <c r="H1037" s="32"/>
      <c r="I1037" s="32"/>
      <c r="J1037" s="32"/>
      <c r="K1037" s="33"/>
      <c r="L1037" s="33"/>
      <c r="M1037" s="33"/>
      <c r="N1037" s="33"/>
      <c r="O1037" s="33"/>
      <c r="P1037" s="33"/>
      <c r="Q1037" s="33"/>
      <c r="R1037" s="33"/>
      <c r="S1037" s="33"/>
      <c r="T1037" s="33"/>
    </row>
    <row r="1038" spans="1:20" ht="15.75">
      <c r="A1038" s="3">
        <v>2016</v>
      </c>
      <c r="B1038" s="3">
        <f t="shared" ref="B1038:B1069" si="8">DATE(A1038+1,1,1)-DATE(A1038,1,1)</f>
        <v>366</v>
      </c>
      <c r="C1038" s="35">
        <f>AVERAGE(C17:C28)</f>
        <v>154.75825</v>
      </c>
      <c r="D1038" s="35">
        <f>AVERAGE(D17:D28)</f>
        <v>281.0162499999999</v>
      </c>
      <c r="E1038" s="35">
        <f>AVERAGE(E17:E28)</f>
        <v>840.72549999999967</v>
      </c>
      <c r="F1038" s="35">
        <f>AVERAGE(F17:F28)</f>
        <v>1276.5</v>
      </c>
      <c r="G1038" s="35">
        <f>AVERAGE(G17:G28)</f>
        <v>79.166666666666671</v>
      </c>
      <c r="H1038" s="37"/>
      <c r="I1038" s="35">
        <f>AVERAGE(I17:I28)</f>
        <v>695</v>
      </c>
      <c r="J1038" s="35">
        <f>AVERAGE(J17:J28)</f>
        <v>33.333333333333336</v>
      </c>
      <c r="K1038" s="33"/>
      <c r="L1038" s="33"/>
      <c r="M1038" s="33"/>
      <c r="N1038" s="33"/>
      <c r="O1038" s="33"/>
      <c r="P1038" s="33"/>
      <c r="Q1038" s="33"/>
      <c r="R1038" s="33"/>
      <c r="S1038" s="33"/>
      <c r="T1038" s="33"/>
    </row>
    <row r="1039" spans="1:20" ht="15">
      <c r="A1039" s="3">
        <v>2017</v>
      </c>
      <c r="B1039" s="3">
        <f t="shared" si="8"/>
        <v>365</v>
      </c>
      <c r="C1039" s="35">
        <f t="shared" ref="C1039:J1039" si="9">AVERAGE(C29:C40)</f>
        <v>154.75825</v>
      </c>
      <c r="D1039" s="35">
        <f t="shared" si="9"/>
        <v>281.0162499999999</v>
      </c>
      <c r="E1039" s="35">
        <f t="shared" si="9"/>
        <v>780.7254999999999</v>
      </c>
      <c r="F1039" s="35">
        <f t="shared" si="9"/>
        <v>1216.5</v>
      </c>
      <c r="G1039" s="35">
        <f t="shared" si="9"/>
        <v>79.166666666666671</v>
      </c>
      <c r="H1039" s="36">
        <f t="shared" si="9"/>
        <v>400</v>
      </c>
      <c r="I1039" s="35">
        <f t="shared" si="9"/>
        <v>695</v>
      </c>
      <c r="J1039" s="35">
        <f t="shared" si="9"/>
        <v>33.333333333333336</v>
      </c>
      <c r="K1039" s="33"/>
      <c r="L1039" s="33"/>
      <c r="M1039" s="33"/>
      <c r="N1039" s="33"/>
      <c r="O1039" s="33"/>
      <c r="P1039" s="33"/>
      <c r="Q1039" s="33"/>
      <c r="R1039" s="33"/>
      <c r="S1039" s="33"/>
      <c r="T1039" s="33"/>
    </row>
    <row r="1040" spans="1:20" ht="15">
      <c r="A1040" s="3">
        <v>2018</v>
      </c>
      <c r="B1040" s="3">
        <f t="shared" si="8"/>
        <v>365</v>
      </c>
      <c r="C1040" s="35">
        <f t="shared" ref="C1040:J1040" si="10">AVERAGE(C41:C52)</f>
        <v>154.75825</v>
      </c>
      <c r="D1040" s="35">
        <f t="shared" si="10"/>
        <v>281.0162499999999</v>
      </c>
      <c r="E1040" s="35">
        <f t="shared" si="10"/>
        <v>780.7254999999999</v>
      </c>
      <c r="F1040" s="35">
        <f t="shared" si="10"/>
        <v>1216.5</v>
      </c>
      <c r="G1040" s="35">
        <f t="shared" si="10"/>
        <v>79.166666666666671</v>
      </c>
      <c r="H1040" s="36">
        <f t="shared" si="10"/>
        <v>400</v>
      </c>
      <c r="I1040" s="35">
        <f t="shared" si="10"/>
        <v>695</v>
      </c>
      <c r="J1040" s="35">
        <f t="shared" si="10"/>
        <v>33.333333333333336</v>
      </c>
      <c r="K1040" s="33"/>
      <c r="L1040" s="33"/>
      <c r="M1040" s="33"/>
      <c r="N1040" s="33"/>
      <c r="O1040" s="33"/>
      <c r="P1040" s="33"/>
      <c r="Q1040" s="33"/>
      <c r="R1040" s="33"/>
      <c r="S1040" s="33"/>
      <c r="T1040" s="33"/>
    </row>
    <row r="1041" spans="1:20" ht="15">
      <c r="A1041" s="3">
        <v>2019</v>
      </c>
      <c r="B1041" s="3">
        <f t="shared" si="8"/>
        <v>365</v>
      </c>
      <c r="C1041" s="35">
        <f t="shared" ref="C1041:J1041" si="11">AVERAGE(C53:C64)</f>
        <v>154.75825</v>
      </c>
      <c r="D1041" s="35">
        <f t="shared" si="11"/>
        <v>281.0162499999999</v>
      </c>
      <c r="E1041" s="35">
        <f t="shared" si="11"/>
        <v>780.7254999999999</v>
      </c>
      <c r="F1041" s="35">
        <f t="shared" si="11"/>
        <v>1216.5</v>
      </c>
      <c r="G1041" s="35">
        <f t="shared" si="11"/>
        <v>79.166666666666671</v>
      </c>
      <c r="H1041" s="36">
        <f t="shared" si="11"/>
        <v>400</v>
      </c>
      <c r="I1041" s="35">
        <f t="shared" si="11"/>
        <v>695</v>
      </c>
      <c r="J1041" s="35">
        <f t="shared" si="11"/>
        <v>33.333333333333336</v>
      </c>
      <c r="K1041" s="33"/>
      <c r="L1041" s="33"/>
      <c r="M1041" s="33"/>
      <c r="N1041" s="33"/>
      <c r="O1041" s="33"/>
      <c r="P1041" s="33"/>
      <c r="Q1041" s="33"/>
      <c r="R1041" s="33"/>
      <c r="S1041" s="33"/>
      <c r="T1041" s="33"/>
    </row>
    <row r="1042" spans="1:20" ht="15">
      <c r="A1042" s="3">
        <v>2020</v>
      </c>
      <c r="B1042" s="3">
        <f t="shared" si="8"/>
        <v>366</v>
      </c>
      <c r="C1042" s="35">
        <f t="shared" ref="C1042:J1042" si="12">AVERAGE(C65:C76)</f>
        <v>154.75825</v>
      </c>
      <c r="D1042" s="35">
        <f t="shared" si="12"/>
        <v>281.0162499999999</v>
      </c>
      <c r="E1042" s="35">
        <f t="shared" si="12"/>
        <v>780.7254999999999</v>
      </c>
      <c r="F1042" s="35">
        <f t="shared" si="12"/>
        <v>1216.5</v>
      </c>
      <c r="G1042" s="35">
        <f t="shared" si="12"/>
        <v>79.166666666666671</v>
      </c>
      <c r="H1042" s="36">
        <f t="shared" si="12"/>
        <v>533.33333333333337</v>
      </c>
      <c r="I1042" s="35">
        <f t="shared" si="12"/>
        <v>695</v>
      </c>
      <c r="J1042" s="35">
        <f t="shared" si="12"/>
        <v>33.333333333333336</v>
      </c>
      <c r="K1042" s="33"/>
      <c r="L1042" s="33"/>
      <c r="M1042" s="33"/>
      <c r="N1042" s="33"/>
      <c r="O1042" s="33"/>
      <c r="P1042" s="33"/>
      <c r="Q1042" s="33"/>
      <c r="R1042" s="33"/>
      <c r="S1042" s="33"/>
      <c r="T1042" s="33"/>
    </row>
    <row r="1043" spans="1:20" ht="15">
      <c r="A1043" s="3">
        <v>2021</v>
      </c>
      <c r="B1043" s="3">
        <f t="shared" si="8"/>
        <v>365</v>
      </c>
      <c r="C1043" s="35">
        <f t="shared" ref="C1043:J1043" si="13">AVERAGE(C77:C88)</f>
        <v>154.75825</v>
      </c>
      <c r="D1043" s="35">
        <f t="shared" si="13"/>
        <v>281.0162499999999</v>
      </c>
      <c r="E1043" s="35">
        <f t="shared" si="13"/>
        <v>780.7254999999999</v>
      </c>
      <c r="F1043" s="35">
        <f t="shared" si="13"/>
        <v>1216.5</v>
      </c>
      <c r="G1043" s="35">
        <f t="shared" si="13"/>
        <v>79.166666666666671</v>
      </c>
      <c r="H1043" s="36">
        <f t="shared" si="13"/>
        <v>600</v>
      </c>
      <c r="I1043" s="35">
        <f t="shared" si="13"/>
        <v>695</v>
      </c>
      <c r="J1043" s="35">
        <f t="shared" si="13"/>
        <v>33.333333333333336</v>
      </c>
      <c r="K1043" s="33"/>
      <c r="L1043" s="33"/>
      <c r="M1043" s="33"/>
      <c r="N1043" s="33"/>
      <c r="O1043" s="33"/>
      <c r="P1043" s="33"/>
      <c r="Q1043" s="33"/>
      <c r="R1043" s="33"/>
      <c r="S1043" s="33"/>
      <c r="T1043" s="33"/>
    </row>
    <row r="1044" spans="1:20" ht="15">
      <c r="A1044" s="3">
        <v>2022</v>
      </c>
      <c r="B1044" s="3">
        <f t="shared" si="8"/>
        <v>365</v>
      </c>
      <c r="C1044" s="35">
        <f t="shared" ref="C1044:J1044" si="14">AVERAGE(C89:C100)</f>
        <v>154.75825</v>
      </c>
      <c r="D1044" s="35">
        <f t="shared" si="14"/>
        <v>281.0162499999999</v>
      </c>
      <c r="E1044" s="35">
        <f t="shared" si="14"/>
        <v>780.7254999999999</v>
      </c>
      <c r="F1044" s="35">
        <f t="shared" si="14"/>
        <v>1216.5</v>
      </c>
      <c r="G1044" s="35">
        <f t="shared" si="14"/>
        <v>79.166666666666671</v>
      </c>
      <c r="H1044" s="36">
        <f t="shared" si="14"/>
        <v>600</v>
      </c>
      <c r="I1044" s="35">
        <f t="shared" si="14"/>
        <v>695</v>
      </c>
      <c r="J1044" s="35">
        <f t="shared" si="14"/>
        <v>33.333333333333336</v>
      </c>
      <c r="K1044" s="33"/>
      <c r="L1044" s="33"/>
      <c r="M1044" s="33"/>
      <c r="N1044" s="33"/>
      <c r="O1044" s="33"/>
      <c r="P1044" s="33"/>
      <c r="Q1044" s="33"/>
      <c r="R1044" s="33"/>
      <c r="S1044" s="33"/>
      <c r="T1044" s="33"/>
    </row>
    <row r="1045" spans="1:20" ht="15">
      <c r="A1045" s="3">
        <v>2023</v>
      </c>
      <c r="B1045" s="3">
        <f t="shared" si="8"/>
        <v>365</v>
      </c>
      <c r="C1045" s="35">
        <f t="shared" ref="C1045:J1045" si="15">AVERAGE(C101:C112)</f>
        <v>154.75825</v>
      </c>
      <c r="D1045" s="35">
        <f t="shared" si="15"/>
        <v>281.0162499999999</v>
      </c>
      <c r="E1045" s="35">
        <f t="shared" si="15"/>
        <v>780.7254999999999</v>
      </c>
      <c r="F1045" s="35">
        <f t="shared" si="15"/>
        <v>1216.5</v>
      </c>
      <c r="G1045" s="35">
        <f t="shared" si="15"/>
        <v>79.166666666666671</v>
      </c>
      <c r="H1045" s="36">
        <f t="shared" si="15"/>
        <v>600</v>
      </c>
      <c r="I1045" s="35">
        <f t="shared" si="15"/>
        <v>695</v>
      </c>
      <c r="J1045" s="35">
        <f t="shared" si="15"/>
        <v>33.333333333333336</v>
      </c>
      <c r="K1045" s="33"/>
      <c r="L1045" s="33"/>
      <c r="M1045" s="33"/>
      <c r="N1045" s="33"/>
      <c r="O1045" s="33"/>
      <c r="P1045" s="33"/>
      <c r="Q1045" s="33"/>
      <c r="R1045" s="33"/>
      <c r="S1045" s="33"/>
      <c r="T1045" s="33"/>
    </row>
    <row r="1046" spans="1:20" ht="15">
      <c r="A1046" s="3">
        <v>2024</v>
      </c>
      <c r="B1046" s="3">
        <f t="shared" si="8"/>
        <v>366</v>
      </c>
      <c r="C1046" s="35">
        <f t="shared" ref="C1046:J1046" si="16">AVERAGE(C113:C124)</f>
        <v>154.75825</v>
      </c>
      <c r="D1046" s="35">
        <f t="shared" si="16"/>
        <v>281.0162499999999</v>
      </c>
      <c r="E1046" s="35">
        <f t="shared" si="16"/>
        <v>780.7254999999999</v>
      </c>
      <c r="F1046" s="35">
        <f t="shared" si="16"/>
        <v>1216.5</v>
      </c>
      <c r="G1046" s="35">
        <f t="shared" si="16"/>
        <v>79.166666666666671</v>
      </c>
      <c r="H1046" s="36">
        <f t="shared" si="16"/>
        <v>600</v>
      </c>
      <c r="I1046" s="35">
        <f t="shared" si="16"/>
        <v>695</v>
      </c>
      <c r="J1046" s="35">
        <f t="shared" si="16"/>
        <v>33.333333333333336</v>
      </c>
      <c r="K1046" s="33"/>
      <c r="L1046" s="33"/>
      <c r="M1046" s="33"/>
      <c r="N1046" s="33"/>
      <c r="O1046" s="33"/>
      <c r="P1046" s="33"/>
      <c r="Q1046" s="33"/>
      <c r="R1046" s="33"/>
      <c r="S1046" s="33"/>
      <c r="T1046" s="33"/>
    </row>
    <row r="1047" spans="1:20" ht="15">
      <c r="A1047" s="3">
        <v>2025</v>
      </c>
      <c r="B1047" s="3">
        <f t="shared" si="8"/>
        <v>365</v>
      </c>
      <c r="C1047" s="35">
        <f t="shared" ref="C1047:J1047" si="17">AVERAGE(C125:C136)</f>
        <v>154.75825</v>
      </c>
      <c r="D1047" s="35">
        <f t="shared" si="17"/>
        <v>281.0162499999999</v>
      </c>
      <c r="E1047" s="35">
        <f t="shared" si="17"/>
        <v>780.7254999999999</v>
      </c>
      <c r="F1047" s="35">
        <f t="shared" si="17"/>
        <v>1216.5</v>
      </c>
      <c r="G1047" s="35">
        <f t="shared" si="17"/>
        <v>79.166666666666671</v>
      </c>
      <c r="H1047" s="36">
        <f t="shared" si="17"/>
        <v>600</v>
      </c>
      <c r="I1047" s="35">
        <f t="shared" si="17"/>
        <v>695</v>
      </c>
      <c r="J1047" s="35">
        <f t="shared" si="17"/>
        <v>33.333333333333336</v>
      </c>
      <c r="K1047" s="33"/>
      <c r="L1047" s="33"/>
      <c r="M1047" s="33"/>
      <c r="N1047" s="33"/>
      <c r="O1047" s="33"/>
      <c r="P1047" s="33"/>
      <c r="Q1047" s="33"/>
      <c r="R1047" s="33"/>
      <c r="S1047" s="33"/>
      <c r="T1047" s="33"/>
    </row>
    <row r="1048" spans="1:20" ht="15">
      <c r="A1048" s="3">
        <v>2026</v>
      </c>
      <c r="B1048" s="3">
        <f t="shared" si="8"/>
        <v>365</v>
      </c>
      <c r="C1048" s="35">
        <f t="shared" ref="C1048:J1048" si="18">AVERAGE(C137:C148)</f>
        <v>154.75825</v>
      </c>
      <c r="D1048" s="35">
        <f t="shared" si="18"/>
        <v>281.0162499999999</v>
      </c>
      <c r="E1048" s="35">
        <f t="shared" si="18"/>
        <v>780.7254999999999</v>
      </c>
      <c r="F1048" s="35">
        <f t="shared" si="18"/>
        <v>1216.5</v>
      </c>
      <c r="G1048" s="35">
        <f t="shared" si="18"/>
        <v>79.166666666666671</v>
      </c>
      <c r="H1048" s="36">
        <f t="shared" si="18"/>
        <v>600</v>
      </c>
      <c r="I1048" s="35">
        <f t="shared" si="18"/>
        <v>695</v>
      </c>
      <c r="J1048" s="35">
        <f t="shared" si="18"/>
        <v>33.333333333333336</v>
      </c>
      <c r="K1048" s="33"/>
      <c r="L1048" s="33"/>
      <c r="M1048" s="33"/>
      <c r="N1048" s="33"/>
      <c r="O1048" s="33"/>
      <c r="P1048" s="33"/>
      <c r="Q1048" s="33"/>
      <c r="R1048" s="33"/>
      <c r="S1048" s="33"/>
      <c r="T1048" s="33"/>
    </row>
    <row r="1049" spans="1:20" ht="15">
      <c r="A1049" s="3">
        <v>2027</v>
      </c>
      <c r="B1049" s="3">
        <f t="shared" si="8"/>
        <v>365</v>
      </c>
      <c r="C1049" s="35">
        <f t="shared" ref="C1049:J1049" si="19">AVERAGE(C149:C160)</f>
        <v>154.75825</v>
      </c>
      <c r="D1049" s="35">
        <f t="shared" si="19"/>
        <v>281.0162499999999</v>
      </c>
      <c r="E1049" s="35">
        <f t="shared" si="19"/>
        <v>780.7254999999999</v>
      </c>
      <c r="F1049" s="35">
        <f t="shared" si="19"/>
        <v>1216.5</v>
      </c>
      <c r="G1049" s="35">
        <f t="shared" si="19"/>
        <v>79.166666666666671</v>
      </c>
      <c r="H1049" s="36">
        <f t="shared" si="19"/>
        <v>600</v>
      </c>
      <c r="I1049" s="35">
        <f t="shared" si="19"/>
        <v>695</v>
      </c>
      <c r="J1049" s="35">
        <f t="shared" si="19"/>
        <v>33.333333333333336</v>
      </c>
      <c r="K1049" s="33"/>
      <c r="L1049" s="33"/>
      <c r="M1049" s="33"/>
      <c r="N1049" s="33"/>
      <c r="O1049" s="33"/>
      <c r="P1049" s="33"/>
      <c r="Q1049" s="33"/>
      <c r="R1049" s="33"/>
      <c r="S1049" s="33"/>
      <c r="T1049" s="33"/>
    </row>
    <row r="1050" spans="1:20" ht="15">
      <c r="A1050" s="3">
        <v>2028</v>
      </c>
      <c r="B1050" s="3">
        <f t="shared" si="8"/>
        <v>366</v>
      </c>
      <c r="C1050" s="35">
        <f t="shared" ref="C1050:J1050" si="20">AVERAGE(C161:C172)</f>
        <v>154.75825</v>
      </c>
      <c r="D1050" s="35">
        <f t="shared" si="20"/>
        <v>281.0162499999999</v>
      </c>
      <c r="E1050" s="35">
        <f t="shared" si="20"/>
        <v>780.7254999999999</v>
      </c>
      <c r="F1050" s="35">
        <f t="shared" si="20"/>
        <v>1216.5</v>
      </c>
      <c r="G1050" s="35">
        <f t="shared" si="20"/>
        <v>79.166666666666671</v>
      </c>
      <c r="H1050" s="36">
        <f t="shared" si="20"/>
        <v>600</v>
      </c>
      <c r="I1050" s="35">
        <f t="shared" si="20"/>
        <v>695</v>
      </c>
      <c r="J1050" s="35">
        <f t="shared" si="20"/>
        <v>33.333333333333336</v>
      </c>
      <c r="K1050" s="33"/>
      <c r="L1050" s="33"/>
      <c r="M1050" s="33"/>
      <c r="N1050" s="33"/>
      <c r="O1050" s="33"/>
      <c r="P1050" s="33"/>
      <c r="Q1050" s="33"/>
      <c r="R1050" s="33"/>
      <c r="S1050" s="33"/>
      <c r="T1050" s="33"/>
    </row>
    <row r="1051" spans="1:20" ht="15">
      <c r="A1051" s="3">
        <v>2029</v>
      </c>
      <c r="B1051" s="3">
        <f t="shared" si="8"/>
        <v>365</v>
      </c>
      <c r="C1051" s="35">
        <f t="shared" ref="C1051:J1051" si="21">AVERAGE(C173:C184)</f>
        <v>154.75825</v>
      </c>
      <c r="D1051" s="35">
        <f t="shared" si="21"/>
        <v>281.0162499999999</v>
      </c>
      <c r="E1051" s="35">
        <f t="shared" si="21"/>
        <v>780.7254999999999</v>
      </c>
      <c r="F1051" s="35">
        <f t="shared" si="21"/>
        <v>1216.5</v>
      </c>
      <c r="G1051" s="35">
        <f t="shared" si="21"/>
        <v>79.166666666666671</v>
      </c>
      <c r="H1051" s="36">
        <f t="shared" si="21"/>
        <v>600</v>
      </c>
      <c r="I1051" s="35">
        <f t="shared" si="21"/>
        <v>695</v>
      </c>
      <c r="J1051" s="35">
        <f t="shared" si="21"/>
        <v>33.333333333333336</v>
      </c>
      <c r="K1051" s="33"/>
      <c r="L1051" s="33"/>
      <c r="M1051" s="33"/>
      <c r="N1051" s="33"/>
      <c r="O1051" s="33"/>
      <c r="P1051" s="33"/>
      <c r="Q1051" s="33"/>
      <c r="R1051" s="33"/>
      <c r="S1051" s="33"/>
      <c r="T1051" s="33"/>
    </row>
    <row r="1052" spans="1:20" ht="15">
      <c r="A1052" s="3">
        <v>2030</v>
      </c>
      <c r="B1052" s="3">
        <f t="shared" si="8"/>
        <v>365</v>
      </c>
      <c r="C1052" s="35">
        <f t="shared" ref="C1052:J1052" si="22">AVERAGE(C185:C196)</f>
        <v>154.75825</v>
      </c>
      <c r="D1052" s="35">
        <f t="shared" si="22"/>
        <v>281.0162499999999</v>
      </c>
      <c r="E1052" s="35">
        <f t="shared" si="22"/>
        <v>780.7254999999999</v>
      </c>
      <c r="F1052" s="35">
        <f t="shared" si="22"/>
        <v>1216.5</v>
      </c>
      <c r="G1052" s="35">
        <f t="shared" si="22"/>
        <v>79.166666666666671</v>
      </c>
      <c r="H1052" s="36">
        <f t="shared" si="22"/>
        <v>600</v>
      </c>
      <c r="I1052" s="35">
        <f t="shared" si="22"/>
        <v>695</v>
      </c>
      <c r="J1052" s="35">
        <f t="shared" si="22"/>
        <v>33.333333333333336</v>
      </c>
      <c r="K1052" s="33"/>
      <c r="L1052" s="33"/>
      <c r="M1052" s="33"/>
      <c r="N1052" s="33"/>
      <c r="O1052" s="33"/>
      <c r="P1052" s="33"/>
      <c r="Q1052" s="33"/>
      <c r="R1052" s="33"/>
      <c r="S1052" s="33"/>
      <c r="T1052" s="33"/>
    </row>
    <row r="1053" spans="1:20" ht="15">
      <c r="A1053" s="3">
        <v>2031</v>
      </c>
      <c r="B1053" s="3">
        <f t="shared" si="8"/>
        <v>365</v>
      </c>
      <c r="C1053" s="35">
        <f t="shared" ref="C1053:J1053" si="23">AVERAGE(C197:C208)</f>
        <v>154.75825</v>
      </c>
      <c r="D1053" s="35">
        <f t="shared" si="23"/>
        <v>281.0162499999999</v>
      </c>
      <c r="E1053" s="35">
        <f t="shared" si="23"/>
        <v>780.7254999999999</v>
      </c>
      <c r="F1053" s="35">
        <f t="shared" si="23"/>
        <v>1216.5</v>
      </c>
      <c r="G1053" s="35">
        <f t="shared" si="23"/>
        <v>79.166666666666671</v>
      </c>
      <c r="H1053" s="36">
        <f t="shared" si="23"/>
        <v>600</v>
      </c>
      <c r="I1053" s="35">
        <f t="shared" si="23"/>
        <v>695</v>
      </c>
      <c r="J1053" s="35">
        <f t="shared" si="23"/>
        <v>33.333333333333336</v>
      </c>
      <c r="K1053" s="33"/>
      <c r="L1053" s="33"/>
      <c r="M1053" s="33"/>
      <c r="N1053" s="33"/>
      <c r="O1053" s="33"/>
      <c r="P1053" s="33"/>
      <c r="Q1053" s="33"/>
      <c r="R1053" s="33"/>
      <c r="S1053" s="33"/>
      <c r="T1053" s="33"/>
    </row>
    <row r="1054" spans="1:20" ht="15">
      <c r="A1054" s="3">
        <v>2032</v>
      </c>
      <c r="B1054" s="3">
        <f t="shared" si="8"/>
        <v>366</v>
      </c>
      <c r="C1054" s="35">
        <f t="shared" ref="C1054:J1054" si="24">AVERAGE(C209:C220)</f>
        <v>154.75825</v>
      </c>
      <c r="D1054" s="35">
        <f t="shared" si="24"/>
        <v>281.0162499999999</v>
      </c>
      <c r="E1054" s="35">
        <f t="shared" si="24"/>
        <v>780.7254999999999</v>
      </c>
      <c r="F1054" s="35">
        <f t="shared" si="24"/>
        <v>1216.5</v>
      </c>
      <c r="G1054" s="35">
        <f t="shared" si="24"/>
        <v>79.166666666666671</v>
      </c>
      <c r="H1054" s="36">
        <f t="shared" si="24"/>
        <v>600</v>
      </c>
      <c r="I1054" s="35">
        <f t="shared" si="24"/>
        <v>695</v>
      </c>
      <c r="J1054" s="35">
        <f t="shared" si="24"/>
        <v>33.333333333333336</v>
      </c>
      <c r="K1054" s="33"/>
      <c r="L1054" s="33"/>
      <c r="M1054" s="33"/>
      <c r="N1054" s="33"/>
      <c r="O1054" s="33"/>
      <c r="P1054" s="33"/>
      <c r="Q1054" s="33"/>
      <c r="R1054" s="33"/>
      <c r="S1054" s="33"/>
      <c r="T1054" s="33"/>
    </row>
    <row r="1055" spans="1:20" ht="15">
      <c r="A1055" s="3">
        <v>2033</v>
      </c>
      <c r="B1055" s="3">
        <f t="shared" si="8"/>
        <v>365</v>
      </c>
      <c r="C1055" s="35">
        <f t="shared" ref="C1055:J1055" si="25">AVERAGE(C221:C232)</f>
        <v>154.75825</v>
      </c>
      <c r="D1055" s="35">
        <f t="shared" si="25"/>
        <v>281.0162499999999</v>
      </c>
      <c r="E1055" s="35">
        <f t="shared" si="25"/>
        <v>780.7254999999999</v>
      </c>
      <c r="F1055" s="35">
        <f t="shared" si="25"/>
        <v>1216.5</v>
      </c>
      <c r="G1055" s="35">
        <f t="shared" si="25"/>
        <v>79.166666666666671</v>
      </c>
      <c r="H1055" s="36">
        <f t="shared" si="25"/>
        <v>600</v>
      </c>
      <c r="I1055" s="35">
        <f t="shared" si="25"/>
        <v>695</v>
      </c>
      <c r="J1055" s="35">
        <f t="shared" si="25"/>
        <v>33.333333333333336</v>
      </c>
      <c r="K1055" s="33"/>
      <c r="L1055" s="33"/>
      <c r="M1055" s="33"/>
      <c r="N1055" s="33"/>
      <c r="O1055" s="33"/>
      <c r="P1055" s="33"/>
      <c r="Q1055" s="33"/>
      <c r="R1055" s="33"/>
      <c r="S1055" s="33"/>
      <c r="T1055" s="33"/>
    </row>
    <row r="1056" spans="1:20" ht="15">
      <c r="A1056" s="3">
        <v>2034</v>
      </c>
      <c r="B1056" s="3">
        <f t="shared" si="8"/>
        <v>365</v>
      </c>
      <c r="C1056" s="35">
        <f t="shared" ref="C1056:J1056" si="26">AVERAGE(C233:C244)</f>
        <v>154.75825</v>
      </c>
      <c r="D1056" s="35">
        <f t="shared" si="26"/>
        <v>281.0162499999999</v>
      </c>
      <c r="E1056" s="35">
        <f t="shared" si="26"/>
        <v>780.7254999999999</v>
      </c>
      <c r="F1056" s="35">
        <f t="shared" si="26"/>
        <v>1216.5</v>
      </c>
      <c r="G1056" s="35">
        <f t="shared" si="26"/>
        <v>79.166666666666671</v>
      </c>
      <c r="H1056" s="36">
        <f t="shared" si="26"/>
        <v>600</v>
      </c>
      <c r="I1056" s="35">
        <f t="shared" si="26"/>
        <v>695</v>
      </c>
      <c r="J1056" s="35">
        <f t="shared" si="26"/>
        <v>33.333333333333336</v>
      </c>
      <c r="K1056" s="33"/>
      <c r="L1056" s="33"/>
      <c r="M1056" s="33"/>
      <c r="N1056" s="33"/>
      <c r="O1056" s="33"/>
      <c r="P1056" s="33"/>
      <c r="Q1056" s="33"/>
      <c r="R1056" s="33"/>
      <c r="S1056" s="33"/>
      <c r="T1056" s="33"/>
    </row>
    <row r="1057" spans="1:20" ht="15">
      <c r="A1057" s="3">
        <v>2035</v>
      </c>
      <c r="B1057" s="3">
        <f t="shared" si="8"/>
        <v>365</v>
      </c>
      <c r="C1057" s="35">
        <f t="shared" ref="C1057:J1057" si="27">AVERAGE(C245:C256)</f>
        <v>154.75825</v>
      </c>
      <c r="D1057" s="35">
        <f t="shared" si="27"/>
        <v>281.0162499999999</v>
      </c>
      <c r="E1057" s="35">
        <f t="shared" si="27"/>
        <v>780.7254999999999</v>
      </c>
      <c r="F1057" s="35">
        <f t="shared" si="27"/>
        <v>1216.5</v>
      </c>
      <c r="G1057" s="35">
        <f t="shared" si="27"/>
        <v>79.166666666666671</v>
      </c>
      <c r="H1057" s="36">
        <f t="shared" si="27"/>
        <v>600</v>
      </c>
      <c r="I1057" s="35">
        <f t="shared" si="27"/>
        <v>695</v>
      </c>
      <c r="J1057" s="35">
        <f t="shared" si="27"/>
        <v>33.333333333333336</v>
      </c>
      <c r="K1057" s="33"/>
      <c r="L1057" s="33"/>
      <c r="M1057" s="33"/>
      <c r="N1057" s="33"/>
      <c r="O1057" s="33"/>
      <c r="P1057" s="33"/>
      <c r="Q1057" s="33"/>
      <c r="R1057" s="33"/>
      <c r="S1057" s="33"/>
      <c r="T1057" s="33"/>
    </row>
    <row r="1058" spans="1:20" ht="15">
      <c r="A1058" s="3">
        <v>2036</v>
      </c>
      <c r="B1058" s="3">
        <f t="shared" si="8"/>
        <v>366</v>
      </c>
      <c r="C1058" s="35">
        <f t="shared" ref="C1058:J1058" si="28">AVERAGE(C257:C268)</f>
        <v>154.75825</v>
      </c>
      <c r="D1058" s="35">
        <f t="shared" si="28"/>
        <v>281.0162499999999</v>
      </c>
      <c r="E1058" s="35">
        <f t="shared" si="28"/>
        <v>780.7254999999999</v>
      </c>
      <c r="F1058" s="35">
        <f t="shared" si="28"/>
        <v>1216.5</v>
      </c>
      <c r="G1058" s="35">
        <f t="shared" si="28"/>
        <v>79.166666666666671</v>
      </c>
      <c r="H1058" s="36">
        <f t="shared" si="28"/>
        <v>600</v>
      </c>
      <c r="I1058" s="35">
        <f t="shared" si="28"/>
        <v>695</v>
      </c>
      <c r="J1058" s="35">
        <f t="shared" si="28"/>
        <v>33.333333333333336</v>
      </c>
      <c r="K1058" s="33"/>
      <c r="L1058" s="33"/>
      <c r="M1058" s="33"/>
      <c r="N1058" s="33"/>
      <c r="O1058" s="33"/>
      <c r="P1058" s="33"/>
      <c r="Q1058" s="33"/>
      <c r="R1058" s="33"/>
      <c r="S1058" s="33"/>
      <c r="T1058" s="33"/>
    </row>
    <row r="1059" spans="1:20" ht="15">
      <c r="A1059" s="3">
        <v>2037</v>
      </c>
      <c r="B1059" s="3">
        <f t="shared" si="8"/>
        <v>365</v>
      </c>
      <c r="C1059" s="35">
        <f t="shared" ref="C1059:J1059" si="29">AVERAGE(C269:C280)</f>
        <v>154.75825</v>
      </c>
      <c r="D1059" s="35">
        <f t="shared" si="29"/>
        <v>281.0162499999999</v>
      </c>
      <c r="E1059" s="35">
        <f t="shared" si="29"/>
        <v>780.7254999999999</v>
      </c>
      <c r="F1059" s="35">
        <f t="shared" si="29"/>
        <v>1216.5</v>
      </c>
      <c r="G1059" s="35">
        <f t="shared" si="29"/>
        <v>79.166666666666671</v>
      </c>
      <c r="H1059" s="36">
        <f t="shared" si="29"/>
        <v>600</v>
      </c>
      <c r="I1059" s="35">
        <f t="shared" si="29"/>
        <v>695</v>
      </c>
      <c r="J1059" s="35">
        <f t="shared" si="29"/>
        <v>33.333333333333336</v>
      </c>
      <c r="K1059" s="33"/>
      <c r="L1059" s="33"/>
      <c r="M1059" s="33"/>
      <c r="N1059" s="33"/>
      <c r="O1059" s="33"/>
      <c r="P1059" s="33"/>
      <c r="Q1059" s="33"/>
      <c r="R1059" s="33"/>
      <c r="S1059" s="33"/>
      <c r="T1059" s="33"/>
    </row>
    <row r="1060" spans="1:20" ht="15">
      <c r="A1060" s="3">
        <f t="shared" ref="A1060:A1091" si="30">A1059+1</f>
        <v>2038</v>
      </c>
      <c r="B1060" s="3">
        <f t="shared" si="8"/>
        <v>365</v>
      </c>
      <c r="C1060" s="32">
        <f t="shared" ref="C1060:J1060" si="31">AVERAGE(C281:C292)</f>
        <v>154.75825</v>
      </c>
      <c r="D1060" s="32">
        <f t="shared" si="31"/>
        <v>281.0162499999999</v>
      </c>
      <c r="E1060" s="32">
        <f t="shared" si="31"/>
        <v>780.7254999999999</v>
      </c>
      <c r="F1060" s="32">
        <f t="shared" si="31"/>
        <v>1216.5</v>
      </c>
      <c r="G1060" s="32">
        <f t="shared" si="31"/>
        <v>79.166666666666671</v>
      </c>
      <c r="H1060" s="34">
        <f t="shared" si="31"/>
        <v>600</v>
      </c>
      <c r="I1060" s="32">
        <f t="shared" si="31"/>
        <v>695</v>
      </c>
      <c r="J1060" s="32">
        <f t="shared" si="31"/>
        <v>33.333333333333336</v>
      </c>
      <c r="K1060" s="33"/>
      <c r="L1060" s="33"/>
      <c r="M1060" s="33"/>
      <c r="N1060" s="33"/>
      <c r="O1060" s="33"/>
      <c r="P1060" s="33"/>
      <c r="Q1060" s="33"/>
      <c r="R1060" s="33"/>
      <c r="S1060" s="33"/>
      <c r="T1060" s="33"/>
    </row>
    <row r="1061" spans="1:20" ht="15">
      <c r="A1061" s="3">
        <f t="shared" si="30"/>
        <v>2039</v>
      </c>
      <c r="B1061" s="3">
        <f t="shared" si="8"/>
        <v>365</v>
      </c>
      <c r="C1061" s="32">
        <f t="shared" ref="C1061:J1061" si="32">AVERAGE(C293:C304)</f>
        <v>154.75825</v>
      </c>
      <c r="D1061" s="32">
        <f t="shared" si="32"/>
        <v>281.0162499999999</v>
      </c>
      <c r="E1061" s="32">
        <f t="shared" si="32"/>
        <v>780.7254999999999</v>
      </c>
      <c r="F1061" s="32">
        <f t="shared" si="32"/>
        <v>1216.5</v>
      </c>
      <c r="G1061" s="32">
        <f t="shared" si="32"/>
        <v>79.166666666666671</v>
      </c>
      <c r="H1061" s="34">
        <f t="shared" si="32"/>
        <v>600</v>
      </c>
      <c r="I1061" s="32">
        <f t="shared" si="32"/>
        <v>695</v>
      </c>
      <c r="J1061" s="32">
        <f t="shared" si="32"/>
        <v>33.333333333333336</v>
      </c>
      <c r="K1061" s="33"/>
      <c r="L1061" s="33"/>
      <c r="M1061" s="33"/>
      <c r="N1061" s="33"/>
      <c r="O1061" s="33"/>
      <c r="P1061" s="33"/>
      <c r="Q1061" s="33"/>
      <c r="R1061" s="33"/>
      <c r="S1061" s="33"/>
      <c r="T1061" s="33"/>
    </row>
    <row r="1062" spans="1:20" ht="15">
      <c r="A1062" s="3">
        <f t="shared" si="30"/>
        <v>2040</v>
      </c>
      <c r="B1062" s="3">
        <f t="shared" si="8"/>
        <v>366</v>
      </c>
      <c r="C1062" s="32">
        <f t="shared" ref="C1062:J1062" si="33">AVERAGE(C305:C316)</f>
        <v>154.75825</v>
      </c>
      <c r="D1062" s="32">
        <f t="shared" si="33"/>
        <v>281.0162499999999</v>
      </c>
      <c r="E1062" s="32">
        <f t="shared" si="33"/>
        <v>780.7254999999999</v>
      </c>
      <c r="F1062" s="32">
        <f t="shared" si="33"/>
        <v>1216.5</v>
      </c>
      <c r="G1062" s="32">
        <f t="shared" si="33"/>
        <v>79.166666666666671</v>
      </c>
      <c r="H1062" s="34">
        <f t="shared" si="33"/>
        <v>600</v>
      </c>
      <c r="I1062" s="32">
        <f t="shared" si="33"/>
        <v>695</v>
      </c>
      <c r="J1062" s="32">
        <f t="shared" si="33"/>
        <v>33.333333333333336</v>
      </c>
      <c r="K1062" s="33"/>
      <c r="L1062" s="33"/>
      <c r="M1062" s="33"/>
      <c r="N1062" s="33"/>
      <c r="O1062" s="33"/>
      <c r="P1062" s="33"/>
      <c r="Q1062" s="33"/>
      <c r="R1062" s="33"/>
      <c r="S1062" s="33"/>
      <c r="T1062" s="33"/>
    </row>
    <row r="1063" spans="1:20" ht="15">
      <c r="A1063" s="3">
        <f t="shared" si="30"/>
        <v>2041</v>
      </c>
      <c r="B1063" s="3">
        <f t="shared" si="8"/>
        <v>365</v>
      </c>
      <c r="C1063" s="32">
        <f t="shared" ref="C1063:J1063" si="34">AVERAGE(C317:C328)</f>
        <v>154.75825</v>
      </c>
      <c r="D1063" s="32">
        <f t="shared" si="34"/>
        <v>281.0162499999999</v>
      </c>
      <c r="E1063" s="32">
        <f t="shared" si="34"/>
        <v>780.7254999999999</v>
      </c>
      <c r="F1063" s="32">
        <f t="shared" si="34"/>
        <v>1216.5</v>
      </c>
      <c r="G1063" s="32">
        <f t="shared" si="34"/>
        <v>79.166666666666671</v>
      </c>
      <c r="H1063" s="34">
        <f t="shared" si="34"/>
        <v>600</v>
      </c>
      <c r="I1063" s="32">
        <f t="shared" si="34"/>
        <v>695</v>
      </c>
      <c r="J1063" s="32">
        <f t="shared" si="34"/>
        <v>33.333333333333336</v>
      </c>
      <c r="K1063" s="33"/>
      <c r="L1063" s="33"/>
      <c r="M1063" s="33"/>
      <c r="N1063" s="33"/>
      <c r="O1063" s="33"/>
      <c r="P1063" s="33"/>
      <c r="Q1063" s="33"/>
      <c r="R1063" s="33"/>
      <c r="S1063" s="33"/>
      <c r="T1063" s="33"/>
    </row>
    <row r="1064" spans="1:20" ht="15">
      <c r="A1064" s="3">
        <f t="shared" si="30"/>
        <v>2042</v>
      </c>
      <c r="B1064" s="3">
        <f t="shared" si="8"/>
        <v>365</v>
      </c>
      <c r="C1064" s="32">
        <f t="shared" ref="C1064:J1064" si="35">AVERAGE(C329:C340)</f>
        <v>154.75825</v>
      </c>
      <c r="D1064" s="32">
        <f t="shared" si="35"/>
        <v>281.0162499999999</v>
      </c>
      <c r="E1064" s="32">
        <f t="shared" si="35"/>
        <v>780.7254999999999</v>
      </c>
      <c r="F1064" s="32">
        <f t="shared" si="35"/>
        <v>1216.5</v>
      </c>
      <c r="G1064" s="32">
        <f t="shared" si="35"/>
        <v>79.166666666666671</v>
      </c>
      <c r="H1064" s="34">
        <f t="shared" si="35"/>
        <v>600</v>
      </c>
      <c r="I1064" s="32">
        <f t="shared" si="35"/>
        <v>695</v>
      </c>
      <c r="J1064" s="32">
        <f t="shared" si="35"/>
        <v>33.333333333333336</v>
      </c>
      <c r="K1064" s="33"/>
      <c r="L1064" s="33"/>
      <c r="M1064" s="33"/>
      <c r="N1064" s="33"/>
      <c r="O1064" s="33"/>
      <c r="P1064" s="33"/>
      <c r="Q1064" s="33"/>
      <c r="R1064" s="33"/>
      <c r="S1064" s="33"/>
      <c r="T1064" s="33"/>
    </row>
    <row r="1065" spans="1:20" ht="15">
      <c r="A1065" s="3">
        <f t="shared" si="30"/>
        <v>2043</v>
      </c>
      <c r="B1065" s="3">
        <f t="shared" si="8"/>
        <v>365</v>
      </c>
      <c r="C1065" s="32">
        <f t="shared" ref="C1065:J1065" si="36">AVERAGE(C341:C352)</f>
        <v>154.75825</v>
      </c>
      <c r="D1065" s="32">
        <f t="shared" si="36"/>
        <v>281.0162499999999</v>
      </c>
      <c r="E1065" s="32">
        <f t="shared" si="36"/>
        <v>780.7254999999999</v>
      </c>
      <c r="F1065" s="32">
        <f t="shared" si="36"/>
        <v>1216.5</v>
      </c>
      <c r="G1065" s="32">
        <f t="shared" si="36"/>
        <v>79.166666666666671</v>
      </c>
      <c r="H1065" s="34">
        <f t="shared" si="36"/>
        <v>600</v>
      </c>
      <c r="I1065" s="32">
        <f t="shared" si="36"/>
        <v>695</v>
      </c>
      <c r="J1065" s="32">
        <f t="shared" si="36"/>
        <v>33.333333333333336</v>
      </c>
      <c r="K1065" s="33"/>
      <c r="L1065" s="33"/>
      <c r="M1065" s="33"/>
      <c r="N1065" s="33"/>
      <c r="O1065" s="33"/>
      <c r="P1065" s="33"/>
      <c r="Q1065" s="33"/>
      <c r="R1065" s="33"/>
      <c r="S1065" s="33"/>
      <c r="T1065" s="33"/>
    </row>
    <row r="1066" spans="1:20" ht="15">
      <c r="A1066" s="3">
        <f t="shared" si="30"/>
        <v>2044</v>
      </c>
      <c r="B1066" s="3">
        <f t="shared" si="8"/>
        <v>366</v>
      </c>
      <c r="C1066" s="32">
        <f t="shared" ref="C1066:J1066" si="37">AVERAGE(C353:C364)</f>
        <v>154.75825</v>
      </c>
      <c r="D1066" s="32">
        <f t="shared" si="37"/>
        <v>281.0162499999999</v>
      </c>
      <c r="E1066" s="32">
        <f t="shared" si="37"/>
        <v>780.7254999999999</v>
      </c>
      <c r="F1066" s="32">
        <f t="shared" si="37"/>
        <v>1216.5</v>
      </c>
      <c r="G1066" s="32">
        <f t="shared" si="37"/>
        <v>79.166666666666671</v>
      </c>
      <c r="H1066" s="34">
        <f t="shared" si="37"/>
        <v>600</v>
      </c>
      <c r="I1066" s="32">
        <f t="shared" si="37"/>
        <v>695</v>
      </c>
      <c r="J1066" s="32">
        <f t="shared" si="37"/>
        <v>33.333333333333336</v>
      </c>
      <c r="K1066" s="33"/>
      <c r="L1066" s="33"/>
      <c r="M1066" s="33"/>
      <c r="N1066" s="33"/>
      <c r="O1066" s="33"/>
      <c r="P1066" s="33"/>
      <c r="Q1066" s="33"/>
      <c r="R1066" s="33"/>
      <c r="S1066" s="33"/>
      <c r="T1066" s="33"/>
    </row>
    <row r="1067" spans="1:20" ht="15">
      <c r="A1067" s="3">
        <f t="shared" si="30"/>
        <v>2045</v>
      </c>
      <c r="B1067" s="3">
        <f t="shared" si="8"/>
        <v>365</v>
      </c>
      <c r="C1067" s="32">
        <f t="shared" ref="C1067:J1067" si="38">AVERAGE(C365:C376)</f>
        <v>154.75825</v>
      </c>
      <c r="D1067" s="32">
        <f t="shared" si="38"/>
        <v>281.0162499999999</v>
      </c>
      <c r="E1067" s="32">
        <f t="shared" si="38"/>
        <v>780.7254999999999</v>
      </c>
      <c r="F1067" s="32">
        <f t="shared" si="38"/>
        <v>1216.5</v>
      </c>
      <c r="G1067" s="32">
        <f t="shared" si="38"/>
        <v>79.166666666666671</v>
      </c>
      <c r="H1067" s="34">
        <f t="shared" si="38"/>
        <v>600</v>
      </c>
      <c r="I1067" s="32">
        <f t="shared" si="38"/>
        <v>695</v>
      </c>
      <c r="J1067" s="32">
        <f t="shared" si="38"/>
        <v>33.333333333333336</v>
      </c>
      <c r="K1067" s="33"/>
      <c r="L1067" s="33"/>
      <c r="M1067" s="33"/>
      <c r="N1067" s="33"/>
      <c r="O1067" s="33"/>
      <c r="P1067" s="33"/>
      <c r="Q1067" s="33"/>
      <c r="R1067" s="33"/>
      <c r="S1067" s="33"/>
      <c r="T1067" s="33"/>
    </row>
    <row r="1068" spans="1:20" ht="15">
      <c r="A1068" s="3">
        <f t="shared" si="30"/>
        <v>2046</v>
      </c>
      <c r="B1068" s="3">
        <f t="shared" si="8"/>
        <v>365</v>
      </c>
      <c r="C1068" s="32">
        <f t="shared" ref="C1068:J1068" si="39">AVERAGE(C377:C388)</f>
        <v>154.75825</v>
      </c>
      <c r="D1068" s="32">
        <f t="shared" si="39"/>
        <v>281.0162499999999</v>
      </c>
      <c r="E1068" s="32">
        <f t="shared" si="39"/>
        <v>780.7254999999999</v>
      </c>
      <c r="F1068" s="32">
        <f t="shared" si="39"/>
        <v>1216.5</v>
      </c>
      <c r="G1068" s="32">
        <f t="shared" si="39"/>
        <v>79.166666666666671</v>
      </c>
      <c r="H1068" s="34">
        <f t="shared" si="39"/>
        <v>600</v>
      </c>
      <c r="I1068" s="32">
        <f t="shared" si="39"/>
        <v>695</v>
      </c>
      <c r="J1068" s="32">
        <f t="shared" si="39"/>
        <v>33.333333333333336</v>
      </c>
      <c r="K1068" s="33"/>
      <c r="L1068" s="33"/>
      <c r="M1068" s="33"/>
      <c r="N1068" s="33"/>
      <c r="O1068" s="33"/>
      <c r="P1068" s="33"/>
      <c r="Q1068" s="33"/>
      <c r="R1068" s="33"/>
      <c r="S1068" s="33"/>
      <c r="T1068" s="33"/>
    </row>
    <row r="1069" spans="1:20" ht="15">
      <c r="A1069" s="3">
        <f t="shared" si="30"/>
        <v>2047</v>
      </c>
      <c r="B1069" s="3">
        <f t="shared" si="8"/>
        <v>365</v>
      </c>
      <c r="C1069" s="32">
        <f t="shared" ref="C1069:J1069" si="40">AVERAGE(C389:C400)</f>
        <v>154.75825</v>
      </c>
      <c r="D1069" s="32">
        <f t="shared" si="40"/>
        <v>281.0162499999999</v>
      </c>
      <c r="E1069" s="32">
        <f t="shared" si="40"/>
        <v>780.7254999999999</v>
      </c>
      <c r="F1069" s="32">
        <f t="shared" si="40"/>
        <v>1216.5</v>
      </c>
      <c r="G1069" s="32">
        <f t="shared" si="40"/>
        <v>79.166666666666671</v>
      </c>
      <c r="H1069" s="34">
        <f t="shared" si="40"/>
        <v>600</v>
      </c>
      <c r="I1069" s="32">
        <f t="shared" si="40"/>
        <v>695</v>
      </c>
      <c r="J1069" s="32">
        <f t="shared" si="40"/>
        <v>33.333333333333336</v>
      </c>
      <c r="K1069" s="33"/>
      <c r="L1069" s="33"/>
      <c r="M1069" s="33"/>
      <c r="N1069" s="33"/>
      <c r="O1069" s="33"/>
      <c r="P1069" s="33"/>
      <c r="Q1069" s="33"/>
      <c r="R1069" s="33"/>
      <c r="S1069" s="33"/>
      <c r="T1069" s="33"/>
    </row>
    <row r="1070" spans="1:20" ht="15">
      <c r="A1070" s="3">
        <f t="shared" si="30"/>
        <v>2048</v>
      </c>
      <c r="B1070" s="3">
        <f t="shared" ref="B1070:B1101" si="41">DATE(A1070+1,1,1)-DATE(A1070,1,1)</f>
        <v>366</v>
      </c>
      <c r="C1070" s="32">
        <f t="shared" ref="C1070:J1070" si="42">AVERAGE(C401:C412)</f>
        <v>154.75825</v>
      </c>
      <c r="D1070" s="32">
        <f t="shared" si="42"/>
        <v>281.0162499999999</v>
      </c>
      <c r="E1070" s="32">
        <f t="shared" si="42"/>
        <v>780.7254999999999</v>
      </c>
      <c r="F1070" s="32">
        <f t="shared" si="42"/>
        <v>1216.5</v>
      </c>
      <c r="G1070" s="32">
        <f t="shared" si="42"/>
        <v>79.166666666666671</v>
      </c>
      <c r="H1070" s="34">
        <f t="shared" si="42"/>
        <v>600</v>
      </c>
      <c r="I1070" s="32">
        <f t="shared" si="42"/>
        <v>695</v>
      </c>
      <c r="J1070" s="32">
        <f t="shared" si="42"/>
        <v>33.333333333333336</v>
      </c>
      <c r="K1070" s="33"/>
      <c r="L1070" s="33"/>
      <c r="M1070" s="33"/>
      <c r="N1070" s="33"/>
      <c r="O1070" s="33"/>
      <c r="P1070" s="33"/>
      <c r="Q1070" s="33"/>
      <c r="R1070" s="33"/>
      <c r="S1070" s="33"/>
      <c r="T1070" s="33"/>
    </row>
    <row r="1071" spans="1:20" ht="15">
      <c r="A1071" s="3">
        <f t="shared" si="30"/>
        <v>2049</v>
      </c>
      <c r="B1071" s="3">
        <f t="shared" si="41"/>
        <v>365</v>
      </c>
      <c r="C1071" s="32">
        <f t="shared" ref="C1071:J1071" si="43">AVERAGE(C413:C424)</f>
        <v>154.75825</v>
      </c>
      <c r="D1071" s="32">
        <f t="shared" si="43"/>
        <v>281.0162499999999</v>
      </c>
      <c r="E1071" s="32">
        <f t="shared" si="43"/>
        <v>780.7254999999999</v>
      </c>
      <c r="F1071" s="32">
        <f t="shared" si="43"/>
        <v>1216.5</v>
      </c>
      <c r="G1071" s="32">
        <f t="shared" si="43"/>
        <v>79.166666666666671</v>
      </c>
      <c r="H1071" s="34">
        <f t="shared" si="43"/>
        <v>600</v>
      </c>
      <c r="I1071" s="32">
        <f t="shared" si="43"/>
        <v>695</v>
      </c>
      <c r="J1071" s="32">
        <f t="shared" si="43"/>
        <v>33.333333333333336</v>
      </c>
      <c r="K1071" s="33"/>
      <c r="L1071" s="33"/>
      <c r="M1071" s="33"/>
      <c r="N1071" s="33"/>
      <c r="O1071" s="33"/>
      <c r="P1071" s="33"/>
      <c r="Q1071" s="33"/>
      <c r="R1071" s="33"/>
      <c r="S1071" s="33"/>
      <c r="T1071" s="33"/>
    </row>
    <row r="1072" spans="1:20" ht="15">
      <c r="A1072" s="3">
        <f t="shared" si="30"/>
        <v>2050</v>
      </c>
      <c r="B1072" s="3">
        <f t="shared" si="41"/>
        <v>365</v>
      </c>
      <c r="C1072" s="32">
        <f t="shared" ref="C1072:J1072" si="44">AVERAGE(C425:C436)</f>
        <v>154.75825</v>
      </c>
      <c r="D1072" s="32">
        <f t="shared" si="44"/>
        <v>281.0162499999999</v>
      </c>
      <c r="E1072" s="32">
        <f t="shared" si="44"/>
        <v>780.7254999999999</v>
      </c>
      <c r="F1072" s="32">
        <f t="shared" si="44"/>
        <v>1216.5</v>
      </c>
      <c r="G1072" s="32">
        <f t="shared" si="44"/>
        <v>79.166666666666671</v>
      </c>
      <c r="H1072" s="34">
        <f t="shared" si="44"/>
        <v>600</v>
      </c>
      <c r="I1072" s="32">
        <f t="shared" si="44"/>
        <v>695</v>
      </c>
      <c r="J1072" s="32">
        <f t="shared" si="44"/>
        <v>33.333333333333336</v>
      </c>
      <c r="K1072" s="33"/>
      <c r="L1072" s="33"/>
      <c r="M1072" s="33"/>
      <c r="N1072" s="33"/>
      <c r="O1072" s="33"/>
      <c r="P1072" s="33"/>
      <c r="Q1072" s="33"/>
      <c r="R1072" s="33"/>
      <c r="S1072" s="33"/>
      <c r="T1072" s="33"/>
    </row>
    <row r="1073" spans="1:20" ht="15">
      <c r="A1073" s="3">
        <f t="shared" si="30"/>
        <v>2051</v>
      </c>
      <c r="B1073" s="3">
        <f t="shared" si="41"/>
        <v>365</v>
      </c>
      <c r="C1073" s="32">
        <f t="shared" ref="C1073:J1073" si="45">AVERAGE(C437:C448)</f>
        <v>154.75825</v>
      </c>
      <c r="D1073" s="32">
        <f t="shared" si="45"/>
        <v>281.0162499999999</v>
      </c>
      <c r="E1073" s="32">
        <f t="shared" si="45"/>
        <v>780.7254999999999</v>
      </c>
      <c r="F1073" s="32">
        <f t="shared" si="45"/>
        <v>1216.5</v>
      </c>
      <c r="G1073" s="32">
        <f t="shared" si="45"/>
        <v>79.166666666666671</v>
      </c>
      <c r="H1073" s="34">
        <f t="shared" si="45"/>
        <v>600</v>
      </c>
      <c r="I1073" s="32">
        <f t="shared" si="45"/>
        <v>695</v>
      </c>
      <c r="J1073" s="32">
        <f t="shared" si="45"/>
        <v>33.333333333333336</v>
      </c>
      <c r="K1073" s="33"/>
      <c r="L1073" s="33"/>
      <c r="M1073" s="33"/>
      <c r="N1073" s="33"/>
      <c r="O1073" s="33"/>
      <c r="P1073" s="33"/>
      <c r="Q1073" s="33"/>
      <c r="R1073" s="33"/>
      <c r="S1073" s="33"/>
      <c r="T1073" s="33"/>
    </row>
    <row r="1074" spans="1:20" ht="15">
      <c r="A1074" s="3">
        <f t="shared" si="30"/>
        <v>2052</v>
      </c>
      <c r="B1074" s="3">
        <f t="shared" si="41"/>
        <v>366</v>
      </c>
      <c r="C1074" s="32">
        <f t="shared" ref="C1074:J1074" si="46">AVERAGE(C449:C460)</f>
        <v>154.75825</v>
      </c>
      <c r="D1074" s="32">
        <f t="shared" si="46"/>
        <v>281.0162499999999</v>
      </c>
      <c r="E1074" s="32">
        <f t="shared" si="46"/>
        <v>780.7254999999999</v>
      </c>
      <c r="F1074" s="32">
        <f t="shared" si="46"/>
        <v>1216.5</v>
      </c>
      <c r="G1074" s="32">
        <f t="shared" si="46"/>
        <v>79.166666666666671</v>
      </c>
      <c r="H1074" s="34">
        <f t="shared" si="46"/>
        <v>600</v>
      </c>
      <c r="I1074" s="32">
        <f t="shared" si="46"/>
        <v>695</v>
      </c>
      <c r="J1074" s="32">
        <f t="shared" si="46"/>
        <v>33.333333333333336</v>
      </c>
      <c r="K1074" s="33"/>
      <c r="L1074" s="33"/>
      <c r="M1074" s="33"/>
      <c r="N1074" s="33"/>
      <c r="O1074" s="33"/>
      <c r="P1074" s="33"/>
      <c r="Q1074" s="33"/>
      <c r="R1074" s="33"/>
      <c r="S1074" s="33"/>
      <c r="T1074" s="33"/>
    </row>
    <row r="1075" spans="1:20" ht="15">
      <c r="A1075" s="3">
        <f t="shared" si="30"/>
        <v>2053</v>
      </c>
      <c r="B1075" s="3">
        <f t="shared" si="41"/>
        <v>365</v>
      </c>
      <c r="C1075" s="32">
        <f t="shared" ref="C1075:J1075" si="47">AVERAGE(C461:C472)</f>
        <v>154.75825</v>
      </c>
      <c r="D1075" s="32">
        <f t="shared" si="47"/>
        <v>281.0162499999999</v>
      </c>
      <c r="E1075" s="32">
        <f t="shared" si="47"/>
        <v>780.7254999999999</v>
      </c>
      <c r="F1075" s="32">
        <f t="shared" si="47"/>
        <v>1216.5</v>
      </c>
      <c r="G1075" s="32">
        <f t="shared" si="47"/>
        <v>79.166666666666671</v>
      </c>
      <c r="H1075" s="34">
        <f t="shared" si="47"/>
        <v>600</v>
      </c>
      <c r="I1075" s="32">
        <f t="shared" si="47"/>
        <v>695</v>
      </c>
      <c r="J1075" s="32">
        <f t="shared" si="47"/>
        <v>33.333333333333336</v>
      </c>
      <c r="K1075" s="33"/>
      <c r="L1075" s="33"/>
      <c r="M1075" s="33"/>
      <c r="N1075" s="33"/>
      <c r="O1075" s="33"/>
      <c r="P1075" s="33"/>
      <c r="Q1075" s="33"/>
      <c r="R1075" s="33"/>
      <c r="S1075" s="33"/>
      <c r="T1075" s="33"/>
    </row>
    <row r="1076" spans="1:20" ht="15">
      <c r="A1076" s="3">
        <f t="shared" si="30"/>
        <v>2054</v>
      </c>
      <c r="B1076" s="3">
        <f t="shared" si="41"/>
        <v>365</v>
      </c>
      <c r="C1076" s="32">
        <f t="shared" ref="C1076:J1083" si="48">AVERAGE(C473:C484)</f>
        <v>154.75825</v>
      </c>
      <c r="D1076" s="32">
        <f t="shared" si="48"/>
        <v>281.0162499999999</v>
      </c>
      <c r="E1076" s="32">
        <f t="shared" si="48"/>
        <v>780.7254999999999</v>
      </c>
      <c r="F1076" s="32">
        <f t="shared" si="48"/>
        <v>1216.5</v>
      </c>
      <c r="G1076" s="32">
        <f t="shared" si="48"/>
        <v>79.166666666666671</v>
      </c>
      <c r="H1076" s="34">
        <f t="shared" si="48"/>
        <v>600</v>
      </c>
      <c r="I1076" s="32">
        <f t="shared" si="48"/>
        <v>695</v>
      </c>
      <c r="J1076" s="32">
        <f t="shared" si="48"/>
        <v>33.333333333333336</v>
      </c>
      <c r="K1076" s="33"/>
      <c r="L1076" s="33"/>
      <c r="M1076" s="33"/>
      <c r="N1076" s="33"/>
      <c r="O1076" s="33"/>
      <c r="P1076" s="33"/>
      <c r="Q1076" s="33"/>
      <c r="R1076" s="33"/>
      <c r="S1076" s="33"/>
      <c r="T1076" s="33"/>
    </row>
    <row r="1077" spans="1:20" ht="15">
      <c r="A1077" s="3">
        <f t="shared" si="30"/>
        <v>2055</v>
      </c>
      <c r="B1077" s="3">
        <f t="shared" si="41"/>
        <v>365</v>
      </c>
      <c r="C1077" s="32">
        <f t="shared" si="48"/>
        <v>154.75825</v>
      </c>
      <c r="D1077" s="32">
        <f t="shared" si="48"/>
        <v>281.0162499999999</v>
      </c>
      <c r="E1077" s="32">
        <f t="shared" si="48"/>
        <v>780.7254999999999</v>
      </c>
      <c r="F1077" s="32">
        <f t="shared" si="48"/>
        <v>1216.5</v>
      </c>
      <c r="G1077" s="32">
        <f t="shared" si="48"/>
        <v>79.166666666666671</v>
      </c>
      <c r="H1077" s="34">
        <f t="shared" si="48"/>
        <v>600</v>
      </c>
      <c r="I1077" s="32">
        <f t="shared" si="48"/>
        <v>695</v>
      </c>
      <c r="J1077" s="32">
        <f t="shared" si="48"/>
        <v>33.333333333333336</v>
      </c>
      <c r="K1077" s="33"/>
      <c r="L1077" s="33"/>
      <c r="M1077" s="33"/>
      <c r="N1077" s="33"/>
      <c r="O1077" s="33"/>
      <c r="P1077" s="33"/>
      <c r="Q1077" s="33"/>
      <c r="R1077" s="33"/>
      <c r="S1077" s="33"/>
      <c r="T1077" s="33"/>
    </row>
    <row r="1078" spans="1:20" ht="15">
      <c r="A1078" s="3">
        <f t="shared" si="30"/>
        <v>2056</v>
      </c>
      <c r="B1078" s="3">
        <f t="shared" si="41"/>
        <v>366</v>
      </c>
      <c r="C1078" s="32">
        <f t="shared" si="48"/>
        <v>154.75824999999998</v>
      </c>
      <c r="D1078" s="32">
        <f t="shared" si="48"/>
        <v>281.0162499999999</v>
      </c>
      <c r="E1078" s="32">
        <f t="shared" si="48"/>
        <v>780.7254999999999</v>
      </c>
      <c r="F1078" s="32">
        <f t="shared" si="48"/>
        <v>1216.5</v>
      </c>
      <c r="G1078" s="32">
        <f t="shared" si="48"/>
        <v>79.166666666666671</v>
      </c>
      <c r="H1078" s="34">
        <f t="shared" si="48"/>
        <v>600</v>
      </c>
      <c r="I1078" s="32">
        <f t="shared" si="48"/>
        <v>695</v>
      </c>
      <c r="J1078" s="32">
        <f t="shared" si="48"/>
        <v>33.333333333333336</v>
      </c>
      <c r="K1078" s="33"/>
      <c r="L1078" s="33"/>
      <c r="M1078" s="33"/>
      <c r="N1078" s="33"/>
      <c r="O1078" s="33"/>
      <c r="P1078" s="33"/>
      <c r="Q1078" s="33"/>
      <c r="R1078" s="33"/>
      <c r="S1078" s="33"/>
      <c r="T1078" s="33"/>
    </row>
    <row r="1079" spans="1:20" ht="15">
      <c r="A1079" s="3">
        <f t="shared" si="30"/>
        <v>2057</v>
      </c>
      <c r="B1079" s="3">
        <f t="shared" si="41"/>
        <v>365</v>
      </c>
      <c r="C1079" s="32">
        <f t="shared" si="48"/>
        <v>154.75825</v>
      </c>
      <c r="D1079" s="32">
        <f t="shared" si="48"/>
        <v>281.0162499999999</v>
      </c>
      <c r="E1079" s="32">
        <f t="shared" si="48"/>
        <v>780.72550000000001</v>
      </c>
      <c r="F1079" s="32">
        <f t="shared" si="48"/>
        <v>1216.5</v>
      </c>
      <c r="G1079" s="32">
        <f t="shared" si="48"/>
        <v>79.166666666666671</v>
      </c>
      <c r="H1079" s="34">
        <f t="shared" si="48"/>
        <v>600</v>
      </c>
      <c r="I1079" s="32">
        <f t="shared" si="48"/>
        <v>695</v>
      </c>
      <c r="J1079" s="32">
        <f t="shared" si="48"/>
        <v>33.333333333333336</v>
      </c>
      <c r="K1079" s="33"/>
      <c r="L1079" s="33"/>
      <c r="M1079" s="33"/>
      <c r="N1079" s="33"/>
      <c r="O1079" s="33"/>
      <c r="P1079" s="33"/>
      <c r="Q1079" s="33"/>
      <c r="R1079" s="33"/>
      <c r="S1079" s="33"/>
      <c r="T1079" s="33"/>
    </row>
    <row r="1080" spans="1:20" ht="15">
      <c r="A1080" s="3">
        <f t="shared" si="30"/>
        <v>2058</v>
      </c>
      <c r="B1080" s="3">
        <f t="shared" si="41"/>
        <v>365</v>
      </c>
      <c r="C1080" s="32">
        <f t="shared" si="48"/>
        <v>154.75824999999998</v>
      </c>
      <c r="D1080" s="32">
        <f t="shared" si="48"/>
        <v>281.01624999999996</v>
      </c>
      <c r="E1080" s="32">
        <f t="shared" si="48"/>
        <v>780.72550000000001</v>
      </c>
      <c r="F1080" s="32">
        <f t="shared" si="48"/>
        <v>1216.5</v>
      </c>
      <c r="G1080" s="32">
        <f t="shared" si="48"/>
        <v>79.166666666666671</v>
      </c>
      <c r="H1080" s="34">
        <f t="shared" si="48"/>
        <v>600</v>
      </c>
      <c r="I1080" s="32">
        <f t="shared" si="48"/>
        <v>695</v>
      </c>
      <c r="J1080" s="32">
        <f t="shared" si="48"/>
        <v>33.333333333333336</v>
      </c>
      <c r="K1080" s="33"/>
      <c r="L1080" s="33"/>
      <c r="M1080" s="33"/>
      <c r="N1080" s="33"/>
      <c r="O1080" s="33"/>
      <c r="P1080" s="33"/>
      <c r="Q1080" s="33"/>
      <c r="R1080" s="33"/>
      <c r="S1080" s="33"/>
      <c r="T1080" s="33"/>
    </row>
    <row r="1081" spans="1:20" ht="15">
      <c r="A1081" s="3">
        <f t="shared" si="30"/>
        <v>2059</v>
      </c>
      <c r="B1081" s="3">
        <f t="shared" si="41"/>
        <v>365</v>
      </c>
      <c r="C1081" s="32">
        <f t="shared" si="48"/>
        <v>154.75824999999998</v>
      </c>
      <c r="D1081" s="32">
        <f t="shared" si="48"/>
        <v>281.01624999999996</v>
      </c>
      <c r="E1081" s="32">
        <f t="shared" si="48"/>
        <v>780.72550000000012</v>
      </c>
      <c r="F1081" s="32">
        <f t="shared" si="48"/>
        <v>1216.5</v>
      </c>
      <c r="G1081" s="32">
        <f t="shared" si="48"/>
        <v>79.166666666666671</v>
      </c>
      <c r="H1081" s="34">
        <f t="shared" si="48"/>
        <v>600</v>
      </c>
      <c r="I1081" s="32">
        <f t="shared" si="48"/>
        <v>695</v>
      </c>
      <c r="J1081" s="32">
        <f t="shared" si="48"/>
        <v>33.333333333333336</v>
      </c>
      <c r="K1081" s="33"/>
      <c r="L1081" s="33"/>
      <c r="M1081" s="33"/>
      <c r="N1081" s="33"/>
      <c r="O1081" s="33"/>
      <c r="P1081" s="33"/>
      <c r="Q1081" s="33"/>
      <c r="R1081" s="33"/>
      <c r="S1081" s="33"/>
      <c r="T1081" s="33"/>
    </row>
    <row r="1082" spans="1:20" ht="15">
      <c r="A1082" s="3">
        <f t="shared" si="30"/>
        <v>2060</v>
      </c>
      <c r="B1082" s="3">
        <f t="shared" si="41"/>
        <v>366</v>
      </c>
      <c r="C1082" s="32">
        <f t="shared" si="48"/>
        <v>154.75824999999998</v>
      </c>
      <c r="D1082" s="32">
        <f t="shared" si="48"/>
        <v>281.01624999999996</v>
      </c>
      <c r="E1082" s="32">
        <f t="shared" si="48"/>
        <v>780.72550000000012</v>
      </c>
      <c r="F1082" s="32">
        <f t="shared" si="48"/>
        <v>1216.5</v>
      </c>
      <c r="G1082" s="32">
        <f t="shared" si="48"/>
        <v>79.166666666666671</v>
      </c>
      <c r="H1082" s="34">
        <f t="shared" si="48"/>
        <v>600</v>
      </c>
      <c r="I1082" s="32">
        <f t="shared" si="48"/>
        <v>695</v>
      </c>
      <c r="J1082" s="32">
        <f t="shared" si="48"/>
        <v>33.333333333333336</v>
      </c>
      <c r="K1082" s="33"/>
      <c r="L1082" s="33"/>
      <c r="M1082" s="33"/>
      <c r="N1082" s="33"/>
      <c r="O1082" s="33"/>
      <c r="P1082" s="33"/>
      <c r="Q1082" s="33"/>
      <c r="R1082" s="33"/>
      <c r="S1082" s="33"/>
      <c r="T1082" s="33"/>
    </row>
    <row r="1083" spans="1:20" ht="15">
      <c r="A1083" s="3">
        <f t="shared" si="30"/>
        <v>2061</v>
      </c>
      <c r="B1083" s="3">
        <f t="shared" si="41"/>
        <v>365</v>
      </c>
      <c r="C1083" s="32">
        <f t="shared" si="48"/>
        <v>154.75825</v>
      </c>
      <c r="D1083" s="32">
        <f t="shared" si="48"/>
        <v>281.01624999999996</v>
      </c>
      <c r="E1083" s="32">
        <f t="shared" si="48"/>
        <v>780.72550000000001</v>
      </c>
      <c r="F1083" s="32">
        <f t="shared" si="48"/>
        <v>1216.5</v>
      </c>
      <c r="G1083" s="32">
        <f t="shared" si="48"/>
        <v>79.166666666666671</v>
      </c>
      <c r="H1083" s="34">
        <f t="shared" si="48"/>
        <v>600</v>
      </c>
      <c r="I1083" s="32">
        <f t="shared" si="48"/>
        <v>695</v>
      </c>
      <c r="J1083" s="32">
        <f t="shared" si="48"/>
        <v>33.333333333333336</v>
      </c>
      <c r="K1083" s="33"/>
      <c r="L1083" s="33"/>
      <c r="M1083" s="33"/>
      <c r="N1083" s="33"/>
      <c r="O1083" s="33"/>
      <c r="P1083" s="33"/>
      <c r="Q1083" s="33"/>
      <c r="R1083" s="33"/>
      <c r="S1083" s="33"/>
      <c r="T1083" s="33"/>
    </row>
    <row r="1084" spans="1:20" ht="15">
      <c r="A1084" s="3">
        <f t="shared" si="30"/>
        <v>2062</v>
      </c>
      <c r="B1084" s="3">
        <f t="shared" si="41"/>
        <v>365</v>
      </c>
      <c r="C1084" s="32">
        <f t="shared" ref="C1084:J1093" ca="1" si="49">AVERAGE(OFFSET(C$569,($A1084-$A$1084)*12,0,12,1))</f>
        <v>154.75825</v>
      </c>
      <c r="D1084" s="32">
        <f t="shared" ca="1" si="49"/>
        <v>281.0162499999999</v>
      </c>
      <c r="E1084" s="32">
        <f t="shared" ca="1" si="49"/>
        <v>780.7254999999999</v>
      </c>
      <c r="F1084" s="32">
        <f t="shared" ca="1" si="49"/>
        <v>1216.5</v>
      </c>
      <c r="G1084" s="32">
        <f t="shared" ca="1" si="49"/>
        <v>79.166666666666671</v>
      </c>
      <c r="H1084" s="32">
        <f t="shared" ca="1" si="49"/>
        <v>600</v>
      </c>
      <c r="I1084" s="32">
        <f t="shared" ca="1" si="49"/>
        <v>695</v>
      </c>
      <c r="J1084" s="32">
        <f t="shared" ca="1" si="49"/>
        <v>33.333333333333336</v>
      </c>
      <c r="K1084" s="33"/>
      <c r="L1084" s="33"/>
      <c r="M1084" s="33"/>
      <c r="N1084" s="33"/>
      <c r="O1084" s="33"/>
      <c r="P1084" s="33"/>
      <c r="Q1084" s="33"/>
      <c r="R1084" s="33"/>
      <c r="S1084" s="33"/>
      <c r="T1084" s="33"/>
    </row>
    <row r="1085" spans="1:20" ht="15">
      <c r="A1085" s="3">
        <f t="shared" si="30"/>
        <v>2063</v>
      </c>
      <c r="B1085" s="3">
        <f t="shared" si="41"/>
        <v>365</v>
      </c>
      <c r="C1085" s="32">
        <f t="shared" ca="1" si="49"/>
        <v>154.75825</v>
      </c>
      <c r="D1085" s="32">
        <f t="shared" ca="1" si="49"/>
        <v>281.0162499999999</v>
      </c>
      <c r="E1085" s="32">
        <f t="shared" ca="1" si="49"/>
        <v>780.7254999999999</v>
      </c>
      <c r="F1085" s="32">
        <f t="shared" ca="1" si="49"/>
        <v>1216.5</v>
      </c>
      <c r="G1085" s="32">
        <f t="shared" ca="1" si="49"/>
        <v>79.166666666666671</v>
      </c>
      <c r="H1085" s="32">
        <f t="shared" ca="1" si="49"/>
        <v>600</v>
      </c>
      <c r="I1085" s="32">
        <f t="shared" ca="1" si="49"/>
        <v>695</v>
      </c>
      <c r="J1085" s="32">
        <f t="shared" ca="1" si="49"/>
        <v>33.333333333333336</v>
      </c>
      <c r="K1085" s="33"/>
      <c r="L1085" s="33"/>
      <c r="M1085" s="33"/>
      <c r="N1085" s="33"/>
      <c r="O1085" s="33"/>
      <c r="P1085" s="33"/>
      <c r="Q1085" s="33"/>
      <c r="R1085" s="33"/>
      <c r="S1085" s="33"/>
      <c r="T1085" s="33"/>
    </row>
    <row r="1086" spans="1:20" ht="15">
      <c r="A1086" s="3">
        <f t="shared" si="30"/>
        <v>2064</v>
      </c>
      <c r="B1086" s="3">
        <f t="shared" si="41"/>
        <v>366</v>
      </c>
      <c r="C1086" s="32">
        <f t="shared" ca="1" si="49"/>
        <v>154.75825</v>
      </c>
      <c r="D1086" s="32">
        <f t="shared" ca="1" si="49"/>
        <v>281.0162499999999</v>
      </c>
      <c r="E1086" s="32">
        <f t="shared" ca="1" si="49"/>
        <v>780.7254999999999</v>
      </c>
      <c r="F1086" s="32">
        <f t="shared" ca="1" si="49"/>
        <v>1216.5</v>
      </c>
      <c r="G1086" s="32">
        <f t="shared" ca="1" si="49"/>
        <v>79.166666666666671</v>
      </c>
      <c r="H1086" s="32">
        <f t="shared" ca="1" si="49"/>
        <v>600</v>
      </c>
      <c r="I1086" s="32">
        <f t="shared" ca="1" si="49"/>
        <v>695</v>
      </c>
      <c r="J1086" s="32">
        <f t="shared" ca="1" si="49"/>
        <v>33.333333333333336</v>
      </c>
      <c r="K1086" s="33"/>
      <c r="L1086" s="33"/>
      <c r="M1086" s="33"/>
      <c r="N1086" s="33"/>
      <c r="O1086" s="33"/>
      <c r="P1086" s="33"/>
      <c r="Q1086" s="33"/>
      <c r="R1086" s="33"/>
      <c r="S1086" s="33"/>
      <c r="T1086" s="33"/>
    </row>
    <row r="1087" spans="1:20" ht="15">
      <c r="A1087" s="3">
        <f t="shared" si="30"/>
        <v>2065</v>
      </c>
      <c r="B1087" s="3">
        <f t="shared" si="41"/>
        <v>365</v>
      </c>
      <c r="C1087" s="32">
        <f t="shared" ca="1" si="49"/>
        <v>154.75825</v>
      </c>
      <c r="D1087" s="32">
        <f t="shared" ca="1" si="49"/>
        <v>281.0162499999999</v>
      </c>
      <c r="E1087" s="32">
        <f t="shared" ca="1" si="49"/>
        <v>780.7254999999999</v>
      </c>
      <c r="F1087" s="32">
        <f t="shared" ca="1" si="49"/>
        <v>1216.5</v>
      </c>
      <c r="G1087" s="32">
        <f t="shared" ca="1" si="49"/>
        <v>79.166666666666671</v>
      </c>
      <c r="H1087" s="32">
        <f t="shared" ca="1" si="49"/>
        <v>600</v>
      </c>
      <c r="I1087" s="32">
        <f t="shared" ca="1" si="49"/>
        <v>695</v>
      </c>
      <c r="J1087" s="32">
        <f t="shared" ca="1" si="49"/>
        <v>33.333333333333336</v>
      </c>
      <c r="K1087" s="33"/>
      <c r="L1087" s="33"/>
      <c r="M1087" s="33"/>
      <c r="N1087" s="33"/>
      <c r="O1087" s="33"/>
      <c r="P1087" s="33"/>
      <c r="Q1087" s="33"/>
      <c r="R1087" s="33"/>
      <c r="S1087" s="33"/>
      <c r="T1087" s="33"/>
    </row>
    <row r="1088" spans="1:20" ht="15">
      <c r="A1088" s="3">
        <f t="shared" si="30"/>
        <v>2066</v>
      </c>
      <c r="B1088" s="3">
        <f t="shared" si="41"/>
        <v>365</v>
      </c>
      <c r="C1088" s="32">
        <f t="shared" ca="1" si="49"/>
        <v>154.75825</v>
      </c>
      <c r="D1088" s="32">
        <f t="shared" ca="1" si="49"/>
        <v>281.0162499999999</v>
      </c>
      <c r="E1088" s="32">
        <f t="shared" ca="1" si="49"/>
        <v>780.7254999999999</v>
      </c>
      <c r="F1088" s="32">
        <f t="shared" ca="1" si="49"/>
        <v>1216.5</v>
      </c>
      <c r="G1088" s="32">
        <f t="shared" ca="1" si="49"/>
        <v>79.166666666666671</v>
      </c>
      <c r="H1088" s="32">
        <f t="shared" ca="1" si="49"/>
        <v>600</v>
      </c>
      <c r="I1088" s="32">
        <f t="shared" ca="1" si="49"/>
        <v>695</v>
      </c>
      <c r="J1088" s="32">
        <f t="shared" ca="1" si="49"/>
        <v>33.333333333333336</v>
      </c>
      <c r="K1088" s="33"/>
      <c r="L1088" s="33"/>
      <c r="M1088" s="33"/>
      <c r="N1088" s="33"/>
      <c r="O1088" s="33"/>
      <c r="P1088" s="33"/>
      <c r="Q1088" s="33"/>
      <c r="R1088" s="33"/>
      <c r="S1088" s="33"/>
      <c r="T1088" s="33"/>
    </row>
    <row r="1089" spans="1:20" ht="15">
      <c r="A1089" s="3">
        <f t="shared" si="30"/>
        <v>2067</v>
      </c>
      <c r="B1089" s="3">
        <f t="shared" si="41"/>
        <v>365</v>
      </c>
      <c r="C1089" s="32">
        <f t="shared" ca="1" si="49"/>
        <v>154.75825</v>
      </c>
      <c r="D1089" s="32">
        <f t="shared" ca="1" si="49"/>
        <v>281.0162499999999</v>
      </c>
      <c r="E1089" s="32">
        <f t="shared" ca="1" si="49"/>
        <v>780.7254999999999</v>
      </c>
      <c r="F1089" s="32">
        <f t="shared" ca="1" si="49"/>
        <v>1216.5</v>
      </c>
      <c r="G1089" s="32">
        <f t="shared" ca="1" si="49"/>
        <v>79.166666666666671</v>
      </c>
      <c r="H1089" s="32">
        <f t="shared" ca="1" si="49"/>
        <v>600</v>
      </c>
      <c r="I1089" s="32">
        <f t="shared" ca="1" si="49"/>
        <v>695</v>
      </c>
      <c r="J1089" s="32">
        <f t="shared" ca="1" si="49"/>
        <v>33.333333333333336</v>
      </c>
      <c r="K1089" s="33"/>
      <c r="L1089" s="33"/>
      <c r="M1089" s="33"/>
      <c r="N1089" s="33"/>
      <c r="O1089" s="33"/>
      <c r="P1089" s="33"/>
      <c r="Q1089" s="33"/>
      <c r="R1089" s="33"/>
      <c r="S1089" s="33"/>
      <c r="T1089" s="33"/>
    </row>
    <row r="1090" spans="1:20" ht="15">
      <c r="A1090" s="3">
        <f t="shared" si="30"/>
        <v>2068</v>
      </c>
      <c r="B1090" s="3">
        <f t="shared" si="41"/>
        <v>366</v>
      </c>
      <c r="C1090" s="32">
        <f t="shared" ca="1" si="49"/>
        <v>154.75825</v>
      </c>
      <c r="D1090" s="32">
        <f t="shared" ca="1" si="49"/>
        <v>281.0162499999999</v>
      </c>
      <c r="E1090" s="32">
        <f t="shared" ca="1" si="49"/>
        <v>780.7254999999999</v>
      </c>
      <c r="F1090" s="32">
        <f t="shared" ca="1" si="49"/>
        <v>1216.5</v>
      </c>
      <c r="G1090" s="32">
        <f t="shared" ca="1" si="49"/>
        <v>79.166666666666671</v>
      </c>
      <c r="H1090" s="32">
        <f t="shared" ca="1" si="49"/>
        <v>600</v>
      </c>
      <c r="I1090" s="32">
        <f t="shared" ca="1" si="49"/>
        <v>695</v>
      </c>
      <c r="J1090" s="32">
        <f t="shared" ca="1" si="49"/>
        <v>33.333333333333336</v>
      </c>
      <c r="K1090" s="33"/>
      <c r="L1090" s="33"/>
      <c r="M1090" s="33"/>
      <c r="N1090" s="33"/>
      <c r="O1090" s="33"/>
      <c r="P1090" s="33"/>
      <c r="Q1090" s="33"/>
      <c r="R1090" s="33"/>
      <c r="S1090" s="33"/>
      <c r="T1090" s="33"/>
    </row>
    <row r="1091" spans="1:20" ht="15">
      <c r="A1091" s="3">
        <f t="shared" si="30"/>
        <v>2069</v>
      </c>
      <c r="B1091" s="3">
        <f t="shared" si="41"/>
        <v>365</v>
      </c>
      <c r="C1091" s="32">
        <f t="shared" ca="1" si="49"/>
        <v>154.75825</v>
      </c>
      <c r="D1091" s="32">
        <f t="shared" ca="1" si="49"/>
        <v>281.0162499999999</v>
      </c>
      <c r="E1091" s="32">
        <f t="shared" ca="1" si="49"/>
        <v>780.7254999999999</v>
      </c>
      <c r="F1091" s="32">
        <f t="shared" ca="1" si="49"/>
        <v>1216.5</v>
      </c>
      <c r="G1091" s="32">
        <f t="shared" ca="1" si="49"/>
        <v>79.166666666666671</v>
      </c>
      <c r="H1091" s="32">
        <f t="shared" ca="1" si="49"/>
        <v>600</v>
      </c>
      <c r="I1091" s="32">
        <f t="shared" ca="1" si="49"/>
        <v>695</v>
      </c>
      <c r="J1091" s="32">
        <f t="shared" ca="1" si="49"/>
        <v>33.333333333333336</v>
      </c>
      <c r="K1091" s="33"/>
      <c r="L1091" s="33"/>
      <c r="M1091" s="33"/>
      <c r="N1091" s="33"/>
      <c r="O1091" s="33"/>
      <c r="P1091" s="33"/>
      <c r="Q1091" s="33"/>
      <c r="R1091" s="33"/>
      <c r="S1091" s="33"/>
      <c r="T1091" s="33"/>
    </row>
    <row r="1092" spans="1:20" ht="15">
      <c r="A1092" s="3">
        <f t="shared" ref="A1092:A1122" si="50">A1091+1</f>
        <v>2070</v>
      </c>
      <c r="B1092" s="3">
        <f t="shared" si="41"/>
        <v>365</v>
      </c>
      <c r="C1092" s="32">
        <f t="shared" ca="1" si="49"/>
        <v>154.75825</v>
      </c>
      <c r="D1092" s="32">
        <f t="shared" ca="1" si="49"/>
        <v>281.0162499999999</v>
      </c>
      <c r="E1092" s="32">
        <f t="shared" ca="1" si="49"/>
        <v>780.7254999999999</v>
      </c>
      <c r="F1092" s="32">
        <f t="shared" ca="1" si="49"/>
        <v>1216.5</v>
      </c>
      <c r="G1092" s="32">
        <f t="shared" ca="1" si="49"/>
        <v>79.166666666666671</v>
      </c>
      <c r="H1092" s="32">
        <f t="shared" ca="1" si="49"/>
        <v>600</v>
      </c>
      <c r="I1092" s="32">
        <f t="shared" ca="1" si="49"/>
        <v>695</v>
      </c>
      <c r="J1092" s="32">
        <f t="shared" ca="1" si="49"/>
        <v>33.333333333333336</v>
      </c>
      <c r="K1092" s="33"/>
      <c r="L1092" s="33"/>
      <c r="M1092" s="33"/>
      <c r="N1092" s="33"/>
      <c r="O1092" s="33"/>
      <c r="P1092" s="33"/>
      <c r="Q1092" s="33"/>
      <c r="R1092" s="33"/>
      <c r="S1092" s="33"/>
      <c r="T1092" s="33"/>
    </row>
    <row r="1093" spans="1:20" ht="15">
      <c r="A1093" s="3">
        <f t="shared" si="50"/>
        <v>2071</v>
      </c>
      <c r="B1093" s="3">
        <f t="shared" si="41"/>
        <v>365</v>
      </c>
      <c r="C1093" s="32">
        <f t="shared" ca="1" si="49"/>
        <v>154.75825</v>
      </c>
      <c r="D1093" s="32">
        <f t="shared" ca="1" si="49"/>
        <v>281.0162499999999</v>
      </c>
      <c r="E1093" s="32">
        <f t="shared" ca="1" si="49"/>
        <v>780.7254999999999</v>
      </c>
      <c r="F1093" s="32">
        <f t="shared" ca="1" si="49"/>
        <v>1216.5</v>
      </c>
      <c r="G1093" s="32">
        <f t="shared" ca="1" si="49"/>
        <v>79.166666666666671</v>
      </c>
      <c r="H1093" s="32">
        <f t="shared" ca="1" si="49"/>
        <v>600</v>
      </c>
      <c r="I1093" s="32">
        <f t="shared" ca="1" si="49"/>
        <v>695</v>
      </c>
      <c r="J1093" s="32">
        <f t="shared" ca="1" si="49"/>
        <v>33.333333333333336</v>
      </c>
      <c r="K1093" s="33"/>
      <c r="L1093" s="33"/>
      <c r="M1093" s="33"/>
      <c r="N1093" s="33"/>
      <c r="O1093" s="33"/>
      <c r="P1093" s="33"/>
      <c r="Q1093" s="33"/>
      <c r="R1093" s="33"/>
      <c r="S1093" s="33"/>
      <c r="T1093" s="33"/>
    </row>
    <row r="1094" spans="1:20" ht="15">
      <c r="A1094" s="3">
        <f t="shared" si="50"/>
        <v>2072</v>
      </c>
      <c r="B1094" s="3">
        <f t="shared" si="41"/>
        <v>366</v>
      </c>
      <c r="C1094" s="32">
        <f t="shared" ref="C1094:J1103" ca="1" si="51">AVERAGE(OFFSET(C$569,($A1094-$A$1084)*12,0,12,1))</f>
        <v>154.75825</v>
      </c>
      <c r="D1094" s="32">
        <f t="shared" ca="1" si="51"/>
        <v>281.0162499999999</v>
      </c>
      <c r="E1094" s="32">
        <f t="shared" ca="1" si="51"/>
        <v>780.7254999999999</v>
      </c>
      <c r="F1094" s="32">
        <f t="shared" ca="1" si="51"/>
        <v>1216.5</v>
      </c>
      <c r="G1094" s="32">
        <f t="shared" ca="1" si="51"/>
        <v>79.166666666666671</v>
      </c>
      <c r="H1094" s="32">
        <f t="shared" ca="1" si="51"/>
        <v>600</v>
      </c>
      <c r="I1094" s="32">
        <f t="shared" ca="1" si="51"/>
        <v>695</v>
      </c>
      <c r="J1094" s="32">
        <f t="shared" ca="1" si="51"/>
        <v>33.333333333333336</v>
      </c>
      <c r="K1094" s="33"/>
      <c r="L1094" s="33"/>
      <c r="M1094" s="33"/>
      <c r="N1094" s="33"/>
      <c r="O1094" s="33"/>
      <c r="P1094" s="33"/>
      <c r="Q1094" s="33"/>
      <c r="R1094" s="33"/>
      <c r="S1094" s="33"/>
      <c r="T1094" s="33"/>
    </row>
    <row r="1095" spans="1:20" ht="15">
      <c r="A1095" s="3">
        <f t="shared" si="50"/>
        <v>2073</v>
      </c>
      <c r="B1095" s="3">
        <f t="shared" si="41"/>
        <v>365</v>
      </c>
      <c r="C1095" s="32">
        <f t="shared" ca="1" si="51"/>
        <v>154.75825</v>
      </c>
      <c r="D1095" s="32">
        <f t="shared" ca="1" si="51"/>
        <v>281.0162499999999</v>
      </c>
      <c r="E1095" s="32">
        <f t="shared" ca="1" si="51"/>
        <v>780.7254999999999</v>
      </c>
      <c r="F1095" s="32">
        <f t="shared" ca="1" si="51"/>
        <v>1216.5</v>
      </c>
      <c r="G1095" s="32">
        <f t="shared" ca="1" si="51"/>
        <v>79.166666666666671</v>
      </c>
      <c r="H1095" s="32">
        <f t="shared" ca="1" si="51"/>
        <v>600</v>
      </c>
      <c r="I1095" s="32">
        <f t="shared" ca="1" si="51"/>
        <v>695</v>
      </c>
      <c r="J1095" s="32">
        <f t="shared" ca="1" si="51"/>
        <v>33.333333333333336</v>
      </c>
      <c r="K1095" s="33"/>
      <c r="L1095" s="33"/>
      <c r="M1095" s="33"/>
      <c r="N1095" s="33"/>
      <c r="O1095" s="33"/>
      <c r="P1095" s="33"/>
      <c r="Q1095" s="33"/>
      <c r="R1095" s="33"/>
      <c r="S1095" s="33"/>
      <c r="T1095" s="33"/>
    </row>
    <row r="1096" spans="1:20" ht="15">
      <c r="A1096" s="3">
        <f t="shared" si="50"/>
        <v>2074</v>
      </c>
      <c r="B1096" s="3">
        <f t="shared" si="41"/>
        <v>365</v>
      </c>
      <c r="C1096" s="32">
        <f t="shared" ca="1" si="51"/>
        <v>154.75825</v>
      </c>
      <c r="D1096" s="32">
        <f t="shared" ca="1" si="51"/>
        <v>281.0162499999999</v>
      </c>
      <c r="E1096" s="32">
        <f t="shared" ca="1" si="51"/>
        <v>780.7254999999999</v>
      </c>
      <c r="F1096" s="32">
        <f t="shared" ca="1" si="51"/>
        <v>1216.5</v>
      </c>
      <c r="G1096" s="32">
        <f t="shared" ca="1" si="51"/>
        <v>79.166666666666671</v>
      </c>
      <c r="H1096" s="32">
        <f t="shared" ca="1" si="51"/>
        <v>600</v>
      </c>
      <c r="I1096" s="32">
        <f t="shared" ca="1" si="51"/>
        <v>695</v>
      </c>
      <c r="J1096" s="32">
        <f t="shared" ca="1" si="51"/>
        <v>33.333333333333336</v>
      </c>
      <c r="K1096" s="33"/>
      <c r="L1096" s="33"/>
      <c r="M1096" s="33"/>
      <c r="N1096" s="33"/>
      <c r="O1096" s="33"/>
      <c r="P1096" s="33"/>
      <c r="Q1096" s="33"/>
      <c r="R1096" s="33"/>
      <c r="S1096" s="33"/>
      <c r="T1096" s="33"/>
    </row>
    <row r="1097" spans="1:20" ht="15">
      <c r="A1097" s="3">
        <f t="shared" si="50"/>
        <v>2075</v>
      </c>
      <c r="B1097" s="3">
        <f t="shared" si="41"/>
        <v>365</v>
      </c>
      <c r="C1097" s="32">
        <f t="shared" ca="1" si="51"/>
        <v>154.75825</v>
      </c>
      <c r="D1097" s="32">
        <f t="shared" ca="1" si="51"/>
        <v>281.0162499999999</v>
      </c>
      <c r="E1097" s="32">
        <f t="shared" ca="1" si="51"/>
        <v>780.7254999999999</v>
      </c>
      <c r="F1097" s="32">
        <f t="shared" ca="1" si="51"/>
        <v>1216.5</v>
      </c>
      <c r="G1097" s="32">
        <f t="shared" ca="1" si="51"/>
        <v>79.166666666666671</v>
      </c>
      <c r="H1097" s="32">
        <f t="shared" ca="1" si="51"/>
        <v>600</v>
      </c>
      <c r="I1097" s="32">
        <f t="shared" ca="1" si="51"/>
        <v>695</v>
      </c>
      <c r="J1097" s="32">
        <f t="shared" ca="1" si="51"/>
        <v>33.333333333333336</v>
      </c>
      <c r="K1097" s="33"/>
      <c r="L1097" s="33"/>
      <c r="M1097" s="33"/>
      <c r="N1097" s="33"/>
      <c r="O1097" s="33"/>
      <c r="P1097" s="33"/>
      <c r="Q1097" s="33"/>
      <c r="R1097" s="33"/>
      <c r="S1097" s="33"/>
      <c r="T1097" s="33"/>
    </row>
    <row r="1098" spans="1:20" ht="15">
      <c r="A1098" s="3">
        <f t="shared" si="50"/>
        <v>2076</v>
      </c>
      <c r="B1098" s="3">
        <f t="shared" si="41"/>
        <v>366</v>
      </c>
      <c r="C1098" s="32">
        <f t="shared" ca="1" si="51"/>
        <v>154.75825</v>
      </c>
      <c r="D1098" s="32">
        <f t="shared" ca="1" si="51"/>
        <v>281.0162499999999</v>
      </c>
      <c r="E1098" s="32">
        <f t="shared" ca="1" si="51"/>
        <v>780.7254999999999</v>
      </c>
      <c r="F1098" s="32">
        <f t="shared" ca="1" si="51"/>
        <v>1216.5</v>
      </c>
      <c r="G1098" s="32">
        <f t="shared" ca="1" si="51"/>
        <v>79.166666666666671</v>
      </c>
      <c r="H1098" s="32">
        <f t="shared" ca="1" si="51"/>
        <v>600</v>
      </c>
      <c r="I1098" s="32">
        <f t="shared" ca="1" si="51"/>
        <v>695</v>
      </c>
      <c r="J1098" s="32">
        <f t="shared" ca="1" si="51"/>
        <v>33.333333333333336</v>
      </c>
      <c r="K1098" s="33"/>
      <c r="L1098" s="33"/>
      <c r="M1098" s="33"/>
      <c r="N1098" s="33"/>
      <c r="O1098" s="33"/>
      <c r="P1098" s="33"/>
      <c r="Q1098" s="33"/>
      <c r="R1098" s="33"/>
      <c r="S1098" s="33"/>
      <c r="T1098" s="33"/>
    </row>
    <row r="1099" spans="1:20" ht="15">
      <c r="A1099" s="3">
        <f t="shared" si="50"/>
        <v>2077</v>
      </c>
      <c r="B1099" s="3">
        <f t="shared" si="41"/>
        <v>365</v>
      </c>
      <c r="C1099" s="32">
        <f t="shared" ca="1" si="51"/>
        <v>154.75825</v>
      </c>
      <c r="D1099" s="32">
        <f t="shared" ca="1" si="51"/>
        <v>281.0162499999999</v>
      </c>
      <c r="E1099" s="32">
        <f t="shared" ca="1" si="51"/>
        <v>780.7254999999999</v>
      </c>
      <c r="F1099" s="32">
        <f t="shared" ca="1" si="51"/>
        <v>1216.5</v>
      </c>
      <c r="G1099" s="32">
        <f t="shared" ca="1" si="51"/>
        <v>79.166666666666671</v>
      </c>
      <c r="H1099" s="32">
        <f t="shared" ca="1" si="51"/>
        <v>600</v>
      </c>
      <c r="I1099" s="32">
        <f t="shared" ca="1" si="51"/>
        <v>695</v>
      </c>
      <c r="J1099" s="32">
        <f t="shared" ca="1" si="51"/>
        <v>33.333333333333336</v>
      </c>
      <c r="K1099" s="33"/>
      <c r="L1099" s="33"/>
      <c r="M1099" s="33"/>
      <c r="N1099" s="33"/>
      <c r="O1099" s="33"/>
      <c r="P1099" s="33"/>
      <c r="Q1099" s="33"/>
      <c r="R1099" s="33"/>
      <c r="S1099" s="33"/>
      <c r="T1099" s="33"/>
    </row>
    <row r="1100" spans="1:20" ht="15">
      <c r="A1100" s="3">
        <f t="shared" si="50"/>
        <v>2078</v>
      </c>
      <c r="B1100" s="3">
        <f t="shared" si="41"/>
        <v>365</v>
      </c>
      <c r="C1100" s="32">
        <f t="shared" ca="1" si="51"/>
        <v>154.75825</v>
      </c>
      <c r="D1100" s="32">
        <f t="shared" ca="1" si="51"/>
        <v>281.0162499999999</v>
      </c>
      <c r="E1100" s="32">
        <f t="shared" ca="1" si="51"/>
        <v>780.7254999999999</v>
      </c>
      <c r="F1100" s="32">
        <f t="shared" ca="1" si="51"/>
        <v>1216.5</v>
      </c>
      <c r="G1100" s="32">
        <f t="shared" ca="1" si="51"/>
        <v>79.166666666666671</v>
      </c>
      <c r="H1100" s="32">
        <f t="shared" ca="1" si="51"/>
        <v>600</v>
      </c>
      <c r="I1100" s="32">
        <f t="shared" ca="1" si="51"/>
        <v>695</v>
      </c>
      <c r="J1100" s="32">
        <f t="shared" ca="1" si="51"/>
        <v>33.333333333333336</v>
      </c>
      <c r="K1100" s="33"/>
      <c r="L1100" s="33"/>
      <c r="M1100" s="33"/>
      <c r="N1100" s="33"/>
      <c r="O1100" s="33"/>
      <c r="P1100" s="33"/>
      <c r="Q1100" s="33"/>
      <c r="R1100" s="33"/>
      <c r="S1100" s="33"/>
      <c r="T1100" s="33"/>
    </row>
    <row r="1101" spans="1:20" ht="15">
      <c r="A1101" s="3">
        <f t="shared" si="50"/>
        <v>2079</v>
      </c>
      <c r="B1101" s="3">
        <f t="shared" si="41"/>
        <v>365</v>
      </c>
      <c r="C1101" s="32">
        <f t="shared" ca="1" si="51"/>
        <v>154.75825</v>
      </c>
      <c r="D1101" s="32">
        <f t="shared" ca="1" si="51"/>
        <v>281.0162499999999</v>
      </c>
      <c r="E1101" s="32">
        <f t="shared" ca="1" si="51"/>
        <v>780.7254999999999</v>
      </c>
      <c r="F1101" s="32">
        <f t="shared" ca="1" si="51"/>
        <v>1216.5</v>
      </c>
      <c r="G1101" s="32">
        <f t="shared" ca="1" si="51"/>
        <v>79.166666666666671</v>
      </c>
      <c r="H1101" s="32">
        <f t="shared" ca="1" si="51"/>
        <v>600</v>
      </c>
      <c r="I1101" s="32">
        <f t="shared" ca="1" si="51"/>
        <v>695</v>
      </c>
      <c r="J1101" s="32">
        <f t="shared" ca="1" si="51"/>
        <v>33.333333333333336</v>
      </c>
      <c r="K1101" s="33"/>
      <c r="L1101" s="33"/>
      <c r="M1101" s="33"/>
      <c r="N1101" s="33"/>
      <c r="O1101" s="33"/>
      <c r="P1101" s="33"/>
      <c r="Q1101" s="33"/>
      <c r="R1101" s="33"/>
      <c r="S1101" s="33"/>
      <c r="T1101" s="33"/>
    </row>
    <row r="1102" spans="1:20" ht="15">
      <c r="A1102" s="3">
        <f t="shared" si="50"/>
        <v>2080</v>
      </c>
      <c r="B1102" s="3">
        <f t="shared" ref="B1102:B1122" si="52">DATE(A1102+1,1,1)-DATE(A1102,1,1)</f>
        <v>366</v>
      </c>
      <c r="C1102" s="32">
        <f t="shared" ca="1" si="51"/>
        <v>154.75825</v>
      </c>
      <c r="D1102" s="32">
        <f t="shared" ca="1" si="51"/>
        <v>281.0162499999999</v>
      </c>
      <c r="E1102" s="32">
        <f t="shared" ca="1" si="51"/>
        <v>780.7254999999999</v>
      </c>
      <c r="F1102" s="32">
        <f t="shared" ca="1" si="51"/>
        <v>1216.5</v>
      </c>
      <c r="G1102" s="32">
        <f t="shared" ca="1" si="51"/>
        <v>79.166666666666671</v>
      </c>
      <c r="H1102" s="32">
        <f t="shared" ca="1" si="51"/>
        <v>600</v>
      </c>
      <c r="I1102" s="32">
        <f t="shared" ca="1" si="51"/>
        <v>695</v>
      </c>
      <c r="J1102" s="32">
        <f t="shared" ca="1" si="51"/>
        <v>33.333333333333336</v>
      </c>
      <c r="K1102" s="33"/>
      <c r="L1102" s="33"/>
      <c r="M1102" s="33"/>
      <c r="N1102" s="33"/>
      <c r="O1102" s="33"/>
      <c r="P1102" s="33"/>
      <c r="Q1102" s="33"/>
      <c r="R1102" s="33"/>
      <c r="S1102" s="33"/>
      <c r="T1102" s="33"/>
    </row>
    <row r="1103" spans="1:20" ht="15">
      <c r="A1103" s="3">
        <f t="shared" si="50"/>
        <v>2081</v>
      </c>
      <c r="B1103" s="3">
        <f t="shared" si="52"/>
        <v>365</v>
      </c>
      <c r="C1103" s="32">
        <f t="shared" ca="1" si="51"/>
        <v>154.75825</v>
      </c>
      <c r="D1103" s="32">
        <f t="shared" ca="1" si="51"/>
        <v>281.0162499999999</v>
      </c>
      <c r="E1103" s="32">
        <f t="shared" ca="1" si="51"/>
        <v>780.7254999999999</v>
      </c>
      <c r="F1103" s="32">
        <f t="shared" ca="1" si="51"/>
        <v>1216.5</v>
      </c>
      <c r="G1103" s="32">
        <f t="shared" ca="1" si="51"/>
        <v>79.166666666666671</v>
      </c>
      <c r="H1103" s="32">
        <f t="shared" ca="1" si="51"/>
        <v>600</v>
      </c>
      <c r="I1103" s="32">
        <f t="shared" ca="1" si="51"/>
        <v>695</v>
      </c>
      <c r="J1103" s="32">
        <f t="shared" ca="1" si="51"/>
        <v>33.333333333333336</v>
      </c>
      <c r="K1103" s="33"/>
      <c r="L1103" s="33"/>
      <c r="M1103" s="33"/>
      <c r="N1103" s="33"/>
      <c r="O1103" s="33"/>
      <c r="P1103" s="33"/>
      <c r="Q1103" s="33"/>
      <c r="R1103" s="33"/>
      <c r="S1103" s="33"/>
      <c r="T1103" s="33"/>
    </row>
    <row r="1104" spans="1:20" ht="15">
      <c r="A1104" s="3">
        <f t="shared" si="50"/>
        <v>2082</v>
      </c>
      <c r="B1104" s="3">
        <f t="shared" si="52"/>
        <v>365</v>
      </c>
      <c r="C1104" s="32">
        <f t="shared" ref="C1104:J1113" ca="1" si="53">AVERAGE(OFFSET(C$569,($A1104-$A$1084)*12,0,12,1))</f>
        <v>154.75825</v>
      </c>
      <c r="D1104" s="32">
        <f t="shared" ca="1" si="53"/>
        <v>281.0162499999999</v>
      </c>
      <c r="E1104" s="32">
        <f t="shared" ca="1" si="53"/>
        <v>780.7254999999999</v>
      </c>
      <c r="F1104" s="32">
        <f t="shared" ca="1" si="53"/>
        <v>1216.5</v>
      </c>
      <c r="G1104" s="32">
        <f t="shared" ca="1" si="53"/>
        <v>79.166666666666671</v>
      </c>
      <c r="H1104" s="32">
        <f t="shared" ca="1" si="53"/>
        <v>600</v>
      </c>
      <c r="I1104" s="32">
        <f t="shared" ca="1" si="53"/>
        <v>695</v>
      </c>
      <c r="J1104" s="32">
        <f t="shared" ca="1" si="53"/>
        <v>33.333333333333336</v>
      </c>
      <c r="K1104" s="33"/>
      <c r="L1104" s="33"/>
      <c r="M1104" s="33"/>
      <c r="N1104" s="33"/>
      <c r="O1104" s="33"/>
      <c r="P1104" s="33"/>
      <c r="Q1104" s="33"/>
      <c r="R1104" s="33"/>
      <c r="S1104" s="33"/>
      <c r="T1104" s="33"/>
    </row>
    <row r="1105" spans="1:20" ht="15">
      <c r="A1105" s="3">
        <f t="shared" si="50"/>
        <v>2083</v>
      </c>
      <c r="B1105" s="3">
        <f t="shared" si="52"/>
        <v>365</v>
      </c>
      <c r="C1105" s="32">
        <f t="shared" ca="1" si="53"/>
        <v>154.75825</v>
      </c>
      <c r="D1105" s="32">
        <f t="shared" ca="1" si="53"/>
        <v>281.0162499999999</v>
      </c>
      <c r="E1105" s="32">
        <f t="shared" ca="1" si="53"/>
        <v>780.7254999999999</v>
      </c>
      <c r="F1105" s="32">
        <f t="shared" ca="1" si="53"/>
        <v>1216.5</v>
      </c>
      <c r="G1105" s="32">
        <f t="shared" ca="1" si="53"/>
        <v>79.166666666666671</v>
      </c>
      <c r="H1105" s="32">
        <f t="shared" ca="1" si="53"/>
        <v>600</v>
      </c>
      <c r="I1105" s="32">
        <f t="shared" ca="1" si="53"/>
        <v>695</v>
      </c>
      <c r="J1105" s="32">
        <f t="shared" ca="1" si="53"/>
        <v>33.333333333333336</v>
      </c>
      <c r="K1105" s="33"/>
      <c r="L1105" s="33"/>
      <c r="M1105" s="33"/>
      <c r="N1105" s="33"/>
      <c r="O1105" s="33"/>
      <c r="P1105" s="33"/>
      <c r="Q1105" s="33"/>
      <c r="R1105" s="33"/>
      <c r="S1105" s="33"/>
      <c r="T1105" s="33"/>
    </row>
    <row r="1106" spans="1:20" ht="15">
      <c r="A1106" s="3">
        <f t="shared" si="50"/>
        <v>2084</v>
      </c>
      <c r="B1106" s="3">
        <f t="shared" si="52"/>
        <v>366</v>
      </c>
      <c r="C1106" s="32">
        <f t="shared" ca="1" si="53"/>
        <v>154.75825</v>
      </c>
      <c r="D1106" s="32">
        <f t="shared" ca="1" si="53"/>
        <v>281.0162499999999</v>
      </c>
      <c r="E1106" s="32">
        <f t="shared" ca="1" si="53"/>
        <v>780.7254999999999</v>
      </c>
      <c r="F1106" s="32">
        <f t="shared" ca="1" si="53"/>
        <v>1216.5</v>
      </c>
      <c r="G1106" s="32">
        <f t="shared" ca="1" si="53"/>
        <v>79.166666666666671</v>
      </c>
      <c r="H1106" s="32">
        <f t="shared" ca="1" si="53"/>
        <v>600</v>
      </c>
      <c r="I1106" s="32">
        <f t="shared" ca="1" si="53"/>
        <v>695</v>
      </c>
      <c r="J1106" s="32">
        <f t="shared" ca="1" si="53"/>
        <v>33.333333333333336</v>
      </c>
      <c r="K1106" s="33"/>
      <c r="L1106" s="33"/>
      <c r="M1106" s="33"/>
      <c r="N1106" s="33"/>
      <c r="O1106" s="33"/>
      <c r="P1106" s="33"/>
      <c r="Q1106" s="33"/>
      <c r="R1106" s="33"/>
      <c r="S1106" s="33"/>
      <c r="T1106" s="33"/>
    </row>
    <row r="1107" spans="1:20" ht="15">
      <c r="A1107" s="3">
        <f t="shared" si="50"/>
        <v>2085</v>
      </c>
      <c r="B1107" s="3">
        <f t="shared" si="52"/>
        <v>365</v>
      </c>
      <c r="C1107" s="32">
        <f t="shared" ca="1" si="53"/>
        <v>154.75825</v>
      </c>
      <c r="D1107" s="32">
        <f t="shared" ca="1" si="53"/>
        <v>281.0162499999999</v>
      </c>
      <c r="E1107" s="32">
        <f t="shared" ca="1" si="53"/>
        <v>780.7254999999999</v>
      </c>
      <c r="F1107" s="32">
        <f t="shared" ca="1" si="53"/>
        <v>1216.5</v>
      </c>
      <c r="G1107" s="32">
        <f t="shared" ca="1" si="53"/>
        <v>79.166666666666671</v>
      </c>
      <c r="H1107" s="32">
        <f t="shared" ca="1" si="53"/>
        <v>600</v>
      </c>
      <c r="I1107" s="32">
        <f t="shared" ca="1" si="53"/>
        <v>695</v>
      </c>
      <c r="J1107" s="32">
        <f t="shared" ca="1" si="53"/>
        <v>33.333333333333336</v>
      </c>
      <c r="K1107" s="33"/>
      <c r="L1107" s="33"/>
      <c r="M1107" s="33"/>
      <c r="N1107" s="33"/>
      <c r="O1107" s="33"/>
      <c r="P1107" s="33"/>
      <c r="Q1107" s="33"/>
      <c r="R1107" s="33"/>
      <c r="S1107" s="33"/>
      <c r="T1107" s="33"/>
    </row>
    <row r="1108" spans="1:20" ht="15">
      <c r="A1108" s="3">
        <f t="shared" si="50"/>
        <v>2086</v>
      </c>
      <c r="B1108" s="3">
        <f t="shared" si="52"/>
        <v>365</v>
      </c>
      <c r="C1108" s="32">
        <f t="shared" ca="1" si="53"/>
        <v>154.75825</v>
      </c>
      <c r="D1108" s="32">
        <f t="shared" ca="1" si="53"/>
        <v>281.0162499999999</v>
      </c>
      <c r="E1108" s="32">
        <f t="shared" ca="1" si="53"/>
        <v>780.7254999999999</v>
      </c>
      <c r="F1108" s="32">
        <f t="shared" ca="1" si="53"/>
        <v>1216.5</v>
      </c>
      <c r="G1108" s="32">
        <f t="shared" ca="1" si="53"/>
        <v>79.166666666666671</v>
      </c>
      <c r="H1108" s="32">
        <f t="shared" ca="1" si="53"/>
        <v>600</v>
      </c>
      <c r="I1108" s="32">
        <f t="shared" ca="1" si="53"/>
        <v>695</v>
      </c>
      <c r="J1108" s="32">
        <f t="shared" ca="1" si="53"/>
        <v>33.333333333333336</v>
      </c>
      <c r="K1108" s="33"/>
      <c r="L1108" s="33"/>
      <c r="M1108" s="33"/>
      <c r="N1108" s="33"/>
      <c r="O1108" s="33"/>
      <c r="P1108" s="33"/>
      <c r="Q1108" s="33"/>
      <c r="R1108" s="33"/>
      <c r="S1108" s="33"/>
      <c r="T1108" s="33"/>
    </row>
    <row r="1109" spans="1:20" ht="15">
      <c r="A1109" s="3">
        <f t="shared" si="50"/>
        <v>2087</v>
      </c>
      <c r="B1109" s="3">
        <f t="shared" si="52"/>
        <v>365</v>
      </c>
      <c r="C1109" s="32">
        <f t="shared" ca="1" si="53"/>
        <v>154.75825</v>
      </c>
      <c r="D1109" s="32">
        <f t="shared" ca="1" si="53"/>
        <v>281.0162499999999</v>
      </c>
      <c r="E1109" s="32">
        <f t="shared" ca="1" si="53"/>
        <v>780.7254999999999</v>
      </c>
      <c r="F1109" s="32">
        <f t="shared" ca="1" si="53"/>
        <v>1216.5</v>
      </c>
      <c r="G1109" s="32">
        <f t="shared" ca="1" si="53"/>
        <v>79.166666666666671</v>
      </c>
      <c r="H1109" s="32">
        <f t="shared" ca="1" si="53"/>
        <v>600</v>
      </c>
      <c r="I1109" s="32">
        <f t="shared" ca="1" si="53"/>
        <v>695</v>
      </c>
      <c r="J1109" s="32">
        <f t="shared" ca="1" si="53"/>
        <v>33.333333333333336</v>
      </c>
      <c r="K1109" s="33"/>
      <c r="L1109" s="33"/>
      <c r="M1109" s="33"/>
      <c r="N1109" s="33"/>
      <c r="O1109" s="33"/>
      <c r="P1109" s="33"/>
      <c r="Q1109" s="33"/>
      <c r="R1109" s="33"/>
      <c r="S1109" s="33"/>
      <c r="T1109" s="33"/>
    </row>
    <row r="1110" spans="1:20" ht="15">
      <c r="A1110" s="3">
        <f t="shared" si="50"/>
        <v>2088</v>
      </c>
      <c r="B1110" s="3">
        <f t="shared" si="52"/>
        <v>366</v>
      </c>
      <c r="C1110" s="32">
        <f t="shared" ca="1" si="53"/>
        <v>154.75825</v>
      </c>
      <c r="D1110" s="32">
        <f t="shared" ca="1" si="53"/>
        <v>281.0162499999999</v>
      </c>
      <c r="E1110" s="32">
        <f t="shared" ca="1" si="53"/>
        <v>780.7254999999999</v>
      </c>
      <c r="F1110" s="32">
        <f t="shared" ca="1" si="53"/>
        <v>1216.5</v>
      </c>
      <c r="G1110" s="32">
        <f t="shared" ca="1" si="53"/>
        <v>79.166666666666671</v>
      </c>
      <c r="H1110" s="32">
        <f t="shared" ca="1" si="53"/>
        <v>600</v>
      </c>
      <c r="I1110" s="32">
        <f t="shared" ca="1" si="53"/>
        <v>695</v>
      </c>
      <c r="J1110" s="32">
        <f t="shared" ca="1" si="53"/>
        <v>33.333333333333336</v>
      </c>
      <c r="K1110" s="33"/>
      <c r="L1110" s="33"/>
      <c r="M1110" s="33"/>
      <c r="N1110" s="33"/>
      <c r="O1110" s="33"/>
      <c r="P1110" s="33"/>
      <c r="Q1110" s="33"/>
      <c r="R1110" s="33"/>
      <c r="S1110" s="33"/>
      <c r="T1110" s="33"/>
    </row>
    <row r="1111" spans="1:20" ht="15">
      <c r="A1111" s="3">
        <f t="shared" si="50"/>
        <v>2089</v>
      </c>
      <c r="B1111" s="3">
        <f t="shared" si="52"/>
        <v>365</v>
      </c>
      <c r="C1111" s="32">
        <f t="shared" ca="1" si="53"/>
        <v>154.75825</v>
      </c>
      <c r="D1111" s="32">
        <f t="shared" ca="1" si="53"/>
        <v>281.0162499999999</v>
      </c>
      <c r="E1111" s="32">
        <f t="shared" ca="1" si="53"/>
        <v>780.7254999999999</v>
      </c>
      <c r="F1111" s="32">
        <f t="shared" ca="1" si="53"/>
        <v>1216.5</v>
      </c>
      <c r="G1111" s="32">
        <f t="shared" ca="1" si="53"/>
        <v>79.166666666666671</v>
      </c>
      <c r="H1111" s="32">
        <f t="shared" ca="1" si="53"/>
        <v>600</v>
      </c>
      <c r="I1111" s="32">
        <f t="shared" ca="1" si="53"/>
        <v>695</v>
      </c>
      <c r="J1111" s="32">
        <f t="shared" ca="1" si="53"/>
        <v>33.333333333333336</v>
      </c>
      <c r="K1111" s="33"/>
      <c r="L1111" s="33"/>
      <c r="M1111" s="33"/>
      <c r="N1111" s="33"/>
      <c r="O1111" s="33"/>
      <c r="P1111" s="33"/>
      <c r="Q1111" s="33"/>
      <c r="R1111" s="33"/>
      <c r="S1111" s="33"/>
      <c r="T1111" s="33"/>
    </row>
    <row r="1112" spans="1:20" ht="15">
      <c r="A1112" s="3">
        <f t="shared" si="50"/>
        <v>2090</v>
      </c>
      <c r="B1112" s="3">
        <f t="shared" si="52"/>
        <v>365</v>
      </c>
      <c r="C1112" s="32">
        <f t="shared" ca="1" si="53"/>
        <v>154.75825</v>
      </c>
      <c r="D1112" s="32">
        <f t="shared" ca="1" si="53"/>
        <v>281.0162499999999</v>
      </c>
      <c r="E1112" s="32">
        <f t="shared" ca="1" si="53"/>
        <v>780.7254999999999</v>
      </c>
      <c r="F1112" s="32">
        <f t="shared" ca="1" si="53"/>
        <v>1216.5</v>
      </c>
      <c r="G1112" s="32">
        <f t="shared" ca="1" si="53"/>
        <v>79.166666666666671</v>
      </c>
      <c r="H1112" s="32">
        <f t="shared" ca="1" si="53"/>
        <v>600</v>
      </c>
      <c r="I1112" s="32">
        <f t="shared" ca="1" si="53"/>
        <v>695</v>
      </c>
      <c r="J1112" s="32">
        <f t="shared" ca="1" si="53"/>
        <v>33.333333333333336</v>
      </c>
      <c r="K1112" s="33"/>
      <c r="L1112" s="33"/>
      <c r="M1112" s="33"/>
      <c r="N1112" s="33"/>
      <c r="O1112" s="33"/>
      <c r="P1112" s="33"/>
      <c r="Q1112" s="33"/>
      <c r="R1112" s="33"/>
      <c r="S1112" s="33"/>
      <c r="T1112" s="33"/>
    </row>
    <row r="1113" spans="1:20" ht="15">
      <c r="A1113" s="3">
        <f t="shared" si="50"/>
        <v>2091</v>
      </c>
      <c r="B1113" s="3">
        <f t="shared" si="52"/>
        <v>365</v>
      </c>
      <c r="C1113" s="32">
        <f t="shared" ca="1" si="53"/>
        <v>154.75825</v>
      </c>
      <c r="D1113" s="32">
        <f t="shared" ca="1" si="53"/>
        <v>281.0162499999999</v>
      </c>
      <c r="E1113" s="32">
        <f t="shared" ca="1" si="53"/>
        <v>780.7254999999999</v>
      </c>
      <c r="F1113" s="32">
        <f t="shared" ca="1" si="53"/>
        <v>1216.5</v>
      </c>
      <c r="G1113" s="32">
        <f t="shared" ca="1" si="53"/>
        <v>79.166666666666671</v>
      </c>
      <c r="H1113" s="32">
        <f t="shared" ca="1" si="53"/>
        <v>600</v>
      </c>
      <c r="I1113" s="32">
        <f t="shared" ca="1" si="53"/>
        <v>695</v>
      </c>
      <c r="J1113" s="32">
        <f t="shared" ca="1" si="53"/>
        <v>33.333333333333336</v>
      </c>
    </row>
    <row r="1114" spans="1:20" ht="15">
      <c r="A1114" s="3">
        <f t="shared" si="50"/>
        <v>2092</v>
      </c>
      <c r="B1114" s="3">
        <f t="shared" si="52"/>
        <v>366</v>
      </c>
      <c r="C1114" s="32">
        <f t="shared" ref="C1114:J1122" ca="1" si="54">AVERAGE(OFFSET(C$569,($A1114-$A$1084)*12,0,12,1))</f>
        <v>154.75825</v>
      </c>
      <c r="D1114" s="32">
        <f t="shared" ca="1" si="54"/>
        <v>281.0162499999999</v>
      </c>
      <c r="E1114" s="32">
        <f t="shared" ca="1" si="54"/>
        <v>780.7254999999999</v>
      </c>
      <c r="F1114" s="32">
        <f t="shared" ca="1" si="54"/>
        <v>1216.5</v>
      </c>
      <c r="G1114" s="32">
        <f t="shared" ca="1" si="54"/>
        <v>79.166666666666671</v>
      </c>
      <c r="H1114" s="32">
        <f t="shared" ca="1" si="54"/>
        <v>600</v>
      </c>
      <c r="I1114" s="32">
        <f t="shared" ca="1" si="54"/>
        <v>695</v>
      </c>
      <c r="J1114" s="32">
        <f t="shared" ca="1" si="54"/>
        <v>33.333333333333336</v>
      </c>
    </row>
    <row r="1115" spans="1:20" ht="15">
      <c r="A1115" s="3">
        <f t="shared" si="50"/>
        <v>2093</v>
      </c>
      <c r="B1115" s="3">
        <f t="shared" si="52"/>
        <v>365</v>
      </c>
      <c r="C1115" s="32">
        <f t="shared" ca="1" si="54"/>
        <v>154.75825</v>
      </c>
      <c r="D1115" s="32">
        <f t="shared" ca="1" si="54"/>
        <v>281.0162499999999</v>
      </c>
      <c r="E1115" s="32">
        <f t="shared" ca="1" si="54"/>
        <v>780.7254999999999</v>
      </c>
      <c r="F1115" s="32">
        <f t="shared" ca="1" si="54"/>
        <v>1216.5</v>
      </c>
      <c r="G1115" s="32">
        <f t="shared" ca="1" si="54"/>
        <v>79.166666666666671</v>
      </c>
      <c r="H1115" s="32">
        <f t="shared" ca="1" si="54"/>
        <v>600</v>
      </c>
      <c r="I1115" s="32">
        <f t="shared" ca="1" si="54"/>
        <v>695</v>
      </c>
      <c r="J1115" s="32">
        <f t="shared" ca="1" si="54"/>
        <v>33.333333333333336</v>
      </c>
    </row>
    <row r="1116" spans="1:20" ht="15">
      <c r="A1116" s="3">
        <f t="shared" si="50"/>
        <v>2094</v>
      </c>
      <c r="B1116" s="3">
        <f t="shared" si="52"/>
        <v>365</v>
      </c>
      <c r="C1116" s="32">
        <f t="shared" ca="1" si="54"/>
        <v>154.75825</v>
      </c>
      <c r="D1116" s="32">
        <f t="shared" ca="1" si="54"/>
        <v>281.0162499999999</v>
      </c>
      <c r="E1116" s="32">
        <f t="shared" ca="1" si="54"/>
        <v>780.7254999999999</v>
      </c>
      <c r="F1116" s="32">
        <f t="shared" ca="1" si="54"/>
        <v>1216.5</v>
      </c>
      <c r="G1116" s="32">
        <f t="shared" ca="1" si="54"/>
        <v>79.166666666666671</v>
      </c>
      <c r="H1116" s="32">
        <f t="shared" ca="1" si="54"/>
        <v>600</v>
      </c>
      <c r="I1116" s="32">
        <f t="shared" ca="1" si="54"/>
        <v>695</v>
      </c>
      <c r="J1116" s="32">
        <f t="shared" ca="1" si="54"/>
        <v>33.333333333333336</v>
      </c>
    </row>
    <row r="1117" spans="1:20" ht="15">
      <c r="A1117" s="3">
        <f t="shared" si="50"/>
        <v>2095</v>
      </c>
      <c r="B1117" s="3">
        <f t="shared" si="52"/>
        <v>365</v>
      </c>
      <c r="C1117" s="32">
        <f t="shared" ca="1" si="54"/>
        <v>154.75825</v>
      </c>
      <c r="D1117" s="32">
        <f t="shared" ca="1" si="54"/>
        <v>281.0162499999999</v>
      </c>
      <c r="E1117" s="32">
        <f t="shared" ca="1" si="54"/>
        <v>780.7254999999999</v>
      </c>
      <c r="F1117" s="32">
        <f t="shared" ca="1" si="54"/>
        <v>1216.5</v>
      </c>
      <c r="G1117" s="32">
        <f t="shared" ca="1" si="54"/>
        <v>79.166666666666671</v>
      </c>
      <c r="H1117" s="32">
        <f t="shared" ca="1" si="54"/>
        <v>600</v>
      </c>
      <c r="I1117" s="32">
        <f t="shared" ca="1" si="54"/>
        <v>695</v>
      </c>
      <c r="J1117" s="32">
        <f t="shared" ca="1" si="54"/>
        <v>33.333333333333336</v>
      </c>
    </row>
    <row r="1118" spans="1:20" ht="15">
      <c r="A1118" s="3">
        <f t="shared" si="50"/>
        <v>2096</v>
      </c>
      <c r="B1118" s="3">
        <f t="shared" si="52"/>
        <v>366</v>
      </c>
      <c r="C1118" s="32">
        <f t="shared" ca="1" si="54"/>
        <v>154.75825</v>
      </c>
      <c r="D1118" s="32">
        <f t="shared" ca="1" si="54"/>
        <v>281.0162499999999</v>
      </c>
      <c r="E1118" s="32">
        <f t="shared" ca="1" si="54"/>
        <v>780.7254999999999</v>
      </c>
      <c r="F1118" s="32">
        <f t="shared" ca="1" si="54"/>
        <v>1216.5</v>
      </c>
      <c r="G1118" s="32">
        <f t="shared" ca="1" si="54"/>
        <v>79.166666666666671</v>
      </c>
      <c r="H1118" s="32">
        <f t="shared" ca="1" si="54"/>
        <v>600</v>
      </c>
      <c r="I1118" s="32">
        <f t="shared" ca="1" si="54"/>
        <v>695</v>
      </c>
      <c r="J1118" s="32">
        <f t="shared" ca="1" si="54"/>
        <v>33.333333333333336</v>
      </c>
    </row>
    <row r="1119" spans="1:20" ht="15">
      <c r="A1119" s="3">
        <f t="shared" si="50"/>
        <v>2097</v>
      </c>
      <c r="B1119" s="3">
        <f t="shared" si="52"/>
        <v>365</v>
      </c>
      <c r="C1119" s="32">
        <f t="shared" ca="1" si="54"/>
        <v>154.75825</v>
      </c>
      <c r="D1119" s="32">
        <f t="shared" ca="1" si="54"/>
        <v>281.0162499999999</v>
      </c>
      <c r="E1119" s="32">
        <f t="shared" ca="1" si="54"/>
        <v>780.7254999999999</v>
      </c>
      <c r="F1119" s="32">
        <f t="shared" ca="1" si="54"/>
        <v>1216.5</v>
      </c>
      <c r="G1119" s="32">
        <f t="shared" ca="1" si="54"/>
        <v>79.166666666666671</v>
      </c>
      <c r="H1119" s="32">
        <f t="shared" ca="1" si="54"/>
        <v>600</v>
      </c>
      <c r="I1119" s="32">
        <f t="shared" ca="1" si="54"/>
        <v>695</v>
      </c>
      <c r="J1119" s="32">
        <f t="shared" ca="1" si="54"/>
        <v>33.333333333333336</v>
      </c>
    </row>
    <row r="1120" spans="1:20" ht="15">
      <c r="A1120" s="3">
        <f t="shared" si="50"/>
        <v>2098</v>
      </c>
      <c r="B1120" s="3">
        <f t="shared" si="52"/>
        <v>365</v>
      </c>
      <c r="C1120" s="32">
        <f t="shared" ca="1" si="54"/>
        <v>154.75825</v>
      </c>
      <c r="D1120" s="32">
        <f t="shared" ca="1" si="54"/>
        <v>281.0162499999999</v>
      </c>
      <c r="E1120" s="32">
        <f t="shared" ca="1" si="54"/>
        <v>780.7254999999999</v>
      </c>
      <c r="F1120" s="32">
        <f t="shared" ca="1" si="54"/>
        <v>1216.5</v>
      </c>
      <c r="G1120" s="32">
        <f t="shared" ca="1" si="54"/>
        <v>79.166666666666671</v>
      </c>
      <c r="H1120" s="32">
        <f t="shared" ca="1" si="54"/>
        <v>600</v>
      </c>
      <c r="I1120" s="32">
        <f t="shared" ca="1" si="54"/>
        <v>695</v>
      </c>
      <c r="J1120" s="32">
        <f t="shared" ca="1" si="54"/>
        <v>33.333333333333336</v>
      </c>
    </row>
    <row r="1121" spans="1:10" ht="15">
      <c r="A1121" s="3">
        <f t="shared" si="50"/>
        <v>2099</v>
      </c>
      <c r="B1121" s="3">
        <f t="shared" si="52"/>
        <v>365</v>
      </c>
      <c r="C1121" s="32">
        <f t="shared" ca="1" si="54"/>
        <v>154.75825</v>
      </c>
      <c r="D1121" s="32">
        <f t="shared" ca="1" si="54"/>
        <v>281.0162499999999</v>
      </c>
      <c r="E1121" s="32">
        <f t="shared" ca="1" si="54"/>
        <v>780.7254999999999</v>
      </c>
      <c r="F1121" s="32">
        <f t="shared" ca="1" si="54"/>
        <v>1216.5</v>
      </c>
      <c r="G1121" s="32">
        <f t="shared" ca="1" si="54"/>
        <v>79.166666666666671</v>
      </c>
      <c r="H1121" s="32">
        <f t="shared" ca="1" si="54"/>
        <v>600</v>
      </c>
      <c r="I1121" s="32">
        <f t="shared" ca="1" si="54"/>
        <v>695</v>
      </c>
      <c r="J1121" s="32">
        <f t="shared" ca="1" si="54"/>
        <v>33.333333333333336</v>
      </c>
    </row>
    <row r="1122" spans="1:10" ht="15">
      <c r="A1122" s="3">
        <f t="shared" si="50"/>
        <v>2100</v>
      </c>
      <c r="B1122" s="3">
        <f t="shared" si="52"/>
        <v>365</v>
      </c>
      <c r="C1122" s="32">
        <f t="shared" ca="1" si="54"/>
        <v>154.75825</v>
      </c>
      <c r="D1122" s="32">
        <f t="shared" ca="1" si="54"/>
        <v>281.0162499999999</v>
      </c>
      <c r="E1122" s="32">
        <f t="shared" ca="1" si="54"/>
        <v>780.7254999999999</v>
      </c>
      <c r="F1122" s="32">
        <f t="shared" ca="1" si="54"/>
        <v>1216.5</v>
      </c>
      <c r="G1122" s="32">
        <f t="shared" ca="1" si="54"/>
        <v>79.166666666666671</v>
      </c>
      <c r="H1122" s="32">
        <f t="shared" ca="1" si="54"/>
        <v>600</v>
      </c>
      <c r="I1122" s="32">
        <f t="shared" ca="1" si="54"/>
        <v>695</v>
      </c>
      <c r="J1122" s="32">
        <f t="shared" ca="1" si="54"/>
        <v>33.333333333333336</v>
      </c>
    </row>
    <row r="1123" spans="1:10">
      <c r="A1123" s="29"/>
      <c r="B1123" s="29"/>
      <c r="C1123" s="31"/>
      <c r="D1123" s="31"/>
      <c r="E1123" s="31"/>
      <c r="F1123" s="31"/>
      <c r="G1123" s="31"/>
    </row>
    <row r="1124" spans="1:10">
      <c r="A1124" s="29"/>
      <c r="B1124" s="29"/>
    </row>
    <row r="1125" spans="1:10">
      <c r="A1125" s="29"/>
      <c r="B1125" s="29"/>
    </row>
    <row r="1126" spans="1:10">
      <c r="A1126" s="29"/>
      <c r="B1126" s="29"/>
    </row>
    <row r="1127" spans="1:10">
      <c r="A1127" s="29"/>
      <c r="B1127" s="29"/>
    </row>
    <row r="1128" spans="1:10">
      <c r="A1128" s="29"/>
      <c r="B1128" s="29"/>
    </row>
    <row r="1129" spans="1:10">
      <c r="A1129" s="29"/>
      <c r="B1129" s="29"/>
    </row>
    <row r="1130" spans="1:10">
      <c r="A1130" s="29"/>
      <c r="B1130" s="29"/>
    </row>
    <row r="1131" spans="1:10">
      <c r="A1131" s="29"/>
      <c r="B1131" s="29"/>
    </row>
    <row r="1132" spans="1:10">
      <c r="A1132" s="29"/>
      <c r="B1132" s="29"/>
    </row>
    <row r="1133" spans="1:10">
      <c r="A1133" s="29"/>
      <c r="B1133" s="29"/>
    </row>
    <row r="1134" spans="1:10">
      <c r="A1134" s="29"/>
      <c r="B1134" s="29"/>
    </row>
    <row r="1135" spans="1:10">
      <c r="A1135" s="29"/>
      <c r="B1135" s="29"/>
    </row>
    <row r="1136" spans="1:10">
      <c r="A1136" s="29"/>
      <c r="B1136" s="29"/>
    </row>
    <row r="1137" spans="1:2">
      <c r="A1137" s="29"/>
      <c r="B1137" s="29"/>
    </row>
    <row r="1138" spans="1:2">
      <c r="A1138" s="29"/>
      <c r="B1138" s="29"/>
    </row>
    <row r="1139" spans="1:2">
      <c r="A1139" s="29"/>
      <c r="B1139" s="29"/>
    </row>
    <row r="1140" spans="1:2">
      <c r="A1140" s="29"/>
      <c r="B1140" s="29"/>
    </row>
    <row r="1141" spans="1:2">
      <c r="A1141" s="29"/>
      <c r="B1141" s="29"/>
    </row>
    <row r="1142" spans="1:2">
      <c r="A1142" s="29"/>
      <c r="B1142" s="29"/>
    </row>
  </sheetData>
  <mergeCells count="1">
    <mergeCell ref="C14:E14"/>
  </mergeCells>
  <pageMargins left="0.25" right="0.25" top="0.5" bottom="0.5" header="0.25" footer="0.25"/>
  <pageSetup scale="75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/>
  <dimension ref="A1:G1142"/>
  <sheetViews>
    <sheetView zoomScale="70" zoomScaleNormal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B17" sqref="B17"/>
    </sheetView>
  </sheetViews>
  <sheetFormatPr defaultColWidth="7.109375" defaultRowHeight="12.75"/>
  <cols>
    <col min="1" max="1" width="7.5546875" style="30" bestFit="1" customWidth="1"/>
    <col min="2" max="2" width="10" style="30" customWidth="1"/>
    <col min="3" max="3" width="12" style="30" customWidth="1"/>
    <col min="4" max="4" width="12.109375" style="30" bestFit="1" customWidth="1"/>
    <col min="5" max="5" width="8.44140625" style="30" bestFit="1" customWidth="1"/>
    <col min="6" max="16384" width="7.109375" style="29"/>
  </cols>
  <sheetData>
    <row r="1" spans="1:7" ht="15.75">
      <c r="A1" s="81" t="s">
        <v>64</v>
      </c>
    </row>
    <row r="2" spans="1:7" ht="15.75">
      <c r="A2" s="81" t="s">
        <v>65</v>
      </c>
    </row>
    <row r="3" spans="1:7" ht="15.75">
      <c r="A3" s="81" t="s">
        <v>66</v>
      </c>
    </row>
    <row r="4" spans="1:7" ht="15.75">
      <c r="A4" s="81" t="s">
        <v>67</v>
      </c>
    </row>
    <row r="5" spans="1:7" ht="15.75">
      <c r="A5" s="81" t="s">
        <v>68</v>
      </c>
    </row>
    <row r="6" spans="1:7" ht="15.75">
      <c r="A6" s="81" t="s">
        <v>71</v>
      </c>
    </row>
    <row r="8" spans="1:7" ht="20.25">
      <c r="A8" s="28" t="s">
        <v>43</v>
      </c>
    </row>
    <row r="9" spans="1:7" ht="15" customHeight="1">
      <c r="A9" s="54" t="s">
        <v>25</v>
      </c>
    </row>
    <row r="10" spans="1:7" ht="15" customHeight="1">
      <c r="A10" s="59"/>
      <c r="F10" s="57"/>
      <c r="G10" s="57"/>
    </row>
    <row r="11" spans="1:7" ht="15" customHeight="1">
      <c r="A11" s="59"/>
      <c r="B11" s="58"/>
      <c r="C11" s="58"/>
      <c r="D11" s="58"/>
      <c r="E11" s="58"/>
      <c r="F11" s="57"/>
      <c r="G11" s="57"/>
    </row>
    <row r="12" spans="1:7" ht="15" customHeight="1"/>
    <row r="13" spans="1:7" ht="15" customHeight="1">
      <c r="B13" s="56" t="s">
        <v>24</v>
      </c>
      <c r="C13" s="55">
        <f>1-0.269</f>
        <v>0.73099999999999998</v>
      </c>
      <c r="D13" s="56" t="s">
        <v>23</v>
      </c>
      <c r="E13" s="55">
        <f>1+0.269</f>
        <v>1.2690000000000001</v>
      </c>
    </row>
    <row r="14" spans="1:7" ht="15" customHeight="1">
      <c r="A14" s="54"/>
      <c r="B14" s="84" t="s">
        <v>42</v>
      </c>
      <c r="C14" s="84"/>
      <c r="D14" s="53" t="s">
        <v>41</v>
      </c>
      <c r="E14" s="48"/>
    </row>
    <row r="15" spans="1:7" s="51" customFormat="1" ht="63">
      <c r="B15" s="52" t="s">
        <v>40</v>
      </c>
      <c r="C15" s="52" t="s">
        <v>39</v>
      </c>
      <c r="D15" s="52" t="s">
        <v>38</v>
      </c>
      <c r="E15" s="20" t="s">
        <v>37</v>
      </c>
    </row>
    <row r="16" spans="1:7" s="51" customFormat="1" ht="15.75">
      <c r="A16" s="17" t="s">
        <v>2</v>
      </c>
      <c r="B16" s="43" t="s">
        <v>1</v>
      </c>
      <c r="C16" s="43" t="s">
        <v>1</v>
      </c>
      <c r="D16" s="43" t="s">
        <v>1</v>
      </c>
      <c r="E16" s="17" t="s">
        <v>36</v>
      </c>
    </row>
    <row r="17" spans="1:5" ht="15">
      <c r="A17" s="13">
        <v>42370</v>
      </c>
      <c r="B17" s="4">
        <f>5.3484 * CHOOSE(CONTROL!$C$6, $C$13, 100%, $E$13) + CHOOSE(CONTROL!$C$25, 0.0003, 0)</f>
        <v>5.3487</v>
      </c>
      <c r="C17" s="4">
        <f>5.0359 * CHOOSE(CONTROL!$C$6, $C$13, 100%, $E$13) + CHOOSE(CONTROL!$C$25, 0.0003, 0)</f>
        <v>5.0362</v>
      </c>
      <c r="D17" s="4">
        <f>8.9587 * CHOOSE(CONTROL!$C$6, $C$13, 100%, $E$13) + CHOOSE(CONTROL!$C$25, 0, 0)</f>
        <v>8.9587000000000003</v>
      </c>
      <c r="E17" s="4">
        <f>34.74 * CHOOSE(CONTROL!$C$6, $C$13, 100%, $E$13) + CHOOSE(CONTROL!$C$25, 0, 0)</f>
        <v>34.74</v>
      </c>
    </row>
    <row r="18" spans="1:5" ht="15">
      <c r="A18" s="13">
        <v>42401</v>
      </c>
      <c r="B18" s="4">
        <f>5.5922 * CHOOSE(CONTROL!$C$6, $C$13, 100%, $E$13) + CHOOSE(CONTROL!$C$25, 0.0003, 0)</f>
        <v>5.5925000000000002</v>
      </c>
      <c r="C18" s="4">
        <f>5.2797 * CHOOSE(CONTROL!$C$6, $C$13, 100%, $E$13) + CHOOSE(CONTROL!$C$25, 0.0003, 0)</f>
        <v>5.28</v>
      </c>
      <c r="D18" s="4">
        <f>8.6302 * CHOOSE(CONTROL!$C$6, $C$13, 100%, $E$13) + CHOOSE(CONTROL!$C$25, 0, 0)</f>
        <v>8.6302000000000003</v>
      </c>
      <c r="E18" s="4">
        <f>26.55 * CHOOSE(CONTROL!$C$6, $C$13, 100%, $E$13) + CHOOSE(CONTROL!$C$25, 0, 0)</f>
        <v>26.55</v>
      </c>
    </row>
    <row r="19" spans="1:5" ht="15">
      <c r="A19" s="13">
        <v>42430</v>
      </c>
      <c r="B19" s="4">
        <f>6.0109 * CHOOSE(CONTROL!$C$6, $C$13, 100%, $E$13) + CHOOSE(CONTROL!$C$25, 0.0003, 0)</f>
        <v>6.0112000000000005</v>
      </c>
      <c r="C19" s="4">
        <f>5.6984 * CHOOSE(CONTROL!$C$6, $C$13, 100%, $E$13) + CHOOSE(CONTROL!$C$25, 0.0003, 0)</f>
        <v>5.6987000000000005</v>
      </c>
      <c r="D19" s="4">
        <f>8.7807 * CHOOSE(CONTROL!$C$6, $C$13, 100%, $E$13) + CHOOSE(CONTROL!$C$25, 0, 0)</f>
        <v>8.7806999999999995</v>
      </c>
      <c r="E19" s="4">
        <f>31.48 * CHOOSE(CONTROL!$C$6, $C$13, 100%, $E$13) + CHOOSE(CONTROL!$C$25, 0, 0)</f>
        <v>31.48</v>
      </c>
    </row>
    <row r="20" spans="1:5" ht="15">
      <c r="A20" s="13">
        <v>42461</v>
      </c>
      <c r="B20" s="4">
        <f>6.3266 * CHOOSE(CONTROL!$C$6, $C$13, 100%, $E$13) + CHOOSE(CONTROL!$C$25, 0.0003, 0)</f>
        <v>6.3269000000000002</v>
      </c>
      <c r="C20" s="4">
        <f>6.0141 * CHOOSE(CONTROL!$C$6, $C$13, 100%, $E$13) + CHOOSE(CONTROL!$C$25, 0.0003, 0)</f>
        <v>6.0144000000000002</v>
      </c>
      <c r="D20" s="4">
        <f>9.5645 * CHOOSE(CONTROL!$C$6, $C$13, 100%, $E$13) + CHOOSE(CONTROL!$C$25, 0, 0)</f>
        <v>9.5645000000000007</v>
      </c>
      <c r="E20" s="4">
        <f>39.91 * CHOOSE(CONTROL!$C$6, $C$13, 100%, $E$13) + CHOOSE(CONTROL!$C$25, 0, 0)</f>
        <v>39.909999999999997</v>
      </c>
    </row>
    <row r="21" spans="1:5" ht="15">
      <c r="A21" s="13">
        <v>42491</v>
      </c>
      <c r="B21" s="4">
        <f>7.4734 * CHOOSE(CONTROL!$C$6, $C$13, 100%, $E$13) + CHOOSE(CONTROL!$C$25, 0.0263, 0)</f>
        <v>7.4996999999999998</v>
      </c>
      <c r="C21" s="4">
        <f>7.1609 * CHOOSE(CONTROL!$C$6, $C$13, 100%, $E$13) + CHOOSE(CONTROL!$C$25, 0.0263, 0)</f>
        <v>7.1871999999999998</v>
      </c>
      <c r="D21" s="4">
        <f>10.9557 * CHOOSE(CONTROL!$C$6, $C$13, 100%, $E$13) + CHOOSE(CONTROL!$C$25, 0, 0)</f>
        <v>10.9557</v>
      </c>
      <c r="E21" s="4">
        <f>42.63 * CHOOSE(CONTROL!$C$6, $C$13, 100%, $E$13) + CHOOSE(CONTROL!$C$25, 0, 0)</f>
        <v>42.63</v>
      </c>
    </row>
    <row r="22" spans="1:5" ht="15">
      <c r="A22" s="13">
        <v>42522</v>
      </c>
      <c r="B22" s="4">
        <f>7.8609 * CHOOSE(CONTROL!$C$6, $C$13, 100%, $E$13) + CHOOSE(CONTROL!$C$25, 0.0263, 0)</f>
        <v>7.8872</v>
      </c>
      <c r="C22" s="4">
        <f>7.5484 * CHOOSE(CONTROL!$C$6, $C$13, 100%, $E$13) + CHOOSE(CONTROL!$C$25, 0.0263, 0)</f>
        <v>7.5747</v>
      </c>
      <c r="D22" s="4">
        <f>11.8173 * CHOOSE(CONTROL!$C$6, $C$13, 100%, $E$13) + CHOOSE(CONTROL!$C$25, 0, 0)</f>
        <v>11.817299999999999</v>
      </c>
      <c r="E22" s="4">
        <f>47.75 * CHOOSE(CONTROL!$C$6, $C$13, 100%, $E$13) + CHOOSE(CONTROL!$C$25, 0, 0)</f>
        <v>47.75</v>
      </c>
    </row>
    <row r="23" spans="1:5" ht="15">
      <c r="A23" s="13">
        <v>42552</v>
      </c>
      <c r="B23" s="4">
        <f>8.2266 * CHOOSE(CONTROL!$C$6, $C$13, 100%, $E$13) + CHOOSE(CONTROL!$C$25, 0.0263, 0)</f>
        <v>8.2529000000000003</v>
      </c>
      <c r="C23" s="4">
        <f>7.9141 * CHOOSE(CONTROL!$C$6, $C$13, 100%, $E$13) + CHOOSE(CONTROL!$C$25, 0.0263, 0)</f>
        <v>7.9404000000000003</v>
      </c>
      <c r="D23" s="4">
        <f>11.8576 * CHOOSE(CONTROL!$C$6, $C$13, 100%, $E$13) + CHOOSE(CONTROL!$C$25, 0, 0)</f>
        <v>11.8576</v>
      </c>
      <c r="E23" s="4">
        <f>49.69 * CHOOSE(CONTROL!$C$6, $C$13, 100%, $E$13) + CHOOSE(CONTROL!$C$25, 0, 0)</f>
        <v>49.69</v>
      </c>
    </row>
    <row r="24" spans="1:5" ht="15">
      <c r="A24" s="13">
        <v>42583</v>
      </c>
      <c r="B24" s="4">
        <f>8.2422 * CHOOSE(CONTROL!$C$6, $C$13, 100%, $E$13) + CHOOSE(CONTROL!$C$25, 0.0263, 0)</f>
        <v>8.2685000000000013</v>
      </c>
      <c r="C24" s="4">
        <f>7.9297 * CHOOSE(CONTROL!$C$6, $C$13, 100%, $E$13) + CHOOSE(CONTROL!$C$25, 0.0263, 0)</f>
        <v>7.9560000000000004</v>
      </c>
      <c r="D24" s="4">
        <f>11.9196 * CHOOSE(CONTROL!$C$6, $C$13, 100%, $E$13) + CHOOSE(CONTROL!$C$25, 0, 0)</f>
        <v>11.919600000000001</v>
      </c>
      <c r="E24" s="4">
        <f>50.17 * CHOOSE(CONTROL!$C$6, $C$13, 100%, $E$13) + CHOOSE(CONTROL!$C$25, 0, 0)</f>
        <v>50.17</v>
      </c>
    </row>
    <row r="25" spans="1:5" ht="15">
      <c r="A25" s="13">
        <v>42614</v>
      </c>
      <c r="B25" s="4">
        <f>8.2969 * CHOOSE(CONTROL!$C$6, $C$13, 100%, $E$13) + CHOOSE(CONTROL!$C$25, 0.0263, 0)</f>
        <v>8.3232000000000017</v>
      </c>
      <c r="C25" s="4">
        <f>7.9844 * CHOOSE(CONTROL!$C$6, $C$13, 100%, $E$13) + CHOOSE(CONTROL!$C$25, 0.0263, 0)</f>
        <v>8.0106999999999999</v>
      </c>
      <c r="D25" s="4">
        <f>12.0082 * CHOOSE(CONTROL!$C$6, $C$13, 100%, $E$13) + CHOOSE(CONTROL!$C$25, 0, 0)</f>
        <v>12.0082</v>
      </c>
      <c r="E25" s="4">
        <f>50.59 * CHOOSE(CONTROL!$C$6, $C$13, 100%, $E$13) + CHOOSE(CONTROL!$C$25, 0, 0)</f>
        <v>50.59</v>
      </c>
    </row>
    <row r="26" spans="1:5" ht="15">
      <c r="A26" s="13">
        <v>42644</v>
      </c>
      <c r="B26" s="4">
        <f>8.3516 * CHOOSE(CONTROL!$C$6, $C$13, 100%, $E$13) + CHOOSE(CONTROL!$C$25, 0.0003, 0)</f>
        <v>8.3518999999999988</v>
      </c>
      <c r="C26" s="4">
        <f>8.0391 * CHOOSE(CONTROL!$C$6, $C$13, 100%, $E$13) + CHOOSE(CONTROL!$C$25, 0.0003, 0)</f>
        <v>8.0393999999999988</v>
      </c>
      <c r="D26" s="4">
        <f>12.1054 * CHOOSE(CONTROL!$C$6, $C$13, 100%, $E$13) + CHOOSE(CONTROL!$C$25, 0, 0)</f>
        <v>12.105399999999999</v>
      </c>
      <c r="E26" s="4">
        <f>50.93 * CHOOSE(CONTROL!$C$6, $C$13, 100%, $E$13) + CHOOSE(CONTROL!$C$25, 0, 0)</f>
        <v>50.93</v>
      </c>
    </row>
    <row r="27" spans="1:5" ht="15">
      <c r="A27" s="13">
        <v>42675</v>
      </c>
      <c r="B27" s="4">
        <f>8.4062 * CHOOSE(CONTROL!$C$6, $C$13, 100%, $E$13) + CHOOSE(CONTROL!$C$25, 0.0003, 0)</f>
        <v>8.4064999999999994</v>
      </c>
      <c r="C27" s="4">
        <f>8.0938 * CHOOSE(CONTROL!$C$6, $C$13, 100%, $E$13) + CHOOSE(CONTROL!$C$25, 0.0003, 0)</f>
        <v>8.0940999999999992</v>
      </c>
      <c r="D27" s="4">
        <f>12.2113 * CHOOSE(CONTROL!$C$6, $C$13, 100%, $E$13) + CHOOSE(CONTROL!$C$25, 0, 0)</f>
        <v>12.2113</v>
      </c>
      <c r="E27" s="4">
        <f>51.27 * CHOOSE(CONTROL!$C$6, $C$13, 100%, $E$13) + CHOOSE(CONTROL!$C$25, 0, 0)</f>
        <v>51.27</v>
      </c>
    </row>
    <row r="28" spans="1:5" ht="15">
      <c r="A28" s="13">
        <v>42705</v>
      </c>
      <c r="B28" s="4">
        <f>8.4609 * CHOOSE(CONTROL!$C$6, $C$13, 100%, $E$13) + CHOOSE(CONTROL!$C$25, 0.0003, 0)</f>
        <v>8.4611999999999998</v>
      </c>
      <c r="C28" s="4">
        <f>8.1484 * CHOOSE(CONTROL!$C$6, $C$13, 100%, $E$13) + CHOOSE(CONTROL!$C$25, 0.0003, 0)</f>
        <v>8.1486999999999998</v>
      </c>
      <c r="D28" s="4">
        <f>12.3036 * CHOOSE(CONTROL!$C$6, $C$13, 100%, $E$13) + CHOOSE(CONTROL!$C$25, 0, 0)</f>
        <v>12.303599999999999</v>
      </c>
      <c r="E28" s="4">
        <f>51.54 * CHOOSE(CONTROL!$C$6, $C$13, 100%, $E$13) + CHOOSE(CONTROL!$C$25, 0, 0)</f>
        <v>51.54</v>
      </c>
    </row>
    <row r="29" spans="1:5" ht="15">
      <c r="A29" s="13">
        <v>42736</v>
      </c>
      <c r="B29" s="4">
        <f>8.5547 * CHOOSE(CONTROL!$C$6, $C$13, 100%, $E$13) + CHOOSE(CONTROL!$C$25, 0.0003, 0)</f>
        <v>8.5549999999999997</v>
      </c>
      <c r="C29" s="4">
        <f>8.2422 * CHOOSE(CONTROL!$C$6, $C$13, 100%, $E$13) + CHOOSE(CONTROL!$C$25, 0.0003, 0)</f>
        <v>8.2424999999999997</v>
      </c>
      <c r="D29" s="4">
        <f>12.3878 * CHOOSE(CONTROL!$C$6, $C$13, 100%, $E$13) + CHOOSE(CONTROL!$C$25, 0, 0)</f>
        <v>12.3878</v>
      </c>
      <c r="E29" s="4">
        <f>51.73 * CHOOSE(CONTROL!$C$6, $C$13, 100%, $E$13) + CHOOSE(CONTROL!$C$25, 0, 0)</f>
        <v>51.73</v>
      </c>
    </row>
    <row r="30" spans="1:5" ht="15">
      <c r="A30" s="13">
        <v>42767</v>
      </c>
      <c r="B30" s="4">
        <f>8.6094 * CHOOSE(CONTROL!$C$6, $C$13, 100%, $E$13) + CHOOSE(CONTROL!$C$25, 0.0003, 0)</f>
        <v>8.6097000000000001</v>
      </c>
      <c r="C30" s="4">
        <f>8.2969 * CHOOSE(CONTROL!$C$6, $C$13, 100%, $E$13) + CHOOSE(CONTROL!$C$25, 0.0003, 0)</f>
        <v>8.2972000000000001</v>
      </c>
      <c r="D30" s="4">
        <f>12.4289 * CHOOSE(CONTROL!$C$6, $C$13, 100%, $E$13) + CHOOSE(CONTROL!$C$25, 0, 0)</f>
        <v>12.428900000000001</v>
      </c>
      <c r="E30" s="4">
        <f>51.85 * CHOOSE(CONTROL!$C$6, $C$13, 100%, $E$13) + CHOOSE(CONTROL!$C$25, 0, 0)</f>
        <v>51.85</v>
      </c>
    </row>
    <row r="31" spans="1:5" ht="15">
      <c r="A31" s="13">
        <v>42795</v>
      </c>
      <c r="B31" s="4">
        <f>8.6562 * CHOOSE(CONTROL!$C$6, $C$13, 100%, $E$13) + CHOOSE(CONTROL!$C$25, 0.0003, 0)</f>
        <v>8.6564999999999994</v>
      </c>
      <c r="C31" s="4">
        <f>8.3438 * CHOOSE(CONTROL!$C$6, $C$13, 100%, $E$13) + CHOOSE(CONTROL!$C$25, 0.0003, 0)</f>
        <v>8.3440999999999992</v>
      </c>
      <c r="D31" s="4">
        <f>12.421 * CHOOSE(CONTROL!$C$6, $C$13, 100%, $E$13) + CHOOSE(CONTROL!$C$25, 0, 0)</f>
        <v>12.420999999999999</v>
      </c>
      <c r="E31" s="4">
        <f>51.94 * CHOOSE(CONTROL!$C$6, $C$13, 100%, $E$13) + CHOOSE(CONTROL!$C$25, 0, 0)</f>
        <v>51.94</v>
      </c>
    </row>
    <row r="32" spans="1:5" ht="15">
      <c r="A32" s="13">
        <v>42826</v>
      </c>
      <c r="B32" s="4">
        <f>8.6875 * CHOOSE(CONTROL!$C$6, $C$13, 100%, $E$13) + CHOOSE(CONTROL!$C$25, 0.0003, 0)</f>
        <v>8.6877999999999993</v>
      </c>
      <c r="C32" s="4">
        <f>8.375 * CHOOSE(CONTROL!$C$6, $C$13, 100%, $E$13) + CHOOSE(CONTROL!$C$25, 0.0003, 0)</f>
        <v>8.3752999999999993</v>
      </c>
      <c r="D32" s="4">
        <f>12.3691 * CHOOSE(CONTROL!$C$6, $C$13, 100%, $E$13) + CHOOSE(CONTROL!$C$25, 0, 0)</f>
        <v>12.3691</v>
      </c>
      <c r="E32" s="4">
        <f>52.02 * CHOOSE(CONTROL!$C$6, $C$13, 100%, $E$13) + CHOOSE(CONTROL!$C$25, 0, 0)</f>
        <v>52.02</v>
      </c>
    </row>
    <row r="33" spans="1:5" ht="15">
      <c r="A33" s="13">
        <v>42856</v>
      </c>
      <c r="B33" s="4">
        <f>8.7188 * CHOOSE(CONTROL!$C$6, $C$13, 100%, $E$13) + CHOOSE(CONTROL!$C$25, 0.0263, 0)</f>
        <v>8.7451000000000008</v>
      </c>
      <c r="C33" s="4">
        <f>8.4062 * CHOOSE(CONTROL!$C$6, $C$13, 100%, $E$13) + CHOOSE(CONTROL!$C$25, 0.0263, 0)</f>
        <v>8.432500000000001</v>
      </c>
      <c r="D33" s="4">
        <f>12.372 * CHOOSE(CONTROL!$C$6, $C$13, 100%, $E$13) + CHOOSE(CONTROL!$C$25, 0, 0)</f>
        <v>12.372</v>
      </c>
      <c r="E33" s="4">
        <f>52.09 * CHOOSE(CONTROL!$C$6, $C$13, 100%, $E$13) + CHOOSE(CONTROL!$C$25, 0, 0)</f>
        <v>52.09</v>
      </c>
    </row>
    <row r="34" spans="1:5" ht="15">
      <c r="A34" s="13">
        <v>42887</v>
      </c>
      <c r="B34" s="4">
        <f>8.7578 * CHOOSE(CONTROL!$C$6, $C$13, 100%, $E$13) + CHOOSE(CONTROL!$C$25, 0.0263, 0)</f>
        <v>8.7841000000000005</v>
      </c>
      <c r="C34" s="4">
        <f>8.4453 * CHOOSE(CONTROL!$C$6, $C$13, 100%, $E$13) + CHOOSE(CONTROL!$C$25, 0.0263, 0)</f>
        <v>8.4716000000000005</v>
      </c>
      <c r="D34" s="4">
        <f>12.4001 * CHOOSE(CONTROL!$C$6, $C$13, 100%, $E$13) + CHOOSE(CONTROL!$C$25, 0, 0)</f>
        <v>12.4001</v>
      </c>
      <c r="E34" s="4">
        <f>52.16 * CHOOSE(CONTROL!$C$6, $C$13, 100%, $E$13) + CHOOSE(CONTROL!$C$25, 0, 0)</f>
        <v>52.16</v>
      </c>
    </row>
    <row r="35" spans="1:5" ht="15">
      <c r="A35" s="13">
        <v>42917</v>
      </c>
      <c r="B35" s="4">
        <f>8.7969 * CHOOSE(CONTROL!$C$6, $C$13, 100%, $E$13) + CHOOSE(CONTROL!$C$25, 0.0263, 0)</f>
        <v>8.8232000000000017</v>
      </c>
      <c r="C35" s="4">
        <f>8.4844 * CHOOSE(CONTROL!$C$6, $C$13, 100%, $E$13) + CHOOSE(CONTROL!$C$25, 0.0263, 0)</f>
        <v>8.5107000000000017</v>
      </c>
      <c r="D35" s="4">
        <f>12.4498 * CHOOSE(CONTROL!$C$6, $C$13, 100%, $E$13) + CHOOSE(CONTROL!$C$25, 0, 0)</f>
        <v>12.4498</v>
      </c>
      <c r="E35" s="4">
        <f>52.19 * CHOOSE(CONTROL!$C$6, $C$13, 100%, $E$13) + CHOOSE(CONTROL!$C$25, 0, 0)</f>
        <v>52.19</v>
      </c>
    </row>
    <row r="36" spans="1:5" ht="15">
      <c r="A36" s="13">
        <v>42948</v>
      </c>
      <c r="B36" s="4">
        <f>8.8359 * CHOOSE(CONTROL!$C$6, $C$13, 100%, $E$13) + CHOOSE(CONTROL!$C$25, 0.0263, 0)</f>
        <v>8.8622000000000014</v>
      </c>
      <c r="C36" s="4">
        <f>8.5234 * CHOOSE(CONTROL!$C$6, $C$13, 100%, $E$13) + CHOOSE(CONTROL!$C$25, 0.0263, 0)</f>
        <v>8.5497000000000014</v>
      </c>
      <c r="D36" s="4">
        <f>12.506 * CHOOSE(CONTROL!$C$6, $C$13, 100%, $E$13) + CHOOSE(CONTROL!$C$25, 0, 0)</f>
        <v>12.506</v>
      </c>
      <c r="E36" s="4">
        <f>52.22 * CHOOSE(CONTROL!$C$6, $C$13, 100%, $E$13) + CHOOSE(CONTROL!$C$25, 0, 0)</f>
        <v>52.22</v>
      </c>
    </row>
    <row r="37" spans="1:5" ht="15">
      <c r="A37" s="13">
        <v>42979</v>
      </c>
      <c r="B37" s="4">
        <f>8.8672 * CHOOSE(CONTROL!$C$6, $C$13, 100%, $E$13) + CHOOSE(CONTROL!$C$25, 0.0263, 0)</f>
        <v>8.8935000000000013</v>
      </c>
      <c r="C37" s="4">
        <f>8.5547 * CHOOSE(CONTROL!$C$6, $C$13, 100%, $E$13) + CHOOSE(CONTROL!$C$25, 0.0263, 0)</f>
        <v>8.5810000000000013</v>
      </c>
      <c r="D37" s="4">
        <f>12.5715 * CHOOSE(CONTROL!$C$6, $C$13, 100%, $E$13) + CHOOSE(CONTROL!$C$25, 0, 0)</f>
        <v>12.5715</v>
      </c>
      <c r="E37" s="4">
        <f>52.26 * CHOOSE(CONTROL!$C$6, $C$13, 100%, $E$13) + CHOOSE(CONTROL!$C$25, 0, 0)</f>
        <v>52.26</v>
      </c>
    </row>
    <row r="38" spans="1:5" ht="15">
      <c r="A38" s="13">
        <v>43009</v>
      </c>
      <c r="B38" s="4">
        <f>8.8984 * CHOOSE(CONTROL!$C$6, $C$13, 100%, $E$13) + CHOOSE(CONTROL!$C$25, 0.0003, 0)</f>
        <v>8.8986999999999998</v>
      </c>
      <c r="C38" s="4">
        <f>8.5859 * CHOOSE(CONTROL!$C$6, $C$13, 100%, $E$13) + CHOOSE(CONTROL!$C$25, 0.0003, 0)</f>
        <v>8.5861999999999998</v>
      </c>
      <c r="D38" s="4">
        <f>12.6328 * CHOOSE(CONTROL!$C$6, $C$13, 100%, $E$13) + CHOOSE(CONTROL!$C$25, 0, 0)</f>
        <v>12.6328</v>
      </c>
      <c r="E38" s="4">
        <f>52.33 * CHOOSE(CONTROL!$C$6, $C$13, 100%, $E$13) + CHOOSE(CONTROL!$C$25, 0, 0)</f>
        <v>52.33</v>
      </c>
    </row>
    <row r="39" spans="1:5" ht="15">
      <c r="A39" s="13">
        <v>43040</v>
      </c>
      <c r="B39" s="4">
        <f>8.9297 * CHOOSE(CONTROL!$C$6, $C$13, 100%, $E$13) + CHOOSE(CONTROL!$C$25, 0.0003, 0)</f>
        <v>8.93</v>
      </c>
      <c r="C39" s="4">
        <f>8.6172 * CHOOSE(CONTROL!$C$6, $C$13, 100%, $E$13) + CHOOSE(CONTROL!$C$25, 0.0003, 0)</f>
        <v>8.6174999999999997</v>
      </c>
      <c r="D39" s="4">
        <f>12.694 * CHOOSE(CONTROL!$C$6, $C$13, 100%, $E$13) + CHOOSE(CONTROL!$C$25, 0, 0)</f>
        <v>12.694000000000001</v>
      </c>
      <c r="E39" s="4">
        <f>52.42 * CHOOSE(CONTROL!$C$6, $C$13, 100%, $E$13) + CHOOSE(CONTROL!$C$25, 0, 0)</f>
        <v>52.42</v>
      </c>
    </row>
    <row r="40" spans="1:5" ht="15">
      <c r="A40" s="13">
        <v>43070</v>
      </c>
      <c r="B40" s="4">
        <f>8.9609 * CHOOSE(CONTROL!$C$6, $C$13, 100%, $E$13) + CHOOSE(CONTROL!$C$25, 0.0003, 0)</f>
        <v>8.9611999999999998</v>
      </c>
      <c r="C40" s="4">
        <f>8.6484 * CHOOSE(CONTROL!$C$6, $C$13, 100%, $E$13) + CHOOSE(CONTROL!$C$25, 0.0003, 0)</f>
        <v>8.6486999999999998</v>
      </c>
      <c r="D40" s="4">
        <f>12.743 * CHOOSE(CONTROL!$C$6, $C$13, 100%, $E$13) + CHOOSE(CONTROL!$C$25, 0, 0)</f>
        <v>12.743</v>
      </c>
      <c r="E40" s="4">
        <f>52.53 * CHOOSE(CONTROL!$C$6, $C$13, 100%, $E$13) + CHOOSE(CONTROL!$C$25, 0, 0)</f>
        <v>52.53</v>
      </c>
    </row>
    <row r="41" spans="1:5" ht="15">
      <c r="A41" s="13">
        <v>43101</v>
      </c>
      <c r="B41" s="4">
        <f>8.6828 * CHOOSE(CONTROL!$C$6, $C$13, 100%, $E$13) + CHOOSE(CONTROL!$C$25, 0.0003, 0)</f>
        <v>8.6830999999999996</v>
      </c>
      <c r="C41" s="4">
        <f>8.3703 * CHOOSE(CONTROL!$C$6, $C$13, 100%, $E$13) + CHOOSE(CONTROL!$C$25, 0.0003, 0)</f>
        <v>8.3705999999999996</v>
      </c>
      <c r="D41" s="4">
        <f>12.7848 * CHOOSE(CONTROL!$C$6, $C$13, 100%, $E$13) + CHOOSE(CONTROL!$C$25, 0, 0)</f>
        <v>12.784800000000001</v>
      </c>
      <c r="E41" s="4">
        <f>52.55 * CHOOSE(CONTROL!$C$6, $C$13, 100%, $E$13) + CHOOSE(CONTROL!$C$25, 0, 0)</f>
        <v>52.55</v>
      </c>
    </row>
    <row r="42" spans="1:5" ht="15">
      <c r="A42" s="13">
        <v>43132</v>
      </c>
      <c r="B42" s="4">
        <f>8.725 * CHOOSE(CONTROL!$C$6, $C$13, 100%, $E$13) + CHOOSE(CONTROL!$C$25, 0.0003, 0)</f>
        <v>8.7252999999999989</v>
      </c>
      <c r="C42" s="4">
        <f>8.4125 * CHOOSE(CONTROL!$C$6, $C$13, 100%, $E$13) + CHOOSE(CONTROL!$C$25, 0.0003, 0)</f>
        <v>8.4127999999999989</v>
      </c>
      <c r="D42" s="4">
        <f>12.7898 * CHOOSE(CONTROL!$C$6, $C$13, 100%, $E$13) + CHOOSE(CONTROL!$C$25, 0, 0)</f>
        <v>12.7898</v>
      </c>
      <c r="E42" s="4">
        <f>52.59 * CHOOSE(CONTROL!$C$6, $C$13, 100%, $E$13) + CHOOSE(CONTROL!$C$25, 0, 0)</f>
        <v>52.59</v>
      </c>
    </row>
    <row r="43" spans="1:5" ht="15">
      <c r="A43" s="13">
        <v>43160</v>
      </c>
      <c r="B43" s="4">
        <f>8.7656 * CHOOSE(CONTROL!$C$6, $C$13, 100%, $E$13) + CHOOSE(CONTROL!$C$25, 0.0003, 0)</f>
        <v>8.7658999999999985</v>
      </c>
      <c r="C43" s="4">
        <f>8.4531 * CHOOSE(CONTROL!$C$6, $C$13, 100%, $E$13) + CHOOSE(CONTROL!$C$25, 0.0003, 0)</f>
        <v>8.4533999999999985</v>
      </c>
      <c r="D43" s="4">
        <f>12.7682 * CHOOSE(CONTROL!$C$6, $C$13, 100%, $E$13) + CHOOSE(CONTROL!$C$25, 0, 0)</f>
        <v>12.7682</v>
      </c>
      <c r="E43" s="4">
        <f>52.64 * CHOOSE(CONTROL!$C$6, $C$13, 100%, $E$13) + CHOOSE(CONTROL!$C$25, 0, 0)</f>
        <v>52.64</v>
      </c>
    </row>
    <row r="44" spans="1:5" ht="15">
      <c r="A44" s="13">
        <v>43191</v>
      </c>
      <c r="B44" s="4">
        <f>8.7953 * CHOOSE(CONTROL!$C$6, $C$13, 100%, $E$13) + CHOOSE(CONTROL!$C$25, 0.0003, 0)</f>
        <v>8.7955999999999985</v>
      </c>
      <c r="C44" s="4">
        <f>8.4828 * CHOOSE(CONTROL!$C$6, $C$13, 100%, $E$13) + CHOOSE(CONTROL!$C$25, 0.0003, 0)</f>
        <v>8.4830999999999985</v>
      </c>
      <c r="D44" s="4">
        <f>12.7286 * CHOOSE(CONTROL!$C$6, $C$13, 100%, $E$13) + CHOOSE(CONTROL!$C$25, 0, 0)</f>
        <v>12.7286</v>
      </c>
      <c r="E44" s="4">
        <f>52.71 * CHOOSE(CONTROL!$C$6, $C$13, 100%, $E$13) + CHOOSE(CONTROL!$C$25, 0, 0)</f>
        <v>52.71</v>
      </c>
    </row>
    <row r="45" spans="1:5" ht="15">
      <c r="A45" s="13">
        <v>43221</v>
      </c>
      <c r="B45" s="4">
        <f>8.8266 * CHOOSE(CONTROL!$C$6, $C$13, 100%, $E$13) + CHOOSE(CONTROL!$C$25, 0.0263, 0)</f>
        <v>8.8529</v>
      </c>
      <c r="C45" s="4">
        <f>8.5141 * CHOOSE(CONTROL!$C$6, $C$13, 100%, $E$13) + CHOOSE(CONTROL!$C$25, 0.0263, 0)</f>
        <v>8.5404</v>
      </c>
      <c r="D45" s="4">
        <f>12.7466 * CHOOSE(CONTROL!$C$6, $C$13, 100%, $E$13) + CHOOSE(CONTROL!$C$25, 0, 0)</f>
        <v>12.746600000000001</v>
      </c>
      <c r="E45" s="4">
        <f>52.78 * CHOOSE(CONTROL!$C$6, $C$13, 100%, $E$13) + CHOOSE(CONTROL!$C$25, 0, 0)</f>
        <v>52.78</v>
      </c>
    </row>
    <row r="46" spans="1:5" ht="15">
      <c r="A46" s="13">
        <v>43252</v>
      </c>
      <c r="B46" s="4">
        <f>8.8703 * CHOOSE(CONTROL!$C$6, $C$13, 100%, $E$13) + CHOOSE(CONTROL!$C$25, 0.0263, 0)</f>
        <v>8.8966000000000012</v>
      </c>
      <c r="C46" s="4">
        <f>8.5578 * CHOOSE(CONTROL!$C$6, $C$13, 100%, $E$13) + CHOOSE(CONTROL!$C$25, 0.0263, 0)</f>
        <v>8.5841000000000012</v>
      </c>
      <c r="D46" s="4">
        <f>12.7841 * CHOOSE(CONTROL!$C$6, $C$13, 100%, $E$13) + CHOOSE(CONTROL!$C$25, 0, 0)</f>
        <v>12.7841</v>
      </c>
      <c r="E46" s="4">
        <f>52.88 * CHOOSE(CONTROL!$C$6, $C$13, 100%, $E$13) + CHOOSE(CONTROL!$C$25, 0, 0)</f>
        <v>52.88</v>
      </c>
    </row>
    <row r="47" spans="1:5" ht="15">
      <c r="A47" s="13">
        <v>43282</v>
      </c>
      <c r="B47" s="4">
        <f>8.9141 * CHOOSE(CONTROL!$C$6, $C$13, 100%, $E$13) + CHOOSE(CONTROL!$C$25, 0.0263, 0)</f>
        <v>8.9404000000000003</v>
      </c>
      <c r="C47" s="4">
        <f>8.6016 * CHOOSE(CONTROL!$C$6, $C$13, 100%, $E$13) + CHOOSE(CONTROL!$C$25, 0.0263, 0)</f>
        <v>8.6279000000000003</v>
      </c>
      <c r="D47" s="4">
        <f>12.8489 * CHOOSE(CONTROL!$C$6, $C$13, 100%, $E$13) + CHOOSE(CONTROL!$C$25, 0, 0)</f>
        <v>12.8489</v>
      </c>
      <c r="E47" s="4">
        <f>52.94 * CHOOSE(CONTROL!$C$6, $C$13, 100%, $E$13) + CHOOSE(CONTROL!$C$25, 0, 0)</f>
        <v>52.94</v>
      </c>
    </row>
    <row r="48" spans="1:5" ht="15">
      <c r="A48" s="13">
        <v>43313</v>
      </c>
      <c r="B48" s="4">
        <f>8.9641 * CHOOSE(CONTROL!$C$6, $C$13, 100%, $E$13) + CHOOSE(CONTROL!$C$25, 0.0263, 0)</f>
        <v>8.9904000000000011</v>
      </c>
      <c r="C48" s="4">
        <f>8.6516 * CHOOSE(CONTROL!$C$6, $C$13, 100%, $E$13) + CHOOSE(CONTROL!$C$25, 0.0263, 0)</f>
        <v>8.6779000000000011</v>
      </c>
      <c r="D48" s="4">
        <f>12.9209 * CHOOSE(CONTROL!$C$6, $C$13, 100%, $E$13) + CHOOSE(CONTROL!$C$25, 0, 0)</f>
        <v>12.9209</v>
      </c>
      <c r="E48" s="4">
        <f>53.04 * CHOOSE(CONTROL!$C$6, $C$13, 100%, $E$13) + CHOOSE(CONTROL!$C$25, 0, 0)</f>
        <v>53.04</v>
      </c>
    </row>
    <row r="49" spans="1:5" ht="15">
      <c r="A49" s="13">
        <v>43344</v>
      </c>
      <c r="B49" s="4">
        <f>9.0062 * CHOOSE(CONTROL!$C$6, $C$13, 100%, $E$13) + CHOOSE(CONTROL!$C$25, 0.0263, 0)</f>
        <v>9.0325000000000006</v>
      </c>
      <c r="C49" s="4">
        <f>8.6937 * CHOOSE(CONTROL!$C$6, $C$13, 100%, $E$13) + CHOOSE(CONTROL!$C$25, 0.0263, 0)</f>
        <v>8.7200000000000006</v>
      </c>
      <c r="D49" s="4">
        <f>13.0038 * CHOOSE(CONTROL!$C$6, $C$13, 100%, $E$13) + CHOOSE(CONTROL!$C$25, 0, 0)</f>
        <v>13.0038</v>
      </c>
      <c r="E49" s="4">
        <f>53.15 * CHOOSE(CONTROL!$C$6, $C$13, 100%, $E$13) + CHOOSE(CONTROL!$C$25, 0, 0)</f>
        <v>53.15</v>
      </c>
    </row>
    <row r="50" spans="1:5" ht="15">
      <c r="A50" s="13">
        <v>43374</v>
      </c>
      <c r="B50" s="4">
        <f>9.0437 * CHOOSE(CONTROL!$C$6, $C$13, 100%, $E$13) + CHOOSE(CONTROL!$C$25, 0.0003, 0)</f>
        <v>9.0439999999999987</v>
      </c>
      <c r="C50" s="4">
        <f>8.7312 * CHOOSE(CONTROL!$C$6, $C$13, 100%, $E$13) + CHOOSE(CONTROL!$C$25, 0.0003, 0)</f>
        <v>8.7314999999999987</v>
      </c>
      <c r="D50" s="4">
        <f>13.0866 * CHOOSE(CONTROL!$C$6, $C$13, 100%, $E$13) + CHOOSE(CONTROL!$C$25, 0, 0)</f>
        <v>13.086600000000001</v>
      </c>
      <c r="E50" s="4">
        <f>53.26 * CHOOSE(CONTROL!$C$6, $C$13, 100%, $E$13) + CHOOSE(CONTROL!$C$25, 0, 0)</f>
        <v>53.26</v>
      </c>
    </row>
    <row r="51" spans="1:5" ht="15">
      <c r="A51" s="13">
        <v>43405</v>
      </c>
      <c r="B51" s="4">
        <f>9.0781 * CHOOSE(CONTROL!$C$6, $C$13, 100%, $E$13) + CHOOSE(CONTROL!$C$25, 0.0003, 0)</f>
        <v>9.0783999999999985</v>
      </c>
      <c r="C51" s="4">
        <f>8.7656 * CHOOSE(CONTROL!$C$6, $C$13, 100%, $E$13) + CHOOSE(CONTROL!$C$25, 0.0003, 0)</f>
        <v>8.7658999999999985</v>
      </c>
      <c r="D51" s="4">
        <f>13.1587 * CHOOSE(CONTROL!$C$6, $C$13, 100%, $E$13) + CHOOSE(CONTROL!$C$25, 0, 0)</f>
        <v>13.1587</v>
      </c>
      <c r="E51" s="4">
        <f>53.37 * CHOOSE(CONTROL!$C$6, $C$13, 100%, $E$13) + CHOOSE(CONTROL!$C$25, 0, 0)</f>
        <v>53.37</v>
      </c>
    </row>
    <row r="52" spans="1:5" ht="15">
      <c r="A52" s="13">
        <v>43435</v>
      </c>
      <c r="B52" s="4">
        <f>9.1109 * CHOOSE(CONTROL!$C$6, $C$13, 100%, $E$13) + CHOOSE(CONTROL!$C$25, 0.0003, 0)</f>
        <v>9.1112000000000002</v>
      </c>
      <c r="C52" s="4">
        <f>8.7984 * CHOOSE(CONTROL!$C$6, $C$13, 100%, $E$13) + CHOOSE(CONTROL!$C$25, 0.0003, 0)</f>
        <v>8.7987000000000002</v>
      </c>
      <c r="D52" s="4">
        <f>13.2199 * CHOOSE(CONTROL!$C$6, $C$13, 100%, $E$13) + CHOOSE(CONTROL!$C$25, 0, 0)</f>
        <v>13.219900000000001</v>
      </c>
      <c r="E52" s="4">
        <f>53.49 * CHOOSE(CONTROL!$C$6, $C$13, 100%, $E$13) + CHOOSE(CONTROL!$C$25, 0, 0)</f>
        <v>53.49</v>
      </c>
    </row>
    <row r="53" spans="1:5" ht="15">
      <c r="A53" s="13">
        <v>43466</v>
      </c>
      <c r="B53" s="4">
        <f>9.7667 * CHOOSE(CONTROL!$C$6, $C$13, 100%, $E$13) + CHOOSE(CONTROL!$C$25, 0.0003, 0)</f>
        <v>9.7669999999999995</v>
      </c>
      <c r="C53" s="4">
        <f>9.4542 * CHOOSE(CONTROL!$C$6, $C$13, 100%, $E$13) + CHOOSE(CONTROL!$C$25, 0.0003, 0)</f>
        <v>9.4544999999999995</v>
      </c>
      <c r="D53" s="4">
        <f>13.8584 * CHOOSE(CONTROL!$C$6, $C$13, 100%, $E$13) + CHOOSE(CONTROL!$C$25, 0, 0)</f>
        <v>13.8584</v>
      </c>
      <c r="E53" s="4">
        <f>56.2793795574222 * CHOOSE(CONTROL!$C$6, $C$13, 100%, $E$13) + CHOOSE(CONTROL!$C$25, 0, 0)</f>
        <v>56.279379557422203</v>
      </c>
    </row>
    <row r="54" spans="1:5" ht="15">
      <c r="A54" s="13">
        <v>43497</v>
      </c>
      <c r="B54" s="4">
        <f>9.9541 * CHOOSE(CONTROL!$C$6, $C$13, 100%, $E$13) + CHOOSE(CONTROL!$C$25, 0.0003, 0)</f>
        <v>9.9543999999999997</v>
      </c>
      <c r="C54" s="4">
        <f>9.6416 * CHOOSE(CONTROL!$C$6, $C$13, 100%, $E$13) + CHOOSE(CONTROL!$C$25, 0.0003, 0)</f>
        <v>9.6418999999999997</v>
      </c>
      <c r="D54" s="4">
        <f>14.3112 * CHOOSE(CONTROL!$C$6, $C$13, 100%, $E$13) + CHOOSE(CONTROL!$C$25, 0, 0)</f>
        <v>14.311199999999999</v>
      </c>
      <c r="E54" s="4">
        <f>57.6156738200536 * CHOOSE(CONTROL!$C$6, $C$13, 100%, $E$13) + CHOOSE(CONTROL!$C$25, 0, 0)</f>
        <v>57.615673820053601</v>
      </c>
    </row>
    <row r="55" spans="1:5" ht="15">
      <c r="A55" s="13">
        <v>43525</v>
      </c>
      <c r="B55" s="4">
        <f>10.4462 * CHOOSE(CONTROL!$C$6, $C$13, 100%, $E$13) + CHOOSE(CONTROL!$C$25, 0.0003, 0)</f>
        <v>10.446499999999999</v>
      </c>
      <c r="C55" s="4">
        <f>10.1337 * CHOOSE(CONTROL!$C$6, $C$13, 100%, $E$13) + CHOOSE(CONTROL!$C$25, 0.0003, 0)</f>
        <v>10.133999999999999</v>
      </c>
      <c r="D55" s="4">
        <f>15.02 * CHOOSE(CONTROL!$C$6, $C$13, 100%, $E$13) + CHOOSE(CONTROL!$C$25, 0, 0)</f>
        <v>15.02</v>
      </c>
      <c r="E55" s="4">
        <f>61.1248535687137 * CHOOSE(CONTROL!$C$6, $C$13, 100%, $E$13) + CHOOSE(CONTROL!$C$25, 0, 0)</f>
        <v>61.124853568713696</v>
      </c>
    </row>
    <row r="56" spans="1:5" ht="15">
      <c r="A56" s="13">
        <v>43556</v>
      </c>
      <c r="B56" s="4">
        <f>10.7958 * CHOOSE(CONTROL!$C$6, $C$13, 100%, $E$13) + CHOOSE(CONTROL!$C$25, 0.0003, 0)</f>
        <v>10.796099999999999</v>
      </c>
      <c r="C56" s="4">
        <f>10.4833 * CHOOSE(CONTROL!$C$6, $C$13, 100%, $E$13) + CHOOSE(CONTROL!$C$25, 0.0003, 0)</f>
        <v>10.483599999999999</v>
      </c>
      <c r="D56" s="4">
        <f>15.4283 * CHOOSE(CONTROL!$C$6, $C$13, 100%, $E$13) + CHOOSE(CONTROL!$C$25, 0, 0)</f>
        <v>15.4283</v>
      </c>
      <c r="E56" s="4">
        <f>63.6181725461057 * CHOOSE(CONTROL!$C$6, $C$13, 100%, $E$13) + CHOOSE(CONTROL!$C$25, 0, 0)</f>
        <v>63.618172546105697</v>
      </c>
    </row>
    <row r="57" spans="1:5" ht="15">
      <c r="A57" s="13">
        <v>43586</v>
      </c>
      <c r="B57" s="4">
        <f>11.0094 * CHOOSE(CONTROL!$C$6, $C$13, 100%, $E$13) + CHOOSE(CONTROL!$C$25, 0.0263, 0)</f>
        <v>11.0357</v>
      </c>
      <c r="C57" s="4">
        <f>10.6969 * CHOOSE(CONTROL!$C$6, $C$13, 100%, $E$13) + CHOOSE(CONTROL!$C$25, 0.0263, 0)</f>
        <v>10.7232</v>
      </c>
      <c r="D57" s="4">
        <f>15.267 * CHOOSE(CONTROL!$C$6, $C$13, 100%, $E$13) + CHOOSE(CONTROL!$C$25, 0, 0)</f>
        <v>15.266999999999999</v>
      </c>
      <c r="E57" s="4">
        <f>65.1415306847762 * CHOOSE(CONTROL!$C$6, $C$13, 100%, $E$13) + CHOOSE(CONTROL!$C$25, 0, 0)</f>
        <v>65.1415306847762</v>
      </c>
    </row>
    <row r="58" spans="1:5" ht="15">
      <c r="A58" s="13">
        <v>43617</v>
      </c>
      <c r="B58" s="4">
        <f>11.0383 * CHOOSE(CONTROL!$C$6, $C$13, 100%, $E$13) + CHOOSE(CONTROL!$C$25, 0.0263, 0)</f>
        <v>11.0646</v>
      </c>
      <c r="C58" s="4">
        <f>10.7258 * CHOOSE(CONTROL!$C$6, $C$13, 100%, $E$13) + CHOOSE(CONTROL!$C$25, 0.0263, 0)</f>
        <v>10.7521</v>
      </c>
      <c r="D58" s="4">
        <f>15.3984 * CHOOSE(CONTROL!$C$6, $C$13, 100%, $E$13) + CHOOSE(CONTROL!$C$25, 0, 0)</f>
        <v>15.398400000000001</v>
      </c>
      <c r="E58" s="4">
        <f>65.3476473630045 * CHOOSE(CONTROL!$C$6, $C$13, 100%, $E$13) + CHOOSE(CONTROL!$C$25, 0, 0)</f>
        <v>65.347647363004498</v>
      </c>
    </row>
    <row r="59" spans="1:5" ht="15">
      <c r="A59" s="13">
        <v>43647</v>
      </c>
      <c r="B59" s="4">
        <f>11.0354 * CHOOSE(CONTROL!$C$6, $C$13, 100%, $E$13) + CHOOSE(CONTROL!$C$25, 0.0263, 0)</f>
        <v>11.0617</v>
      </c>
      <c r="C59" s="4">
        <f>10.7229 * CHOOSE(CONTROL!$C$6, $C$13, 100%, $E$13) + CHOOSE(CONTROL!$C$25, 0.0263, 0)</f>
        <v>10.7492</v>
      </c>
      <c r="D59" s="4">
        <f>15.6355 * CHOOSE(CONTROL!$C$6, $C$13, 100%, $E$13) + CHOOSE(CONTROL!$C$25, 0, 0)</f>
        <v>15.6355</v>
      </c>
      <c r="E59" s="4">
        <f>65.3268624878891 * CHOOSE(CONTROL!$C$6, $C$13, 100%, $E$13) + CHOOSE(CONTROL!$C$25, 0, 0)</f>
        <v>65.326862487889102</v>
      </c>
    </row>
    <row r="60" spans="1:5" ht="15">
      <c r="A60" s="13">
        <v>43678</v>
      </c>
      <c r="B60" s="4">
        <f>11.2547 * CHOOSE(CONTROL!$C$6, $C$13, 100%, $E$13) + CHOOSE(CONTROL!$C$25, 0.0263, 0)</f>
        <v>11.281000000000001</v>
      </c>
      <c r="C60" s="4">
        <f>10.9422 * CHOOSE(CONTROL!$C$6, $C$13, 100%, $E$13) + CHOOSE(CONTROL!$C$25, 0.0263, 0)</f>
        <v>10.968500000000001</v>
      </c>
      <c r="D60" s="4">
        <f>15.4789 * CHOOSE(CONTROL!$C$6, $C$13, 100%, $E$13) + CHOOSE(CONTROL!$C$25, 0, 0)</f>
        <v>15.478899999999999</v>
      </c>
      <c r="E60" s="4">
        <f>66.8909243403274 * CHOOSE(CONTROL!$C$6, $C$13, 100%, $E$13) + CHOOSE(CONTROL!$C$25, 0, 0)</f>
        <v>66.890924340327402</v>
      </c>
    </row>
    <row r="61" spans="1:5" ht="15">
      <c r="A61" s="13">
        <v>43709</v>
      </c>
      <c r="B61" s="4">
        <f>10.8809 * CHOOSE(CONTROL!$C$6, $C$13, 100%, $E$13) + CHOOSE(CONTROL!$C$25, 0.0263, 0)</f>
        <v>10.907200000000001</v>
      </c>
      <c r="C61" s="4">
        <f>10.5684 * CHOOSE(CONTROL!$C$6, $C$13, 100%, $E$13) + CHOOSE(CONTROL!$C$25, 0.0263, 0)</f>
        <v>10.594700000000001</v>
      </c>
      <c r="D61" s="4">
        <f>15.4049 * CHOOSE(CONTROL!$C$6, $C$13, 100%, $E$13) + CHOOSE(CONTROL!$C$25, 0, 0)</f>
        <v>15.4049</v>
      </c>
      <c r="E61" s="4">
        <f>64.2252641067697 * CHOOSE(CONTROL!$C$6, $C$13, 100%, $E$13) + CHOOSE(CONTROL!$C$25, 0, 0)</f>
        <v>64.2252641067697</v>
      </c>
    </row>
    <row r="62" spans="1:5" ht="15">
      <c r="A62" s="13">
        <v>43739</v>
      </c>
      <c r="B62" s="4">
        <f>10.5817 * CHOOSE(CONTROL!$C$6, $C$13, 100%, $E$13) + CHOOSE(CONTROL!$C$25, 0.0003, 0)</f>
        <v>10.581999999999999</v>
      </c>
      <c r="C62" s="4">
        <f>10.2692 * CHOOSE(CONTROL!$C$6, $C$13, 100%, $E$13) + CHOOSE(CONTROL!$C$25, 0.0003, 0)</f>
        <v>10.269499999999999</v>
      </c>
      <c r="D62" s="4">
        <f>15.2068 * CHOOSE(CONTROL!$C$6, $C$13, 100%, $E$13) + CHOOSE(CONTROL!$C$25, 0, 0)</f>
        <v>15.206799999999999</v>
      </c>
      <c r="E62" s="4">
        <f>62.0913502615825 * CHOOSE(CONTROL!$C$6, $C$13, 100%, $E$13) + CHOOSE(CONTROL!$C$25, 0, 0)</f>
        <v>62.091350261582498</v>
      </c>
    </row>
    <row r="63" spans="1:5" ht="15">
      <c r="A63" s="13">
        <v>43770</v>
      </c>
      <c r="B63" s="4">
        <f>10.389 * CHOOSE(CONTROL!$C$6, $C$13, 100%, $E$13) + CHOOSE(CONTROL!$C$25, 0.0003, 0)</f>
        <v>10.389299999999999</v>
      </c>
      <c r="C63" s="4">
        <f>10.0765 * CHOOSE(CONTROL!$C$6, $C$13, 100%, $E$13) + CHOOSE(CONTROL!$C$25, 0.0003, 0)</f>
        <v>10.076799999999999</v>
      </c>
      <c r="D63" s="4">
        <f>15.1387 * CHOOSE(CONTROL!$C$6, $C$13, 100%, $E$13) + CHOOSE(CONTROL!$C$25, 0, 0)</f>
        <v>15.1387</v>
      </c>
      <c r="E63" s="4">
        <f>60.7169503945728 * CHOOSE(CONTROL!$C$6, $C$13, 100%, $E$13) + CHOOSE(CONTROL!$C$25, 0, 0)</f>
        <v>60.716950394572798</v>
      </c>
    </row>
    <row r="64" spans="1:5" ht="15">
      <c r="A64" s="13">
        <v>43800</v>
      </c>
      <c r="B64" s="4">
        <f>10.2556 * CHOOSE(CONTROL!$C$6, $C$13, 100%, $E$13) + CHOOSE(CONTROL!$C$25, 0.0003, 0)</f>
        <v>10.255899999999999</v>
      </c>
      <c r="C64" s="4">
        <f>9.9431 * CHOOSE(CONTROL!$C$6, $C$13, 100%, $E$13) + CHOOSE(CONTROL!$C$25, 0.0003, 0)</f>
        <v>9.9433999999999987</v>
      </c>
      <c r="D64" s="4">
        <f>14.6374 * CHOOSE(CONTROL!$C$6, $C$13, 100%, $E$13) + CHOOSE(CONTROL!$C$25, 0, 0)</f>
        <v>14.6374</v>
      </c>
      <c r="E64" s="4">
        <f>59.7660423580405 * CHOOSE(CONTROL!$C$6, $C$13, 100%, $E$13) + CHOOSE(CONTROL!$C$25, 0, 0)</f>
        <v>59.766042358040501</v>
      </c>
    </row>
    <row r="65" spans="1:5" ht="15">
      <c r="A65" s="13">
        <v>43831</v>
      </c>
      <c r="B65" s="4">
        <f>10.2375 * CHOOSE(CONTROL!$C$6, $C$13, 100%, $E$13) + CHOOSE(CONTROL!$C$25, 0.0003, 0)</f>
        <v>10.2378</v>
      </c>
      <c r="C65" s="4">
        <f>9.925 * CHOOSE(CONTROL!$C$6, $C$13, 100%, $E$13) + CHOOSE(CONTROL!$C$25, 0.0003, 0)</f>
        <v>9.9253</v>
      </c>
      <c r="D65" s="4">
        <f>14.4553 * CHOOSE(CONTROL!$C$6, $C$13, 100%, $E$13) + CHOOSE(CONTROL!$C$25, 0, 0)</f>
        <v>14.455299999999999</v>
      </c>
      <c r="E65" s="4">
        <f>58.9984735235424 * CHOOSE(CONTROL!$C$6, $C$13, 100%, $E$13) + CHOOSE(CONTROL!$C$25, 0, 0)</f>
        <v>58.998473523542401</v>
      </c>
    </row>
    <row r="66" spans="1:5" ht="15">
      <c r="A66" s="13">
        <v>43862</v>
      </c>
      <c r="B66" s="4">
        <f>10.436 * CHOOSE(CONTROL!$C$6, $C$13, 100%, $E$13) + CHOOSE(CONTROL!$C$25, 0.0003, 0)</f>
        <v>10.436299999999999</v>
      </c>
      <c r="C66" s="4">
        <f>10.1235 * CHOOSE(CONTROL!$C$6, $C$13, 100%, $E$13) + CHOOSE(CONTROL!$C$25, 0.0003, 0)</f>
        <v>10.123799999999999</v>
      </c>
      <c r="D66" s="4">
        <f>14.9291 * CHOOSE(CONTROL!$C$6, $C$13, 100%, $E$13) + CHOOSE(CONTROL!$C$25, 0, 0)</f>
        <v>14.9291</v>
      </c>
      <c r="E66" s="4">
        <f>60.3993297926326 * CHOOSE(CONTROL!$C$6, $C$13, 100%, $E$13) + CHOOSE(CONTROL!$C$25, 0, 0)</f>
        <v>60.399329792632599</v>
      </c>
    </row>
    <row r="67" spans="1:5" ht="15">
      <c r="A67" s="13">
        <v>43891</v>
      </c>
      <c r="B67" s="4">
        <f>10.9575 * CHOOSE(CONTROL!$C$6, $C$13, 100%, $E$13) + CHOOSE(CONTROL!$C$25, 0.0003, 0)</f>
        <v>10.957799999999999</v>
      </c>
      <c r="C67" s="4">
        <f>10.645 * CHOOSE(CONTROL!$C$6, $C$13, 100%, $E$13) + CHOOSE(CONTROL!$C$25, 0.0003, 0)</f>
        <v>10.645299999999999</v>
      </c>
      <c r="D67" s="4">
        <f>15.6709 * CHOOSE(CONTROL!$C$6, $C$13, 100%, $E$13) + CHOOSE(CONTROL!$C$25, 0, 0)</f>
        <v>15.6709</v>
      </c>
      <c r="E67" s="4">
        <f>64.0780528012868 * CHOOSE(CONTROL!$C$6, $C$13, 100%, $E$13) + CHOOSE(CONTROL!$C$25, 0, 0)</f>
        <v>64.078052801286802</v>
      </c>
    </row>
    <row r="68" spans="1:5" ht="15">
      <c r="A68" s="13">
        <v>43922</v>
      </c>
      <c r="B68" s="4">
        <f>11.3279 * CHOOSE(CONTROL!$C$6, $C$13, 100%, $E$13) + CHOOSE(CONTROL!$C$25, 0.0003, 0)</f>
        <v>11.328199999999999</v>
      </c>
      <c r="C68" s="4">
        <f>11.0154 * CHOOSE(CONTROL!$C$6, $C$13, 100%, $E$13) + CHOOSE(CONTROL!$C$25, 0.0003, 0)</f>
        <v>11.015699999999999</v>
      </c>
      <c r="D68" s="4">
        <f>16.0982 * CHOOSE(CONTROL!$C$6, $C$13, 100%, $E$13) + CHOOSE(CONTROL!$C$25, 0, 0)</f>
        <v>16.098199999999999</v>
      </c>
      <c r="E68" s="4">
        <f>66.6918345243656 * CHOOSE(CONTROL!$C$6, $C$13, 100%, $E$13) + CHOOSE(CONTROL!$C$25, 0, 0)</f>
        <v>66.691834524365603</v>
      </c>
    </row>
    <row r="69" spans="1:5" ht="15">
      <c r="A69" s="13">
        <v>43952</v>
      </c>
      <c r="B69" s="4">
        <f>11.5543 * CHOOSE(CONTROL!$C$6, $C$13, 100%, $E$13) + CHOOSE(CONTROL!$C$25, 0.0263, 0)</f>
        <v>11.5806</v>
      </c>
      <c r="C69" s="4">
        <f>11.2418 * CHOOSE(CONTROL!$C$6, $C$13, 100%, $E$13) + CHOOSE(CONTROL!$C$25, 0.0263, 0)</f>
        <v>11.2681</v>
      </c>
      <c r="D69" s="4">
        <f>15.9294 * CHOOSE(CONTROL!$C$6, $C$13, 100%, $E$13) + CHOOSE(CONTROL!$C$25, 0, 0)</f>
        <v>15.929399999999999</v>
      </c>
      <c r="E69" s="4">
        <f>68.2887925135618 * CHOOSE(CONTROL!$C$6, $C$13, 100%, $E$13) + CHOOSE(CONTROL!$C$25, 0, 0)</f>
        <v>68.288792513561802</v>
      </c>
    </row>
    <row r="70" spans="1:5" ht="15">
      <c r="A70" s="13">
        <v>43983</v>
      </c>
      <c r="B70" s="4">
        <f>11.5849 * CHOOSE(CONTROL!$C$6, $C$13, 100%, $E$13) + CHOOSE(CONTROL!$C$25, 0.0263, 0)</f>
        <v>11.6112</v>
      </c>
      <c r="C70" s="4">
        <f>11.2724 * CHOOSE(CONTROL!$C$6, $C$13, 100%, $E$13) + CHOOSE(CONTROL!$C$25, 0.0263, 0)</f>
        <v>11.2987</v>
      </c>
      <c r="D70" s="4">
        <f>16.0669 * CHOOSE(CONTROL!$C$6, $C$13, 100%, $E$13) + CHOOSE(CONTROL!$C$25, 0, 0)</f>
        <v>16.0669</v>
      </c>
      <c r="E70" s="4">
        <f>68.5048675570118 * CHOOSE(CONTROL!$C$6, $C$13, 100%, $E$13) + CHOOSE(CONTROL!$C$25, 0, 0)</f>
        <v>68.504867557011806</v>
      </c>
    </row>
    <row r="71" spans="1:5" ht="15">
      <c r="A71" s="13">
        <v>44013</v>
      </c>
      <c r="B71" s="4">
        <f>11.5818 * CHOOSE(CONTROL!$C$6, $C$13, 100%, $E$13) + CHOOSE(CONTROL!$C$25, 0.0263, 0)</f>
        <v>11.6081</v>
      </c>
      <c r="C71" s="4">
        <f>11.2693 * CHOOSE(CONTROL!$C$6, $C$13, 100%, $E$13) + CHOOSE(CONTROL!$C$25, 0.0263, 0)</f>
        <v>11.2956</v>
      </c>
      <c r="D71" s="4">
        <f>16.315 * CHOOSE(CONTROL!$C$6, $C$13, 100%, $E$13) + CHOOSE(CONTROL!$C$25, 0, 0)</f>
        <v>16.315000000000001</v>
      </c>
      <c r="E71" s="4">
        <f>68.4830784770001 * CHOOSE(CONTROL!$C$6, $C$13, 100%, $E$13) + CHOOSE(CONTROL!$C$25, 0, 0)</f>
        <v>68.483078477000106</v>
      </c>
    </row>
    <row r="72" spans="1:5" ht="15">
      <c r="A72" s="13">
        <v>44044</v>
      </c>
      <c r="B72" s="4">
        <f>11.8142 * CHOOSE(CONTROL!$C$6, $C$13, 100%, $E$13) + CHOOSE(CONTROL!$C$25, 0.0263, 0)</f>
        <v>11.8405</v>
      </c>
      <c r="C72" s="4">
        <f>11.5017 * CHOOSE(CONTROL!$C$6, $C$13, 100%, $E$13) + CHOOSE(CONTROL!$C$25, 0.0263, 0)</f>
        <v>11.528</v>
      </c>
      <c r="D72" s="4">
        <f>16.1511 * CHOOSE(CONTROL!$C$6, $C$13, 100%, $E$13) + CHOOSE(CONTROL!$C$25, 0, 0)</f>
        <v>16.1511</v>
      </c>
      <c r="E72" s="4">
        <f>70.1227067478859 * CHOOSE(CONTROL!$C$6, $C$13, 100%, $E$13) + CHOOSE(CONTROL!$C$25, 0, 0)</f>
        <v>70.1227067478859</v>
      </c>
    </row>
    <row r="73" spans="1:5" ht="15">
      <c r="A73" s="13">
        <v>44075</v>
      </c>
      <c r="B73" s="4">
        <f>11.4182 * CHOOSE(CONTROL!$C$6, $C$13, 100%, $E$13) + CHOOSE(CONTROL!$C$25, 0.0263, 0)</f>
        <v>11.444500000000001</v>
      </c>
      <c r="C73" s="4">
        <f>11.1057 * CHOOSE(CONTROL!$C$6, $C$13, 100%, $E$13) + CHOOSE(CONTROL!$C$25, 0.0263, 0)</f>
        <v>11.132000000000001</v>
      </c>
      <c r="D73" s="4">
        <f>16.0737 * CHOOSE(CONTROL!$C$6, $C$13, 100%, $E$13) + CHOOSE(CONTROL!$C$25, 0, 0)</f>
        <v>16.073699999999999</v>
      </c>
      <c r="E73" s="4">
        <f>67.3282572363762 * CHOOSE(CONTROL!$C$6, $C$13, 100%, $E$13) + CHOOSE(CONTROL!$C$25, 0, 0)</f>
        <v>67.328257236376203</v>
      </c>
    </row>
    <row r="74" spans="1:5" ht="15">
      <c r="A74" s="13">
        <v>44105</v>
      </c>
      <c r="B74" s="4">
        <f>11.1011 * CHOOSE(CONTROL!$C$6, $C$13, 100%, $E$13) + CHOOSE(CONTROL!$C$25, 0.0003, 0)</f>
        <v>11.1014</v>
      </c>
      <c r="C74" s="4">
        <f>10.7886 * CHOOSE(CONTROL!$C$6, $C$13, 100%, $E$13) + CHOOSE(CONTROL!$C$25, 0.0003, 0)</f>
        <v>10.7889</v>
      </c>
      <c r="D74" s="4">
        <f>15.8664 * CHOOSE(CONTROL!$C$6, $C$13, 100%, $E$13) + CHOOSE(CONTROL!$C$25, 0, 0)</f>
        <v>15.866400000000001</v>
      </c>
      <c r="E74" s="4">
        <f>65.0912450218342 * CHOOSE(CONTROL!$C$6, $C$13, 100%, $E$13) + CHOOSE(CONTROL!$C$25, 0, 0)</f>
        <v>65.091245021834197</v>
      </c>
    </row>
    <row r="75" spans="1:5" ht="15">
      <c r="A75" s="13">
        <v>44136</v>
      </c>
      <c r="B75" s="4">
        <f>10.8969 * CHOOSE(CONTROL!$C$6, $C$13, 100%, $E$13) + CHOOSE(CONTROL!$C$25, 0.0003, 0)</f>
        <v>10.8972</v>
      </c>
      <c r="C75" s="4">
        <f>10.5844 * CHOOSE(CONTROL!$C$6, $C$13, 100%, $E$13) + CHOOSE(CONTROL!$C$25, 0.0003, 0)</f>
        <v>10.5847</v>
      </c>
      <c r="D75" s="4">
        <f>15.7952 * CHOOSE(CONTROL!$C$6, $C$13, 100%, $E$13) + CHOOSE(CONTROL!$C$25, 0, 0)</f>
        <v>15.795199999999999</v>
      </c>
      <c r="E75" s="4">
        <f>63.6504421060558 * CHOOSE(CONTROL!$C$6, $C$13, 100%, $E$13) + CHOOSE(CONTROL!$C$25, 0, 0)</f>
        <v>63.650442106055799</v>
      </c>
    </row>
    <row r="76" spans="1:5" ht="15">
      <c r="A76" s="13">
        <v>44166</v>
      </c>
      <c r="B76" s="4">
        <f>10.7556 * CHOOSE(CONTROL!$C$6, $C$13, 100%, $E$13) + CHOOSE(CONTROL!$C$25, 0.0003, 0)</f>
        <v>10.755899999999999</v>
      </c>
      <c r="C76" s="4">
        <f>10.4431 * CHOOSE(CONTROL!$C$6, $C$13, 100%, $E$13) + CHOOSE(CONTROL!$C$25, 0.0003, 0)</f>
        <v>10.443399999999999</v>
      </c>
      <c r="D76" s="4">
        <f>15.2705 * CHOOSE(CONTROL!$C$6, $C$13, 100%, $E$13) + CHOOSE(CONTROL!$C$25, 0, 0)</f>
        <v>15.2705</v>
      </c>
      <c r="E76" s="4">
        <f>62.6535916955172 * CHOOSE(CONTROL!$C$6, $C$13, 100%, $E$13) + CHOOSE(CONTROL!$C$25, 0, 0)</f>
        <v>62.6535916955172</v>
      </c>
    </row>
    <row r="77" spans="1:5" ht="15">
      <c r="A77" s="13">
        <v>44197</v>
      </c>
      <c r="B77" s="4">
        <f>12.6767 * CHOOSE(CONTROL!$C$6, $C$13, 100%, $E$13) + CHOOSE(CONTROL!$C$25, 0.0003, 0)</f>
        <v>12.677</v>
      </c>
      <c r="C77" s="4">
        <f>12.3642 * CHOOSE(CONTROL!$C$6, $C$13, 100%, $E$13) + CHOOSE(CONTROL!$C$25, 0.0003, 0)</f>
        <v>12.3645</v>
      </c>
      <c r="D77" s="4">
        <f>16.8795 * CHOOSE(CONTROL!$C$6, $C$13, 100%, $E$13) + CHOOSE(CONTROL!$C$25, 0, 0)</f>
        <v>16.8795</v>
      </c>
      <c r="E77" s="4">
        <f>71.6836971259149 * CHOOSE(CONTROL!$C$6, $C$13, 100%, $E$13) + CHOOSE(CONTROL!$C$25, 0, 0)</f>
        <v>71.683697125914904</v>
      </c>
    </row>
    <row r="78" spans="1:5" ht="15">
      <c r="A78" s="13">
        <v>44228</v>
      </c>
      <c r="B78" s="4">
        <f>12.9332 * CHOOSE(CONTROL!$C$6, $C$13, 100%, $E$13) + CHOOSE(CONTROL!$C$25, 0.0003, 0)</f>
        <v>12.933499999999999</v>
      </c>
      <c r="C78" s="4">
        <f>12.6207 * CHOOSE(CONTROL!$C$6, $C$13, 100%, $E$13) + CHOOSE(CONTROL!$C$25, 0.0003, 0)</f>
        <v>12.620999999999999</v>
      </c>
      <c r="D78" s="4">
        <f>17.4389 * CHOOSE(CONTROL!$C$6, $C$13, 100%, $E$13) + CHOOSE(CONTROL!$C$25, 0, 0)</f>
        <v>17.4389</v>
      </c>
      <c r="E78" s="4">
        <f>73.3857505946429 * CHOOSE(CONTROL!$C$6, $C$13, 100%, $E$13) + CHOOSE(CONTROL!$C$25, 0, 0)</f>
        <v>73.3857505946429</v>
      </c>
    </row>
    <row r="79" spans="1:5" ht="15">
      <c r="A79" s="13">
        <v>44256</v>
      </c>
      <c r="B79" s="4">
        <f>13.6067 * CHOOSE(CONTROL!$C$6, $C$13, 100%, $E$13) + CHOOSE(CONTROL!$C$25, 0.0003, 0)</f>
        <v>13.606999999999999</v>
      </c>
      <c r="C79" s="4">
        <f>13.2942 * CHOOSE(CONTROL!$C$6, $C$13, 100%, $E$13) + CHOOSE(CONTROL!$C$25, 0.0003, 0)</f>
        <v>13.294499999999999</v>
      </c>
      <c r="D79" s="4">
        <f>18.3147 * CHOOSE(CONTROL!$C$6, $C$13, 100%, $E$13) + CHOOSE(CONTROL!$C$25, 0, 0)</f>
        <v>18.314699999999998</v>
      </c>
      <c r="E79" s="4">
        <f>77.8554334561371 * CHOOSE(CONTROL!$C$6, $C$13, 100%, $E$13) + CHOOSE(CONTROL!$C$25, 0, 0)</f>
        <v>77.855433456137106</v>
      </c>
    </row>
    <row r="80" spans="1:5" ht="15">
      <c r="A80" s="13">
        <v>44287</v>
      </c>
      <c r="B80" s="4">
        <f>14.0852 * CHOOSE(CONTROL!$C$6, $C$13, 100%, $E$13) + CHOOSE(CONTROL!$C$25, 0.0003, 0)</f>
        <v>14.0855</v>
      </c>
      <c r="C80" s="4">
        <f>13.7727 * CHOOSE(CONTROL!$C$6, $C$13, 100%, $E$13) + CHOOSE(CONTROL!$C$25, 0.0003, 0)</f>
        <v>13.773</v>
      </c>
      <c r="D80" s="4">
        <f>18.8191 * CHOOSE(CONTROL!$C$6, $C$13, 100%, $E$13) + CHOOSE(CONTROL!$C$25, 0, 0)</f>
        <v>18.819099999999999</v>
      </c>
      <c r="E80" s="4">
        <f>81.0312026955849 * CHOOSE(CONTROL!$C$6, $C$13, 100%, $E$13) + CHOOSE(CONTROL!$C$25, 0, 0)</f>
        <v>81.031202695584895</v>
      </c>
    </row>
    <row r="81" spans="1:5" ht="15">
      <c r="A81" s="13">
        <v>44317</v>
      </c>
      <c r="B81" s="4">
        <f>14.3776 * CHOOSE(CONTROL!$C$6, $C$13, 100%, $E$13) + CHOOSE(CONTROL!$C$25, 0.0263, 0)</f>
        <v>14.4039</v>
      </c>
      <c r="C81" s="4">
        <f>14.0651 * CHOOSE(CONTROL!$C$6, $C$13, 100%, $E$13) + CHOOSE(CONTROL!$C$25, 0.0263, 0)</f>
        <v>14.0914</v>
      </c>
      <c r="D81" s="4">
        <f>18.6198 * CHOOSE(CONTROL!$C$6, $C$13, 100%, $E$13) + CHOOSE(CONTROL!$C$25, 0, 0)</f>
        <v>18.619800000000001</v>
      </c>
      <c r="E81" s="4">
        <f>82.9715215883214 * CHOOSE(CONTROL!$C$6, $C$13, 100%, $E$13) + CHOOSE(CONTROL!$C$25, 0, 0)</f>
        <v>82.971521588321394</v>
      </c>
    </row>
    <row r="82" spans="1:5" ht="15">
      <c r="A82" s="13">
        <v>44348</v>
      </c>
      <c r="B82" s="4">
        <f>14.4172 * CHOOSE(CONTROL!$C$6, $C$13, 100%, $E$13) + CHOOSE(CONTROL!$C$25, 0.0263, 0)</f>
        <v>14.4435</v>
      </c>
      <c r="C82" s="4">
        <f>14.1047 * CHOOSE(CONTROL!$C$6, $C$13, 100%, $E$13) + CHOOSE(CONTROL!$C$25, 0.0263, 0)</f>
        <v>14.131</v>
      </c>
      <c r="D82" s="4">
        <f>18.7821 * CHOOSE(CONTROL!$C$6, $C$13, 100%, $E$13) + CHOOSE(CONTROL!$C$25, 0, 0)</f>
        <v>18.7821</v>
      </c>
      <c r="E82" s="4">
        <f>83.2340547869975 * CHOOSE(CONTROL!$C$6, $C$13, 100%, $E$13) + CHOOSE(CONTROL!$C$25, 0, 0)</f>
        <v>83.234054786997504</v>
      </c>
    </row>
    <row r="83" spans="1:5" ht="15">
      <c r="A83" s="13">
        <v>44378</v>
      </c>
      <c r="B83" s="4">
        <f>14.4132 * CHOOSE(CONTROL!$C$6, $C$13, 100%, $E$13) + CHOOSE(CONTROL!$C$25, 0.0263, 0)</f>
        <v>14.439500000000001</v>
      </c>
      <c r="C83" s="4">
        <f>14.1007 * CHOOSE(CONTROL!$C$6, $C$13, 100%, $E$13) + CHOOSE(CONTROL!$C$25, 0.0263, 0)</f>
        <v>14.127000000000001</v>
      </c>
      <c r="D83" s="4">
        <f>19.075 * CHOOSE(CONTROL!$C$6, $C$13, 100%, $E$13) + CHOOSE(CONTROL!$C$25, 0, 0)</f>
        <v>19.074999999999999</v>
      </c>
      <c r="E83" s="4">
        <f>83.2075808509966 * CHOOSE(CONTROL!$C$6, $C$13, 100%, $E$13) + CHOOSE(CONTROL!$C$25, 0, 0)</f>
        <v>83.207580850996607</v>
      </c>
    </row>
    <row r="84" spans="1:5" ht="15">
      <c r="A84" s="13">
        <v>44409</v>
      </c>
      <c r="B84" s="4">
        <f>14.7134 * CHOOSE(CONTROL!$C$6, $C$13, 100%, $E$13) + CHOOSE(CONTROL!$C$25, 0.0263, 0)</f>
        <v>14.739700000000001</v>
      </c>
      <c r="C84" s="4">
        <f>14.4009 * CHOOSE(CONTROL!$C$6, $C$13, 100%, $E$13) + CHOOSE(CONTROL!$C$25, 0.0263, 0)</f>
        <v>14.427200000000001</v>
      </c>
      <c r="D84" s="4">
        <f>18.8816 * CHOOSE(CONTROL!$C$6, $C$13, 100%, $E$13) + CHOOSE(CONTROL!$C$25, 0, 0)</f>
        <v>18.881599999999999</v>
      </c>
      <c r="E84" s="4">
        <f>85.1997445350683 * CHOOSE(CONTROL!$C$6, $C$13, 100%, $E$13) + CHOOSE(CONTROL!$C$25, 0, 0)</f>
        <v>85.199744535068305</v>
      </c>
    </row>
    <row r="85" spans="1:5" ht="15">
      <c r="A85" s="13">
        <v>44440</v>
      </c>
      <c r="B85" s="4">
        <f>14.2018 * CHOOSE(CONTROL!$C$6, $C$13, 100%, $E$13) + CHOOSE(CONTROL!$C$25, 0.0263, 0)</f>
        <v>14.228100000000001</v>
      </c>
      <c r="C85" s="4">
        <f>13.8893 * CHOOSE(CONTROL!$C$6, $C$13, 100%, $E$13) + CHOOSE(CONTROL!$C$25, 0.0263, 0)</f>
        <v>13.915600000000001</v>
      </c>
      <c r="D85" s="4">
        <f>18.7902 * CHOOSE(CONTROL!$C$6, $C$13, 100%, $E$13) + CHOOSE(CONTROL!$C$25, 0, 0)</f>
        <v>18.790199999999999</v>
      </c>
      <c r="E85" s="4">
        <f>81.8044622429461 * CHOOSE(CONTROL!$C$6, $C$13, 100%, $E$13) + CHOOSE(CONTROL!$C$25, 0, 0)</f>
        <v>81.804462242946101</v>
      </c>
    </row>
    <row r="86" spans="1:5" ht="15">
      <c r="A86" s="13">
        <v>44470</v>
      </c>
      <c r="B86" s="4">
        <f>13.7922 * CHOOSE(CONTROL!$C$6, $C$13, 100%, $E$13) + CHOOSE(CONTROL!$C$25, 0.0003, 0)</f>
        <v>13.792499999999999</v>
      </c>
      <c r="C86" s="4">
        <f>13.4797 * CHOOSE(CONTROL!$C$6, $C$13, 100%, $E$13) + CHOOSE(CONTROL!$C$25, 0.0003, 0)</f>
        <v>13.479999999999999</v>
      </c>
      <c r="D86" s="4">
        <f>18.5455 * CHOOSE(CONTROL!$C$6, $C$13, 100%, $E$13) + CHOOSE(CONTROL!$C$25, 0, 0)</f>
        <v>18.545500000000001</v>
      </c>
      <c r="E86" s="4">
        <f>79.0864714801815 * CHOOSE(CONTROL!$C$6, $C$13, 100%, $E$13) + CHOOSE(CONTROL!$C$25, 0, 0)</f>
        <v>79.086471480181501</v>
      </c>
    </row>
    <row r="87" spans="1:5" ht="15">
      <c r="A87" s="13">
        <v>44501</v>
      </c>
      <c r="B87" s="4">
        <f>13.5284 * CHOOSE(CONTROL!$C$6, $C$13, 100%, $E$13) + CHOOSE(CONTROL!$C$25, 0.0003, 0)</f>
        <v>13.528699999999999</v>
      </c>
      <c r="C87" s="4">
        <f>13.2159 * CHOOSE(CONTROL!$C$6, $C$13, 100%, $E$13) + CHOOSE(CONTROL!$C$25, 0.0003, 0)</f>
        <v>13.216199999999999</v>
      </c>
      <c r="D87" s="4">
        <f>18.4613 * CHOOSE(CONTROL!$C$6, $C$13, 100%, $E$13) + CHOOSE(CONTROL!$C$25, 0, 0)</f>
        <v>18.461300000000001</v>
      </c>
      <c r="E87" s="4">
        <f>77.3358824621184 * CHOOSE(CONTROL!$C$6, $C$13, 100%, $E$13) + CHOOSE(CONTROL!$C$25, 0, 0)</f>
        <v>77.335882462118406</v>
      </c>
    </row>
    <row r="88" spans="1:5" ht="14.25" customHeight="1">
      <c r="A88" s="13">
        <v>44531</v>
      </c>
      <c r="B88" s="4">
        <f>13.3459 * CHOOSE(CONTROL!$C$6, $C$13, 100%, $E$13) + CHOOSE(CONTROL!$C$25, 0.0003, 0)</f>
        <v>13.3462</v>
      </c>
      <c r="C88" s="4">
        <f>13.0334 * CHOOSE(CONTROL!$C$6, $C$13, 100%, $E$13) + CHOOSE(CONTROL!$C$25, 0.0003, 0)</f>
        <v>13.0337</v>
      </c>
      <c r="D88" s="4">
        <f>17.8419 * CHOOSE(CONTROL!$C$6, $C$13, 100%, $E$13) + CHOOSE(CONTROL!$C$25, 0, 0)</f>
        <v>17.841899999999999</v>
      </c>
      <c r="E88" s="4">
        <f>76.1246998900748 * CHOOSE(CONTROL!$C$6, $C$13, 100%, $E$13) + CHOOSE(CONTROL!$C$25, 0, 0)</f>
        <v>76.124699890074794</v>
      </c>
    </row>
    <row r="89" spans="1:5" ht="15">
      <c r="A89" s="13">
        <v>44562</v>
      </c>
      <c r="B89" s="4">
        <f>13.2277 * CHOOSE(CONTROL!$C$6, $C$13, 100%, $E$13) + CHOOSE(CONTROL!$C$25, 0.0003, 0)</f>
        <v>13.228</v>
      </c>
      <c r="C89" s="4">
        <f>12.9152 * CHOOSE(CONTROL!$C$6, $C$13, 100%, $E$13) + CHOOSE(CONTROL!$C$25, 0.0003, 0)</f>
        <v>12.9155</v>
      </c>
      <c r="D89" s="4">
        <f>17.6317 * CHOOSE(CONTROL!$C$6, $C$13, 100%, $E$13) + CHOOSE(CONTROL!$C$25, 0, 0)</f>
        <v>17.631699999999999</v>
      </c>
      <c r="E89" s="4">
        <f>75.1373949127209 * CHOOSE(CONTROL!$C$6, $C$13, 100%, $E$13) + CHOOSE(CONTROL!$C$25, 0, 0)</f>
        <v>75.137394912720893</v>
      </c>
    </row>
    <row r="90" spans="1:5" ht="15">
      <c r="A90" s="13">
        <v>44593</v>
      </c>
      <c r="B90" s="4">
        <f>13.4973 * CHOOSE(CONTROL!$C$6, $C$13, 100%, $E$13) + CHOOSE(CONTROL!$C$25, 0.0003, 0)</f>
        <v>13.497599999999998</v>
      </c>
      <c r="C90" s="4">
        <f>13.1848 * CHOOSE(CONTROL!$C$6, $C$13, 100%, $E$13) + CHOOSE(CONTROL!$C$25, 0.0003, 0)</f>
        <v>13.185099999999998</v>
      </c>
      <c r="D90" s="4">
        <f>18.2177 * CHOOSE(CONTROL!$C$6, $C$13, 100%, $E$13) + CHOOSE(CONTROL!$C$25, 0, 0)</f>
        <v>18.217700000000001</v>
      </c>
      <c r="E90" s="4">
        <f>76.9214527776178 * CHOOSE(CONTROL!$C$6, $C$13, 100%, $E$13) + CHOOSE(CONTROL!$C$25, 0, 0)</f>
        <v>76.921452777617802</v>
      </c>
    </row>
    <row r="91" spans="1:5" ht="15">
      <c r="A91" s="13">
        <v>44621</v>
      </c>
      <c r="B91" s="4">
        <f>14.2052 * CHOOSE(CONTROL!$C$6, $C$13, 100%, $E$13) + CHOOSE(CONTROL!$C$25, 0.0003, 0)</f>
        <v>14.205499999999999</v>
      </c>
      <c r="C91" s="4">
        <f>13.8927 * CHOOSE(CONTROL!$C$6, $C$13, 100%, $E$13) + CHOOSE(CONTROL!$C$25, 0.0003, 0)</f>
        <v>13.892999999999999</v>
      </c>
      <c r="D91" s="4">
        <f>19.135 * CHOOSE(CONTROL!$C$6, $C$13, 100%, $E$13) + CHOOSE(CONTROL!$C$25, 0, 0)</f>
        <v>19.135000000000002</v>
      </c>
      <c r="E91" s="4">
        <f>81.6064835414301 * CHOOSE(CONTROL!$C$6, $C$13, 100%, $E$13) + CHOOSE(CONTROL!$C$25, 0, 0)</f>
        <v>81.606483541430094</v>
      </c>
    </row>
    <row r="92" spans="1:5" ht="15">
      <c r="A92" s="13">
        <v>44652</v>
      </c>
      <c r="B92" s="4">
        <f>14.7081 * CHOOSE(CONTROL!$C$6, $C$13, 100%, $E$13) + CHOOSE(CONTROL!$C$25, 0.0003, 0)</f>
        <v>14.708399999999999</v>
      </c>
      <c r="C92" s="4">
        <f>14.3956 * CHOOSE(CONTROL!$C$6, $C$13, 100%, $E$13) + CHOOSE(CONTROL!$C$25, 0.0003, 0)</f>
        <v>14.395899999999999</v>
      </c>
      <c r="D92" s="4">
        <f>19.6634 * CHOOSE(CONTROL!$C$6, $C$13, 100%, $E$13) + CHOOSE(CONTROL!$C$25, 0, 0)</f>
        <v>19.663399999999999</v>
      </c>
      <c r="E92" s="4">
        <f>84.935260335363 * CHOOSE(CONTROL!$C$6, $C$13, 100%, $E$13) + CHOOSE(CONTROL!$C$25, 0, 0)</f>
        <v>84.935260335362997</v>
      </c>
    </row>
    <row r="93" spans="1:5" ht="15">
      <c r="A93" s="13">
        <v>44682</v>
      </c>
      <c r="B93" s="4">
        <f>15.0154 * CHOOSE(CONTROL!$C$6, $C$13, 100%, $E$13) + CHOOSE(CONTROL!$C$25, 0.0263, 0)</f>
        <v>15.041700000000001</v>
      </c>
      <c r="C93" s="4">
        <f>14.7029 * CHOOSE(CONTROL!$C$6, $C$13, 100%, $E$13) + CHOOSE(CONTROL!$C$25, 0.0263, 0)</f>
        <v>14.729200000000001</v>
      </c>
      <c r="D93" s="4">
        <f>19.4546 * CHOOSE(CONTROL!$C$6, $C$13, 100%, $E$13) + CHOOSE(CONTROL!$C$25, 0, 0)</f>
        <v>19.454599999999999</v>
      </c>
      <c r="E93" s="4">
        <f>86.9690631768106 * CHOOSE(CONTROL!$C$6, $C$13, 100%, $E$13) + CHOOSE(CONTROL!$C$25, 0, 0)</f>
        <v>86.969063176810593</v>
      </c>
    </row>
    <row r="94" spans="1:5" ht="15">
      <c r="A94" s="13">
        <v>44713</v>
      </c>
      <c r="B94" s="4">
        <f>15.057 * CHOOSE(CONTROL!$C$6, $C$13, 100%, $E$13) + CHOOSE(CONTROL!$C$25, 0.0263, 0)</f>
        <v>15.083300000000001</v>
      </c>
      <c r="C94" s="4">
        <f>14.7445 * CHOOSE(CONTROL!$C$6, $C$13, 100%, $E$13) + CHOOSE(CONTROL!$C$25, 0.0263, 0)</f>
        <v>14.770800000000001</v>
      </c>
      <c r="D94" s="4">
        <f>19.6246 * CHOOSE(CONTROL!$C$6, $C$13, 100%, $E$13) + CHOOSE(CONTROL!$C$25, 0, 0)</f>
        <v>19.624600000000001</v>
      </c>
      <c r="E94" s="4">
        <f>87.2442451417137 * CHOOSE(CONTROL!$C$6, $C$13, 100%, $E$13) + CHOOSE(CONTROL!$C$25, 0, 0)</f>
        <v>87.244245141713705</v>
      </c>
    </row>
    <row r="95" spans="1:5" ht="15">
      <c r="A95" s="13">
        <v>44743</v>
      </c>
      <c r="B95" s="4">
        <f>15.0528 * CHOOSE(CONTROL!$C$6, $C$13, 100%, $E$13) + CHOOSE(CONTROL!$C$25, 0.0263, 0)</f>
        <v>15.0791</v>
      </c>
      <c r="C95" s="4">
        <f>14.7403 * CHOOSE(CONTROL!$C$6, $C$13, 100%, $E$13) + CHOOSE(CONTROL!$C$25, 0.0263, 0)</f>
        <v>14.7666</v>
      </c>
      <c r="D95" s="4">
        <f>19.9314 * CHOOSE(CONTROL!$C$6, $C$13, 100%, $E$13) + CHOOSE(CONTROL!$C$25, 0, 0)</f>
        <v>19.9314</v>
      </c>
      <c r="E95" s="4">
        <f>87.2164956998747 * CHOOSE(CONTROL!$C$6, $C$13, 100%, $E$13) + CHOOSE(CONTROL!$C$25, 0, 0)</f>
        <v>87.216495699874699</v>
      </c>
    </row>
    <row r="96" spans="1:5" ht="15">
      <c r="A96" s="13">
        <v>44774</v>
      </c>
      <c r="B96" s="4">
        <f>15.3683 * CHOOSE(CONTROL!$C$6, $C$13, 100%, $E$13) + CHOOSE(CONTROL!$C$25, 0.0263, 0)</f>
        <v>15.394600000000001</v>
      </c>
      <c r="C96" s="4">
        <f>15.0558 * CHOOSE(CONTROL!$C$6, $C$13, 100%, $E$13) + CHOOSE(CONTROL!$C$25, 0.0263, 0)</f>
        <v>15.082100000000001</v>
      </c>
      <c r="D96" s="4">
        <f>19.7288 * CHOOSE(CONTROL!$C$6, $C$13, 100%, $E$13) + CHOOSE(CONTROL!$C$25, 0, 0)</f>
        <v>19.7288</v>
      </c>
      <c r="E96" s="4">
        <f>89.304641198257 * CHOOSE(CONTROL!$C$6, $C$13, 100%, $E$13) + CHOOSE(CONTROL!$C$25, 0, 0)</f>
        <v>89.304641198257002</v>
      </c>
    </row>
    <row r="97" spans="1:5" ht="15">
      <c r="A97" s="13">
        <v>44805</v>
      </c>
      <c r="B97" s="4">
        <f>14.8306 * CHOOSE(CONTROL!$C$6, $C$13, 100%, $E$13) + CHOOSE(CONTROL!$C$25, 0.0263, 0)</f>
        <v>14.856900000000001</v>
      </c>
      <c r="C97" s="4">
        <f>14.5181 * CHOOSE(CONTROL!$C$6, $C$13, 100%, $E$13) + CHOOSE(CONTROL!$C$25, 0.0263, 0)</f>
        <v>14.544400000000001</v>
      </c>
      <c r="D97" s="4">
        <f>19.6331 * CHOOSE(CONTROL!$C$6, $C$13, 100%, $E$13) + CHOOSE(CONTROL!$C$25, 0, 0)</f>
        <v>19.633099999999999</v>
      </c>
      <c r="E97" s="4">
        <f>85.7457752824095 * CHOOSE(CONTROL!$C$6, $C$13, 100%, $E$13) + CHOOSE(CONTROL!$C$25, 0, 0)</f>
        <v>85.745775282409497</v>
      </c>
    </row>
    <row r="98" spans="1:5" ht="15">
      <c r="A98" s="13">
        <v>44835</v>
      </c>
      <c r="B98" s="4">
        <f>14.4001 * CHOOSE(CONTROL!$C$6, $C$13, 100%, $E$13) + CHOOSE(CONTROL!$C$25, 0.0003, 0)</f>
        <v>14.400399999999999</v>
      </c>
      <c r="C98" s="4">
        <f>14.0876 * CHOOSE(CONTROL!$C$6, $C$13, 100%, $E$13) + CHOOSE(CONTROL!$C$25, 0.0003, 0)</f>
        <v>14.087899999999999</v>
      </c>
      <c r="D98" s="4">
        <f>19.3767 * CHOOSE(CONTROL!$C$6, $C$13, 100%, $E$13) + CHOOSE(CONTROL!$C$25, 0, 0)</f>
        <v>19.3767</v>
      </c>
      <c r="E98" s="4">
        <f>82.8968325869421 * CHOOSE(CONTROL!$C$6, $C$13, 100%, $E$13) + CHOOSE(CONTROL!$C$25, 0, 0)</f>
        <v>82.896832586942097</v>
      </c>
    </row>
    <row r="99" spans="1:5" ht="15">
      <c r="A99" s="13">
        <v>44866</v>
      </c>
      <c r="B99" s="4">
        <f>14.1229 * CHOOSE(CONTROL!$C$6, $C$13, 100%, $E$13) + CHOOSE(CONTROL!$C$25, 0.0003, 0)</f>
        <v>14.123199999999999</v>
      </c>
      <c r="C99" s="4">
        <f>13.8104 * CHOOSE(CONTROL!$C$6, $C$13, 100%, $E$13) + CHOOSE(CONTROL!$C$25, 0.0003, 0)</f>
        <v>13.810699999999999</v>
      </c>
      <c r="D99" s="4">
        <f>19.2886 * CHOOSE(CONTROL!$C$6, $C$13, 100%, $E$13) + CHOOSE(CONTROL!$C$25, 0, 0)</f>
        <v>19.288599999999999</v>
      </c>
      <c r="E99" s="4">
        <f>81.0619007453404 * CHOOSE(CONTROL!$C$6, $C$13, 100%, $E$13) + CHOOSE(CONTROL!$C$25, 0, 0)</f>
        <v>81.061900745340395</v>
      </c>
    </row>
    <row r="100" spans="1:5" ht="15">
      <c r="A100" s="13">
        <v>44896</v>
      </c>
      <c r="B100" s="4">
        <f>13.9311 * CHOOSE(CONTROL!$C$6, $C$13, 100%, $E$13) + CHOOSE(CONTROL!$C$25, 0.0003, 0)</f>
        <v>13.9314</v>
      </c>
      <c r="C100" s="4">
        <f>13.6186 * CHOOSE(CONTROL!$C$6, $C$13, 100%, $E$13) + CHOOSE(CONTROL!$C$25, 0.0003, 0)</f>
        <v>13.6189</v>
      </c>
      <c r="D100" s="4">
        <f>18.6398 * CHOOSE(CONTROL!$C$6, $C$13, 100%, $E$13) + CHOOSE(CONTROL!$C$25, 0, 0)</f>
        <v>18.639800000000001</v>
      </c>
      <c r="E100" s="4">
        <f>79.7923637812077 * CHOOSE(CONTROL!$C$6, $C$13, 100%, $E$13) + CHOOSE(CONTROL!$C$25, 0, 0)</f>
        <v>79.792363781207698</v>
      </c>
    </row>
    <row r="101" spans="1:5" ht="15">
      <c r="A101" s="13">
        <v>44927</v>
      </c>
      <c r="B101" s="4">
        <f>13.8613 * CHOOSE(CONTROL!$C$6, $C$13, 100%, $E$13) + CHOOSE(CONTROL!$C$25, 0.0003, 0)</f>
        <v>13.861599999999999</v>
      </c>
      <c r="C101" s="4">
        <f>13.5488 * CHOOSE(CONTROL!$C$6, $C$13, 100%, $E$13) + CHOOSE(CONTROL!$C$25, 0.0003, 0)</f>
        <v>13.549099999999999</v>
      </c>
      <c r="D101" s="4">
        <f>18.4732 * CHOOSE(CONTROL!$C$6, $C$13, 100%, $E$13) + CHOOSE(CONTROL!$C$25, 0, 0)</f>
        <v>18.473199999999999</v>
      </c>
      <c r="E101" s="4">
        <f>78.7468370970558 * CHOOSE(CONTROL!$C$6, $C$13, 100%, $E$13) + CHOOSE(CONTROL!$C$25, 0, 0)</f>
        <v>78.746837097055803</v>
      </c>
    </row>
    <row r="102" spans="1:5" ht="15">
      <c r="A102" s="13">
        <v>44958</v>
      </c>
      <c r="B102" s="4">
        <f>14.1459 * CHOOSE(CONTROL!$C$6, $C$13, 100%, $E$13) + CHOOSE(CONTROL!$C$25, 0.0003, 0)</f>
        <v>14.146199999999999</v>
      </c>
      <c r="C102" s="4">
        <f>13.8334 * CHOOSE(CONTROL!$C$6, $C$13, 100%, $E$13) + CHOOSE(CONTROL!$C$25, 0.0003, 0)</f>
        <v>13.833699999999999</v>
      </c>
      <c r="D102" s="4">
        <f>19.0888 * CHOOSE(CONTROL!$C$6, $C$13, 100%, $E$13) + CHOOSE(CONTROL!$C$25, 0, 0)</f>
        <v>19.088799999999999</v>
      </c>
      <c r="E102" s="4">
        <f>80.6165973438936 * CHOOSE(CONTROL!$C$6, $C$13, 100%, $E$13) + CHOOSE(CONTROL!$C$25, 0, 0)</f>
        <v>80.616597343893602</v>
      </c>
    </row>
    <row r="103" spans="1:5" ht="15">
      <c r="A103" s="13">
        <v>44986</v>
      </c>
      <c r="B103" s="4">
        <f>14.8933 * CHOOSE(CONTROL!$C$6, $C$13, 100%, $E$13) + CHOOSE(CONTROL!$C$25, 0.0003, 0)</f>
        <v>14.893599999999999</v>
      </c>
      <c r="C103" s="4">
        <f>14.5808 * CHOOSE(CONTROL!$C$6, $C$13, 100%, $E$13) + CHOOSE(CONTROL!$C$25, 0.0003, 0)</f>
        <v>14.581099999999999</v>
      </c>
      <c r="D103" s="4">
        <f>20.0526 * CHOOSE(CONTROL!$C$6, $C$13, 100%, $E$13) + CHOOSE(CONTROL!$C$25, 0, 0)</f>
        <v>20.052600000000002</v>
      </c>
      <c r="E103" s="4">
        <f>85.5266871171839 * CHOOSE(CONTROL!$C$6, $C$13, 100%, $E$13) + CHOOSE(CONTROL!$C$25, 0, 0)</f>
        <v>85.526687117183897</v>
      </c>
    </row>
    <row r="104" spans="1:5" ht="15">
      <c r="A104" s="13">
        <v>45017</v>
      </c>
      <c r="B104" s="4">
        <f>15.4243 * CHOOSE(CONTROL!$C$6, $C$13, 100%, $E$13) + CHOOSE(CONTROL!$C$25, 0.0003, 0)</f>
        <v>15.4246</v>
      </c>
      <c r="C104" s="4">
        <f>15.1118 * CHOOSE(CONTROL!$C$6, $C$13, 100%, $E$13) + CHOOSE(CONTROL!$C$25, 0.0003, 0)</f>
        <v>15.1121</v>
      </c>
      <c r="D104" s="4">
        <f>20.6078 * CHOOSE(CONTROL!$C$6, $C$13, 100%, $E$13) + CHOOSE(CONTROL!$C$25, 0, 0)</f>
        <v>20.607800000000001</v>
      </c>
      <c r="E104" s="4">
        <f>89.0153713366565 * CHOOSE(CONTROL!$C$6, $C$13, 100%, $E$13) + CHOOSE(CONTROL!$C$25, 0, 0)</f>
        <v>89.0153713366565</v>
      </c>
    </row>
    <row r="105" spans="1:5" ht="15">
      <c r="A105" s="13">
        <v>45047</v>
      </c>
      <c r="B105" s="4">
        <f>15.7488 * CHOOSE(CONTROL!$C$6, $C$13, 100%, $E$13) + CHOOSE(CONTROL!$C$25, 0.0263, 0)</f>
        <v>15.7751</v>
      </c>
      <c r="C105" s="4">
        <f>15.4363 * CHOOSE(CONTROL!$C$6, $C$13, 100%, $E$13) + CHOOSE(CONTROL!$C$25, 0.0263, 0)</f>
        <v>15.4626</v>
      </c>
      <c r="D105" s="4">
        <f>20.3884 * CHOOSE(CONTROL!$C$6, $C$13, 100%, $E$13) + CHOOSE(CONTROL!$C$25, 0, 0)</f>
        <v>20.388400000000001</v>
      </c>
      <c r="E105" s="4">
        <f>91.1468737826628 * CHOOSE(CONTROL!$C$6, $C$13, 100%, $E$13) + CHOOSE(CONTROL!$C$25, 0, 0)</f>
        <v>91.146873782662794</v>
      </c>
    </row>
    <row r="106" spans="1:5" ht="15">
      <c r="A106" s="13">
        <v>45078</v>
      </c>
      <c r="B106" s="4">
        <f>15.7927 * CHOOSE(CONTROL!$C$6, $C$13, 100%, $E$13) + CHOOSE(CONTROL!$C$25, 0.0263, 0)</f>
        <v>15.819000000000001</v>
      </c>
      <c r="C106" s="4">
        <f>15.4802 * CHOOSE(CONTROL!$C$6, $C$13, 100%, $E$13) + CHOOSE(CONTROL!$C$25, 0.0263, 0)</f>
        <v>15.506500000000001</v>
      </c>
      <c r="D106" s="4">
        <f>20.5671 * CHOOSE(CONTROL!$C$6, $C$13, 100%, $E$13) + CHOOSE(CONTROL!$C$25, 0, 0)</f>
        <v>20.5671</v>
      </c>
      <c r="E106" s="4">
        <f>91.4352749095243 * CHOOSE(CONTROL!$C$6, $C$13, 100%, $E$13) + CHOOSE(CONTROL!$C$25, 0, 0)</f>
        <v>91.435274909524296</v>
      </c>
    </row>
    <row r="107" spans="1:5" ht="15">
      <c r="A107" s="13">
        <v>45108</v>
      </c>
      <c r="B107" s="4">
        <f>15.7882 * CHOOSE(CONTROL!$C$6, $C$13, 100%, $E$13) + CHOOSE(CONTROL!$C$25, 0.0263, 0)</f>
        <v>15.814500000000001</v>
      </c>
      <c r="C107" s="4">
        <f>15.4757 * CHOOSE(CONTROL!$C$6, $C$13, 100%, $E$13) + CHOOSE(CONTROL!$C$25, 0.0263, 0)</f>
        <v>15.502000000000001</v>
      </c>
      <c r="D107" s="4">
        <f>20.8895 * CHOOSE(CONTROL!$C$6, $C$13, 100%, $E$13) + CHOOSE(CONTROL!$C$25, 0, 0)</f>
        <v>20.889500000000002</v>
      </c>
      <c r="E107" s="4">
        <f>91.4061924429501 * CHOOSE(CONTROL!$C$6, $C$13, 100%, $E$13) + CHOOSE(CONTROL!$C$25, 0, 0)</f>
        <v>91.4061924429501</v>
      </c>
    </row>
    <row r="108" spans="1:5" ht="15">
      <c r="A108" s="13">
        <v>45139</v>
      </c>
      <c r="B108" s="4">
        <f>16.1214 * CHOOSE(CONTROL!$C$6, $C$13, 100%, $E$13) + CHOOSE(CONTROL!$C$25, 0.0263, 0)</f>
        <v>16.1477</v>
      </c>
      <c r="C108" s="4">
        <f>15.8089 * CHOOSE(CONTROL!$C$6, $C$13, 100%, $E$13) + CHOOSE(CONTROL!$C$25, 0.0263, 0)</f>
        <v>15.8352</v>
      </c>
      <c r="D108" s="4">
        <f>20.6766 * CHOOSE(CONTROL!$C$6, $C$13, 100%, $E$13) + CHOOSE(CONTROL!$C$25, 0, 0)</f>
        <v>20.676600000000001</v>
      </c>
      <c r="E108" s="4">
        <f>93.5946480526644 * CHOOSE(CONTROL!$C$6, $C$13, 100%, $E$13) + CHOOSE(CONTROL!$C$25, 0, 0)</f>
        <v>93.594648052664397</v>
      </c>
    </row>
    <row r="109" spans="1:5" ht="15">
      <c r="A109" s="13">
        <v>45170</v>
      </c>
      <c r="B109" s="4">
        <f>15.5536 * CHOOSE(CONTROL!$C$6, $C$13, 100%, $E$13) + CHOOSE(CONTROL!$C$25, 0.0263, 0)</f>
        <v>15.5799</v>
      </c>
      <c r="C109" s="4">
        <f>15.2411 * CHOOSE(CONTROL!$C$6, $C$13, 100%, $E$13) + CHOOSE(CONTROL!$C$25, 0.0263, 0)</f>
        <v>15.2674</v>
      </c>
      <c r="D109" s="4">
        <f>20.576 * CHOOSE(CONTROL!$C$6, $C$13, 100%, $E$13) + CHOOSE(CONTROL!$C$25, 0, 0)</f>
        <v>20.576000000000001</v>
      </c>
      <c r="E109" s="4">
        <f>89.8648217145135 * CHOOSE(CONTROL!$C$6, $C$13, 100%, $E$13) + CHOOSE(CONTROL!$C$25, 0, 0)</f>
        <v>89.864821714513496</v>
      </c>
    </row>
    <row r="110" spans="1:5" ht="15">
      <c r="A110" s="13">
        <v>45200</v>
      </c>
      <c r="B110" s="4">
        <f>15.0991 * CHOOSE(CONTROL!$C$6, $C$13, 100%, $E$13) + CHOOSE(CONTROL!$C$25, 0.0003, 0)</f>
        <v>15.099399999999999</v>
      </c>
      <c r="C110" s="4">
        <f>14.7866 * CHOOSE(CONTROL!$C$6, $C$13, 100%, $E$13) + CHOOSE(CONTROL!$C$25, 0.0003, 0)</f>
        <v>14.786899999999999</v>
      </c>
      <c r="D110" s="4">
        <f>20.3066 * CHOOSE(CONTROL!$C$6, $C$13, 100%, $E$13) + CHOOSE(CONTROL!$C$25, 0, 0)</f>
        <v>20.3066</v>
      </c>
      <c r="E110" s="4">
        <f>86.8790218128877 * CHOOSE(CONTROL!$C$6, $C$13, 100%, $E$13) + CHOOSE(CONTROL!$C$25, 0, 0)</f>
        <v>86.8790218128877</v>
      </c>
    </row>
    <row r="111" spans="1:5" ht="15">
      <c r="A111" s="13">
        <v>45231</v>
      </c>
      <c r="B111" s="4">
        <f>14.8064 * CHOOSE(CONTROL!$C$6, $C$13, 100%, $E$13) + CHOOSE(CONTROL!$C$25, 0.0003, 0)</f>
        <v>14.806699999999999</v>
      </c>
      <c r="C111" s="4">
        <f>14.4939 * CHOOSE(CONTROL!$C$6, $C$13, 100%, $E$13) + CHOOSE(CONTROL!$C$25, 0.0003, 0)</f>
        <v>14.494199999999999</v>
      </c>
      <c r="D111" s="4">
        <f>20.214 * CHOOSE(CONTROL!$C$6, $C$13, 100%, $E$13) + CHOOSE(CONTROL!$C$25, 0, 0)</f>
        <v>20.213999999999999</v>
      </c>
      <c r="E111" s="4">
        <f>84.9559437106637 * CHOOSE(CONTROL!$C$6, $C$13, 100%, $E$13) + CHOOSE(CONTROL!$C$25, 0, 0)</f>
        <v>84.955943710663703</v>
      </c>
    </row>
    <row r="112" spans="1:5" ht="15">
      <c r="A112" s="13">
        <v>45261</v>
      </c>
      <c r="B112" s="4">
        <f>14.6039 * CHOOSE(CONTROL!$C$6, $C$13, 100%, $E$13) + CHOOSE(CONTROL!$C$25, 0.0003, 0)</f>
        <v>14.604199999999999</v>
      </c>
      <c r="C112" s="4">
        <f>14.2914 * CHOOSE(CONTROL!$C$6, $C$13, 100%, $E$13) + CHOOSE(CONTROL!$C$25, 0.0003, 0)</f>
        <v>14.291699999999999</v>
      </c>
      <c r="D112" s="4">
        <f>19.5323 * CHOOSE(CONTROL!$C$6, $C$13, 100%, $E$13) + CHOOSE(CONTROL!$C$25, 0, 0)</f>
        <v>19.532299999999999</v>
      </c>
      <c r="E112" s="4">
        <f>83.6254208648906 * CHOOSE(CONTROL!$C$6, $C$13, 100%, $E$13) + CHOOSE(CONTROL!$C$25, 0, 0)</f>
        <v>83.6254208648906</v>
      </c>
    </row>
    <row r="113" spans="1:5" ht="15">
      <c r="A113" s="13">
        <v>45292</v>
      </c>
      <c r="B113" s="4">
        <f>14.4748 * CHOOSE(CONTROL!$C$6, $C$13, 100%, $E$13) + CHOOSE(CONTROL!$C$25, 0.0003, 0)</f>
        <v>14.475099999999999</v>
      </c>
      <c r="C113" s="4">
        <f>14.1623 * CHOOSE(CONTROL!$C$6, $C$13, 100%, $E$13) + CHOOSE(CONTROL!$C$25, 0.0003, 0)</f>
        <v>14.162599999999999</v>
      </c>
      <c r="D113" s="4">
        <f>19.6478 * CHOOSE(CONTROL!$C$6, $C$13, 100%, $E$13) + CHOOSE(CONTROL!$C$25, 0, 0)</f>
        <v>19.6478</v>
      </c>
      <c r="E113" s="4">
        <f>82.4647232224666 * CHOOSE(CONTROL!$C$6, $C$13, 100%, $E$13) + CHOOSE(CONTROL!$C$25, 0, 0)</f>
        <v>82.464723222466603</v>
      </c>
    </row>
    <row r="114" spans="1:5" ht="15">
      <c r="A114" s="13">
        <v>45323</v>
      </c>
      <c r="B114" s="4">
        <f>14.774 * CHOOSE(CONTROL!$C$6, $C$13, 100%, $E$13) + CHOOSE(CONTROL!$C$25, 0.0003, 0)</f>
        <v>14.774299999999998</v>
      </c>
      <c r="C114" s="4">
        <f>14.4615 * CHOOSE(CONTROL!$C$6, $C$13, 100%, $E$13) + CHOOSE(CONTROL!$C$25, 0.0003, 0)</f>
        <v>14.461799999999998</v>
      </c>
      <c r="D114" s="4">
        <f>20.305 * CHOOSE(CONTROL!$C$6, $C$13, 100%, $E$13) + CHOOSE(CONTROL!$C$25, 0, 0)</f>
        <v>20.305</v>
      </c>
      <c r="E114" s="4">
        <f>84.4227607377742 * CHOOSE(CONTROL!$C$6, $C$13, 100%, $E$13) + CHOOSE(CONTROL!$C$25, 0, 0)</f>
        <v>84.422760737774198</v>
      </c>
    </row>
    <row r="115" spans="1:5" ht="15">
      <c r="A115" s="13">
        <v>45352</v>
      </c>
      <c r="B115" s="4">
        <f>15.5596 * CHOOSE(CONTROL!$C$6, $C$13, 100%, $E$13) + CHOOSE(CONTROL!$C$25, 0.0003, 0)</f>
        <v>15.559899999999999</v>
      </c>
      <c r="C115" s="4">
        <f>15.2471 * CHOOSE(CONTROL!$C$6, $C$13, 100%, $E$13) + CHOOSE(CONTROL!$C$25, 0.0003, 0)</f>
        <v>15.247399999999999</v>
      </c>
      <c r="D115" s="4">
        <f>21.3337 * CHOOSE(CONTROL!$C$6, $C$13, 100%, $E$13) + CHOOSE(CONTROL!$C$25, 0, 0)</f>
        <v>21.3337</v>
      </c>
      <c r="E115" s="4">
        <f>89.5646713094051 * CHOOSE(CONTROL!$C$6, $C$13, 100%, $E$13) + CHOOSE(CONTROL!$C$25, 0, 0)</f>
        <v>89.564671309405099</v>
      </c>
    </row>
    <row r="116" spans="1:5" ht="15">
      <c r="A116" s="13">
        <v>45383</v>
      </c>
      <c r="B116" s="4">
        <f>16.1178 * CHOOSE(CONTROL!$C$6, $C$13, 100%, $E$13) + CHOOSE(CONTROL!$C$25, 0.0003, 0)</f>
        <v>16.118099999999998</v>
      </c>
      <c r="C116" s="4">
        <f>15.8053 * CHOOSE(CONTROL!$C$6, $C$13, 100%, $E$13) + CHOOSE(CONTROL!$C$25, 0.0003, 0)</f>
        <v>15.8056</v>
      </c>
      <c r="D116" s="4">
        <f>21.9262 * CHOOSE(CONTROL!$C$6, $C$13, 100%, $E$13) + CHOOSE(CONTROL!$C$25, 0, 0)</f>
        <v>21.926200000000001</v>
      </c>
      <c r="E116" s="4">
        <f>93.218067295517 * CHOOSE(CONTROL!$C$6, $C$13, 100%, $E$13) + CHOOSE(CONTROL!$C$25, 0, 0)</f>
        <v>93.218067295517002</v>
      </c>
    </row>
    <row r="117" spans="1:5" ht="15">
      <c r="A117" s="13">
        <v>45413</v>
      </c>
      <c r="B117" s="4">
        <f>16.4589 * CHOOSE(CONTROL!$C$6, $C$13, 100%, $E$13) + CHOOSE(CONTROL!$C$25, 0.0263, 0)</f>
        <v>16.485199999999999</v>
      </c>
      <c r="C117" s="4">
        <f>16.1464 * CHOOSE(CONTROL!$C$6, $C$13, 100%, $E$13) + CHOOSE(CONTROL!$C$25, 0.0263, 0)</f>
        <v>16.172699999999999</v>
      </c>
      <c r="D117" s="4">
        <f>21.6921 * CHOOSE(CONTROL!$C$6, $C$13, 100%, $E$13) + CHOOSE(CONTROL!$C$25, 0, 0)</f>
        <v>21.6921</v>
      </c>
      <c r="E117" s="4">
        <f>95.4502046833499 * CHOOSE(CONTROL!$C$6, $C$13, 100%, $E$13) + CHOOSE(CONTROL!$C$25, 0, 0)</f>
        <v>95.450204683349895</v>
      </c>
    </row>
    <row r="118" spans="1:5" ht="15">
      <c r="A118" s="13">
        <v>45444</v>
      </c>
      <c r="B118" s="4">
        <f>16.505 * CHOOSE(CONTROL!$C$6, $C$13, 100%, $E$13) + CHOOSE(CONTROL!$C$25, 0.0263, 0)</f>
        <v>16.531299999999998</v>
      </c>
      <c r="C118" s="4">
        <f>16.1925 * CHOOSE(CONTROL!$C$6, $C$13, 100%, $E$13) + CHOOSE(CONTROL!$C$25, 0.0263, 0)</f>
        <v>16.218799999999998</v>
      </c>
      <c r="D118" s="4">
        <f>21.8828 * CHOOSE(CONTROL!$C$6, $C$13, 100%, $E$13) + CHOOSE(CONTROL!$C$25, 0, 0)</f>
        <v>21.8828</v>
      </c>
      <c r="E118" s="4">
        <f>95.7522221354842 * CHOOSE(CONTROL!$C$6, $C$13, 100%, $E$13) + CHOOSE(CONTROL!$C$25, 0, 0)</f>
        <v>95.752222135484203</v>
      </c>
    </row>
    <row r="119" spans="1:5" ht="15">
      <c r="A119" s="13">
        <v>45474</v>
      </c>
      <c r="B119" s="4">
        <f>16.5004 * CHOOSE(CONTROL!$C$6, $C$13, 100%, $E$13) + CHOOSE(CONTROL!$C$25, 0.0263, 0)</f>
        <v>16.526699999999998</v>
      </c>
      <c r="C119" s="4">
        <f>16.1879 * CHOOSE(CONTROL!$C$6, $C$13, 100%, $E$13) + CHOOSE(CONTROL!$C$25, 0.0263, 0)</f>
        <v>16.214199999999998</v>
      </c>
      <c r="D119" s="4">
        <f>22.2268 * CHOOSE(CONTROL!$C$6, $C$13, 100%, $E$13) + CHOOSE(CONTROL!$C$25, 0, 0)</f>
        <v>22.226800000000001</v>
      </c>
      <c r="E119" s="4">
        <f>95.7217665940925 * CHOOSE(CONTROL!$C$6, $C$13, 100%, $E$13) + CHOOSE(CONTROL!$C$25, 0, 0)</f>
        <v>95.7217665940925</v>
      </c>
    </row>
    <row r="120" spans="1:5" ht="15">
      <c r="A120" s="13">
        <v>45505</v>
      </c>
      <c r="B120" s="4">
        <f>16.8505 * CHOOSE(CONTROL!$C$6, $C$13, 100%, $E$13) + CHOOSE(CONTROL!$C$25, 0.0263, 0)</f>
        <v>16.876799999999999</v>
      </c>
      <c r="C120" s="4">
        <f>16.538 * CHOOSE(CONTROL!$C$6, $C$13, 100%, $E$13) + CHOOSE(CONTROL!$C$25, 0.0263, 0)</f>
        <v>16.564299999999999</v>
      </c>
      <c r="D120" s="4">
        <f>21.9996 * CHOOSE(CONTROL!$C$6, $C$13, 100%, $E$13) + CHOOSE(CONTROL!$C$25, 0, 0)</f>
        <v>21.999600000000001</v>
      </c>
      <c r="E120" s="4">
        <f>98.0135460838174 * CHOOSE(CONTROL!$C$6, $C$13, 100%, $E$13) + CHOOSE(CONTROL!$C$25, 0, 0)</f>
        <v>98.013546083817403</v>
      </c>
    </row>
    <row r="121" spans="1:5" ht="15">
      <c r="A121" s="13">
        <v>45536</v>
      </c>
      <c r="B121" s="4">
        <f>16.2537 * CHOOSE(CONTROL!$C$6, $C$13, 100%, $E$13) + CHOOSE(CONTROL!$C$25, 0.0263, 0)</f>
        <v>16.279999999999998</v>
      </c>
      <c r="C121" s="4">
        <f>15.9412 * CHOOSE(CONTROL!$C$6, $C$13, 100%, $E$13) + CHOOSE(CONTROL!$C$25, 0.0263, 0)</f>
        <v>15.967500000000001</v>
      </c>
      <c r="D121" s="4">
        <f>21.8922 * CHOOSE(CONTROL!$C$6, $C$13, 100%, $E$13) + CHOOSE(CONTROL!$C$25, 0, 0)</f>
        <v>21.892199999999999</v>
      </c>
      <c r="E121" s="4">
        <f>94.1076229003328 * CHOOSE(CONTROL!$C$6, $C$13, 100%, $E$13) + CHOOSE(CONTROL!$C$25, 0, 0)</f>
        <v>94.1076229003328</v>
      </c>
    </row>
    <row r="122" spans="1:5" ht="15">
      <c r="A122" s="13">
        <v>45566</v>
      </c>
      <c r="B122" s="4">
        <f>15.776 * CHOOSE(CONTROL!$C$6, $C$13, 100%, $E$13) + CHOOSE(CONTROL!$C$25, 0.0003, 0)</f>
        <v>15.776299999999999</v>
      </c>
      <c r="C122" s="4">
        <f>15.4635 * CHOOSE(CONTROL!$C$6, $C$13, 100%, $E$13) + CHOOSE(CONTROL!$C$25, 0.0003, 0)</f>
        <v>15.463799999999999</v>
      </c>
      <c r="D122" s="4">
        <f>21.6048 * CHOOSE(CONTROL!$C$6, $C$13, 100%, $E$13) + CHOOSE(CONTROL!$C$25, 0, 0)</f>
        <v>21.604800000000001</v>
      </c>
      <c r="E122" s="4">
        <f>90.9808539841189 * CHOOSE(CONTROL!$C$6, $C$13, 100%, $E$13) + CHOOSE(CONTROL!$C$25, 0, 0)</f>
        <v>90.980853984118895</v>
      </c>
    </row>
    <row r="123" spans="1:5" ht="15">
      <c r="A123" s="13">
        <v>45597</v>
      </c>
      <c r="B123" s="4">
        <f>15.4683 * CHOOSE(CONTROL!$C$6, $C$13, 100%, $E$13) + CHOOSE(CONTROL!$C$25, 0.0003, 0)</f>
        <v>15.468599999999999</v>
      </c>
      <c r="C123" s="4">
        <f>15.1558 * CHOOSE(CONTROL!$C$6, $C$13, 100%, $E$13) + CHOOSE(CONTROL!$C$25, 0.0003, 0)</f>
        <v>15.156099999999999</v>
      </c>
      <c r="D123" s="4">
        <f>21.5059 * CHOOSE(CONTROL!$C$6, $C$13, 100%, $E$13) + CHOOSE(CONTROL!$C$25, 0, 0)</f>
        <v>21.5059</v>
      </c>
      <c r="E123" s="4">
        <f>88.9669813095932 * CHOOSE(CONTROL!$C$6, $C$13, 100%, $E$13) + CHOOSE(CONTROL!$C$25, 0, 0)</f>
        <v>88.966981309593194</v>
      </c>
    </row>
    <row r="124" spans="1:5" ht="15">
      <c r="A124" s="13">
        <v>45627</v>
      </c>
      <c r="B124" s="4">
        <f>15.2554 * CHOOSE(CONTROL!$C$6, $C$13, 100%, $E$13) + CHOOSE(CONTROL!$C$25, 0.0003, 0)</f>
        <v>15.255699999999999</v>
      </c>
      <c r="C124" s="4">
        <f>14.9429 * CHOOSE(CONTROL!$C$6, $C$13, 100%, $E$13) + CHOOSE(CONTROL!$C$25, 0.0003, 0)</f>
        <v>14.943199999999999</v>
      </c>
      <c r="D124" s="4">
        <f>20.7783 * CHOOSE(CONTROL!$C$6, $C$13, 100%, $E$13) + CHOOSE(CONTROL!$C$25, 0, 0)</f>
        <v>20.778300000000002</v>
      </c>
      <c r="E124" s="4">
        <f>87.5736402909232 * CHOOSE(CONTROL!$C$6, $C$13, 100%, $E$13) + CHOOSE(CONTROL!$C$25, 0, 0)</f>
        <v>87.573640290923194</v>
      </c>
    </row>
    <row r="125" spans="1:5" ht="15">
      <c r="A125" s="13">
        <v>45658</v>
      </c>
      <c r="B125" s="4">
        <f>15.1739 * CHOOSE(CONTROL!$C$6, $C$13, 100%, $E$13) + CHOOSE(CONTROL!$C$25, 0.0003, 0)</f>
        <v>15.174199999999999</v>
      </c>
      <c r="C125" s="4">
        <f>14.8614 * CHOOSE(CONTROL!$C$6, $C$13, 100%, $E$13) + CHOOSE(CONTROL!$C$25, 0.0003, 0)</f>
        <v>14.861699999999999</v>
      </c>
      <c r="D125" s="4">
        <f>20.4452 * CHOOSE(CONTROL!$C$6, $C$13, 100%, $E$13) + CHOOSE(CONTROL!$C$25, 0, 0)</f>
        <v>20.4452</v>
      </c>
      <c r="E125" s="4">
        <f>85.1607459341089 * CHOOSE(CONTROL!$C$6, $C$13, 100%, $E$13) + CHOOSE(CONTROL!$C$25, 0, 0)</f>
        <v>85.160745934108903</v>
      </c>
    </row>
    <row r="126" spans="1:5" ht="15">
      <c r="A126" s="13">
        <v>45689</v>
      </c>
      <c r="B126" s="4">
        <f>15.4897 * CHOOSE(CONTROL!$C$6, $C$13, 100%, $E$13) + CHOOSE(CONTROL!$C$25, 0.0003, 0)</f>
        <v>15.489999999999998</v>
      </c>
      <c r="C126" s="4">
        <f>15.1772 * CHOOSE(CONTROL!$C$6, $C$13, 100%, $E$13) + CHOOSE(CONTROL!$C$25, 0.0003, 0)</f>
        <v>15.177499999999998</v>
      </c>
      <c r="D126" s="4">
        <f>21.1304 * CHOOSE(CONTROL!$C$6, $C$13, 100%, $E$13) + CHOOSE(CONTROL!$C$25, 0, 0)</f>
        <v>21.130400000000002</v>
      </c>
      <c r="E126" s="4">
        <f>87.1827976533723 * CHOOSE(CONTROL!$C$6, $C$13, 100%, $E$13) + CHOOSE(CONTROL!$C$25, 0, 0)</f>
        <v>87.182797653372305</v>
      </c>
    </row>
    <row r="127" spans="1:5" ht="15">
      <c r="A127" s="13">
        <v>45717</v>
      </c>
      <c r="B127" s="4">
        <f>16.3189 * CHOOSE(CONTROL!$C$6, $C$13, 100%, $E$13) + CHOOSE(CONTROL!$C$25, 0.0003, 0)</f>
        <v>16.319199999999999</v>
      </c>
      <c r="C127" s="4">
        <f>16.0064 * CHOOSE(CONTROL!$C$6, $C$13, 100%, $E$13) + CHOOSE(CONTROL!$C$25, 0.0003, 0)</f>
        <v>16.006699999999999</v>
      </c>
      <c r="D127" s="4">
        <f>22.2032 * CHOOSE(CONTROL!$C$6, $C$13, 100%, $E$13) + CHOOSE(CONTROL!$C$25, 0, 0)</f>
        <v>22.203199999999999</v>
      </c>
      <c r="E127" s="4">
        <f>92.4928129265124 * CHOOSE(CONTROL!$C$6, $C$13, 100%, $E$13) + CHOOSE(CONTROL!$C$25, 0, 0)</f>
        <v>92.4928129265124</v>
      </c>
    </row>
    <row r="128" spans="1:5" ht="15">
      <c r="A128" s="13">
        <v>45748</v>
      </c>
      <c r="B128" s="4">
        <f>16.9081 * CHOOSE(CONTROL!$C$6, $C$13, 100%, $E$13) + CHOOSE(CONTROL!$C$25, 0.0003, 0)</f>
        <v>16.9084</v>
      </c>
      <c r="C128" s="4">
        <f>16.5956 * CHOOSE(CONTROL!$C$6, $C$13, 100%, $E$13) + CHOOSE(CONTROL!$C$25, 0.0003, 0)</f>
        <v>16.5959</v>
      </c>
      <c r="D128" s="4">
        <f>22.8211 * CHOOSE(CONTROL!$C$6, $C$13, 100%, $E$13) + CHOOSE(CONTROL!$C$25, 0, 0)</f>
        <v>22.821100000000001</v>
      </c>
      <c r="E128" s="4">
        <f>96.2656495433363 * CHOOSE(CONTROL!$C$6, $C$13, 100%, $E$13) + CHOOSE(CONTROL!$C$25, 0, 0)</f>
        <v>96.265649543336295</v>
      </c>
    </row>
    <row r="129" spans="1:5" ht="15">
      <c r="A129" s="13">
        <v>45778</v>
      </c>
      <c r="B129" s="4">
        <f>17.268 * CHOOSE(CONTROL!$C$6, $C$13, 100%, $E$13) + CHOOSE(CONTROL!$C$25, 0.0263, 0)</f>
        <v>17.2943</v>
      </c>
      <c r="C129" s="4">
        <f>16.9555 * CHOOSE(CONTROL!$C$6, $C$13, 100%, $E$13) + CHOOSE(CONTROL!$C$25, 0.0263, 0)</f>
        <v>16.9818</v>
      </c>
      <c r="D129" s="4">
        <f>22.5769 * CHOOSE(CONTROL!$C$6, $C$13, 100%, $E$13) + CHOOSE(CONTROL!$C$25, 0, 0)</f>
        <v>22.576899999999998</v>
      </c>
      <c r="E129" s="4">
        <f>98.5707622939418 * CHOOSE(CONTROL!$C$6, $C$13, 100%, $E$13) + CHOOSE(CONTROL!$C$25, 0, 0)</f>
        <v>98.570762293941797</v>
      </c>
    </row>
    <row r="130" spans="1:5" ht="15">
      <c r="A130" s="13">
        <v>45809</v>
      </c>
      <c r="B130" s="4">
        <f>17.3167 * CHOOSE(CONTROL!$C$6, $C$13, 100%, $E$13) + CHOOSE(CONTROL!$C$25, 0.0263, 0)</f>
        <v>17.343</v>
      </c>
      <c r="C130" s="4">
        <f>17.0042 * CHOOSE(CONTROL!$C$6, $C$13, 100%, $E$13) + CHOOSE(CONTROL!$C$25, 0.0263, 0)</f>
        <v>17.0305</v>
      </c>
      <c r="D130" s="4">
        <f>22.7758 * CHOOSE(CONTROL!$C$6, $C$13, 100%, $E$13) + CHOOSE(CONTROL!$C$25, 0, 0)</f>
        <v>22.7758</v>
      </c>
      <c r="E130" s="4">
        <f>98.8826536155132 * CHOOSE(CONTROL!$C$6, $C$13, 100%, $E$13) + CHOOSE(CONTROL!$C$25, 0, 0)</f>
        <v>98.882653615513206</v>
      </c>
    </row>
    <row r="131" spans="1:5" ht="15">
      <c r="A131" s="13">
        <v>45839</v>
      </c>
      <c r="B131" s="4">
        <f>17.3118 * CHOOSE(CONTROL!$C$6, $C$13, 100%, $E$13) + CHOOSE(CONTROL!$C$25, 0.0263, 0)</f>
        <v>17.338100000000001</v>
      </c>
      <c r="C131" s="4">
        <f>16.9993 * CHOOSE(CONTROL!$C$6, $C$13, 100%, $E$13) + CHOOSE(CONTROL!$C$25, 0.0263, 0)</f>
        <v>17.025600000000001</v>
      </c>
      <c r="D131" s="4">
        <f>23.1346 * CHOOSE(CONTROL!$C$6, $C$13, 100%, $E$13) + CHOOSE(CONTROL!$C$25, 0, 0)</f>
        <v>23.134599999999999</v>
      </c>
      <c r="E131" s="4">
        <f>98.8512023898085 * CHOOSE(CONTROL!$C$6, $C$13, 100%, $E$13) + CHOOSE(CONTROL!$C$25, 0, 0)</f>
        <v>98.851202389808506</v>
      </c>
    </row>
    <row r="132" spans="1:5" ht="15">
      <c r="A132" s="13">
        <v>45870</v>
      </c>
      <c r="B132" s="4">
        <f>17.6814 * CHOOSE(CONTROL!$C$6, $C$13, 100%, $E$13) + CHOOSE(CONTROL!$C$25, 0.0263, 0)</f>
        <v>17.707699999999999</v>
      </c>
      <c r="C132" s="4">
        <f>17.3689 * CHOOSE(CONTROL!$C$6, $C$13, 100%, $E$13) + CHOOSE(CONTROL!$C$25, 0.0263, 0)</f>
        <v>17.395199999999999</v>
      </c>
      <c r="D132" s="4">
        <f>22.8976 * CHOOSE(CONTROL!$C$6, $C$13, 100%, $E$13) + CHOOSE(CONTROL!$C$25, 0, 0)</f>
        <v>22.897600000000001</v>
      </c>
      <c r="E132" s="4">
        <f>101.217907124086 * CHOOSE(CONTROL!$C$6, $C$13, 100%, $E$13) + CHOOSE(CONTROL!$C$25, 0, 0)</f>
        <v>101.217907124086</v>
      </c>
    </row>
    <row r="133" spans="1:5" ht="15">
      <c r="A133" s="13">
        <v>45901</v>
      </c>
      <c r="B133" s="4">
        <f>17.0515 * CHOOSE(CONTROL!$C$6, $C$13, 100%, $E$13) + CHOOSE(CONTROL!$C$25, 0.0263, 0)</f>
        <v>17.0778</v>
      </c>
      <c r="C133" s="4">
        <f>16.739 * CHOOSE(CONTROL!$C$6, $C$13, 100%, $E$13) + CHOOSE(CONTROL!$C$25, 0.0263, 0)</f>
        <v>16.7653</v>
      </c>
      <c r="D133" s="4">
        <f>22.7857 * CHOOSE(CONTROL!$C$6, $C$13, 100%, $E$13) + CHOOSE(CONTROL!$C$25, 0, 0)</f>
        <v>22.785699999999999</v>
      </c>
      <c r="E133" s="4">
        <f>97.1842874274605 * CHOOSE(CONTROL!$C$6, $C$13, 100%, $E$13) + CHOOSE(CONTROL!$C$25, 0, 0)</f>
        <v>97.184287427460504</v>
      </c>
    </row>
    <row r="134" spans="1:5" ht="15">
      <c r="A134" s="13">
        <v>45931</v>
      </c>
      <c r="B134" s="4">
        <f>16.5473 * CHOOSE(CONTROL!$C$6, $C$13, 100%, $E$13) + CHOOSE(CONTROL!$C$25, 0.0003, 0)</f>
        <v>16.547599999999999</v>
      </c>
      <c r="C134" s="4">
        <f>16.2348 * CHOOSE(CONTROL!$C$6, $C$13, 100%, $E$13) + CHOOSE(CONTROL!$C$25, 0.0003, 0)</f>
        <v>16.235099999999999</v>
      </c>
      <c r="D134" s="4">
        <f>22.4859 * CHOOSE(CONTROL!$C$6, $C$13, 100%, $E$13) + CHOOSE(CONTROL!$C$25, 0, 0)</f>
        <v>22.485900000000001</v>
      </c>
      <c r="E134" s="4">
        <f>93.95529492178 * CHOOSE(CONTROL!$C$6, $C$13, 100%, $E$13) + CHOOSE(CONTROL!$C$25, 0, 0)</f>
        <v>93.955294921779995</v>
      </c>
    </row>
    <row r="135" spans="1:5" ht="15">
      <c r="A135" s="13">
        <v>45962</v>
      </c>
      <c r="B135" s="4">
        <f>16.2225 * CHOOSE(CONTROL!$C$6, $C$13, 100%, $E$13) + CHOOSE(CONTROL!$C$25, 0.0003, 0)</f>
        <v>16.222799999999999</v>
      </c>
      <c r="C135" s="4">
        <f>15.91 * CHOOSE(CONTROL!$C$6, $C$13, 100%, $E$13) + CHOOSE(CONTROL!$C$25, 0.0003, 0)</f>
        <v>15.910299999999999</v>
      </c>
      <c r="D135" s="4">
        <f>22.3828 * CHOOSE(CONTROL!$C$6, $C$13, 100%, $E$13) + CHOOSE(CONTROL!$C$25, 0, 0)</f>
        <v>22.3828</v>
      </c>
      <c r="E135" s="4">
        <f>91.8755826220581 * CHOOSE(CONTROL!$C$6, $C$13, 100%, $E$13) + CHOOSE(CONTROL!$C$25, 0, 0)</f>
        <v>91.875582622058104</v>
      </c>
    </row>
    <row r="136" spans="1:5" ht="15">
      <c r="A136" s="13">
        <v>45992</v>
      </c>
      <c r="B136" s="4">
        <f>15.9978 * CHOOSE(CONTROL!$C$6, $C$13, 100%, $E$13) + CHOOSE(CONTROL!$C$25, 0.0003, 0)</f>
        <v>15.998099999999999</v>
      </c>
      <c r="C136" s="4">
        <f>15.6853 * CHOOSE(CONTROL!$C$6, $C$13, 100%, $E$13) + CHOOSE(CONTROL!$C$25, 0.0003, 0)</f>
        <v>15.685599999999999</v>
      </c>
      <c r="D136" s="4">
        <f>21.6241 * CHOOSE(CONTROL!$C$6, $C$13, 100%, $E$13) + CHOOSE(CONTROL!$C$25, 0, 0)</f>
        <v>21.624099999999999</v>
      </c>
      <c r="E136" s="4">
        <f>90.436689046069 * CHOOSE(CONTROL!$C$6, $C$13, 100%, $E$13) + CHOOSE(CONTROL!$C$25, 0, 0)</f>
        <v>90.436689046069006</v>
      </c>
    </row>
    <row r="137" spans="1:5" ht="15">
      <c r="A137" s="13">
        <v>46023</v>
      </c>
      <c r="B137" s="4">
        <f>15.582 * CHOOSE(CONTROL!$C$6, $C$13, 100%, $E$13) + CHOOSE(CONTROL!$C$25, 0.0003, 0)</f>
        <v>15.5823</v>
      </c>
      <c r="C137" s="4">
        <f>15.2695 * CHOOSE(CONTROL!$C$6, $C$13, 100%, $E$13) + CHOOSE(CONTROL!$C$25, 0.0003, 0)</f>
        <v>15.2698</v>
      </c>
      <c r="D137" s="4">
        <f>21.0348 * CHOOSE(CONTROL!$C$6, $C$13, 100%, $E$13) + CHOOSE(CONTROL!$C$25, 0, 0)</f>
        <v>21.034800000000001</v>
      </c>
      <c r="E137" s="4">
        <f>88.0976993196151 * CHOOSE(CONTROL!$C$6, $C$13, 100%, $E$13) + CHOOSE(CONTROL!$C$25, 0, 0)</f>
        <v>88.097699319615103</v>
      </c>
    </row>
    <row r="138" spans="1:5" ht="15">
      <c r="A138" s="13">
        <v>46054</v>
      </c>
      <c r="B138" s="4">
        <f>15.9074 * CHOOSE(CONTROL!$C$6, $C$13, 100%, $E$13) + CHOOSE(CONTROL!$C$25, 0.0003, 0)</f>
        <v>15.9077</v>
      </c>
      <c r="C138" s="4">
        <f>15.5949 * CHOOSE(CONTROL!$C$6, $C$13, 100%, $E$13) + CHOOSE(CONTROL!$C$25, 0.0003, 0)</f>
        <v>15.5952</v>
      </c>
      <c r="D138" s="4">
        <f>21.7409 * CHOOSE(CONTROL!$C$6, $C$13, 100%, $E$13) + CHOOSE(CONTROL!$C$25, 0, 0)</f>
        <v>21.7409</v>
      </c>
      <c r="E138" s="4">
        <f>90.1894858865177 * CHOOSE(CONTROL!$C$6, $C$13, 100%, $E$13) + CHOOSE(CONTROL!$C$25, 0, 0)</f>
        <v>90.189485886517701</v>
      </c>
    </row>
    <row r="139" spans="1:5" ht="15">
      <c r="A139" s="13">
        <v>46082</v>
      </c>
      <c r="B139" s="4">
        <f>16.7621 * CHOOSE(CONTROL!$C$6, $C$13, 100%, $E$13) + CHOOSE(CONTROL!$C$25, 0.0003, 0)</f>
        <v>16.7624</v>
      </c>
      <c r="C139" s="4">
        <f>16.4496 * CHOOSE(CONTROL!$C$6, $C$13, 100%, $E$13) + CHOOSE(CONTROL!$C$25, 0.0003, 0)</f>
        <v>16.4499</v>
      </c>
      <c r="D139" s="4">
        <f>22.8462 * CHOOSE(CONTROL!$C$6, $C$13, 100%, $E$13) + CHOOSE(CONTROL!$C$25, 0, 0)</f>
        <v>22.8462</v>
      </c>
      <c r="E139" s="4">
        <f>95.6826285754933 * CHOOSE(CONTROL!$C$6, $C$13, 100%, $E$13) + CHOOSE(CONTROL!$C$25, 0, 0)</f>
        <v>95.682628575493297</v>
      </c>
    </row>
    <row r="140" spans="1:5" ht="15">
      <c r="A140" s="13">
        <v>46113</v>
      </c>
      <c r="B140" s="4">
        <f>17.3693 * CHOOSE(CONTROL!$C$6, $C$13, 100%, $E$13) + CHOOSE(CONTROL!$C$25, 0.0003, 0)</f>
        <v>17.369599999999998</v>
      </c>
      <c r="C140" s="4">
        <f>17.0568 * CHOOSE(CONTROL!$C$6, $C$13, 100%, $E$13) + CHOOSE(CONTROL!$C$25, 0.0003, 0)</f>
        <v>17.057099999999998</v>
      </c>
      <c r="D140" s="4">
        <f>23.4829 * CHOOSE(CONTROL!$C$6, $C$13, 100%, $E$13) + CHOOSE(CONTROL!$C$25, 0, 0)</f>
        <v>23.482900000000001</v>
      </c>
      <c r="E140" s="4">
        <f>99.585579661762 * CHOOSE(CONTROL!$C$6, $C$13, 100%, $E$13) + CHOOSE(CONTROL!$C$25, 0, 0)</f>
        <v>99.585579661761997</v>
      </c>
    </row>
    <row r="141" spans="1:5" ht="15">
      <c r="A141" s="13">
        <v>46143</v>
      </c>
      <c r="B141" s="4">
        <f>17.7404 * CHOOSE(CONTROL!$C$6, $C$13, 100%, $E$13) + CHOOSE(CONTROL!$C$25, 0.0263, 0)</f>
        <v>17.7667</v>
      </c>
      <c r="C141" s="4">
        <f>17.4279 * CHOOSE(CONTROL!$C$6, $C$13, 100%, $E$13) + CHOOSE(CONTROL!$C$25, 0.0263, 0)</f>
        <v>17.4542</v>
      </c>
      <c r="D141" s="4">
        <f>23.2313 * CHOOSE(CONTROL!$C$6, $C$13, 100%, $E$13) + CHOOSE(CONTROL!$C$25, 0, 0)</f>
        <v>23.231300000000001</v>
      </c>
      <c r="E141" s="4">
        <f>101.97018923479 * CHOOSE(CONTROL!$C$6, $C$13, 100%, $E$13) + CHOOSE(CONTROL!$C$25, 0, 0)</f>
        <v>101.97018923479</v>
      </c>
    </row>
    <row r="142" spans="1:5" ht="15">
      <c r="A142" s="13">
        <v>46174</v>
      </c>
      <c r="B142" s="4">
        <f>17.7906 * CHOOSE(CONTROL!$C$6, $C$13, 100%, $E$13) + CHOOSE(CONTROL!$C$25, 0.0263, 0)</f>
        <v>17.8169</v>
      </c>
      <c r="C142" s="4">
        <f>17.4781 * CHOOSE(CONTROL!$C$6, $C$13, 100%, $E$13) + CHOOSE(CONTROL!$C$25, 0.0263, 0)</f>
        <v>17.5044</v>
      </c>
      <c r="D142" s="4">
        <f>23.4362 * CHOOSE(CONTROL!$C$6, $C$13, 100%, $E$13) + CHOOSE(CONTROL!$C$25, 0, 0)</f>
        <v>23.436199999999999</v>
      </c>
      <c r="E142" s="4">
        <f>102.292836806353 * CHOOSE(CONTROL!$C$6, $C$13, 100%, $E$13) + CHOOSE(CONTROL!$C$25, 0, 0)</f>
        <v>102.29283680635299</v>
      </c>
    </row>
    <row r="143" spans="1:5" ht="15">
      <c r="A143" s="13">
        <v>46204</v>
      </c>
      <c r="B143" s="4">
        <f>17.7855 * CHOOSE(CONTROL!$C$6, $C$13, 100%, $E$13) + CHOOSE(CONTROL!$C$25, 0.0263, 0)</f>
        <v>17.811799999999998</v>
      </c>
      <c r="C143" s="4">
        <f>17.473 * CHOOSE(CONTROL!$C$6, $C$13, 100%, $E$13) + CHOOSE(CONTROL!$C$25, 0.0263, 0)</f>
        <v>17.499299999999998</v>
      </c>
      <c r="D143" s="4">
        <f>23.8059 * CHOOSE(CONTROL!$C$6, $C$13, 100%, $E$13) + CHOOSE(CONTROL!$C$25, 0, 0)</f>
        <v>23.805900000000001</v>
      </c>
      <c r="E143" s="4">
        <f>102.260300916784 * CHOOSE(CONTROL!$C$6, $C$13, 100%, $E$13) + CHOOSE(CONTROL!$C$25, 0, 0)</f>
        <v>102.260300916784</v>
      </c>
    </row>
    <row r="144" spans="1:5" ht="15">
      <c r="A144" s="13">
        <v>46235</v>
      </c>
      <c r="B144" s="4">
        <f>18.1664 * CHOOSE(CONTROL!$C$6, $C$13, 100%, $E$13) + CHOOSE(CONTROL!$C$25, 0.0263, 0)</f>
        <v>18.192699999999999</v>
      </c>
      <c r="C144" s="4">
        <f>17.8539 * CHOOSE(CONTROL!$C$6, $C$13, 100%, $E$13) + CHOOSE(CONTROL!$C$25, 0.0263, 0)</f>
        <v>17.880199999999999</v>
      </c>
      <c r="D144" s="4">
        <f>23.5618 * CHOOSE(CONTROL!$C$6, $C$13, 100%, $E$13) + CHOOSE(CONTROL!$C$25, 0, 0)</f>
        <v>23.561800000000002</v>
      </c>
      <c r="E144" s="4">
        <f>104.708626606885 * CHOOSE(CONTROL!$C$6, $C$13, 100%, $E$13) + CHOOSE(CONTROL!$C$25, 0, 0)</f>
        <v>104.70862660688501</v>
      </c>
    </row>
    <row r="145" spans="1:5" ht="15">
      <c r="A145" s="13">
        <v>46266</v>
      </c>
      <c r="B145" s="4">
        <f>17.5172 * CHOOSE(CONTROL!$C$6, $C$13, 100%, $E$13) + CHOOSE(CONTROL!$C$25, 0.0263, 0)</f>
        <v>17.543499999999998</v>
      </c>
      <c r="C145" s="4">
        <f>17.2047 * CHOOSE(CONTROL!$C$6, $C$13, 100%, $E$13) + CHOOSE(CONTROL!$C$25, 0.0263, 0)</f>
        <v>17.230999999999998</v>
      </c>
      <c r="D145" s="4">
        <f>23.4464 * CHOOSE(CONTROL!$C$6, $C$13, 100%, $E$13) + CHOOSE(CONTROL!$C$25, 0, 0)</f>
        <v>23.446400000000001</v>
      </c>
      <c r="E145" s="4">
        <f>100.535898769603 * CHOOSE(CONTROL!$C$6, $C$13, 100%, $E$13) + CHOOSE(CONTROL!$C$25, 0, 0)</f>
        <v>100.53589876960299</v>
      </c>
    </row>
    <row r="146" spans="1:5" ht="15">
      <c r="A146" s="13">
        <v>46296</v>
      </c>
      <c r="B146" s="4">
        <f>16.9975 * CHOOSE(CONTROL!$C$6, $C$13, 100%, $E$13) + CHOOSE(CONTROL!$C$25, 0.0003, 0)</f>
        <v>16.997799999999998</v>
      </c>
      <c r="C146" s="4">
        <f>16.685 * CHOOSE(CONTROL!$C$6, $C$13, 100%, $E$13) + CHOOSE(CONTROL!$C$25, 0.0003, 0)</f>
        <v>16.685299999999998</v>
      </c>
      <c r="D146" s="4">
        <f>23.1375 * CHOOSE(CONTROL!$C$6, $C$13, 100%, $E$13) + CHOOSE(CONTROL!$C$25, 0, 0)</f>
        <v>23.137499999999999</v>
      </c>
      <c r="E146" s="4">
        <f>97.1955474404728 * CHOOSE(CONTROL!$C$6, $C$13, 100%, $E$13) + CHOOSE(CONTROL!$C$25, 0, 0)</f>
        <v>97.195547440472794</v>
      </c>
    </row>
    <row r="147" spans="1:5" ht="15">
      <c r="A147" s="13">
        <v>46327</v>
      </c>
      <c r="B147" s="4">
        <f>16.6627 * CHOOSE(CONTROL!$C$6, $C$13, 100%, $E$13) + CHOOSE(CONTROL!$C$25, 0.0003, 0)</f>
        <v>16.663</v>
      </c>
      <c r="C147" s="4">
        <f>16.3502 * CHOOSE(CONTROL!$C$6, $C$13, 100%, $E$13) + CHOOSE(CONTROL!$C$25, 0.0003, 0)</f>
        <v>16.3505</v>
      </c>
      <c r="D147" s="4">
        <f>23.0313 * CHOOSE(CONTROL!$C$6, $C$13, 100%, $E$13) + CHOOSE(CONTROL!$C$25, 0, 0)</f>
        <v>23.031300000000002</v>
      </c>
      <c r="E147" s="4">
        <f>95.0441117426928 * CHOOSE(CONTROL!$C$6, $C$13, 100%, $E$13) + CHOOSE(CONTROL!$C$25, 0, 0)</f>
        <v>95.044111742692806</v>
      </c>
    </row>
    <row r="148" spans="1:5" ht="15">
      <c r="A148" s="13">
        <v>46357</v>
      </c>
      <c r="B148" s="4">
        <f>16.4311 * CHOOSE(CONTROL!$C$6, $C$13, 100%, $E$13) + CHOOSE(CONTROL!$C$25, 0.0003, 0)</f>
        <v>16.4314</v>
      </c>
      <c r="C148" s="4">
        <f>16.1186 * CHOOSE(CONTROL!$C$6, $C$13, 100%, $E$13) + CHOOSE(CONTROL!$C$25, 0.0003, 0)</f>
        <v>16.1189</v>
      </c>
      <c r="D148" s="4">
        <f>22.2495 * CHOOSE(CONTROL!$C$6, $C$13, 100%, $E$13) + CHOOSE(CONTROL!$C$25, 0, 0)</f>
        <v>22.249500000000001</v>
      </c>
      <c r="E148" s="4">
        <f>93.5555947948905 * CHOOSE(CONTROL!$C$6, $C$13, 100%, $E$13) + CHOOSE(CONTROL!$C$25, 0, 0)</f>
        <v>93.555594794890496</v>
      </c>
    </row>
    <row r="149" spans="1:5" ht="15">
      <c r="A149" s="13">
        <v>46388</v>
      </c>
      <c r="B149" s="4">
        <f>15.9453 * CHOOSE(CONTROL!$C$6, $C$13, 100%, $E$13) + CHOOSE(CONTROL!$C$25, 0.0003, 0)</f>
        <v>15.945599999999999</v>
      </c>
      <c r="C149" s="4">
        <f>15.6328 * CHOOSE(CONTROL!$C$6, $C$13, 100%, $E$13) + CHOOSE(CONTROL!$C$25, 0.0003, 0)</f>
        <v>15.633099999999999</v>
      </c>
      <c r="D149" s="4">
        <f>21.5271 * CHOOSE(CONTROL!$C$6, $C$13, 100%, $E$13) + CHOOSE(CONTROL!$C$25, 0, 0)</f>
        <v>21.527100000000001</v>
      </c>
      <c r="E149" s="4">
        <f>90.4819577530519 * CHOOSE(CONTROL!$C$6, $C$13, 100%, $E$13) + CHOOSE(CONTROL!$C$25, 0, 0)</f>
        <v>90.481957753051901</v>
      </c>
    </row>
    <row r="150" spans="1:5" ht="15">
      <c r="A150" s="13">
        <v>46419</v>
      </c>
      <c r="B150" s="4">
        <f>16.2794 * CHOOSE(CONTROL!$C$6, $C$13, 100%, $E$13) + CHOOSE(CONTROL!$C$25, 0.0003, 0)</f>
        <v>16.279699999999998</v>
      </c>
      <c r="C150" s="4">
        <f>15.9669 * CHOOSE(CONTROL!$C$6, $C$13, 100%, $E$13) + CHOOSE(CONTROL!$C$25, 0.0003, 0)</f>
        <v>15.9672</v>
      </c>
      <c r="D150" s="4">
        <f>22.2505 * CHOOSE(CONTROL!$C$6, $C$13, 100%, $E$13) + CHOOSE(CONTROL!$C$25, 0, 0)</f>
        <v>22.250499999999999</v>
      </c>
      <c r="E150" s="4">
        <f>92.6303560113109 * CHOOSE(CONTROL!$C$6, $C$13, 100%, $E$13) + CHOOSE(CONTROL!$C$25, 0, 0)</f>
        <v>92.630356011310894</v>
      </c>
    </row>
    <row r="151" spans="1:5" ht="15">
      <c r="A151" s="13">
        <v>46447</v>
      </c>
      <c r="B151" s="4">
        <f>17.1567 * CHOOSE(CONTROL!$C$6, $C$13, 100%, $E$13) + CHOOSE(CONTROL!$C$25, 0.0003, 0)</f>
        <v>17.157</v>
      </c>
      <c r="C151" s="4">
        <f>16.8442 * CHOOSE(CONTROL!$C$6, $C$13, 100%, $E$13) + CHOOSE(CONTROL!$C$25, 0.0003, 0)</f>
        <v>16.8445</v>
      </c>
      <c r="D151" s="4">
        <f>23.383 * CHOOSE(CONTROL!$C$6, $C$13, 100%, $E$13) + CHOOSE(CONTROL!$C$25, 0, 0)</f>
        <v>23.382999999999999</v>
      </c>
      <c r="E151" s="4">
        <f>98.2721640103162 * CHOOSE(CONTROL!$C$6, $C$13, 100%, $E$13) + CHOOSE(CONTROL!$C$25, 0, 0)</f>
        <v>98.272164010316203</v>
      </c>
    </row>
    <row r="152" spans="1:5" ht="15">
      <c r="A152" s="13">
        <v>46478</v>
      </c>
      <c r="B152" s="4">
        <f>17.7801 * CHOOSE(CONTROL!$C$6, $C$13, 100%, $E$13) + CHOOSE(CONTROL!$C$25, 0.0003, 0)</f>
        <v>17.7804</v>
      </c>
      <c r="C152" s="4">
        <f>17.4676 * CHOOSE(CONTROL!$C$6, $C$13, 100%, $E$13) + CHOOSE(CONTROL!$C$25, 0.0003, 0)</f>
        <v>17.4679</v>
      </c>
      <c r="D152" s="4">
        <f>24.0354 * CHOOSE(CONTROL!$C$6, $C$13, 100%, $E$13) + CHOOSE(CONTROL!$C$25, 0, 0)</f>
        <v>24.035399999999999</v>
      </c>
      <c r="E152" s="4">
        <f>102.280743780587 * CHOOSE(CONTROL!$C$6, $C$13, 100%, $E$13) + CHOOSE(CONTROL!$C$25, 0, 0)</f>
        <v>102.280743780587</v>
      </c>
    </row>
    <row r="153" spans="1:5" ht="15">
      <c r="A153" s="13">
        <v>46508</v>
      </c>
      <c r="B153" s="4">
        <f>18.1609 * CHOOSE(CONTROL!$C$6, $C$13, 100%, $E$13) + CHOOSE(CONTROL!$C$25, 0.0263, 0)</f>
        <v>18.187200000000001</v>
      </c>
      <c r="C153" s="4">
        <f>17.8484 * CHOOSE(CONTROL!$C$6, $C$13, 100%, $E$13) + CHOOSE(CONTROL!$C$25, 0.0263, 0)</f>
        <v>17.874700000000001</v>
      </c>
      <c r="D153" s="4">
        <f>23.7776 * CHOOSE(CONTROL!$C$6, $C$13, 100%, $E$13) + CHOOSE(CONTROL!$C$25, 0, 0)</f>
        <v>23.7776</v>
      </c>
      <c r="E153" s="4">
        <f>104.729889947973 * CHOOSE(CONTROL!$C$6, $C$13, 100%, $E$13) + CHOOSE(CONTROL!$C$25, 0, 0)</f>
        <v>104.72988994797301</v>
      </c>
    </row>
    <row r="154" spans="1:5" ht="15">
      <c r="A154" s="13">
        <v>46539</v>
      </c>
      <c r="B154" s="4">
        <f>18.2125 * CHOOSE(CONTROL!$C$6, $C$13, 100%, $E$13) + CHOOSE(CONTROL!$C$25, 0.0263, 0)</f>
        <v>18.238799999999998</v>
      </c>
      <c r="C154" s="4">
        <f>17.9 * CHOOSE(CONTROL!$C$6, $C$13, 100%, $E$13) + CHOOSE(CONTROL!$C$25, 0.0263, 0)</f>
        <v>17.926299999999998</v>
      </c>
      <c r="D154" s="4">
        <f>23.9876 * CHOOSE(CONTROL!$C$6, $C$13, 100%, $E$13) + CHOOSE(CONTROL!$C$25, 0, 0)</f>
        <v>23.9876</v>
      </c>
      <c r="E154" s="4">
        <f>105.061269588586 * CHOOSE(CONTROL!$C$6, $C$13, 100%, $E$13) + CHOOSE(CONTROL!$C$25, 0, 0)</f>
        <v>105.061269588586</v>
      </c>
    </row>
    <row r="155" spans="1:5" ht="15">
      <c r="A155" s="13">
        <v>46569</v>
      </c>
      <c r="B155" s="4">
        <f>18.2073 * CHOOSE(CONTROL!$C$6, $C$13, 100%, $E$13) + CHOOSE(CONTROL!$C$25, 0.0263, 0)</f>
        <v>18.233599999999999</v>
      </c>
      <c r="C155" s="4">
        <f>17.8948 * CHOOSE(CONTROL!$C$6, $C$13, 100%, $E$13) + CHOOSE(CONTROL!$C$25, 0.0263, 0)</f>
        <v>17.921099999999999</v>
      </c>
      <c r="D155" s="4">
        <f>24.3664 * CHOOSE(CONTROL!$C$6, $C$13, 100%, $E$13) + CHOOSE(CONTROL!$C$25, 0, 0)</f>
        <v>24.366399999999999</v>
      </c>
      <c r="E155" s="4">
        <f>105.027853154239 * CHOOSE(CONTROL!$C$6, $C$13, 100%, $E$13) + CHOOSE(CONTROL!$C$25, 0, 0)</f>
        <v>105.027853154239</v>
      </c>
    </row>
    <row r="156" spans="1:5" ht="15">
      <c r="A156" s="13">
        <v>46600</v>
      </c>
      <c r="B156" s="4">
        <f>18.5983 * CHOOSE(CONTROL!$C$6, $C$13, 100%, $E$13) + CHOOSE(CONTROL!$C$25, 0.0263, 0)</f>
        <v>18.624599999999997</v>
      </c>
      <c r="C156" s="4">
        <f>18.2858 * CHOOSE(CONTROL!$C$6, $C$13, 100%, $E$13) + CHOOSE(CONTROL!$C$25, 0.0263, 0)</f>
        <v>18.312099999999997</v>
      </c>
      <c r="D156" s="4">
        <f>24.1162 * CHOOSE(CONTROL!$C$6, $C$13, 100%, $E$13) + CHOOSE(CONTROL!$C$25, 0, 0)</f>
        <v>24.116199999999999</v>
      </c>
      <c r="E156" s="4">
        <f>107.542439838889 * CHOOSE(CONTROL!$C$6, $C$13, 100%, $E$13) + CHOOSE(CONTROL!$C$25, 0, 0)</f>
        <v>107.542439838889</v>
      </c>
    </row>
    <row r="157" spans="1:5" ht="15">
      <c r="A157" s="13">
        <v>46631</v>
      </c>
      <c r="B157" s="4">
        <f>17.9318 * CHOOSE(CONTROL!$C$6, $C$13, 100%, $E$13) + CHOOSE(CONTROL!$C$25, 0.0263, 0)</f>
        <v>17.958099999999998</v>
      </c>
      <c r="C157" s="4">
        <f>17.6193 * CHOOSE(CONTROL!$C$6, $C$13, 100%, $E$13) + CHOOSE(CONTROL!$C$25, 0.0263, 0)</f>
        <v>17.645599999999998</v>
      </c>
      <c r="D157" s="4">
        <f>23.998 * CHOOSE(CONTROL!$C$6, $C$13, 100%, $E$13) + CHOOSE(CONTROL!$C$25, 0, 0)</f>
        <v>23.998000000000001</v>
      </c>
      <c r="E157" s="4">
        <f>103.256782133821 * CHOOSE(CONTROL!$C$6, $C$13, 100%, $E$13) + CHOOSE(CONTROL!$C$25, 0, 0)</f>
        <v>103.25678213382101</v>
      </c>
    </row>
    <row r="158" spans="1:5" ht="15">
      <c r="A158" s="13">
        <v>46661</v>
      </c>
      <c r="B158" s="4">
        <f>17.3983 * CHOOSE(CONTROL!$C$6, $C$13, 100%, $E$13) + CHOOSE(CONTROL!$C$25, 0.0003, 0)</f>
        <v>17.398599999999998</v>
      </c>
      <c r="C158" s="4">
        <f>17.0858 * CHOOSE(CONTROL!$C$6, $C$13, 100%, $E$13) + CHOOSE(CONTROL!$C$25, 0.0003, 0)</f>
        <v>17.086099999999998</v>
      </c>
      <c r="D158" s="4">
        <f>23.6815 * CHOOSE(CONTROL!$C$6, $C$13, 100%, $E$13) + CHOOSE(CONTROL!$C$25, 0, 0)</f>
        <v>23.6815</v>
      </c>
      <c r="E158" s="4">
        <f>99.8260282074757 * CHOOSE(CONTROL!$C$6, $C$13, 100%, $E$13) + CHOOSE(CONTROL!$C$25, 0, 0)</f>
        <v>99.826028207475701</v>
      </c>
    </row>
    <row r="159" spans="1:5" ht="15">
      <c r="A159" s="13">
        <v>46692</v>
      </c>
      <c r="B159" s="4">
        <f>17.0547 * CHOOSE(CONTROL!$C$6, $C$13, 100%, $E$13) + CHOOSE(CONTROL!$C$25, 0.0003, 0)</f>
        <v>17.055</v>
      </c>
      <c r="C159" s="4">
        <f>16.7422 * CHOOSE(CONTROL!$C$6, $C$13, 100%, $E$13) + CHOOSE(CONTROL!$C$25, 0.0003, 0)</f>
        <v>16.7425</v>
      </c>
      <c r="D159" s="4">
        <f>23.5727 * CHOOSE(CONTROL!$C$6, $C$13, 100%, $E$13) + CHOOSE(CONTROL!$C$25, 0, 0)</f>
        <v>23.572700000000001</v>
      </c>
      <c r="E159" s="4">
        <f>97.6163664862463 * CHOOSE(CONTROL!$C$6, $C$13, 100%, $E$13) + CHOOSE(CONTROL!$C$25, 0, 0)</f>
        <v>97.616366486246307</v>
      </c>
    </row>
    <row r="160" spans="1:5" ht="15">
      <c r="A160" s="13">
        <v>46722</v>
      </c>
      <c r="B160" s="4">
        <f>16.817 * CHOOSE(CONTROL!$C$6, $C$13, 100%, $E$13) + CHOOSE(CONTROL!$C$25, 0.0003, 0)</f>
        <v>16.817299999999999</v>
      </c>
      <c r="C160" s="4">
        <f>16.5045 * CHOOSE(CONTROL!$C$6, $C$13, 100%, $E$13) + CHOOSE(CONTROL!$C$25, 0.0003, 0)</f>
        <v>16.504799999999999</v>
      </c>
      <c r="D160" s="4">
        <f>22.7717 * CHOOSE(CONTROL!$C$6, $C$13, 100%, $E$13) + CHOOSE(CONTROL!$C$25, 0, 0)</f>
        <v>22.771699999999999</v>
      </c>
      <c r="E160" s="4">
        <f>96.0875646148475 * CHOOSE(CONTROL!$C$6, $C$13, 100%, $E$13) + CHOOSE(CONTROL!$C$25, 0, 0)</f>
        <v>96.087564614847494</v>
      </c>
    </row>
    <row r="161" spans="1:5" ht="15">
      <c r="A161" s="13">
        <v>46753</v>
      </c>
      <c r="B161" s="4">
        <f>16.2871 * CHOOSE(CONTROL!$C$6, $C$13, 100%, $E$13) + CHOOSE(CONTROL!$C$25, 0.0003, 0)</f>
        <v>16.287399999999998</v>
      </c>
      <c r="C161" s="4">
        <f>15.9746 * CHOOSE(CONTROL!$C$6, $C$13, 100%, $E$13) + CHOOSE(CONTROL!$C$25, 0.0003, 0)</f>
        <v>15.9749</v>
      </c>
      <c r="D161" s="4">
        <f>21.9493 * CHOOSE(CONTROL!$C$6, $C$13, 100%, $E$13) + CHOOSE(CONTROL!$C$25, 0, 0)</f>
        <v>21.949300000000001</v>
      </c>
      <c r="E161" s="4">
        <f>92.7779513859788 * CHOOSE(CONTROL!$C$6, $C$13, 100%, $E$13) + CHOOSE(CONTROL!$C$25, 0, 0)</f>
        <v>92.777951385978795</v>
      </c>
    </row>
    <row r="162" spans="1:5" ht="15">
      <c r="A162" s="13">
        <v>46784</v>
      </c>
      <c r="B162" s="4">
        <f>16.6293 * CHOOSE(CONTROL!$C$6, $C$13, 100%, $E$13) + CHOOSE(CONTROL!$C$25, 0.0003, 0)</f>
        <v>16.6296</v>
      </c>
      <c r="C162" s="4">
        <f>16.3168 * CHOOSE(CONTROL!$C$6, $C$13, 100%, $E$13) + CHOOSE(CONTROL!$C$25, 0.0003, 0)</f>
        <v>16.3171</v>
      </c>
      <c r="D162" s="4">
        <f>22.6876 * CHOOSE(CONTROL!$C$6, $C$13, 100%, $E$13) + CHOOSE(CONTROL!$C$25, 0, 0)</f>
        <v>22.6876</v>
      </c>
      <c r="E162" s="4">
        <f>94.9808655813864 * CHOOSE(CONTROL!$C$6, $C$13, 100%, $E$13) + CHOOSE(CONTROL!$C$25, 0, 0)</f>
        <v>94.980865581386396</v>
      </c>
    </row>
    <row r="163" spans="1:5" ht="15">
      <c r="A163" s="13">
        <v>46813</v>
      </c>
      <c r="B163" s="4">
        <f>17.528 * CHOOSE(CONTROL!$C$6, $C$13, 100%, $E$13) + CHOOSE(CONTROL!$C$25, 0.0003, 0)</f>
        <v>17.528299999999998</v>
      </c>
      <c r="C163" s="4">
        <f>17.2155 * CHOOSE(CONTROL!$C$6, $C$13, 100%, $E$13) + CHOOSE(CONTROL!$C$25, 0.0003, 0)</f>
        <v>17.215799999999998</v>
      </c>
      <c r="D163" s="4">
        <f>23.8435 * CHOOSE(CONTROL!$C$6, $C$13, 100%, $E$13) + CHOOSE(CONTROL!$C$25, 0, 0)</f>
        <v>23.843499999999999</v>
      </c>
      <c r="E163" s="4">
        <f>100.765835328497 * CHOOSE(CONTROL!$C$6, $C$13, 100%, $E$13) + CHOOSE(CONTROL!$C$25, 0, 0)</f>
        <v>100.765835328497</v>
      </c>
    </row>
    <row r="164" spans="1:5" ht="15">
      <c r="A164" s="13">
        <v>46844</v>
      </c>
      <c r="B164" s="4">
        <f>18.1665 * CHOOSE(CONTROL!$C$6, $C$13, 100%, $E$13) + CHOOSE(CONTROL!$C$25, 0.0003, 0)</f>
        <v>18.166799999999999</v>
      </c>
      <c r="C164" s="4">
        <f>17.854 * CHOOSE(CONTROL!$C$6, $C$13, 100%, $E$13) + CHOOSE(CONTROL!$C$25, 0.0003, 0)</f>
        <v>17.854299999999999</v>
      </c>
      <c r="D164" s="4">
        <f>24.5093 * CHOOSE(CONTROL!$C$6, $C$13, 100%, $E$13) + CHOOSE(CONTROL!$C$25, 0, 0)</f>
        <v>24.5093</v>
      </c>
      <c r="E164" s="4">
        <f>104.876133428678 * CHOOSE(CONTROL!$C$6, $C$13, 100%, $E$13) + CHOOSE(CONTROL!$C$25, 0, 0)</f>
        <v>104.876133428678</v>
      </c>
    </row>
    <row r="165" spans="1:5" ht="15">
      <c r="A165" s="13">
        <v>46874</v>
      </c>
      <c r="B165" s="4">
        <f>18.5566 * CHOOSE(CONTROL!$C$6, $C$13, 100%, $E$13) + CHOOSE(CONTROL!$C$25, 0.0263, 0)</f>
        <v>18.582899999999999</v>
      </c>
      <c r="C165" s="4">
        <f>18.2441 * CHOOSE(CONTROL!$C$6, $C$13, 100%, $E$13) + CHOOSE(CONTROL!$C$25, 0.0263, 0)</f>
        <v>18.270399999999999</v>
      </c>
      <c r="D165" s="4">
        <f>24.2462 * CHOOSE(CONTROL!$C$6, $C$13, 100%, $E$13) + CHOOSE(CONTROL!$C$25, 0, 0)</f>
        <v>24.246200000000002</v>
      </c>
      <c r="E165" s="4">
        <f>107.387427057791 * CHOOSE(CONTROL!$C$6, $C$13, 100%, $E$13) + CHOOSE(CONTROL!$C$25, 0, 0)</f>
        <v>107.387427057791</v>
      </c>
    </row>
    <row r="166" spans="1:5" ht="15">
      <c r="A166" s="13">
        <v>46905</v>
      </c>
      <c r="B166" s="4">
        <f>18.6093 * CHOOSE(CONTROL!$C$6, $C$13, 100%, $E$13) + CHOOSE(CONTROL!$C$25, 0.0263, 0)</f>
        <v>18.6356</v>
      </c>
      <c r="C166" s="4">
        <f>18.2968 * CHOOSE(CONTROL!$C$6, $C$13, 100%, $E$13) + CHOOSE(CONTROL!$C$25, 0.0263, 0)</f>
        <v>18.3231</v>
      </c>
      <c r="D166" s="4">
        <f>24.4605 * CHOOSE(CONTROL!$C$6, $C$13, 100%, $E$13) + CHOOSE(CONTROL!$C$25, 0, 0)</f>
        <v>24.4605</v>
      </c>
      <c r="E166" s="4">
        <f>107.727215507893 * CHOOSE(CONTROL!$C$6, $C$13, 100%, $E$13) + CHOOSE(CONTROL!$C$25, 0, 0)</f>
        <v>107.72721550789301</v>
      </c>
    </row>
    <row r="167" spans="1:5" ht="15">
      <c r="A167" s="13">
        <v>46935</v>
      </c>
      <c r="B167" s="4">
        <f>18.604 * CHOOSE(CONTROL!$C$6, $C$13, 100%, $E$13) + CHOOSE(CONTROL!$C$25, 0.0263, 0)</f>
        <v>18.630299999999998</v>
      </c>
      <c r="C167" s="4">
        <f>18.2915 * CHOOSE(CONTROL!$C$6, $C$13, 100%, $E$13) + CHOOSE(CONTROL!$C$25, 0.0263, 0)</f>
        <v>18.317799999999998</v>
      </c>
      <c r="D167" s="4">
        <f>24.8471 * CHOOSE(CONTROL!$C$6, $C$13, 100%, $E$13) + CHOOSE(CONTROL!$C$25, 0, 0)</f>
        <v>24.847100000000001</v>
      </c>
      <c r="E167" s="4">
        <f>107.69295112637 * CHOOSE(CONTROL!$C$6, $C$13, 100%, $E$13) + CHOOSE(CONTROL!$C$25, 0, 0)</f>
        <v>107.69295112637</v>
      </c>
    </row>
    <row r="168" spans="1:5" ht="15">
      <c r="A168" s="13">
        <v>46966</v>
      </c>
      <c r="B168" s="4">
        <f>19.0046 * CHOOSE(CONTROL!$C$6, $C$13, 100%, $E$13) + CHOOSE(CONTROL!$C$25, 0.0263, 0)</f>
        <v>19.030899999999999</v>
      </c>
      <c r="C168" s="4">
        <f>18.6921 * CHOOSE(CONTROL!$C$6, $C$13, 100%, $E$13) + CHOOSE(CONTROL!$C$25, 0.0263, 0)</f>
        <v>18.718399999999999</v>
      </c>
      <c r="D168" s="4">
        <f>24.5918 * CHOOSE(CONTROL!$C$6, $C$13, 100%, $E$13) + CHOOSE(CONTROL!$C$25, 0, 0)</f>
        <v>24.591799999999999</v>
      </c>
      <c r="E168" s="4">
        <f>110.271345835966 * CHOOSE(CONTROL!$C$6, $C$13, 100%, $E$13) + CHOOSE(CONTROL!$C$25, 0, 0)</f>
        <v>110.271345835966</v>
      </c>
    </row>
    <row r="169" spans="1:5" ht="15">
      <c r="A169" s="13">
        <v>46997</v>
      </c>
      <c r="B169" s="4">
        <f>18.3219 * CHOOSE(CONTROL!$C$6, $C$13, 100%, $E$13) + CHOOSE(CONTROL!$C$25, 0.0263, 0)</f>
        <v>18.348199999999999</v>
      </c>
      <c r="C169" s="4">
        <f>18.0094 * CHOOSE(CONTROL!$C$6, $C$13, 100%, $E$13) + CHOOSE(CONTROL!$C$25, 0.0263, 0)</f>
        <v>18.035699999999999</v>
      </c>
      <c r="D169" s="4">
        <f>24.4711 * CHOOSE(CONTROL!$C$6, $C$13, 100%, $E$13) + CHOOSE(CONTROL!$C$25, 0, 0)</f>
        <v>24.4711</v>
      </c>
      <c r="E169" s="4">
        <f>105.876938905658 * CHOOSE(CONTROL!$C$6, $C$13, 100%, $E$13) + CHOOSE(CONTROL!$C$25, 0, 0)</f>
        <v>105.87693890565799</v>
      </c>
    </row>
    <row r="170" spans="1:5" ht="15">
      <c r="A170" s="13">
        <v>47027</v>
      </c>
      <c r="B170" s="4">
        <f>17.7755 * CHOOSE(CONTROL!$C$6, $C$13, 100%, $E$13) + CHOOSE(CONTROL!$C$25, 0.0003, 0)</f>
        <v>17.7758</v>
      </c>
      <c r="C170" s="4">
        <f>17.463 * CHOOSE(CONTROL!$C$6, $C$13, 100%, $E$13) + CHOOSE(CONTROL!$C$25, 0.0003, 0)</f>
        <v>17.4633</v>
      </c>
      <c r="D170" s="4">
        <f>24.1481 * CHOOSE(CONTROL!$C$6, $C$13, 100%, $E$13) + CHOOSE(CONTROL!$C$25, 0, 0)</f>
        <v>24.148099999999999</v>
      </c>
      <c r="E170" s="4">
        <f>102.35912906931 * CHOOSE(CONTROL!$C$6, $C$13, 100%, $E$13) + CHOOSE(CONTROL!$C$25, 0, 0)</f>
        <v>102.35912906931</v>
      </c>
    </row>
    <row r="171" spans="1:5" ht="15">
      <c r="A171" s="13">
        <v>47058</v>
      </c>
      <c r="B171" s="4">
        <f>17.4235 * CHOOSE(CONTROL!$C$6, $C$13, 100%, $E$13) + CHOOSE(CONTROL!$C$25, 0.0003, 0)</f>
        <v>17.4238</v>
      </c>
      <c r="C171" s="4">
        <f>17.111 * CHOOSE(CONTROL!$C$6, $C$13, 100%, $E$13) + CHOOSE(CONTROL!$C$25, 0.0003, 0)</f>
        <v>17.1113</v>
      </c>
      <c r="D171" s="4">
        <f>24.0371 * CHOOSE(CONTROL!$C$6, $C$13, 100%, $E$13) + CHOOSE(CONTROL!$C$25, 0, 0)</f>
        <v>24.037099999999999</v>
      </c>
      <c r="E171" s="4">
        <f>100.093396841111 * CHOOSE(CONTROL!$C$6, $C$13, 100%, $E$13) + CHOOSE(CONTROL!$C$25, 0, 0)</f>
        <v>100.093396841111</v>
      </c>
    </row>
    <row r="172" spans="1:5" ht="15">
      <c r="A172" s="13">
        <v>47088</v>
      </c>
      <c r="B172" s="4">
        <f>17.18 * CHOOSE(CONTROL!$C$6, $C$13, 100%, $E$13) + CHOOSE(CONTROL!$C$25, 0.0003, 0)</f>
        <v>17.180299999999999</v>
      </c>
      <c r="C172" s="4">
        <f>16.8675 * CHOOSE(CONTROL!$C$6, $C$13, 100%, $E$13) + CHOOSE(CONTROL!$C$25, 0.0003, 0)</f>
        <v>16.867799999999999</v>
      </c>
      <c r="D172" s="4">
        <f>23.2195 * CHOOSE(CONTROL!$C$6, $C$13, 100%, $E$13) + CHOOSE(CONTROL!$C$25, 0, 0)</f>
        <v>23.2195</v>
      </c>
      <c r="E172" s="4">
        <f>98.5258013864397 * CHOOSE(CONTROL!$C$6, $C$13, 100%, $E$13) + CHOOSE(CONTROL!$C$25, 0, 0)</f>
        <v>98.525801386439696</v>
      </c>
    </row>
    <row r="173" spans="1:5" ht="15">
      <c r="A173" s="13">
        <v>47119</v>
      </c>
      <c r="B173" s="4">
        <f>16.6893 * CHOOSE(CONTROL!$C$6, $C$13, 100%, $E$13) + CHOOSE(CONTROL!$C$25, 0.0003, 0)</f>
        <v>16.689599999999999</v>
      </c>
      <c r="C173" s="4">
        <f>16.3768 * CHOOSE(CONTROL!$C$6, $C$13, 100%, $E$13) + CHOOSE(CONTROL!$C$25, 0.0003, 0)</f>
        <v>16.377099999999999</v>
      </c>
      <c r="D173" s="4">
        <f>22.3767 * CHOOSE(CONTROL!$C$6, $C$13, 100%, $E$13) + CHOOSE(CONTROL!$C$25, 0, 0)</f>
        <v>22.3767</v>
      </c>
      <c r="E173" s="4">
        <f>95.3697175003896 * CHOOSE(CONTROL!$C$6, $C$13, 100%, $E$13) + CHOOSE(CONTROL!$C$25, 0, 0)</f>
        <v>95.369717500389598</v>
      </c>
    </row>
    <row r="174" spans="1:5" ht="15">
      <c r="A174" s="13">
        <v>47150</v>
      </c>
      <c r="B174" s="4">
        <f>17.041 * CHOOSE(CONTROL!$C$6, $C$13, 100%, $E$13) + CHOOSE(CONTROL!$C$25, 0.0003, 0)</f>
        <v>17.0413</v>
      </c>
      <c r="C174" s="4">
        <f>16.7285 * CHOOSE(CONTROL!$C$6, $C$13, 100%, $E$13) + CHOOSE(CONTROL!$C$25, 0.0003, 0)</f>
        <v>16.7288</v>
      </c>
      <c r="D174" s="4">
        <f>23.1301 * CHOOSE(CONTROL!$C$6, $C$13, 100%, $E$13) + CHOOSE(CONTROL!$C$25, 0, 0)</f>
        <v>23.130099999999999</v>
      </c>
      <c r="E174" s="4">
        <f>97.6341704372689 * CHOOSE(CONTROL!$C$6, $C$13, 100%, $E$13) + CHOOSE(CONTROL!$C$25, 0, 0)</f>
        <v>97.634170437268907</v>
      </c>
    </row>
    <row r="175" spans="1:5" ht="15">
      <c r="A175" s="13">
        <v>47178</v>
      </c>
      <c r="B175" s="4">
        <f>17.9647 * CHOOSE(CONTROL!$C$6, $C$13, 100%, $E$13) + CHOOSE(CONTROL!$C$25, 0.0003, 0)</f>
        <v>17.965</v>
      </c>
      <c r="C175" s="4">
        <f>17.6522 * CHOOSE(CONTROL!$C$6, $C$13, 100%, $E$13) + CHOOSE(CONTROL!$C$25, 0.0003, 0)</f>
        <v>17.6525</v>
      </c>
      <c r="D175" s="4">
        <f>24.3096 * CHOOSE(CONTROL!$C$6, $C$13, 100%, $E$13) + CHOOSE(CONTROL!$C$25, 0, 0)</f>
        <v>24.3096</v>
      </c>
      <c r="E175" s="4">
        <f>103.580744189851 * CHOOSE(CONTROL!$C$6, $C$13, 100%, $E$13) + CHOOSE(CONTROL!$C$25, 0, 0)</f>
        <v>103.580744189851</v>
      </c>
    </row>
    <row r="176" spans="1:5" ht="15">
      <c r="A176" s="13">
        <v>47209</v>
      </c>
      <c r="B176" s="4">
        <f>18.621 * CHOOSE(CONTROL!$C$6, $C$13, 100%, $E$13) + CHOOSE(CONTROL!$C$25, 0.0003, 0)</f>
        <v>18.621299999999998</v>
      </c>
      <c r="C176" s="4">
        <f>18.3085 * CHOOSE(CONTROL!$C$6, $C$13, 100%, $E$13) + CHOOSE(CONTROL!$C$25, 0.0003, 0)</f>
        <v>18.308799999999998</v>
      </c>
      <c r="D176" s="4">
        <f>24.989 * CHOOSE(CONTROL!$C$6, $C$13, 100%, $E$13) + CHOOSE(CONTROL!$C$25, 0, 0)</f>
        <v>24.989000000000001</v>
      </c>
      <c r="E176" s="4">
        <f>107.805864089576 * CHOOSE(CONTROL!$C$6, $C$13, 100%, $E$13) + CHOOSE(CONTROL!$C$25, 0, 0)</f>
        <v>107.805864089576</v>
      </c>
    </row>
    <row r="177" spans="1:5" ht="15">
      <c r="A177" s="13">
        <v>47239</v>
      </c>
      <c r="B177" s="4">
        <f>19.022 * CHOOSE(CONTROL!$C$6, $C$13, 100%, $E$13) + CHOOSE(CONTROL!$C$25, 0.0263, 0)</f>
        <v>19.048299999999998</v>
      </c>
      <c r="C177" s="4">
        <f>18.7095 * CHOOSE(CONTROL!$C$6, $C$13, 100%, $E$13) + CHOOSE(CONTROL!$C$25, 0.0263, 0)</f>
        <v>18.735799999999998</v>
      </c>
      <c r="D177" s="4">
        <f>24.7205 * CHOOSE(CONTROL!$C$6, $C$13, 100%, $E$13) + CHOOSE(CONTROL!$C$25, 0, 0)</f>
        <v>24.720500000000001</v>
      </c>
      <c r="E177" s="4">
        <f>110.387311086317 * CHOOSE(CONTROL!$C$6, $C$13, 100%, $E$13) + CHOOSE(CONTROL!$C$25, 0, 0)</f>
        <v>110.387311086317</v>
      </c>
    </row>
    <row r="178" spans="1:5" ht="15">
      <c r="A178" s="13">
        <v>47270</v>
      </c>
      <c r="B178" s="4">
        <f>19.0763 * CHOOSE(CONTROL!$C$6, $C$13, 100%, $E$13) + CHOOSE(CONTROL!$C$25, 0.0263, 0)</f>
        <v>19.102599999999999</v>
      </c>
      <c r="C178" s="4">
        <f>18.7638 * CHOOSE(CONTROL!$C$6, $C$13, 100%, $E$13) + CHOOSE(CONTROL!$C$25, 0.0263, 0)</f>
        <v>18.790099999999999</v>
      </c>
      <c r="D178" s="4">
        <f>24.9392 * CHOOSE(CONTROL!$C$6, $C$13, 100%, $E$13) + CHOOSE(CONTROL!$C$25, 0, 0)</f>
        <v>24.9392</v>
      </c>
      <c r="E178" s="4">
        <f>110.736591578201 * CHOOSE(CONTROL!$C$6, $C$13, 100%, $E$13) + CHOOSE(CONTROL!$C$25, 0, 0)</f>
        <v>110.736591578201</v>
      </c>
    </row>
    <row r="179" spans="1:5" ht="15">
      <c r="A179" s="13">
        <v>47300</v>
      </c>
      <c r="B179" s="4">
        <f>19.0708 * CHOOSE(CONTROL!$C$6, $C$13, 100%, $E$13) + CHOOSE(CONTROL!$C$25, 0.0263, 0)</f>
        <v>19.097099999999998</v>
      </c>
      <c r="C179" s="4">
        <f>18.7583 * CHOOSE(CONTROL!$C$6, $C$13, 100%, $E$13) + CHOOSE(CONTROL!$C$25, 0.0263, 0)</f>
        <v>18.784599999999998</v>
      </c>
      <c r="D179" s="4">
        <f>25.3337 * CHOOSE(CONTROL!$C$6, $C$13, 100%, $E$13) + CHOOSE(CONTROL!$C$25, 0, 0)</f>
        <v>25.3337</v>
      </c>
      <c r="E179" s="4">
        <f>110.701370015994 * CHOOSE(CONTROL!$C$6, $C$13, 100%, $E$13) + CHOOSE(CONTROL!$C$25, 0, 0)</f>
        <v>110.701370015994</v>
      </c>
    </row>
    <row r="180" spans="1:5" ht="15">
      <c r="A180" s="13">
        <v>47331</v>
      </c>
      <c r="B180" s="4">
        <f>19.4825 * CHOOSE(CONTROL!$C$6, $C$13, 100%, $E$13) + CHOOSE(CONTROL!$C$25, 0.0263, 0)</f>
        <v>19.508800000000001</v>
      </c>
      <c r="C180" s="4">
        <f>19.17 * CHOOSE(CONTROL!$C$6, $C$13, 100%, $E$13) + CHOOSE(CONTROL!$C$25, 0.0263, 0)</f>
        <v>19.196300000000001</v>
      </c>
      <c r="D180" s="4">
        <f>25.0732 * CHOOSE(CONTROL!$C$6, $C$13, 100%, $E$13) + CHOOSE(CONTROL!$C$25, 0, 0)</f>
        <v>25.0732</v>
      </c>
      <c r="E180" s="4">
        <f>113.351792572057 * CHOOSE(CONTROL!$C$6, $C$13, 100%, $E$13) + CHOOSE(CONTROL!$C$25, 0, 0)</f>
        <v>113.35179257205699</v>
      </c>
    </row>
    <row r="181" spans="1:5" ht="15">
      <c r="A181" s="13">
        <v>47362</v>
      </c>
      <c r="B181" s="4">
        <f>18.7808 * CHOOSE(CONTROL!$C$6, $C$13, 100%, $E$13) + CHOOSE(CONTROL!$C$25, 0.0263, 0)</f>
        <v>18.807099999999998</v>
      </c>
      <c r="C181" s="4">
        <f>18.4683 * CHOOSE(CONTROL!$C$6, $C$13, 100%, $E$13) + CHOOSE(CONTROL!$C$25, 0.0263, 0)</f>
        <v>18.494599999999998</v>
      </c>
      <c r="D181" s="4">
        <f>24.9501 * CHOOSE(CONTROL!$C$6, $C$13, 100%, $E$13) + CHOOSE(CONTROL!$C$25, 0, 0)</f>
        <v>24.950099999999999</v>
      </c>
      <c r="E181" s="4">
        <f>108.834627219034 * CHOOSE(CONTROL!$C$6, $C$13, 100%, $E$13) + CHOOSE(CONTROL!$C$25, 0, 0)</f>
        <v>108.834627219034</v>
      </c>
    </row>
    <row r="182" spans="1:5" ht="15">
      <c r="A182" s="13">
        <v>47392</v>
      </c>
      <c r="B182" s="4">
        <f>18.2191 * CHOOSE(CONTROL!$C$6, $C$13, 100%, $E$13) + CHOOSE(CONTROL!$C$25, 0.0003, 0)</f>
        <v>18.2194</v>
      </c>
      <c r="C182" s="4">
        <f>17.9066 * CHOOSE(CONTROL!$C$6, $C$13, 100%, $E$13) + CHOOSE(CONTROL!$C$25, 0.0003, 0)</f>
        <v>17.9069</v>
      </c>
      <c r="D182" s="4">
        <f>24.6205 * CHOOSE(CONTROL!$C$6, $C$13, 100%, $E$13) + CHOOSE(CONTROL!$C$25, 0, 0)</f>
        <v>24.6205</v>
      </c>
      <c r="E182" s="4">
        <f>105.218546832468 * CHOOSE(CONTROL!$C$6, $C$13, 100%, $E$13) + CHOOSE(CONTROL!$C$25, 0, 0)</f>
        <v>105.21854683246799</v>
      </c>
    </row>
    <row r="183" spans="1:5" ht="15">
      <c r="A183" s="13">
        <v>47423</v>
      </c>
      <c r="B183" s="4">
        <f>17.8573 * CHOOSE(CONTROL!$C$6, $C$13, 100%, $E$13) + CHOOSE(CONTROL!$C$25, 0.0003, 0)</f>
        <v>17.857599999999998</v>
      </c>
      <c r="C183" s="4">
        <f>17.5448 * CHOOSE(CONTROL!$C$6, $C$13, 100%, $E$13) + CHOOSE(CONTROL!$C$25, 0.0003, 0)</f>
        <v>17.545099999999998</v>
      </c>
      <c r="D183" s="4">
        <f>24.5071 * CHOOSE(CONTROL!$C$6, $C$13, 100%, $E$13) + CHOOSE(CONTROL!$C$25, 0, 0)</f>
        <v>24.507100000000001</v>
      </c>
      <c r="E183" s="4">
        <f>102.889521031543 * CHOOSE(CONTROL!$C$6, $C$13, 100%, $E$13) + CHOOSE(CONTROL!$C$25, 0, 0)</f>
        <v>102.889521031543</v>
      </c>
    </row>
    <row r="184" spans="1:5" ht="15">
      <c r="A184" s="13">
        <v>47453</v>
      </c>
      <c r="B184" s="4">
        <f>17.607 * CHOOSE(CONTROL!$C$6, $C$13, 100%, $E$13) + CHOOSE(CONTROL!$C$25, 0.0003, 0)</f>
        <v>17.607299999999999</v>
      </c>
      <c r="C184" s="4">
        <f>17.2945 * CHOOSE(CONTROL!$C$6, $C$13, 100%, $E$13) + CHOOSE(CONTROL!$C$25, 0.0003, 0)</f>
        <v>17.294799999999999</v>
      </c>
      <c r="D184" s="4">
        <f>23.6729 * CHOOSE(CONTROL!$C$6, $C$13, 100%, $E$13) + CHOOSE(CONTROL!$C$25, 0, 0)</f>
        <v>23.672899999999998</v>
      </c>
      <c r="E184" s="4">
        <f>101.278134560581 * CHOOSE(CONTROL!$C$6, $C$13, 100%, $E$13) + CHOOSE(CONTROL!$C$25, 0, 0)</f>
        <v>101.27813456058099</v>
      </c>
    </row>
    <row r="185" spans="1:5" ht="15">
      <c r="A185" s="13">
        <v>47484</v>
      </c>
      <c r="B185" s="4">
        <f>17.0925 * CHOOSE(CONTROL!$C$6, $C$13, 100%, $E$13) + CHOOSE(CONTROL!$C$25, 0.0003, 0)</f>
        <v>17.0928</v>
      </c>
      <c r="C185" s="4">
        <f>16.78 * CHOOSE(CONTROL!$C$6, $C$13, 100%, $E$13) + CHOOSE(CONTROL!$C$25, 0.0003, 0)</f>
        <v>16.7803</v>
      </c>
      <c r="D185" s="4">
        <f>22.8124 * CHOOSE(CONTROL!$C$6, $C$13, 100%, $E$13) + CHOOSE(CONTROL!$C$25, 0, 0)</f>
        <v>22.8124</v>
      </c>
      <c r="E185" s="4">
        <f>97.9809740474973 * CHOOSE(CONTROL!$C$6, $C$13, 100%, $E$13) + CHOOSE(CONTROL!$C$25, 0, 0)</f>
        <v>97.980974047497298</v>
      </c>
    </row>
    <row r="186" spans="1:5" ht="15">
      <c r="A186" s="13">
        <v>47515</v>
      </c>
      <c r="B186" s="4">
        <f>17.4538 * CHOOSE(CONTROL!$C$6, $C$13, 100%, $E$13) + CHOOSE(CONTROL!$C$25, 0.0003, 0)</f>
        <v>17.4541</v>
      </c>
      <c r="C186" s="4">
        <f>17.1413 * CHOOSE(CONTROL!$C$6, $C$13, 100%, $E$13) + CHOOSE(CONTROL!$C$25, 0.0003, 0)</f>
        <v>17.1416</v>
      </c>
      <c r="D186" s="4">
        <f>23.5813 * CHOOSE(CONTROL!$C$6, $C$13, 100%, $E$13) + CHOOSE(CONTROL!$C$25, 0, 0)</f>
        <v>23.581299999999999</v>
      </c>
      <c r="E186" s="4">
        <f>100.307428505531 * CHOOSE(CONTROL!$C$6, $C$13, 100%, $E$13) + CHOOSE(CONTROL!$C$25, 0, 0)</f>
        <v>100.30742850553101</v>
      </c>
    </row>
    <row r="187" spans="1:5" ht="15">
      <c r="A187" s="13">
        <v>47543</v>
      </c>
      <c r="B187" s="4">
        <f>18.4027 * CHOOSE(CONTROL!$C$6, $C$13, 100%, $E$13) + CHOOSE(CONTROL!$C$25, 0.0003, 0)</f>
        <v>18.402999999999999</v>
      </c>
      <c r="C187" s="4">
        <f>18.0902 * CHOOSE(CONTROL!$C$6, $C$13, 100%, $E$13) + CHOOSE(CONTROL!$C$25, 0.0003, 0)</f>
        <v>18.090499999999999</v>
      </c>
      <c r="D187" s="4">
        <f>24.7848 * CHOOSE(CONTROL!$C$6, $C$13, 100%, $E$13) + CHOOSE(CONTROL!$C$25, 0, 0)</f>
        <v>24.784800000000001</v>
      </c>
      <c r="E187" s="4">
        <f>106.416821547624 * CHOOSE(CONTROL!$C$6, $C$13, 100%, $E$13) + CHOOSE(CONTROL!$C$25, 0, 0)</f>
        <v>106.416821547624</v>
      </c>
    </row>
    <row r="188" spans="1:5" ht="15">
      <c r="A188" s="13">
        <v>47574</v>
      </c>
      <c r="B188" s="4">
        <f>19.0769 * CHOOSE(CONTROL!$C$6, $C$13, 100%, $E$13) + CHOOSE(CONTROL!$C$25, 0.0003, 0)</f>
        <v>19.077199999999998</v>
      </c>
      <c r="C188" s="4">
        <f>18.7644 * CHOOSE(CONTROL!$C$6, $C$13, 100%, $E$13) + CHOOSE(CONTROL!$C$25, 0.0003, 0)</f>
        <v>18.764699999999998</v>
      </c>
      <c r="D188" s="4">
        <f>25.478 * CHOOSE(CONTROL!$C$6, $C$13, 100%, $E$13) + CHOOSE(CONTROL!$C$25, 0, 0)</f>
        <v>25.478000000000002</v>
      </c>
      <c r="E188" s="4">
        <f>110.757626722399 * CHOOSE(CONTROL!$C$6, $C$13, 100%, $E$13) + CHOOSE(CONTROL!$C$25, 0, 0)</f>
        <v>110.757626722399</v>
      </c>
    </row>
    <row r="189" spans="1:5" ht="15">
      <c r="A189" s="13">
        <v>47604</v>
      </c>
      <c r="B189" s="4">
        <f>19.4888 * CHOOSE(CONTROL!$C$6, $C$13, 100%, $E$13) + CHOOSE(CONTROL!$C$25, 0.0263, 0)</f>
        <v>19.5151</v>
      </c>
      <c r="C189" s="4">
        <f>19.1763 * CHOOSE(CONTROL!$C$6, $C$13, 100%, $E$13) + CHOOSE(CONTROL!$C$25, 0.0263, 0)</f>
        <v>19.2026</v>
      </c>
      <c r="D189" s="4">
        <f>25.2041 * CHOOSE(CONTROL!$C$6, $C$13, 100%, $E$13) + CHOOSE(CONTROL!$C$25, 0, 0)</f>
        <v>25.2041</v>
      </c>
      <c r="E189" s="4">
        <f>113.409754649606 * CHOOSE(CONTROL!$C$6, $C$13, 100%, $E$13) + CHOOSE(CONTROL!$C$25, 0, 0)</f>
        <v>113.409754649606</v>
      </c>
    </row>
    <row r="190" spans="1:5" ht="15">
      <c r="A190" s="13">
        <v>47635</v>
      </c>
      <c r="B190" s="4">
        <f>19.5445 * CHOOSE(CONTROL!$C$6, $C$13, 100%, $E$13) + CHOOSE(CONTROL!$C$25, 0.0263, 0)</f>
        <v>19.570799999999998</v>
      </c>
      <c r="C190" s="4">
        <f>19.232 * CHOOSE(CONTROL!$C$6, $C$13, 100%, $E$13) + CHOOSE(CONTROL!$C$25, 0.0263, 0)</f>
        <v>19.258299999999998</v>
      </c>
      <c r="D190" s="4">
        <f>25.4272 * CHOOSE(CONTROL!$C$6, $C$13, 100%, $E$13) + CHOOSE(CONTROL!$C$25, 0, 0)</f>
        <v>25.427199999999999</v>
      </c>
      <c r="E190" s="4">
        <f>113.768598564714 * CHOOSE(CONTROL!$C$6, $C$13, 100%, $E$13) + CHOOSE(CONTROL!$C$25, 0, 0)</f>
        <v>113.768598564714</v>
      </c>
    </row>
    <row r="191" spans="1:5" ht="15">
      <c r="A191" s="13">
        <v>47665</v>
      </c>
      <c r="B191" s="4">
        <f>19.5389 * CHOOSE(CONTROL!$C$6, $C$13, 100%, $E$13) + CHOOSE(CONTROL!$C$25, 0.0263, 0)</f>
        <v>19.565200000000001</v>
      </c>
      <c r="C191" s="4">
        <f>19.2264 * CHOOSE(CONTROL!$C$6, $C$13, 100%, $E$13) + CHOOSE(CONTROL!$C$25, 0.0263, 0)</f>
        <v>19.252700000000001</v>
      </c>
      <c r="D191" s="4">
        <f>25.8298 * CHOOSE(CONTROL!$C$6, $C$13, 100%, $E$13) + CHOOSE(CONTROL!$C$25, 0, 0)</f>
        <v>25.829799999999999</v>
      </c>
      <c r="E191" s="4">
        <f>113.732412623695 * CHOOSE(CONTROL!$C$6, $C$13, 100%, $E$13) + CHOOSE(CONTROL!$C$25, 0, 0)</f>
        <v>113.732412623695</v>
      </c>
    </row>
    <row r="192" spans="1:5" ht="15">
      <c r="A192" s="13">
        <v>47696</v>
      </c>
      <c r="B192" s="4">
        <f>19.9618 * CHOOSE(CONTROL!$C$6, $C$13, 100%, $E$13) + CHOOSE(CONTROL!$C$25, 0.0263, 0)</f>
        <v>19.988099999999999</v>
      </c>
      <c r="C192" s="4">
        <f>19.6493 * CHOOSE(CONTROL!$C$6, $C$13, 100%, $E$13) + CHOOSE(CONTROL!$C$25, 0.0263, 0)</f>
        <v>19.675599999999999</v>
      </c>
      <c r="D192" s="4">
        <f>25.5639 * CHOOSE(CONTROL!$C$6, $C$13, 100%, $E$13) + CHOOSE(CONTROL!$C$25, 0, 0)</f>
        <v>25.5639</v>
      </c>
      <c r="E192" s="4">
        <f>116.455404685398 * CHOOSE(CONTROL!$C$6, $C$13, 100%, $E$13) + CHOOSE(CONTROL!$C$25, 0, 0)</f>
        <v>116.45540468539799</v>
      </c>
    </row>
    <row r="193" spans="1:5" ht="15">
      <c r="A193" s="13">
        <v>47727</v>
      </c>
      <c r="B193" s="4">
        <f>19.241 * CHOOSE(CONTROL!$C$6, $C$13, 100%, $E$13) + CHOOSE(CONTROL!$C$25, 0.0263, 0)</f>
        <v>19.267299999999999</v>
      </c>
      <c r="C193" s="4">
        <f>18.9285 * CHOOSE(CONTROL!$C$6, $C$13, 100%, $E$13) + CHOOSE(CONTROL!$C$25, 0.0263, 0)</f>
        <v>18.954799999999999</v>
      </c>
      <c r="D193" s="4">
        <f>25.4383 * CHOOSE(CONTROL!$C$6, $C$13, 100%, $E$13) + CHOOSE(CONTROL!$C$25, 0, 0)</f>
        <v>25.438300000000002</v>
      </c>
      <c r="E193" s="4">
        <f>111.814557749672 * CHOOSE(CONTROL!$C$6, $C$13, 100%, $E$13) + CHOOSE(CONTROL!$C$25, 0, 0)</f>
        <v>111.81455774967201</v>
      </c>
    </row>
    <row r="194" spans="1:5" ht="15">
      <c r="A194" s="13">
        <v>47757</v>
      </c>
      <c r="B194" s="4">
        <f>18.664 * CHOOSE(CONTROL!$C$6, $C$13, 100%, $E$13) + CHOOSE(CONTROL!$C$25, 0.0003, 0)</f>
        <v>18.664300000000001</v>
      </c>
      <c r="C194" s="4">
        <f>18.3515 * CHOOSE(CONTROL!$C$6, $C$13, 100%, $E$13) + CHOOSE(CONTROL!$C$25, 0.0003, 0)</f>
        <v>18.351800000000001</v>
      </c>
      <c r="D194" s="4">
        <f>25.102 * CHOOSE(CONTROL!$C$6, $C$13, 100%, $E$13) + CHOOSE(CONTROL!$C$25, 0, 0)</f>
        <v>25.102</v>
      </c>
      <c r="E194" s="4">
        <f>108.099467805022 * CHOOSE(CONTROL!$C$6, $C$13, 100%, $E$13) + CHOOSE(CONTROL!$C$25, 0, 0)</f>
        <v>108.099467805022</v>
      </c>
    </row>
    <row r="195" spans="1:5" ht="15">
      <c r="A195" s="13">
        <v>47788</v>
      </c>
      <c r="B195" s="4">
        <f>18.2924 * CHOOSE(CONTROL!$C$6, $C$13, 100%, $E$13) + CHOOSE(CONTROL!$C$25, 0.0003, 0)</f>
        <v>18.2927</v>
      </c>
      <c r="C195" s="4">
        <f>17.9799 * CHOOSE(CONTROL!$C$6, $C$13, 100%, $E$13) + CHOOSE(CONTROL!$C$25, 0.0003, 0)</f>
        <v>17.9802</v>
      </c>
      <c r="D195" s="4">
        <f>24.9863 * CHOOSE(CONTROL!$C$6, $C$13, 100%, $E$13) + CHOOSE(CONTROL!$C$25, 0, 0)</f>
        <v>24.9863</v>
      </c>
      <c r="E195" s="4">
        <f>105.70667245512 * CHOOSE(CONTROL!$C$6, $C$13, 100%, $E$13) + CHOOSE(CONTROL!$C$25, 0, 0)</f>
        <v>105.70667245512</v>
      </c>
    </row>
    <row r="196" spans="1:5" ht="15">
      <c r="A196" s="13">
        <v>47818</v>
      </c>
      <c r="B196" s="4">
        <f>18.0353 * CHOOSE(CONTROL!$C$6, $C$13, 100%, $E$13) + CHOOSE(CONTROL!$C$25, 0.0003, 0)</f>
        <v>18.035599999999999</v>
      </c>
      <c r="C196" s="4">
        <f>17.7228 * CHOOSE(CONTROL!$C$6, $C$13, 100%, $E$13) + CHOOSE(CONTROL!$C$25, 0.0003, 0)</f>
        <v>17.723099999999999</v>
      </c>
      <c r="D196" s="4">
        <f>24.1351 * CHOOSE(CONTROL!$C$6, $C$13, 100%, $E$13) + CHOOSE(CONTROL!$C$25, 0, 0)</f>
        <v>24.135100000000001</v>
      </c>
      <c r="E196" s="4">
        <f>104.051165653487 * CHOOSE(CONTROL!$C$6, $C$13, 100%, $E$13) + CHOOSE(CONTROL!$C$25, 0, 0)</f>
        <v>104.051165653487</v>
      </c>
    </row>
    <row r="197" spans="1:5" ht="15">
      <c r="A197" s="13">
        <v>47849</v>
      </c>
      <c r="B197" s="4">
        <f>17.3952 * CHOOSE(CONTROL!$C$6, $C$13, 100%, $E$13) + CHOOSE(CONTROL!$C$25, 0.0003, 0)</f>
        <v>17.395499999999998</v>
      </c>
      <c r="C197" s="4">
        <f>17.0827 * CHOOSE(CONTROL!$C$6, $C$13, 100%, $E$13) + CHOOSE(CONTROL!$C$25, 0.0003, 0)</f>
        <v>17.082999999999998</v>
      </c>
      <c r="D197" s="4">
        <f>23.1484 * CHOOSE(CONTROL!$C$6, $C$13, 100%, $E$13) + CHOOSE(CONTROL!$C$25, 0, 0)</f>
        <v>23.148399999999999</v>
      </c>
      <c r="E197" s="4">
        <f>99.9894183708979 * CHOOSE(CONTROL!$C$6, $C$13, 100%, $E$13) + CHOOSE(CONTROL!$C$25, 0, 0)</f>
        <v>99.989418370897894</v>
      </c>
    </row>
    <row r="198" spans="1:5" ht="15">
      <c r="A198" s="13">
        <v>47880</v>
      </c>
      <c r="B198" s="4">
        <f>17.7638 * CHOOSE(CONTROL!$C$6, $C$13, 100%, $E$13) + CHOOSE(CONTROL!$C$25, 0.0003, 0)</f>
        <v>17.764099999999999</v>
      </c>
      <c r="C198" s="4">
        <f>17.4513 * CHOOSE(CONTROL!$C$6, $C$13, 100%, $E$13) + CHOOSE(CONTROL!$C$25, 0.0003, 0)</f>
        <v>17.451599999999999</v>
      </c>
      <c r="D198" s="4">
        <f>23.9291 * CHOOSE(CONTROL!$C$6, $C$13, 100%, $E$13) + CHOOSE(CONTROL!$C$25, 0, 0)</f>
        <v>23.929099999999998</v>
      </c>
      <c r="E198" s="4">
        <f>102.363561212266 * CHOOSE(CONTROL!$C$6, $C$13, 100%, $E$13) + CHOOSE(CONTROL!$C$25, 0, 0)</f>
        <v>102.36356121226601</v>
      </c>
    </row>
    <row r="199" spans="1:5" ht="15">
      <c r="A199" s="13">
        <v>47908</v>
      </c>
      <c r="B199" s="4">
        <f>18.7315 * CHOOSE(CONTROL!$C$6, $C$13, 100%, $E$13) + CHOOSE(CONTROL!$C$25, 0.0003, 0)</f>
        <v>18.7318</v>
      </c>
      <c r="C199" s="4">
        <f>18.419 * CHOOSE(CONTROL!$C$6, $C$13, 100%, $E$13) + CHOOSE(CONTROL!$C$25, 0.0003, 0)</f>
        <v>18.4193</v>
      </c>
      <c r="D199" s="4">
        <f>25.1512 * CHOOSE(CONTROL!$C$6, $C$13, 100%, $E$13) + CHOOSE(CONTROL!$C$25, 0, 0)</f>
        <v>25.151199999999999</v>
      </c>
      <c r="E199" s="4">
        <f>108.598186483311 * CHOOSE(CONTROL!$C$6, $C$13, 100%, $E$13) + CHOOSE(CONTROL!$C$25, 0, 0)</f>
        <v>108.598186483311</v>
      </c>
    </row>
    <row r="200" spans="1:5" ht="15">
      <c r="A200" s="13">
        <v>47939</v>
      </c>
      <c r="B200" s="4">
        <f>19.4191 * CHOOSE(CONTROL!$C$6, $C$13, 100%, $E$13) + CHOOSE(CONTROL!$C$25, 0.0003, 0)</f>
        <v>19.4194</v>
      </c>
      <c r="C200" s="4">
        <f>19.1066 * CHOOSE(CONTROL!$C$6, $C$13, 100%, $E$13) + CHOOSE(CONTROL!$C$25, 0.0003, 0)</f>
        <v>19.1069</v>
      </c>
      <c r="D200" s="4">
        <f>25.8551 * CHOOSE(CONTROL!$C$6, $C$13, 100%, $E$13) + CHOOSE(CONTROL!$C$25, 0, 0)</f>
        <v>25.8551</v>
      </c>
      <c r="E200" s="4">
        <f>113.027970825695 * CHOOSE(CONTROL!$C$6, $C$13, 100%, $E$13) + CHOOSE(CONTROL!$C$25, 0, 0)</f>
        <v>113.02797082569499</v>
      </c>
    </row>
    <row r="201" spans="1:5" ht="15">
      <c r="A201" s="13">
        <v>47969</v>
      </c>
      <c r="B201" s="4">
        <f>19.8392 * CHOOSE(CONTROL!$C$6, $C$13, 100%, $E$13) + CHOOSE(CONTROL!$C$25, 0.0263, 0)</f>
        <v>19.865500000000001</v>
      </c>
      <c r="C201" s="4">
        <f>19.5267 * CHOOSE(CONTROL!$C$6, $C$13, 100%, $E$13) + CHOOSE(CONTROL!$C$25, 0.0263, 0)</f>
        <v>19.553000000000001</v>
      </c>
      <c r="D201" s="4">
        <f>25.577 * CHOOSE(CONTROL!$C$6, $C$13, 100%, $E$13) + CHOOSE(CONTROL!$C$25, 0, 0)</f>
        <v>25.577000000000002</v>
      </c>
      <c r="E201" s="4">
        <f>115.734462891778 * CHOOSE(CONTROL!$C$6, $C$13, 100%, $E$13) + CHOOSE(CONTROL!$C$25, 0, 0)</f>
        <v>115.73446289177799</v>
      </c>
    </row>
    <row r="202" spans="1:5" ht="15">
      <c r="A202" s="13">
        <v>48000</v>
      </c>
      <c r="B202" s="4">
        <f>19.896 * CHOOSE(CONTROL!$C$6, $C$13, 100%, $E$13) + CHOOSE(CONTROL!$C$25, 0.0263, 0)</f>
        <v>19.9223</v>
      </c>
      <c r="C202" s="4">
        <f>19.5835 * CHOOSE(CONTROL!$C$6, $C$13, 100%, $E$13) + CHOOSE(CONTROL!$C$25, 0.0263, 0)</f>
        <v>19.6098</v>
      </c>
      <c r="D202" s="4">
        <f>25.8035 * CHOOSE(CONTROL!$C$6, $C$13, 100%, $E$13) + CHOOSE(CONTROL!$C$25, 0, 0)</f>
        <v>25.8035</v>
      </c>
      <c r="E202" s="4">
        <f>116.100662500492 * CHOOSE(CONTROL!$C$6, $C$13, 100%, $E$13) + CHOOSE(CONTROL!$C$25, 0, 0)</f>
        <v>116.10066250049201</v>
      </c>
    </row>
    <row r="203" spans="1:5" ht="15">
      <c r="A203" s="13">
        <v>48030</v>
      </c>
      <c r="B203" s="4">
        <f>19.8903 * CHOOSE(CONTROL!$C$6, $C$13, 100%, $E$13) + CHOOSE(CONTROL!$C$25, 0.0263, 0)</f>
        <v>19.916599999999999</v>
      </c>
      <c r="C203" s="4">
        <f>19.5778 * CHOOSE(CONTROL!$C$6, $C$13, 100%, $E$13) + CHOOSE(CONTROL!$C$25, 0.0263, 0)</f>
        <v>19.604099999999999</v>
      </c>
      <c r="D203" s="4">
        <f>26.2123 * CHOOSE(CONTROL!$C$6, $C$13, 100%, $E$13) + CHOOSE(CONTROL!$C$25, 0, 0)</f>
        <v>26.212299999999999</v>
      </c>
      <c r="E203" s="4">
        <f>116.063734808857 * CHOOSE(CONTROL!$C$6, $C$13, 100%, $E$13) + CHOOSE(CONTROL!$C$25, 0, 0)</f>
        <v>116.06373480885701</v>
      </c>
    </row>
    <row r="204" spans="1:5" ht="15">
      <c r="A204" s="13">
        <v>48061</v>
      </c>
      <c r="B204" s="4">
        <f>20.3216 * CHOOSE(CONTROL!$C$6, $C$13, 100%, $E$13) + CHOOSE(CONTROL!$C$25, 0.0263, 0)</f>
        <v>20.347899999999999</v>
      </c>
      <c r="C204" s="4">
        <f>20.0091 * CHOOSE(CONTROL!$C$6, $C$13, 100%, $E$13) + CHOOSE(CONTROL!$C$25, 0.0263, 0)</f>
        <v>20.035399999999999</v>
      </c>
      <c r="D204" s="4">
        <f>25.9423 * CHOOSE(CONTROL!$C$6, $C$13, 100%, $E$13) + CHOOSE(CONTROL!$C$25, 0, 0)</f>
        <v>25.942299999999999</v>
      </c>
      <c r="E204" s="4">
        <f>118.842543604392 * CHOOSE(CONTROL!$C$6, $C$13, 100%, $E$13) + CHOOSE(CONTROL!$C$25, 0, 0)</f>
        <v>118.84254360439201</v>
      </c>
    </row>
    <row r="205" spans="1:5" ht="15">
      <c r="A205" s="13">
        <v>48092</v>
      </c>
      <c r="B205" s="4">
        <f>19.5865 * CHOOSE(CONTROL!$C$6, $C$13, 100%, $E$13) + CHOOSE(CONTROL!$C$25, 0.0263, 0)</f>
        <v>19.6128</v>
      </c>
      <c r="C205" s="4">
        <f>19.274 * CHOOSE(CONTROL!$C$6, $C$13, 100%, $E$13) + CHOOSE(CONTROL!$C$25, 0.0263, 0)</f>
        <v>19.3003</v>
      </c>
      <c r="D205" s="4">
        <f>25.8148 * CHOOSE(CONTROL!$C$6, $C$13, 100%, $E$13) + CHOOSE(CONTROL!$C$25, 0, 0)</f>
        <v>25.814800000000002</v>
      </c>
      <c r="E205" s="4">
        <f>114.106567152201 * CHOOSE(CONTROL!$C$6, $C$13, 100%, $E$13) + CHOOSE(CONTROL!$C$25, 0, 0)</f>
        <v>114.10656715220099</v>
      </c>
    </row>
    <row r="206" spans="1:5" ht="15">
      <c r="A206" s="13">
        <v>48122</v>
      </c>
      <c r="B206" s="4">
        <f>18.998 * CHOOSE(CONTROL!$C$6, $C$13, 100%, $E$13) + CHOOSE(CONTROL!$C$25, 0.0003, 0)</f>
        <v>18.9983</v>
      </c>
      <c r="C206" s="4">
        <f>18.6855 * CHOOSE(CONTROL!$C$6, $C$13, 100%, $E$13) + CHOOSE(CONTROL!$C$25, 0.0003, 0)</f>
        <v>18.6858</v>
      </c>
      <c r="D206" s="4">
        <f>25.4733 * CHOOSE(CONTROL!$C$6, $C$13, 100%, $E$13) + CHOOSE(CONTROL!$C$25, 0, 0)</f>
        <v>25.473299999999998</v>
      </c>
      <c r="E206" s="4">
        <f>110.315324144339 * CHOOSE(CONTROL!$C$6, $C$13, 100%, $E$13) + CHOOSE(CONTROL!$C$25, 0, 0)</f>
        <v>110.315324144339</v>
      </c>
    </row>
    <row r="207" spans="1:5" ht="15">
      <c r="A207" s="13">
        <v>48153</v>
      </c>
      <c r="B207" s="4">
        <f>18.619 * CHOOSE(CONTROL!$C$6, $C$13, 100%, $E$13) + CHOOSE(CONTROL!$C$25, 0.0003, 0)</f>
        <v>18.619299999999999</v>
      </c>
      <c r="C207" s="4">
        <f>18.3065 * CHOOSE(CONTROL!$C$6, $C$13, 100%, $E$13) + CHOOSE(CONTROL!$C$25, 0.0003, 0)</f>
        <v>18.306799999999999</v>
      </c>
      <c r="D207" s="4">
        <f>25.3559 * CHOOSE(CONTROL!$C$6, $C$13, 100%, $E$13) + CHOOSE(CONTROL!$C$25, 0, 0)</f>
        <v>25.355899999999998</v>
      </c>
      <c r="E207" s="4">
        <f>107.873480534974 * CHOOSE(CONTROL!$C$6, $C$13, 100%, $E$13) + CHOOSE(CONTROL!$C$25, 0, 0)</f>
        <v>107.87348053497399</v>
      </c>
    </row>
    <row r="208" spans="1:5" ht="15">
      <c r="A208" s="13">
        <v>48183</v>
      </c>
      <c r="B208" s="4">
        <f>18.3568 * CHOOSE(CONTROL!$C$6, $C$13, 100%, $E$13) + CHOOSE(CONTROL!$C$25, 0.0003, 0)</f>
        <v>18.357099999999999</v>
      </c>
      <c r="C208" s="4">
        <f>18.0443 * CHOOSE(CONTROL!$C$6, $C$13, 100%, $E$13) + CHOOSE(CONTROL!$C$25, 0.0003, 0)</f>
        <v>18.044599999999999</v>
      </c>
      <c r="D208" s="4">
        <f>24.4914 * CHOOSE(CONTROL!$C$6, $C$13, 100%, $E$13) + CHOOSE(CONTROL!$C$25, 0, 0)</f>
        <v>24.491399999999999</v>
      </c>
      <c r="E208" s="4">
        <f>106.184038642672 * CHOOSE(CONTROL!$C$6, $C$13, 100%, $E$13) + CHOOSE(CONTROL!$C$25, 0, 0)</f>
        <v>106.18403864267199</v>
      </c>
    </row>
    <row r="209" spans="1:5" ht="15">
      <c r="A209" s="13">
        <v>48214</v>
      </c>
      <c r="B209" s="4">
        <f>17.7148 * CHOOSE(CONTROL!$C$6, $C$13, 100%, $E$13) + CHOOSE(CONTROL!$C$25, 0.0003, 0)</f>
        <v>17.7151</v>
      </c>
      <c r="C209" s="4">
        <f>17.4023 * CHOOSE(CONTROL!$C$6, $C$13, 100%, $E$13) + CHOOSE(CONTROL!$C$25, 0.0003, 0)</f>
        <v>17.4026</v>
      </c>
      <c r="D209" s="4">
        <f>23.4874 * CHOOSE(CONTROL!$C$6, $C$13, 100%, $E$13) + CHOOSE(CONTROL!$C$25, 0, 0)</f>
        <v>23.487400000000001</v>
      </c>
      <c r="E209" s="4">
        <f>102.00359274377 * CHOOSE(CONTROL!$C$6, $C$13, 100%, $E$13) + CHOOSE(CONTROL!$C$25, 0, 0)</f>
        <v>102.00359274377</v>
      </c>
    </row>
    <row r="210" spans="1:5" ht="15">
      <c r="A210" s="13">
        <v>48245</v>
      </c>
      <c r="B210" s="4">
        <f>18.0909 * CHOOSE(CONTROL!$C$6, $C$13, 100%, $E$13) + CHOOSE(CONTROL!$C$25, 0.0003, 0)</f>
        <v>18.091200000000001</v>
      </c>
      <c r="C210" s="4">
        <f>17.7784 * CHOOSE(CONTROL!$C$6, $C$13, 100%, $E$13) + CHOOSE(CONTROL!$C$25, 0.0003, 0)</f>
        <v>17.778700000000001</v>
      </c>
      <c r="D210" s="4">
        <f>24.28 * CHOOSE(CONTROL!$C$6, $C$13, 100%, $E$13) + CHOOSE(CONTROL!$C$25, 0, 0)</f>
        <v>24.28</v>
      </c>
      <c r="E210" s="4">
        <f>104.425560022428 * CHOOSE(CONTROL!$C$6, $C$13, 100%, $E$13) + CHOOSE(CONTROL!$C$25, 0, 0)</f>
        <v>104.425560022428</v>
      </c>
    </row>
    <row r="211" spans="1:5" ht="15">
      <c r="A211" s="13">
        <v>48274</v>
      </c>
      <c r="B211" s="4">
        <f>19.0785 * CHOOSE(CONTROL!$C$6, $C$13, 100%, $E$13) + CHOOSE(CONTROL!$C$25, 0.0003, 0)</f>
        <v>19.078799999999998</v>
      </c>
      <c r="C211" s="4">
        <f>18.766 * CHOOSE(CONTROL!$C$6, $C$13, 100%, $E$13) + CHOOSE(CONTROL!$C$25, 0.0003, 0)</f>
        <v>18.766299999999998</v>
      </c>
      <c r="D211" s="4">
        <f>25.5208 * CHOOSE(CONTROL!$C$6, $C$13, 100%, $E$13) + CHOOSE(CONTROL!$C$25, 0, 0)</f>
        <v>25.520800000000001</v>
      </c>
      <c r="E211" s="4">
        <f>110.785774807344 * CHOOSE(CONTROL!$C$6, $C$13, 100%, $E$13) + CHOOSE(CONTROL!$C$25, 0, 0)</f>
        <v>110.785774807344</v>
      </c>
    </row>
    <row r="212" spans="1:5" ht="15">
      <c r="A212" s="13">
        <v>48305</v>
      </c>
      <c r="B212" s="4">
        <f>19.7803 * CHOOSE(CONTROL!$C$6, $C$13, 100%, $E$13) + CHOOSE(CONTROL!$C$25, 0.0003, 0)</f>
        <v>19.7806</v>
      </c>
      <c r="C212" s="4">
        <f>19.4678 * CHOOSE(CONTROL!$C$6, $C$13, 100%, $E$13) + CHOOSE(CONTROL!$C$25, 0.0003, 0)</f>
        <v>19.4681</v>
      </c>
      <c r="D212" s="4">
        <f>26.2356 * CHOOSE(CONTROL!$C$6, $C$13, 100%, $E$13) + CHOOSE(CONTROL!$C$25, 0, 0)</f>
        <v>26.235600000000002</v>
      </c>
      <c r="E212" s="4">
        <f>115.304792173034 * CHOOSE(CONTROL!$C$6, $C$13, 100%, $E$13) + CHOOSE(CONTROL!$C$25, 0, 0)</f>
        <v>115.304792173034</v>
      </c>
    </row>
    <row r="213" spans="1:5" ht="15">
      <c r="A213" s="13">
        <v>48335</v>
      </c>
      <c r="B213" s="4">
        <f>20.209 * CHOOSE(CONTROL!$C$6, $C$13, 100%, $E$13) + CHOOSE(CONTROL!$C$25, 0.0263, 0)</f>
        <v>20.235299999999999</v>
      </c>
      <c r="C213" s="4">
        <f>19.8965 * CHOOSE(CONTROL!$C$6, $C$13, 100%, $E$13) + CHOOSE(CONTROL!$C$25, 0.0263, 0)</f>
        <v>19.922799999999999</v>
      </c>
      <c r="D213" s="4">
        <f>25.9531 * CHOOSE(CONTROL!$C$6, $C$13, 100%, $E$13) + CHOOSE(CONTROL!$C$25, 0, 0)</f>
        <v>25.953099999999999</v>
      </c>
      <c r="E213" s="4">
        <f>118.065803477739 * CHOOSE(CONTROL!$C$6, $C$13, 100%, $E$13) + CHOOSE(CONTROL!$C$25, 0, 0)</f>
        <v>118.065803477739</v>
      </c>
    </row>
    <row r="214" spans="1:5" ht="15">
      <c r="A214" s="13">
        <v>48366</v>
      </c>
      <c r="B214" s="4">
        <f>20.267 * CHOOSE(CONTROL!$C$6, $C$13, 100%, $E$13) + CHOOSE(CONTROL!$C$25, 0.0263, 0)</f>
        <v>20.293299999999999</v>
      </c>
      <c r="C214" s="4">
        <f>19.9545 * CHOOSE(CONTROL!$C$6, $C$13, 100%, $E$13) + CHOOSE(CONTROL!$C$25, 0.0263, 0)</f>
        <v>19.980799999999999</v>
      </c>
      <c r="D214" s="4">
        <f>26.1832 * CHOOSE(CONTROL!$C$6, $C$13, 100%, $E$13) + CHOOSE(CONTROL!$C$25, 0, 0)</f>
        <v>26.183199999999999</v>
      </c>
      <c r="E214" s="4">
        <f>118.439379765698 * CHOOSE(CONTROL!$C$6, $C$13, 100%, $E$13) + CHOOSE(CONTROL!$C$25, 0, 0)</f>
        <v>118.43937976569801</v>
      </c>
    </row>
    <row r="215" spans="1:5" ht="15">
      <c r="A215" s="13">
        <v>48396</v>
      </c>
      <c r="B215" s="4">
        <f>20.2612 * CHOOSE(CONTROL!$C$6, $C$13, 100%, $E$13) + CHOOSE(CONTROL!$C$25, 0.0263, 0)</f>
        <v>20.287499999999998</v>
      </c>
      <c r="C215" s="4">
        <f>19.9487 * CHOOSE(CONTROL!$C$6, $C$13, 100%, $E$13) + CHOOSE(CONTROL!$C$25, 0.0263, 0)</f>
        <v>19.974999999999998</v>
      </c>
      <c r="D215" s="4">
        <f>26.5982 * CHOOSE(CONTROL!$C$6, $C$13, 100%, $E$13) + CHOOSE(CONTROL!$C$25, 0, 0)</f>
        <v>26.598199999999999</v>
      </c>
      <c r="E215" s="4">
        <f>118.401708207248 * CHOOSE(CONTROL!$C$6, $C$13, 100%, $E$13) + CHOOSE(CONTROL!$C$25, 0, 0)</f>
        <v>118.40170820724801</v>
      </c>
    </row>
    <row r="216" spans="1:5" ht="15">
      <c r="A216" s="13">
        <v>48427</v>
      </c>
      <c r="B216" s="4">
        <f>20.7014 * CHOOSE(CONTROL!$C$6, $C$13, 100%, $E$13) + CHOOSE(CONTROL!$C$25, 0.0263, 0)</f>
        <v>20.727699999999999</v>
      </c>
      <c r="C216" s="4">
        <f>20.3889 * CHOOSE(CONTROL!$C$6, $C$13, 100%, $E$13) + CHOOSE(CONTROL!$C$25, 0.0263, 0)</f>
        <v>20.415199999999999</v>
      </c>
      <c r="D216" s="4">
        <f>26.3241 * CHOOSE(CONTROL!$C$6, $C$13, 100%, $E$13) + CHOOSE(CONTROL!$C$25, 0, 0)</f>
        <v>26.324100000000001</v>
      </c>
      <c r="E216" s="4">
        <f>121.236492980585 * CHOOSE(CONTROL!$C$6, $C$13, 100%, $E$13) + CHOOSE(CONTROL!$C$25, 0, 0)</f>
        <v>121.236492980585</v>
      </c>
    </row>
    <row r="217" spans="1:5" ht="15">
      <c r="A217" s="13">
        <v>48458</v>
      </c>
      <c r="B217" s="4">
        <f>19.9511 * CHOOSE(CONTROL!$C$6, $C$13, 100%, $E$13) + CHOOSE(CONTROL!$C$25, 0.0263, 0)</f>
        <v>19.977399999999999</v>
      </c>
      <c r="C217" s="4">
        <f>19.6386 * CHOOSE(CONTROL!$C$6, $C$13, 100%, $E$13) + CHOOSE(CONTROL!$C$25, 0.0263, 0)</f>
        <v>19.664899999999999</v>
      </c>
      <c r="D217" s="4">
        <f>26.1946 * CHOOSE(CONTROL!$C$6, $C$13, 100%, $E$13) + CHOOSE(CONTROL!$C$25, 0, 0)</f>
        <v>26.194600000000001</v>
      </c>
      <c r="E217" s="4">
        <f>116.405115609417 * CHOOSE(CONTROL!$C$6, $C$13, 100%, $E$13) + CHOOSE(CONTROL!$C$25, 0, 0)</f>
        <v>116.405115609417</v>
      </c>
    </row>
    <row r="218" spans="1:5" ht="15">
      <c r="A218" s="13">
        <v>48488</v>
      </c>
      <c r="B218" s="4">
        <f>19.3506 * CHOOSE(CONTROL!$C$6, $C$13, 100%, $E$13) + CHOOSE(CONTROL!$C$25, 0.0003, 0)</f>
        <v>19.350899999999999</v>
      </c>
      <c r="C218" s="4">
        <f>19.0381 * CHOOSE(CONTROL!$C$6, $C$13, 100%, $E$13) + CHOOSE(CONTROL!$C$25, 0.0003, 0)</f>
        <v>19.038399999999999</v>
      </c>
      <c r="D218" s="4">
        <f>25.8479 * CHOOSE(CONTROL!$C$6, $C$13, 100%, $E$13) + CHOOSE(CONTROL!$C$25, 0, 0)</f>
        <v>25.847899999999999</v>
      </c>
      <c r="E218" s="4">
        <f>112.537502275253 * CHOOSE(CONTROL!$C$6, $C$13, 100%, $E$13) + CHOOSE(CONTROL!$C$25, 0, 0)</f>
        <v>112.537502275253</v>
      </c>
    </row>
    <row r="219" spans="1:5" ht="15">
      <c r="A219" s="13">
        <v>48519</v>
      </c>
      <c r="B219" s="4">
        <f>18.9637 * CHOOSE(CONTROL!$C$6, $C$13, 100%, $E$13) + CHOOSE(CONTROL!$C$25, 0.0003, 0)</f>
        <v>18.963999999999999</v>
      </c>
      <c r="C219" s="4">
        <f>18.6512 * CHOOSE(CONTROL!$C$6, $C$13, 100%, $E$13) + CHOOSE(CONTROL!$C$25, 0.0003, 0)</f>
        <v>18.651499999999999</v>
      </c>
      <c r="D219" s="4">
        <f>25.7286 * CHOOSE(CONTROL!$C$6, $C$13, 100%, $E$13) + CHOOSE(CONTROL!$C$25, 0, 0)</f>
        <v>25.7286</v>
      </c>
      <c r="E219" s="4">
        <f>110.04647047277 * CHOOSE(CONTROL!$C$6, $C$13, 100%, $E$13) + CHOOSE(CONTROL!$C$25, 0, 0)</f>
        <v>110.04647047277</v>
      </c>
    </row>
    <row r="220" spans="1:5" ht="15">
      <c r="A220" s="13">
        <v>48549</v>
      </c>
      <c r="B220" s="4">
        <f>18.6961 * CHOOSE(CONTROL!$C$6, $C$13, 100%, $E$13) + CHOOSE(CONTROL!$C$25, 0.0003, 0)</f>
        <v>18.696400000000001</v>
      </c>
      <c r="C220" s="4">
        <f>18.3836 * CHOOSE(CONTROL!$C$6, $C$13, 100%, $E$13) + CHOOSE(CONTROL!$C$25, 0.0003, 0)</f>
        <v>18.383900000000001</v>
      </c>
      <c r="D220" s="4">
        <f>24.851 * CHOOSE(CONTROL!$C$6, $C$13, 100%, $E$13) + CHOOSE(CONTROL!$C$25, 0, 0)</f>
        <v>24.850999999999999</v>
      </c>
      <c r="E220" s="4">
        <f>108.322996673698 * CHOOSE(CONTROL!$C$6, $C$13, 100%, $E$13) + CHOOSE(CONTROL!$C$25, 0, 0)</f>
        <v>108.322996673698</v>
      </c>
    </row>
    <row r="221" spans="1:5" ht="15">
      <c r="A221" s="13">
        <v>48580</v>
      </c>
      <c r="B221" s="4">
        <f>18.0305 * CHOOSE(CONTROL!$C$6, $C$13, 100%, $E$13) + CHOOSE(CONTROL!$C$25, 0.0003, 0)</f>
        <v>18.030799999999999</v>
      </c>
      <c r="C221" s="4">
        <f>17.718 * CHOOSE(CONTROL!$C$6, $C$13, 100%, $E$13) + CHOOSE(CONTROL!$C$25, 0.0003, 0)</f>
        <v>17.718299999999999</v>
      </c>
      <c r="D221" s="4">
        <f>23.8221 * CHOOSE(CONTROL!$C$6, $C$13, 100%, $E$13) + CHOOSE(CONTROL!$C$25, 0, 0)</f>
        <v>23.822099999999999</v>
      </c>
      <c r="E221" s="4">
        <f>104.003717476111 * CHOOSE(CONTROL!$C$6, $C$13, 100%, $E$13) + CHOOSE(CONTROL!$C$25, 0, 0)</f>
        <v>104.00371747611101</v>
      </c>
    </row>
    <row r="222" spans="1:5" ht="15">
      <c r="A222" s="13">
        <v>48611</v>
      </c>
      <c r="B222" s="4">
        <f>18.4141 * CHOOSE(CONTROL!$C$6, $C$13, 100%, $E$13) + CHOOSE(CONTROL!$C$25, 0.0003, 0)</f>
        <v>18.414400000000001</v>
      </c>
      <c r="C222" s="4">
        <f>18.1016 * CHOOSE(CONTROL!$C$6, $C$13, 100%, $E$13) + CHOOSE(CONTROL!$C$25, 0.0003, 0)</f>
        <v>18.101900000000001</v>
      </c>
      <c r="D222" s="4">
        <f>24.6266 * CHOOSE(CONTROL!$C$6, $C$13, 100%, $E$13) + CHOOSE(CONTROL!$C$25, 0, 0)</f>
        <v>24.6266</v>
      </c>
      <c r="E222" s="4">
        <f>106.473175598226 * CHOOSE(CONTROL!$C$6, $C$13, 100%, $E$13) + CHOOSE(CONTROL!$C$25, 0, 0)</f>
        <v>106.47317559822601</v>
      </c>
    </row>
    <row r="223" spans="1:5" ht="15">
      <c r="A223" s="13">
        <v>48639</v>
      </c>
      <c r="B223" s="4">
        <f>19.4215 * CHOOSE(CONTROL!$C$6, $C$13, 100%, $E$13) + CHOOSE(CONTROL!$C$25, 0.0003, 0)</f>
        <v>19.421800000000001</v>
      </c>
      <c r="C223" s="4">
        <f>19.109 * CHOOSE(CONTROL!$C$6, $C$13, 100%, $E$13) + CHOOSE(CONTROL!$C$25, 0.0003, 0)</f>
        <v>19.109300000000001</v>
      </c>
      <c r="D223" s="4">
        <f>25.8859 * CHOOSE(CONTROL!$C$6, $C$13, 100%, $E$13) + CHOOSE(CONTROL!$C$25, 0, 0)</f>
        <v>25.885899999999999</v>
      </c>
      <c r="E223" s="4">
        <f>112.958103861874 * CHOOSE(CONTROL!$C$6, $C$13, 100%, $E$13) + CHOOSE(CONTROL!$C$25, 0, 0)</f>
        <v>112.95810386187399</v>
      </c>
    </row>
    <row r="224" spans="1:5" ht="15">
      <c r="A224" s="13">
        <v>48670</v>
      </c>
      <c r="B224" s="4">
        <f>20.1372 * CHOOSE(CONTROL!$C$6, $C$13, 100%, $E$13) + CHOOSE(CONTROL!$C$25, 0.0003, 0)</f>
        <v>20.137499999999999</v>
      </c>
      <c r="C224" s="4">
        <f>19.8247 * CHOOSE(CONTROL!$C$6, $C$13, 100%, $E$13) + CHOOSE(CONTROL!$C$25, 0.0003, 0)</f>
        <v>19.824999999999999</v>
      </c>
      <c r="D224" s="4">
        <f>26.6113 * CHOOSE(CONTROL!$C$6, $C$13, 100%, $E$13) + CHOOSE(CONTROL!$C$25, 0, 0)</f>
        <v>26.6113</v>
      </c>
      <c r="E224" s="4">
        <f>117.565731816229 * CHOOSE(CONTROL!$C$6, $C$13, 100%, $E$13) + CHOOSE(CONTROL!$C$25, 0, 0)</f>
        <v>117.565731816229</v>
      </c>
    </row>
    <row r="225" spans="1:5" ht="15">
      <c r="A225" s="13">
        <v>48700</v>
      </c>
      <c r="B225" s="4">
        <f>20.5745 * CHOOSE(CONTROL!$C$6, $C$13, 100%, $E$13) + CHOOSE(CONTROL!$C$25, 0.0263, 0)</f>
        <v>20.6008</v>
      </c>
      <c r="C225" s="4">
        <f>20.262 * CHOOSE(CONTROL!$C$6, $C$13, 100%, $E$13) + CHOOSE(CONTROL!$C$25, 0.0263, 0)</f>
        <v>20.2883</v>
      </c>
      <c r="D225" s="4">
        <f>26.3247 * CHOOSE(CONTROL!$C$6, $C$13, 100%, $E$13) + CHOOSE(CONTROL!$C$25, 0, 0)</f>
        <v>26.3247</v>
      </c>
      <c r="E225" s="4">
        <f>120.38088206691 * CHOOSE(CONTROL!$C$6, $C$13, 100%, $E$13) + CHOOSE(CONTROL!$C$25, 0, 0)</f>
        <v>120.38088206691</v>
      </c>
    </row>
    <row r="226" spans="1:5" ht="15">
      <c r="A226" s="13">
        <v>48731</v>
      </c>
      <c r="B226" s="4">
        <f>20.6337 * CHOOSE(CONTROL!$C$6, $C$13, 100%, $E$13) + CHOOSE(CONTROL!$C$25, 0.0263, 0)</f>
        <v>20.66</v>
      </c>
      <c r="C226" s="4">
        <f>20.3212 * CHOOSE(CONTROL!$C$6, $C$13, 100%, $E$13) + CHOOSE(CONTROL!$C$25, 0.0263, 0)</f>
        <v>20.3475</v>
      </c>
      <c r="D226" s="4">
        <f>26.5581 * CHOOSE(CONTROL!$C$6, $C$13, 100%, $E$13) + CHOOSE(CONTROL!$C$25, 0, 0)</f>
        <v>26.5581</v>
      </c>
      <c r="E226" s="4">
        <f>120.76178357894 * CHOOSE(CONTROL!$C$6, $C$13, 100%, $E$13) + CHOOSE(CONTROL!$C$25, 0, 0)</f>
        <v>120.76178357894</v>
      </c>
    </row>
    <row r="227" spans="1:5" ht="15">
      <c r="A227" s="13">
        <v>48761</v>
      </c>
      <c r="B227" s="4">
        <f>20.6277 * CHOOSE(CONTROL!$C$6, $C$13, 100%, $E$13) + CHOOSE(CONTROL!$C$25, 0.0263, 0)</f>
        <v>20.654</v>
      </c>
      <c r="C227" s="4">
        <f>20.3152 * CHOOSE(CONTROL!$C$6, $C$13, 100%, $E$13) + CHOOSE(CONTROL!$C$25, 0.0263, 0)</f>
        <v>20.3415</v>
      </c>
      <c r="D227" s="4">
        <f>26.9793 * CHOOSE(CONTROL!$C$6, $C$13, 100%, $E$13) + CHOOSE(CONTROL!$C$25, 0, 0)</f>
        <v>26.979299999999999</v>
      </c>
      <c r="E227" s="4">
        <f>120.723373342433 * CHOOSE(CONTROL!$C$6, $C$13, 100%, $E$13) + CHOOSE(CONTROL!$C$25, 0, 0)</f>
        <v>120.72337334243301</v>
      </c>
    </row>
    <row r="228" spans="1:5" ht="15">
      <c r="A228" s="13">
        <v>48792</v>
      </c>
      <c r="B228" s="4">
        <f>21.0767 * CHOOSE(CONTROL!$C$6, $C$13, 100%, $E$13) + CHOOSE(CONTROL!$C$25, 0.0263, 0)</f>
        <v>21.102999999999998</v>
      </c>
      <c r="C228" s="4">
        <f>20.7642 * CHOOSE(CONTROL!$C$6, $C$13, 100%, $E$13) + CHOOSE(CONTROL!$C$25, 0.0263, 0)</f>
        <v>20.790499999999998</v>
      </c>
      <c r="D228" s="4">
        <f>26.7012 * CHOOSE(CONTROL!$C$6, $C$13, 100%, $E$13) + CHOOSE(CONTROL!$C$25, 0, 0)</f>
        <v>26.7012</v>
      </c>
      <c r="E228" s="4">
        <f>123.613743639607 * CHOOSE(CONTROL!$C$6, $C$13, 100%, $E$13) + CHOOSE(CONTROL!$C$25, 0, 0)</f>
        <v>123.61374363960699</v>
      </c>
    </row>
    <row r="229" spans="1:5" ht="15">
      <c r="A229" s="13">
        <v>48823</v>
      </c>
      <c r="B229" s="4">
        <f>20.3115 * CHOOSE(CONTROL!$C$6, $C$13, 100%, $E$13) + CHOOSE(CONTROL!$C$25, 0.0263, 0)</f>
        <v>20.337799999999998</v>
      </c>
      <c r="C229" s="4">
        <f>19.999 * CHOOSE(CONTROL!$C$6, $C$13, 100%, $E$13) + CHOOSE(CONTROL!$C$25, 0.0263, 0)</f>
        <v>20.025299999999998</v>
      </c>
      <c r="D229" s="4">
        <f>26.5697 * CHOOSE(CONTROL!$C$6, $C$13, 100%, $E$13) + CHOOSE(CONTROL!$C$25, 0, 0)</f>
        <v>26.569700000000001</v>
      </c>
      <c r="E229" s="4">
        <f>118.687630807546 * CHOOSE(CONTROL!$C$6, $C$13, 100%, $E$13) + CHOOSE(CONTROL!$C$25, 0, 0)</f>
        <v>118.687630807546</v>
      </c>
    </row>
    <row r="230" spans="1:5" ht="15">
      <c r="A230" s="13">
        <v>48853</v>
      </c>
      <c r="B230" s="4">
        <f>19.6989 * CHOOSE(CONTROL!$C$6, $C$13, 100%, $E$13) + CHOOSE(CONTROL!$C$25, 0.0003, 0)</f>
        <v>19.699199999999998</v>
      </c>
      <c r="C230" s="4">
        <f>19.3864 * CHOOSE(CONTROL!$C$6, $C$13, 100%, $E$13) + CHOOSE(CONTROL!$C$25, 0.0003, 0)</f>
        <v>19.386699999999998</v>
      </c>
      <c r="D230" s="4">
        <f>26.2178 * CHOOSE(CONTROL!$C$6, $C$13, 100%, $E$13) + CHOOSE(CONTROL!$C$25, 0, 0)</f>
        <v>26.2178</v>
      </c>
      <c r="E230" s="4">
        <f>114.744179859464 * CHOOSE(CONTROL!$C$6, $C$13, 100%, $E$13) + CHOOSE(CONTROL!$C$25, 0, 0)</f>
        <v>114.744179859464</v>
      </c>
    </row>
    <row r="231" spans="1:5" ht="15">
      <c r="A231" s="13">
        <v>48884</v>
      </c>
      <c r="B231" s="4">
        <f>19.3044 * CHOOSE(CONTROL!$C$6, $C$13, 100%, $E$13) + CHOOSE(CONTROL!$C$25, 0.0003, 0)</f>
        <v>19.3047</v>
      </c>
      <c r="C231" s="4">
        <f>18.9919 * CHOOSE(CONTROL!$C$6, $C$13, 100%, $E$13) + CHOOSE(CONTROL!$C$25, 0.0003, 0)</f>
        <v>18.9922</v>
      </c>
      <c r="D231" s="4">
        <f>26.0968 * CHOOSE(CONTROL!$C$6, $C$13, 100%, $E$13) + CHOOSE(CONTROL!$C$25, 0, 0)</f>
        <v>26.096800000000002</v>
      </c>
      <c r="E231" s="4">
        <f>112.204302970419 * CHOOSE(CONTROL!$C$6, $C$13, 100%, $E$13) + CHOOSE(CONTROL!$C$25, 0, 0)</f>
        <v>112.20430297041899</v>
      </c>
    </row>
    <row r="232" spans="1:5" ht="15">
      <c r="A232" s="13">
        <v>48914</v>
      </c>
      <c r="B232" s="4">
        <f>19.0314 * CHOOSE(CONTROL!$C$6, $C$13, 100%, $E$13) + CHOOSE(CONTROL!$C$25, 0.0003, 0)</f>
        <v>19.031700000000001</v>
      </c>
      <c r="C232" s="4">
        <f>18.7189 * CHOOSE(CONTROL!$C$6, $C$13, 100%, $E$13) + CHOOSE(CONTROL!$C$25, 0.0003, 0)</f>
        <v>18.719200000000001</v>
      </c>
      <c r="D232" s="4">
        <f>25.2061 * CHOOSE(CONTROL!$C$6, $C$13, 100%, $E$13) + CHOOSE(CONTROL!$C$25, 0, 0)</f>
        <v>25.206099999999999</v>
      </c>
      <c r="E232" s="4">
        <f>110.44703465021 * CHOOSE(CONTROL!$C$6, $C$13, 100%, $E$13) + CHOOSE(CONTROL!$C$25, 0, 0)</f>
        <v>110.44703465021</v>
      </c>
    </row>
    <row r="233" spans="1:5" ht="15">
      <c r="A233" s="13">
        <v>48945</v>
      </c>
      <c r="B233" s="4">
        <f>18.3516 * CHOOSE(CONTROL!$C$6, $C$13, 100%, $E$13) + CHOOSE(CONTROL!$C$25, 0.0003, 0)</f>
        <v>18.351900000000001</v>
      </c>
      <c r="C233" s="4">
        <f>18.0391 * CHOOSE(CONTROL!$C$6, $C$13, 100%, $E$13) + CHOOSE(CONTROL!$C$25, 0.0003, 0)</f>
        <v>18.039400000000001</v>
      </c>
      <c r="D233" s="4">
        <f>24.1628 * CHOOSE(CONTROL!$C$6, $C$13, 100%, $E$13) + CHOOSE(CONTROL!$C$25, 0, 0)</f>
        <v>24.162800000000001</v>
      </c>
      <c r="E233" s="4">
        <f>106.042650896879 * CHOOSE(CONTROL!$C$6, $C$13, 100%, $E$13) + CHOOSE(CONTROL!$C$25, 0, 0)</f>
        <v>106.042650896879</v>
      </c>
    </row>
    <row r="234" spans="1:5" ht="15">
      <c r="A234" s="13">
        <v>48976</v>
      </c>
      <c r="B234" s="4">
        <f>18.7429 * CHOOSE(CONTROL!$C$6, $C$13, 100%, $E$13) + CHOOSE(CONTROL!$C$25, 0.0003, 0)</f>
        <v>18.743199999999998</v>
      </c>
      <c r="C234" s="4">
        <f>18.4304 * CHOOSE(CONTROL!$C$6, $C$13, 100%, $E$13) + CHOOSE(CONTROL!$C$25, 0.0003, 0)</f>
        <v>18.430699999999998</v>
      </c>
      <c r="D234" s="4">
        <f>24.9793 * CHOOSE(CONTROL!$C$6, $C$13, 100%, $E$13) + CHOOSE(CONTROL!$C$25, 0, 0)</f>
        <v>24.979299999999999</v>
      </c>
      <c r="E234" s="4">
        <f>108.560521333655 * CHOOSE(CONTROL!$C$6, $C$13, 100%, $E$13) + CHOOSE(CONTROL!$C$25, 0, 0)</f>
        <v>108.560521333655</v>
      </c>
    </row>
    <row r="235" spans="1:5" ht="15">
      <c r="A235" s="13">
        <v>49004</v>
      </c>
      <c r="B235" s="4">
        <f>19.7702 * CHOOSE(CONTROL!$C$6, $C$13, 100%, $E$13) + CHOOSE(CONTROL!$C$25, 0.0003, 0)</f>
        <v>19.770499999999998</v>
      </c>
      <c r="C235" s="4">
        <f>19.4577 * CHOOSE(CONTROL!$C$6, $C$13, 100%, $E$13) + CHOOSE(CONTROL!$C$25, 0.0003, 0)</f>
        <v>19.457999999999998</v>
      </c>
      <c r="D235" s="4">
        <f>26.2575 * CHOOSE(CONTROL!$C$6, $C$13, 100%, $E$13) + CHOOSE(CONTROL!$C$25, 0, 0)</f>
        <v>26.2575</v>
      </c>
      <c r="E235" s="4">
        <f>115.17258290839 * CHOOSE(CONTROL!$C$6, $C$13, 100%, $E$13) + CHOOSE(CONTROL!$C$25, 0, 0)</f>
        <v>115.17258290839</v>
      </c>
    </row>
    <row r="236" spans="1:5" ht="15">
      <c r="A236" s="13">
        <v>49035</v>
      </c>
      <c r="B236" s="4">
        <f>20.5002 * CHOOSE(CONTROL!$C$6, $C$13, 100%, $E$13) + CHOOSE(CONTROL!$C$25, 0.0003, 0)</f>
        <v>20.500499999999999</v>
      </c>
      <c r="C236" s="4">
        <f>20.1877 * CHOOSE(CONTROL!$C$6, $C$13, 100%, $E$13) + CHOOSE(CONTROL!$C$25, 0.0003, 0)</f>
        <v>20.187999999999999</v>
      </c>
      <c r="D236" s="4">
        <f>26.9937 * CHOOSE(CONTROL!$C$6, $C$13, 100%, $E$13) + CHOOSE(CONTROL!$C$25, 0, 0)</f>
        <v>26.9937</v>
      </c>
      <c r="E236" s="4">
        <f>119.870540774545 * CHOOSE(CONTROL!$C$6, $C$13, 100%, $E$13) + CHOOSE(CONTROL!$C$25, 0, 0)</f>
        <v>119.87054077454501</v>
      </c>
    </row>
    <row r="237" spans="1:5" ht="15">
      <c r="A237" s="13">
        <v>49065</v>
      </c>
      <c r="B237" s="4">
        <f>20.9462 * CHOOSE(CONTROL!$C$6, $C$13, 100%, $E$13) + CHOOSE(CONTROL!$C$25, 0.0263, 0)</f>
        <v>20.9725</v>
      </c>
      <c r="C237" s="4">
        <f>20.6337 * CHOOSE(CONTROL!$C$6, $C$13, 100%, $E$13) + CHOOSE(CONTROL!$C$25, 0.0263, 0)</f>
        <v>20.66</v>
      </c>
      <c r="D237" s="4">
        <f>26.7028 * CHOOSE(CONTROL!$C$6, $C$13, 100%, $E$13) + CHOOSE(CONTROL!$C$25, 0, 0)</f>
        <v>26.7028</v>
      </c>
      <c r="E237" s="4">
        <f>122.74088043643 * CHOOSE(CONTROL!$C$6, $C$13, 100%, $E$13) + CHOOSE(CONTROL!$C$25, 0, 0)</f>
        <v>122.74088043643</v>
      </c>
    </row>
    <row r="238" spans="1:5" ht="15">
      <c r="A238" s="13">
        <v>49096</v>
      </c>
      <c r="B238" s="4">
        <f>21.0065 * CHOOSE(CONTROL!$C$6, $C$13, 100%, $E$13) + CHOOSE(CONTROL!$C$25, 0.0263, 0)</f>
        <v>21.032799999999998</v>
      </c>
      <c r="C238" s="4">
        <f>20.694 * CHOOSE(CONTROL!$C$6, $C$13, 100%, $E$13) + CHOOSE(CONTROL!$C$25, 0.0263, 0)</f>
        <v>20.720299999999998</v>
      </c>
      <c r="D238" s="4">
        <f>26.9397 * CHOOSE(CONTROL!$C$6, $C$13, 100%, $E$13) + CHOOSE(CONTROL!$C$25, 0, 0)</f>
        <v>26.939699999999998</v>
      </c>
      <c r="E238" s="4">
        <f>123.129249304838 * CHOOSE(CONTROL!$C$6, $C$13, 100%, $E$13) + CHOOSE(CONTROL!$C$25, 0, 0)</f>
        <v>123.129249304838</v>
      </c>
    </row>
    <row r="239" spans="1:5" ht="15">
      <c r="A239" s="13">
        <v>49126</v>
      </c>
      <c r="B239" s="4">
        <f>21.0004 * CHOOSE(CONTROL!$C$6, $C$13, 100%, $E$13) + CHOOSE(CONTROL!$C$25, 0.0263, 0)</f>
        <v>21.026699999999998</v>
      </c>
      <c r="C239" s="4">
        <f>20.6879 * CHOOSE(CONTROL!$C$6, $C$13, 100%, $E$13) + CHOOSE(CONTROL!$C$25, 0.0263, 0)</f>
        <v>20.714199999999998</v>
      </c>
      <c r="D239" s="4">
        <f>27.3672 * CHOOSE(CONTROL!$C$6, $C$13, 100%, $E$13) + CHOOSE(CONTROL!$C$25, 0, 0)</f>
        <v>27.3672</v>
      </c>
      <c r="E239" s="4">
        <f>123.090086057603 * CHOOSE(CONTROL!$C$6, $C$13, 100%, $E$13) + CHOOSE(CONTROL!$C$25, 0, 0)</f>
        <v>123.090086057603</v>
      </c>
    </row>
    <row r="240" spans="1:5" ht="15">
      <c r="A240" s="13">
        <v>49157</v>
      </c>
      <c r="B240" s="4">
        <f>21.4583 * CHOOSE(CONTROL!$C$6, $C$13, 100%, $E$13) + CHOOSE(CONTROL!$C$25, 0.0263, 0)</f>
        <v>21.4846</v>
      </c>
      <c r="C240" s="4">
        <f>21.1458 * CHOOSE(CONTROL!$C$6, $C$13, 100%, $E$13) + CHOOSE(CONTROL!$C$25, 0.0263, 0)</f>
        <v>21.1721</v>
      </c>
      <c r="D240" s="4">
        <f>27.0849 * CHOOSE(CONTROL!$C$6, $C$13, 100%, $E$13) + CHOOSE(CONTROL!$C$25, 0, 0)</f>
        <v>27.084900000000001</v>
      </c>
      <c r="E240" s="4">
        <f>126.037120411989 * CHOOSE(CONTROL!$C$6, $C$13, 100%, $E$13) + CHOOSE(CONTROL!$C$25, 0, 0)</f>
        <v>126.03712041198899</v>
      </c>
    </row>
    <row r="241" spans="1:5" ht="15">
      <c r="A241" s="13">
        <v>49188</v>
      </c>
      <c r="B241" s="4">
        <f>20.6779 * CHOOSE(CONTROL!$C$6, $C$13, 100%, $E$13) + CHOOSE(CONTROL!$C$25, 0.0263, 0)</f>
        <v>20.7042</v>
      </c>
      <c r="C241" s="4">
        <f>20.3654 * CHOOSE(CONTROL!$C$6, $C$13, 100%, $E$13) + CHOOSE(CONTROL!$C$25, 0.0263, 0)</f>
        <v>20.3917</v>
      </c>
      <c r="D241" s="4">
        <f>26.9515 * CHOOSE(CONTROL!$C$6, $C$13, 100%, $E$13) + CHOOSE(CONTROL!$C$25, 0, 0)</f>
        <v>26.951499999999999</v>
      </c>
      <c r="E241" s="4">
        <f>121.014433954182 * CHOOSE(CONTROL!$C$6, $C$13, 100%, $E$13) + CHOOSE(CONTROL!$C$25, 0, 0)</f>
        <v>121.014433954182</v>
      </c>
    </row>
    <row r="242" spans="1:5" ht="15">
      <c r="A242" s="13">
        <v>49218</v>
      </c>
      <c r="B242" s="4">
        <f>20.0532 * CHOOSE(CONTROL!$C$6, $C$13, 100%, $E$13) + CHOOSE(CONTROL!$C$25, 0.0003, 0)</f>
        <v>20.0535</v>
      </c>
      <c r="C242" s="4">
        <f>19.7407 * CHOOSE(CONTROL!$C$6, $C$13, 100%, $E$13) + CHOOSE(CONTROL!$C$25, 0.0003, 0)</f>
        <v>19.741</v>
      </c>
      <c r="D242" s="4">
        <f>26.5943 * CHOOSE(CONTROL!$C$6, $C$13, 100%, $E$13) + CHOOSE(CONTROL!$C$25, 0, 0)</f>
        <v>26.5943</v>
      </c>
      <c r="E242" s="4">
        <f>116.993673904787 * CHOOSE(CONTROL!$C$6, $C$13, 100%, $E$13) + CHOOSE(CONTROL!$C$25, 0, 0)</f>
        <v>116.993673904787</v>
      </c>
    </row>
    <row r="243" spans="1:5" ht="15">
      <c r="A243" s="13">
        <v>49249</v>
      </c>
      <c r="B243" s="4">
        <f>19.6508 * CHOOSE(CONTROL!$C$6, $C$13, 100%, $E$13) + CHOOSE(CONTROL!$C$25, 0.0003, 0)</f>
        <v>19.6511</v>
      </c>
      <c r="C243" s="4">
        <f>19.3383 * CHOOSE(CONTROL!$C$6, $C$13, 100%, $E$13) + CHOOSE(CONTROL!$C$25, 0.0003, 0)</f>
        <v>19.3386</v>
      </c>
      <c r="D243" s="4">
        <f>26.4715 * CHOOSE(CONTROL!$C$6, $C$13, 100%, $E$13) + CHOOSE(CONTROL!$C$25, 0, 0)</f>
        <v>26.471499999999999</v>
      </c>
      <c r="E243" s="4">
        <f>114.404004181415 * CHOOSE(CONTROL!$C$6, $C$13, 100%, $E$13) + CHOOSE(CONTROL!$C$25, 0, 0)</f>
        <v>114.404004181415</v>
      </c>
    </row>
    <row r="244" spans="1:5" ht="15">
      <c r="A244" s="13">
        <v>49279</v>
      </c>
      <c r="B244" s="4">
        <f>19.3724 * CHOOSE(CONTROL!$C$6, $C$13, 100%, $E$13) + CHOOSE(CONTROL!$C$25, 0.0003, 0)</f>
        <v>19.372699999999998</v>
      </c>
      <c r="C244" s="4">
        <f>19.0599 * CHOOSE(CONTROL!$C$6, $C$13, 100%, $E$13) + CHOOSE(CONTROL!$C$25, 0.0003, 0)</f>
        <v>19.060199999999998</v>
      </c>
      <c r="D244" s="4">
        <f>25.5675 * CHOOSE(CONTROL!$C$6, $C$13, 100%, $E$13) + CHOOSE(CONTROL!$C$25, 0, 0)</f>
        <v>25.567499999999999</v>
      </c>
      <c r="E244" s="4">
        <f>112.612285620443 * CHOOSE(CONTROL!$C$6, $C$13, 100%, $E$13) + CHOOSE(CONTROL!$C$25, 0, 0)</f>
        <v>112.612285620443</v>
      </c>
    </row>
    <row r="245" spans="1:5" ht="15">
      <c r="A245" s="13">
        <v>49310</v>
      </c>
      <c r="B245" s="4">
        <f>18.6798 * CHOOSE(CONTROL!$C$6, $C$13, 100%, $E$13) + CHOOSE(CONTROL!$C$25, 0.0003, 0)</f>
        <v>18.680099999999999</v>
      </c>
      <c r="C245" s="4">
        <f>18.3673 * CHOOSE(CONTROL!$C$6, $C$13, 100%, $E$13) + CHOOSE(CONTROL!$C$25, 0.0003, 0)</f>
        <v>18.367599999999999</v>
      </c>
      <c r="D245" s="4">
        <f>24.5365 * CHOOSE(CONTROL!$C$6, $C$13, 100%, $E$13) + CHOOSE(CONTROL!$C$25, 0, 0)</f>
        <v>24.5365</v>
      </c>
      <c r="E245" s="4">
        <f>108.123602384743 * CHOOSE(CONTROL!$C$6, $C$13, 100%, $E$13) + CHOOSE(CONTROL!$C$25, 0, 0)</f>
        <v>108.12360238474299</v>
      </c>
    </row>
    <row r="246" spans="1:5" ht="15">
      <c r="A246" s="13">
        <v>49341</v>
      </c>
      <c r="B246" s="4">
        <f>19.0788 * CHOOSE(CONTROL!$C$6, $C$13, 100%, $E$13) + CHOOSE(CONTROL!$C$25, 0.0003, 0)</f>
        <v>19.0791</v>
      </c>
      <c r="C246" s="4">
        <f>18.7663 * CHOOSE(CONTROL!$C$6, $C$13, 100%, $E$13) + CHOOSE(CONTROL!$C$25, 0.0003, 0)</f>
        <v>18.7666</v>
      </c>
      <c r="D246" s="4">
        <f>25.3661 * CHOOSE(CONTROL!$C$6, $C$13, 100%, $E$13) + CHOOSE(CONTROL!$C$25, 0, 0)</f>
        <v>25.366099999999999</v>
      </c>
      <c r="E246" s="4">
        <f>110.690882810682 * CHOOSE(CONTROL!$C$6, $C$13, 100%, $E$13) + CHOOSE(CONTROL!$C$25, 0, 0)</f>
        <v>110.690882810682</v>
      </c>
    </row>
    <row r="247" spans="1:5" ht="15">
      <c r="A247" s="13">
        <v>49369</v>
      </c>
      <c r="B247" s="4">
        <f>20.1266 * CHOOSE(CONTROL!$C$6, $C$13, 100%, $E$13) + CHOOSE(CONTROL!$C$25, 0.0003, 0)</f>
        <v>20.126899999999999</v>
      </c>
      <c r="C247" s="4">
        <f>19.8141 * CHOOSE(CONTROL!$C$6, $C$13, 100%, $E$13) + CHOOSE(CONTROL!$C$25, 0.0003, 0)</f>
        <v>19.814399999999999</v>
      </c>
      <c r="D247" s="4">
        <f>26.6649 * CHOOSE(CONTROL!$C$6, $C$13, 100%, $E$13) + CHOOSE(CONTROL!$C$25, 0, 0)</f>
        <v>26.664899999999999</v>
      </c>
      <c r="E247" s="4">
        <f>117.432697642766 * CHOOSE(CONTROL!$C$6, $C$13, 100%, $E$13) + CHOOSE(CONTROL!$C$25, 0, 0)</f>
        <v>117.432697642766</v>
      </c>
    </row>
    <row r="248" spans="1:5" ht="15">
      <c r="A248" s="13">
        <v>49400</v>
      </c>
      <c r="B248" s="4">
        <f>20.8711 * CHOOSE(CONTROL!$C$6, $C$13, 100%, $E$13) + CHOOSE(CONTROL!$C$25, 0.0003, 0)</f>
        <v>20.871399999999998</v>
      </c>
      <c r="C248" s="4">
        <f>20.5586 * CHOOSE(CONTROL!$C$6, $C$13, 100%, $E$13) + CHOOSE(CONTROL!$C$25, 0.0003, 0)</f>
        <v>20.558899999999998</v>
      </c>
      <c r="D248" s="4">
        <f>27.4131 * CHOOSE(CONTROL!$C$6, $C$13, 100%, $E$13) + CHOOSE(CONTROL!$C$25, 0, 0)</f>
        <v>27.4131</v>
      </c>
      <c r="E248" s="4">
        <f>122.222846927458 * CHOOSE(CONTROL!$C$6, $C$13, 100%, $E$13) + CHOOSE(CONTROL!$C$25, 0, 0)</f>
        <v>122.22284692745799</v>
      </c>
    </row>
    <row r="249" spans="1:5" ht="15">
      <c r="A249" s="13">
        <v>49430</v>
      </c>
      <c r="B249" s="4">
        <f>21.326 * CHOOSE(CONTROL!$C$6, $C$13, 100%, $E$13) + CHOOSE(CONTROL!$C$25, 0.0263, 0)</f>
        <v>21.3523</v>
      </c>
      <c r="C249" s="4">
        <f>21.0135 * CHOOSE(CONTROL!$C$6, $C$13, 100%, $E$13) + CHOOSE(CONTROL!$C$25, 0.0263, 0)</f>
        <v>21.0398</v>
      </c>
      <c r="D249" s="4">
        <f>27.1174 * CHOOSE(CONTROL!$C$6, $C$13, 100%, $E$13) + CHOOSE(CONTROL!$C$25, 0, 0)</f>
        <v>27.1174</v>
      </c>
      <c r="E249" s="4">
        <f>125.149513336548 * CHOOSE(CONTROL!$C$6, $C$13, 100%, $E$13) + CHOOSE(CONTROL!$C$25, 0, 0)</f>
        <v>125.149513336548</v>
      </c>
    </row>
    <row r="250" spans="1:5" ht="15">
      <c r="A250" s="14">
        <v>49461</v>
      </c>
      <c r="B250" s="4">
        <f>21.3875 * CHOOSE(CONTROL!$C$6, $C$13, 100%, $E$13) + CHOOSE(CONTROL!$C$25, 0.0263, 0)</f>
        <v>21.413799999999998</v>
      </c>
      <c r="C250" s="4">
        <f>21.075 * CHOOSE(CONTROL!$C$6, $C$13, 100%, $E$13) + CHOOSE(CONTROL!$C$25, 0.0263, 0)</f>
        <v>21.101299999999998</v>
      </c>
      <c r="D250" s="4">
        <f>27.3582 * CHOOSE(CONTROL!$C$6, $C$13, 100%, $E$13) + CHOOSE(CONTROL!$C$25, 0, 0)</f>
        <v>27.3582</v>
      </c>
      <c r="E250" s="4">
        <f>125.545503447614 * CHOOSE(CONTROL!$C$6, $C$13, 100%, $E$13) + CHOOSE(CONTROL!$C$25, 0, 0)</f>
        <v>125.545503447614</v>
      </c>
    </row>
    <row r="251" spans="1:5" ht="15">
      <c r="A251" s="14">
        <v>49491</v>
      </c>
      <c r="B251" s="4">
        <f>21.3813 * CHOOSE(CONTROL!$C$6, $C$13, 100%, $E$13) + CHOOSE(CONTROL!$C$25, 0.0263, 0)</f>
        <v>21.407599999999999</v>
      </c>
      <c r="C251" s="4">
        <f>21.0688 * CHOOSE(CONTROL!$C$6, $C$13, 100%, $E$13) + CHOOSE(CONTROL!$C$25, 0.0263, 0)</f>
        <v>21.095099999999999</v>
      </c>
      <c r="D251" s="4">
        <f>27.7926 * CHOOSE(CONTROL!$C$6, $C$13, 100%, $E$13) + CHOOSE(CONTROL!$C$25, 0, 0)</f>
        <v>27.7926</v>
      </c>
      <c r="E251" s="4">
        <f>125.505571671708 * CHOOSE(CONTROL!$C$6, $C$13, 100%, $E$13) + CHOOSE(CONTROL!$C$25, 0, 0)</f>
        <v>125.505571671708</v>
      </c>
    </row>
    <row r="252" spans="1:5" ht="15">
      <c r="A252" s="14">
        <v>49522</v>
      </c>
      <c r="B252" s="4">
        <f>21.8484 * CHOOSE(CONTROL!$C$6, $C$13, 100%, $E$13) + CHOOSE(CONTROL!$C$25, 0.0263, 0)</f>
        <v>21.874700000000001</v>
      </c>
      <c r="C252" s="4">
        <f>21.5359 * CHOOSE(CONTROL!$C$6, $C$13, 100%, $E$13) + CHOOSE(CONTROL!$C$25, 0.0263, 0)</f>
        <v>21.562200000000001</v>
      </c>
      <c r="D252" s="4">
        <f>27.5057 * CHOOSE(CONTROL!$C$6, $C$13, 100%, $E$13) + CHOOSE(CONTROL!$C$25, 0, 0)</f>
        <v>27.505700000000001</v>
      </c>
      <c r="E252" s="4">
        <f>128.510437808614 * CHOOSE(CONTROL!$C$6, $C$13, 100%, $E$13) + CHOOSE(CONTROL!$C$25, 0, 0)</f>
        <v>128.510437808614</v>
      </c>
    </row>
    <row r="253" spans="1:5" ht="15">
      <c r="A253" s="14">
        <v>49553</v>
      </c>
      <c r="B253" s="4">
        <f>21.0524 * CHOOSE(CONTROL!$C$6, $C$13, 100%, $E$13) + CHOOSE(CONTROL!$C$25, 0.0263, 0)</f>
        <v>21.078699999999998</v>
      </c>
      <c r="C253" s="4">
        <f>20.7399 * CHOOSE(CONTROL!$C$6, $C$13, 100%, $E$13) + CHOOSE(CONTROL!$C$25, 0.0263, 0)</f>
        <v>20.766199999999998</v>
      </c>
      <c r="D253" s="4">
        <f>27.3702 * CHOOSE(CONTROL!$C$6, $C$13, 100%, $E$13) + CHOOSE(CONTROL!$C$25, 0, 0)</f>
        <v>27.370200000000001</v>
      </c>
      <c r="E253" s="4">
        <f>123.389187548704 * CHOOSE(CONTROL!$C$6, $C$13, 100%, $E$13) + CHOOSE(CONTROL!$C$25, 0, 0)</f>
        <v>123.389187548704</v>
      </c>
    </row>
    <row r="254" spans="1:5" ht="15">
      <c r="A254" s="14">
        <v>49583</v>
      </c>
      <c r="B254" s="4">
        <f>20.4152 * CHOOSE(CONTROL!$C$6, $C$13, 100%, $E$13) + CHOOSE(CONTROL!$C$25, 0.0003, 0)</f>
        <v>20.415499999999998</v>
      </c>
      <c r="C254" s="4">
        <f>20.1027 * CHOOSE(CONTROL!$C$6, $C$13, 100%, $E$13) + CHOOSE(CONTROL!$C$25, 0.0003, 0)</f>
        <v>20.102999999999998</v>
      </c>
      <c r="D254" s="4">
        <f>27.0072 * CHOOSE(CONTROL!$C$6, $C$13, 100%, $E$13) + CHOOSE(CONTROL!$C$25, 0, 0)</f>
        <v>27.007200000000001</v>
      </c>
      <c r="E254" s="4">
        <f>119.289525222383 * CHOOSE(CONTROL!$C$6, $C$13, 100%, $E$13) + CHOOSE(CONTROL!$C$25, 0, 0)</f>
        <v>119.28952522238301</v>
      </c>
    </row>
    <row r="255" spans="1:5" ht="15">
      <c r="A255" s="14">
        <v>49614</v>
      </c>
      <c r="B255" s="4">
        <f>20.0048 * CHOOSE(CONTROL!$C$6, $C$13, 100%, $E$13) + CHOOSE(CONTROL!$C$25, 0.0003, 0)</f>
        <v>20.005099999999999</v>
      </c>
      <c r="C255" s="4">
        <f>19.6923 * CHOOSE(CONTROL!$C$6, $C$13, 100%, $E$13) + CHOOSE(CONTROL!$C$25, 0.0003, 0)</f>
        <v>19.692599999999999</v>
      </c>
      <c r="D255" s="4">
        <f>26.8824 * CHOOSE(CONTROL!$C$6, $C$13, 100%, $E$13) + CHOOSE(CONTROL!$C$25, 0, 0)</f>
        <v>26.882400000000001</v>
      </c>
      <c r="E255" s="4">
        <f>116.649036540616 * CHOOSE(CONTROL!$C$6, $C$13, 100%, $E$13) + CHOOSE(CONTROL!$C$25, 0, 0)</f>
        <v>116.649036540616</v>
      </c>
    </row>
    <row r="256" spans="1:5" ht="15">
      <c r="A256" s="14">
        <v>49644</v>
      </c>
      <c r="B256" s="4">
        <f>19.7209 * CHOOSE(CONTROL!$C$6, $C$13, 100%, $E$13) + CHOOSE(CONTROL!$C$25, 0.0003, 0)</f>
        <v>19.7212</v>
      </c>
      <c r="C256" s="4">
        <f>19.4084 * CHOOSE(CONTROL!$C$6, $C$13, 100%, $E$13) + CHOOSE(CONTROL!$C$25, 0.0003, 0)</f>
        <v>19.4087</v>
      </c>
      <c r="D256" s="4">
        <f>25.9638 * CHOOSE(CONTROL!$C$6, $C$13, 100%, $E$13) + CHOOSE(CONTROL!$C$25, 0, 0)</f>
        <v>25.963799999999999</v>
      </c>
      <c r="E256" s="4">
        <f>114.822157792929 * CHOOSE(CONTROL!$C$6, $C$13, 100%, $E$13) + CHOOSE(CONTROL!$C$25, 0, 0)</f>
        <v>114.822157792929</v>
      </c>
    </row>
    <row r="257" spans="1:5" ht="15">
      <c r="A257" s="14">
        <v>49675</v>
      </c>
      <c r="B257" s="4">
        <f>19.2596 * CHOOSE(CONTROL!$C$6, $C$13, 100%, $E$13) + CHOOSE(CONTROL!$C$25, 0.0003, 0)</f>
        <v>19.259899999999998</v>
      </c>
      <c r="C257" s="4">
        <f>18.9471 * CHOOSE(CONTROL!$C$6, $C$13, 100%, $E$13) + CHOOSE(CONTROL!$C$25, 0.0003, 0)</f>
        <v>18.947399999999998</v>
      </c>
      <c r="D257" s="4">
        <f>25.1195 * CHOOSE(CONTROL!$C$6, $C$13, 100%, $E$13) + CHOOSE(CONTROL!$C$25, 0, 0)</f>
        <v>25.119499999999999</v>
      </c>
      <c r="E257" s="4">
        <f>111.529495859862 * CHOOSE(CONTROL!$C$6, $C$13, 100%, $E$13) + CHOOSE(CONTROL!$C$25, 0, 0)</f>
        <v>111.529495859862</v>
      </c>
    </row>
    <row r="258" spans="1:5" ht="15">
      <c r="A258" s="14">
        <v>49706</v>
      </c>
      <c r="B258" s="4">
        <f>19.6723 * CHOOSE(CONTROL!$C$6, $C$13, 100%, $E$13) + CHOOSE(CONTROL!$C$25, 0.0003, 0)</f>
        <v>19.672599999999999</v>
      </c>
      <c r="C258" s="4">
        <f>19.3598 * CHOOSE(CONTROL!$C$6, $C$13, 100%, $E$13) + CHOOSE(CONTROL!$C$25, 0.0003, 0)</f>
        <v>19.360099999999999</v>
      </c>
      <c r="D258" s="4">
        <f>25.9697 * CHOOSE(CONTROL!$C$6, $C$13, 100%, $E$13) + CHOOSE(CONTROL!$C$25, 0, 0)</f>
        <v>25.9697</v>
      </c>
      <c r="E258" s="4">
        <f>114.177645619219 * CHOOSE(CONTROL!$C$6, $C$13, 100%, $E$13) + CHOOSE(CONTROL!$C$25, 0, 0)</f>
        <v>114.17764561921901</v>
      </c>
    </row>
    <row r="259" spans="1:5" ht="15">
      <c r="A259" s="14">
        <v>49735</v>
      </c>
      <c r="B259" s="4">
        <f>20.7563 * CHOOSE(CONTROL!$C$6, $C$13, 100%, $E$13) + CHOOSE(CONTROL!$C$25, 0.0003, 0)</f>
        <v>20.756599999999999</v>
      </c>
      <c r="C259" s="4">
        <f>20.4438 * CHOOSE(CONTROL!$C$6, $C$13, 100%, $E$13) + CHOOSE(CONTROL!$C$25, 0.0003, 0)</f>
        <v>20.444099999999999</v>
      </c>
      <c r="D259" s="4">
        <f>27.3007 * CHOOSE(CONTROL!$C$6, $C$13, 100%, $E$13) + CHOOSE(CONTROL!$C$25, 0, 0)</f>
        <v>27.300699999999999</v>
      </c>
      <c r="E259" s="4">
        <f>121.131827618513 * CHOOSE(CONTROL!$C$6, $C$13, 100%, $E$13) + CHOOSE(CONTROL!$C$25, 0, 0)</f>
        <v>121.131827618513</v>
      </c>
    </row>
    <row r="260" spans="1:5" ht="15">
      <c r="A260" s="14">
        <v>49766</v>
      </c>
      <c r="B260" s="4">
        <f>21.5265 * CHOOSE(CONTROL!$C$6, $C$13, 100%, $E$13) + CHOOSE(CONTROL!$C$25, 0.0003, 0)</f>
        <v>21.526799999999998</v>
      </c>
      <c r="C260" s="4">
        <f>21.214 * CHOOSE(CONTROL!$C$6, $C$13, 100%, $E$13) + CHOOSE(CONTROL!$C$25, 0.0003, 0)</f>
        <v>21.214299999999998</v>
      </c>
      <c r="D260" s="4">
        <f>28.0674 * CHOOSE(CONTROL!$C$6, $C$13, 100%, $E$13) + CHOOSE(CONTROL!$C$25, 0, 0)</f>
        <v>28.067399999999999</v>
      </c>
      <c r="E260" s="4">
        <f>126.072866605673 * CHOOSE(CONTROL!$C$6, $C$13, 100%, $E$13) + CHOOSE(CONTROL!$C$25, 0, 0)</f>
        <v>126.072866605673</v>
      </c>
    </row>
    <row r="261" spans="1:5" ht="15">
      <c r="A261" s="14">
        <v>49796</v>
      </c>
      <c r="B261" s="4">
        <f>21.9971 * CHOOSE(CONTROL!$C$6, $C$13, 100%, $E$13) + CHOOSE(CONTROL!$C$25, 0.0263, 0)</f>
        <v>22.023399999999999</v>
      </c>
      <c r="C261" s="4">
        <f>21.6846 * CHOOSE(CONTROL!$C$6, $C$13, 100%, $E$13) + CHOOSE(CONTROL!$C$25, 0.0263, 0)</f>
        <v>21.710899999999999</v>
      </c>
      <c r="D261" s="4">
        <f>27.7644 * CHOOSE(CONTROL!$C$6, $C$13, 100%, $E$13) + CHOOSE(CONTROL!$C$25, 0, 0)</f>
        <v>27.764399999999998</v>
      </c>
      <c r="E261" s="4">
        <f>129.09172300665 * CHOOSE(CONTROL!$C$6, $C$13, 100%, $E$13) + CHOOSE(CONTROL!$C$25, 0, 0)</f>
        <v>129.09172300665</v>
      </c>
    </row>
    <row r="262" spans="1:5" ht="15">
      <c r="A262" s="14">
        <v>49827</v>
      </c>
      <c r="B262" s="4">
        <f>22.0607 * CHOOSE(CONTROL!$C$6, $C$13, 100%, $E$13) + CHOOSE(CONTROL!$C$25, 0.0263, 0)</f>
        <v>22.087</v>
      </c>
      <c r="C262" s="4">
        <f>21.7482 * CHOOSE(CONTROL!$C$6, $C$13, 100%, $E$13) + CHOOSE(CONTROL!$C$25, 0.0263, 0)</f>
        <v>21.7745</v>
      </c>
      <c r="D262" s="4">
        <f>28.0112 * CHOOSE(CONTROL!$C$6, $C$13, 100%, $E$13) + CHOOSE(CONTROL!$C$25, 0, 0)</f>
        <v>28.011199999999999</v>
      </c>
      <c r="E262" s="4">
        <f>129.500186806213 * CHOOSE(CONTROL!$C$6, $C$13, 100%, $E$13) + CHOOSE(CONTROL!$C$25, 0, 0)</f>
        <v>129.50018680621301</v>
      </c>
    </row>
    <row r="263" spans="1:5" ht="15">
      <c r="A263" s="14">
        <v>49857</v>
      </c>
      <c r="B263" s="4">
        <f>22.0543 * CHOOSE(CONTROL!$C$6, $C$13, 100%, $E$13) + CHOOSE(CONTROL!$C$25, 0.0263, 0)</f>
        <v>22.0806</v>
      </c>
      <c r="C263" s="4">
        <f>21.7418 * CHOOSE(CONTROL!$C$6, $C$13, 100%, $E$13) + CHOOSE(CONTROL!$C$25, 0.0263, 0)</f>
        <v>21.7681</v>
      </c>
      <c r="D263" s="4">
        <f>28.4564 * CHOOSE(CONTROL!$C$6, $C$13, 100%, $E$13) + CHOOSE(CONTROL!$C$25, 0, 0)</f>
        <v>28.456399999999999</v>
      </c>
      <c r="E263" s="4">
        <f>129.458997179367 * CHOOSE(CONTROL!$C$6, $C$13, 100%, $E$13) + CHOOSE(CONTROL!$C$25, 0, 0)</f>
        <v>129.458997179367</v>
      </c>
    </row>
    <row r="264" spans="1:5" ht="15">
      <c r="A264" s="14">
        <v>49888</v>
      </c>
      <c r="B264" s="4">
        <f>22.5374 * CHOOSE(CONTROL!$C$6, $C$13, 100%, $E$13) + CHOOSE(CONTROL!$C$25, 0.0263, 0)</f>
        <v>22.563700000000001</v>
      </c>
      <c r="C264" s="4">
        <f>22.2249 * CHOOSE(CONTROL!$C$6, $C$13, 100%, $E$13) + CHOOSE(CONTROL!$C$25, 0.0263, 0)</f>
        <v>22.251200000000001</v>
      </c>
      <c r="D264" s="4">
        <f>28.1624 * CHOOSE(CONTROL!$C$6, $C$13, 100%, $E$13) + CHOOSE(CONTROL!$C$25, 0, 0)</f>
        <v>28.162400000000002</v>
      </c>
      <c r="E264" s="4">
        <f>132.558516599585 * CHOOSE(CONTROL!$C$6, $C$13, 100%, $E$13) + CHOOSE(CONTROL!$C$25, 0, 0)</f>
        <v>132.558516599585</v>
      </c>
    </row>
    <row r="265" spans="1:5" ht="15">
      <c r="A265" s="14">
        <v>49919</v>
      </c>
      <c r="B265" s="4">
        <f>21.714 * CHOOSE(CONTROL!$C$6, $C$13, 100%, $E$13) + CHOOSE(CONTROL!$C$25, 0.0263, 0)</f>
        <v>21.740299999999998</v>
      </c>
      <c r="C265" s="4">
        <f>21.4015 * CHOOSE(CONTROL!$C$6, $C$13, 100%, $E$13) + CHOOSE(CONTROL!$C$25, 0.0263, 0)</f>
        <v>21.427799999999998</v>
      </c>
      <c r="D265" s="4">
        <f>28.0234 * CHOOSE(CONTROL!$C$6, $C$13, 100%, $E$13) + CHOOSE(CONTROL!$C$25, 0, 0)</f>
        <v>28.023399999999999</v>
      </c>
      <c r="E265" s="4">
        <f>127.275946956488 * CHOOSE(CONTROL!$C$6, $C$13, 100%, $E$13) + CHOOSE(CONTROL!$C$25, 0, 0)</f>
        <v>127.275946956488</v>
      </c>
    </row>
    <row r="266" spans="1:5" ht="15">
      <c r="A266" s="14">
        <v>49949</v>
      </c>
      <c r="B266" s="4">
        <f>21.0549 * CHOOSE(CONTROL!$C$6, $C$13, 100%, $E$13) + CHOOSE(CONTROL!$C$25, 0.0003, 0)</f>
        <v>21.055199999999999</v>
      </c>
      <c r="C266" s="4">
        <f>20.7424 * CHOOSE(CONTROL!$C$6, $C$13, 100%, $E$13) + CHOOSE(CONTROL!$C$25, 0.0003, 0)</f>
        <v>20.742699999999999</v>
      </c>
      <c r="D266" s="4">
        <f>27.6515 * CHOOSE(CONTROL!$C$6, $C$13, 100%, $E$13) + CHOOSE(CONTROL!$C$25, 0, 0)</f>
        <v>27.651499999999999</v>
      </c>
      <c r="E266" s="4">
        <f>123.047145266888 * CHOOSE(CONTROL!$C$6, $C$13, 100%, $E$13) + CHOOSE(CONTROL!$C$25, 0, 0)</f>
        <v>123.04714526688799</v>
      </c>
    </row>
    <row r="267" spans="1:5" ht="15">
      <c r="A267" s="14">
        <v>49980</v>
      </c>
      <c r="B267" s="4">
        <f>20.6303 * CHOOSE(CONTROL!$C$6, $C$13, 100%, $E$13) + CHOOSE(CONTROL!$C$25, 0.0003, 0)</f>
        <v>20.630599999999998</v>
      </c>
      <c r="C267" s="4">
        <f>20.3178 * CHOOSE(CONTROL!$C$6, $C$13, 100%, $E$13) + CHOOSE(CONTROL!$C$25, 0.0003, 0)</f>
        <v>20.318099999999998</v>
      </c>
      <c r="D267" s="4">
        <f>27.5236 * CHOOSE(CONTROL!$C$6, $C$13, 100%, $E$13) + CHOOSE(CONTROL!$C$25, 0, 0)</f>
        <v>27.523599999999998</v>
      </c>
      <c r="E267" s="4">
        <f>120.323481191646 * CHOOSE(CONTROL!$C$6, $C$13, 100%, $E$13) + CHOOSE(CONTROL!$C$25, 0, 0)</f>
        <v>120.323481191646</v>
      </c>
    </row>
    <row r="268" spans="1:5" ht="15">
      <c r="A268" s="14">
        <v>50010</v>
      </c>
      <c r="B268" s="4">
        <f>20.3366 * CHOOSE(CONTROL!$C$6, $C$13, 100%, $E$13) + CHOOSE(CONTROL!$C$25, 0.0003, 0)</f>
        <v>20.3369</v>
      </c>
      <c r="C268" s="4">
        <f>20.0241 * CHOOSE(CONTROL!$C$6, $C$13, 100%, $E$13) + CHOOSE(CONTROL!$C$25, 0.0003, 0)</f>
        <v>20.0244</v>
      </c>
      <c r="D268" s="4">
        <f>26.5822 * CHOOSE(CONTROL!$C$6, $C$13, 100%, $E$13) + CHOOSE(CONTROL!$C$25, 0, 0)</f>
        <v>26.5822</v>
      </c>
      <c r="E268" s="4">
        <f>118.439055763406 * CHOOSE(CONTROL!$C$6, $C$13, 100%, $E$13) + CHOOSE(CONTROL!$C$25, 0, 0)</f>
        <v>118.439055763406</v>
      </c>
    </row>
    <row r="269" spans="1:5" ht="15">
      <c r="A269" s="14">
        <v>50041</v>
      </c>
      <c r="B269" s="4">
        <f>19.8593 * CHOOSE(CONTROL!$C$6, $C$13, 100%, $E$13) + CHOOSE(CONTROL!$C$25, 0.0003, 0)</f>
        <v>19.8596</v>
      </c>
      <c r="C269" s="4">
        <f>19.5468 * CHOOSE(CONTROL!$C$6, $C$13, 100%, $E$13) + CHOOSE(CONTROL!$C$25, 0.0003, 0)</f>
        <v>19.5471</v>
      </c>
      <c r="D269" s="4">
        <f>25.7169 * CHOOSE(CONTROL!$C$6, $C$13, 100%, $E$13) + CHOOSE(CONTROL!$C$25, 0, 0)</f>
        <v>25.716899999999999</v>
      </c>
      <c r="E269" s="4">
        <f>115.042674979448 * CHOOSE(CONTROL!$C$6, $C$13, 100%, $E$13) + CHOOSE(CONTROL!$C$25, 0, 0)</f>
        <v>115.04267497944799</v>
      </c>
    </row>
    <row r="270" spans="1:5" ht="15">
      <c r="A270" s="14">
        <v>50072</v>
      </c>
      <c r="B270" s="4">
        <f>20.2864 * CHOOSE(CONTROL!$C$6, $C$13, 100%, $E$13) + CHOOSE(CONTROL!$C$25, 0.0003, 0)</f>
        <v>20.2867</v>
      </c>
      <c r="C270" s="4">
        <f>19.9739 * CHOOSE(CONTROL!$C$6, $C$13, 100%, $E$13) + CHOOSE(CONTROL!$C$25, 0.0003, 0)</f>
        <v>19.9742</v>
      </c>
      <c r="D270" s="4">
        <f>26.5882 * CHOOSE(CONTROL!$C$6, $C$13, 100%, $E$13) + CHOOSE(CONTROL!$C$25, 0, 0)</f>
        <v>26.588200000000001</v>
      </c>
      <c r="E270" s="4">
        <f>117.774241456224 * CHOOSE(CONTROL!$C$6, $C$13, 100%, $E$13) + CHOOSE(CONTROL!$C$25, 0, 0)</f>
        <v>117.774241456224</v>
      </c>
    </row>
    <row r="271" spans="1:5" ht="15">
      <c r="A271" s="14">
        <v>50100</v>
      </c>
      <c r="B271" s="4">
        <f>21.4077 * CHOOSE(CONTROL!$C$6, $C$13, 100%, $E$13) + CHOOSE(CONTROL!$C$25, 0.0003, 0)</f>
        <v>21.407999999999998</v>
      </c>
      <c r="C271" s="4">
        <f>21.0952 * CHOOSE(CONTROL!$C$6, $C$13, 100%, $E$13) + CHOOSE(CONTROL!$C$25, 0.0003, 0)</f>
        <v>21.095499999999998</v>
      </c>
      <c r="D271" s="4">
        <f>27.9522 * CHOOSE(CONTROL!$C$6, $C$13, 100%, $E$13) + CHOOSE(CONTROL!$C$25, 0, 0)</f>
        <v>27.952200000000001</v>
      </c>
      <c r="E271" s="4">
        <f>124.947480188497 * CHOOSE(CONTROL!$C$6, $C$13, 100%, $E$13) + CHOOSE(CONTROL!$C$25, 0, 0)</f>
        <v>124.947480188497</v>
      </c>
    </row>
    <row r="272" spans="1:5" ht="15">
      <c r="A272" s="14">
        <v>50131</v>
      </c>
      <c r="B272" s="4">
        <f>22.2045 * CHOOSE(CONTROL!$C$6, $C$13, 100%, $E$13) + CHOOSE(CONTROL!$C$25, 0.0003, 0)</f>
        <v>22.204799999999999</v>
      </c>
      <c r="C272" s="4">
        <f>21.892 * CHOOSE(CONTROL!$C$6, $C$13, 100%, $E$13) + CHOOSE(CONTROL!$C$25, 0.0003, 0)</f>
        <v>21.892299999999999</v>
      </c>
      <c r="D272" s="4">
        <f>28.7379 * CHOOSE(CONTROL!$C$6, $C$13, 100%, $E$13) + CHOOSE(CONTROL!$C$25, 0, 0)</f>
        <v>28.7379</v>
      </c>
      <c r="E272" s="4">
        <f>130.044161903751 * CHOOSE(CONTROL!$C$6, $C$13, 100%, $E$13) + CHOOSE(CONTROL!$C$25, 0, 0)</f>
        <v>130.04416190375099</v>
      </c>
    </row>
    <row r="273" spans="1:5" ht="15">
      <c r="A273" s="14">
        <v>50161</v>
      </c>
      <c r="B273" s="4">
        <f>22.6913 * CHOOSE(CONTROL!$C$6, $C$13, 100%, $E$13) + CHOOSE(CONTROL!$C$25, 0.0263, 0)</f>
        <v>22.717599999999997</v>
      </c>
      <c r="C273" s="4">
        <f>22.3788 * CHOOSE(CONTROL!$C$6, $C$13, 100%, $E$13) + CHOOSE(CONTROL!$C$25, 0.0263, 0)</f>
        <v>22.405099999999997</v>
      </c>
      <c r="D273" s="4">
        <f>28.4275 * CHOOSE(CONTROL!$C$6, $C$13, 100%, $E$13) + CHOOSE(CONTROL!$C$25, 0, 0)</f>
        <v>28.427499999999998</v>
      </c>
      <c r="E273" s="4">
        <f>133.158112281359 * CHOOSE(CONTROL!$C$6, $C$13, 100%, $E$13) + CHOOSE(CONTROL!$C$25, 0, 0)</f>
        <v>133.158112281359</v>
      </c>
    </row>
    <row r="274" spans="1:5" ht="15">
      <c r="A274" s="14">
        <v>50192</v>
      </c>
      <c r="B274" s="4">
        <f>22.7571 * CHOOSE(CONTROL!$C$6, $C$13, 100%, $E$13) + CHOOSE(CONTROL!$C$25, 0.0263, 0)</f>
        <v>22.7834</v>
      </c>
      <c r="C274" s="4">
        <f>22.4446 * CHOOSE(CONTROL!$C$6, $C$13, 100%, $E$13) + CHOOSE(CONTROL!$C$25, 0.0263, 0)</f>
        <v>22.4709</v>
      </c>
      <c r="D274" s="4">
        <f>28.6803 * CHOOSE(CONTROL!$C$6, $C$13, 100%, $E$13) + CHOOSE(CONTROL!$C$25, 0, 0)</f>
        <v>28.680299999999999</v>
      </c>
      <c r="E274" s="4">
        <f>133.579442690609 * CHOOSE(CONTROL!$C$6, $C$13, 100%, $E$13) + CHOOSE(CONTROL!$C$25, 0, 0)</f>
        <v>133.579442690609</v>
      </c>
    </row>
    <row r="275" spans="1:5" ht="15">
      <c r="A275" s="14">
        <v>50222</v>
      </c>
      <c r="B275" s="4">
        <f>22.7505 * CHOOSE(CONTROL!$C$6, $C$13, 100%, $E$13) + CHOOSE(CONTROL!$C$25, 0.0263, 0)</f>
        <v>22.776799999999998</v>
      </c>
      <c r="C275" s="4">
        <f>22.438 * CHOOSE(CONTROL!$C$6, $C$13, 100%, $E$13) + CHOOSE(CONTROL!$C$25, 0.0263, 0)</f>
        <v>22.464299999999998</v>
      </c>
      <c r="D275" s="4">
        <f>29.1366 * CHOOSE(CONTROL!$C$6, $C$13, 100%, $E$13) + CHOOSE(CONTROL!$C$25, 0, 0)</f>
        <v>29.136600000000001</v>
      </c>
      <c r="E275" s="4">
        <f>133.536955590517 * CHOOSE(CONTROL!$C$6, $C$13, 100%, $E$13) + CHOOSE(CONTROL!$C$25, 0, 0)</f>
        <v>133.53695559051701</v>
      </c>
    </row>
    <row r="276" spans="1:5" ht="15">
      <c r="A276" s="14">
        <v>50253</v>
      </c>
      <c r="B276" s="4">
        <f>23.2503 * CHOOSE(CONTROL!$C$6, $C$13, 100%, $E$13) + CHOOSE(CONTROL!$C$25, 0.0263, 0)</f>
        <v>23.276599999999998</v>
      </c>
      <c r="C276" s="4">
        <f>22.9378 * CHOOSE(CONTROL!$C$6, $C$13, 100%, $E$13) + CHOOSE(CONTROL!$C$25, 0.0263, 0)</f>
        <v>22.964099999999998</v>
      </c>
      <c r="D276" s="4">
        <f>28.8353 * CHOOSE(CONTROL!$C$6, $C$13, 100%, $E$13) + CHOOSE(CONTROL!$C$25, 0, 0)</f>
        <v>28.8353</v>
      </c>
      <c r="E276" s="4">
        <f>136.734109872472 * CHOOSE(CONTROL!$C$6, $C$13, 100%, $E$13) + CHOOSE(CONTROL!$C$25, 0, 0)</f>
        <v>136.734109872472</v>
      </c>
    </row>
    <row r="277" spans="1:5" ht="15">
      <c r="A277" s="14">
        <v>50284</v>
      </c>
      <c r="B277" s="4">
        <f>22.3985 * CHOOSE(CONTROL!$C$6, $C$13, 100%, $E$13) + CHOOSE(CONTROL!$C$25, 0.0263, 0)</f>
        <v>22.424799999999998</v>
      </c>
      <c r="C277" s="4">
        <f>22.086 * CHOOSE(CONTROL!$C$6, $C$13, 100%, $E$13) + CHOOSE(CONTROL!$C$25, 0.0263, 0)</f>
        <v>22.112299999999998</v>
      </c>
      <c r="D277" s="4">
        <f>28.6929 * CHOOSE(CONTROL!$C$6, $C$13, 100%, $E$13) + CHOOSE(CONTROL!$C$25, 0, 0)</f>
        <v>28.692900000000002</v>
      </c>
      <c r="E277" s="4">
        <f>131.285139285618 * CHOOSE(CONTROL!$C$6, $C$13, 100%, $E$13) + CHOOSE(CONTROL!$C$25, 0, 0)</f>
        <v>131.28513928561799</v>
      </c>
    </row>
    <row r="278" spans="1:5" ht="15">
      <c r="A278" s="14">
        <v>50314</v>
      </c>
      <c r="B278" s="4">
        <f>21.7166 * CHOOSE(CONTROL!$C$6, $C$13, 100%, $E$13) + CHOOSE(CONTROL!$C$25, 0.0003, 0)</f>
        <v>21.716899999999999</v>
      </c>
      <c r="C278" s="4">
        <f>21.4041 * CHOOSE(CONTROL!$C$6, $C$13, 100%, $E$13) + CHOOSE(CONTROL!$C$25, 0.0003, 0)</f>
        <v>21.404399999999999</v>
      </c>
      <c r="D278" s="4">
        <f>28.3117 * CHOOSE(CONTROL!$C$6, $C$13, 100%, $E$13) + CHOOSE(CONTROL!$C$25, 0, 0)</f>
        <v>28.311699999999998</v>
      </c>
      <c r="E278" s="4">
        <f>126.923130342795 * CHOOSE(CONTROL!$C$6, $C$13, 100%, $E$13) + CHOOSE(CONTROL!$C$25, 0, 0)</f>
        <v>126.92313034279501</v>
      </c>
    </row>
    <row r="279" spans="1:5" ht="15">
      <c r="A279" s="14">
        <v>50345</v>
      </c>
      <c r="B279" s="4">
        <f>21.2774 * CHOOSE(CONTROL!$C$6, $C$13, 100%, $E$13) + CHOOSE(CONTROL!$C$25, 0.0003, 0)</f>
        <v>21.277699999999999</v>
      </c>
      <c r="C279" s="4">
        <f>20.9649 * CHOOSE(CONTROL!$C$6, $C$13, 100%, $E$13) + CHOOSE(CONTROL!$C$25, 0.0003, 0)</f>
        <v>20.965199999999999</v>
      </c>
      <c r="D279" s="4">
        <f>28.1807 * CHOOSE(CONTROL!$C$6, $C$13, 100%, $E$13) + CHOOSE(CONTROL!$C$25, 0, 0)</f>
        <v>28.180700000000002</v>
      </c>
      <c r="E279" s="4">
        <f>124.113670849183 * CHOOSE(CONTROL!$C$6, $C$13, 100%, $E$13) + CHOOSE(CONTROL!$C$25, 0, 0)</f>
        <v>124.11367084918299</v>
      </c>
    </row>
    <row r="280" spans="1:5" ht="15">
      <c r="A280" s="14">
        <v>50375</v>
      </c>
      <c r="B280" s="4">
        <f>20.9735 * CHOOSE(CONTROL!$C$6, $C$13, 100%, $E$13) + CHOOSE(CONTROL!$C$25, 0.0003, 0)</f>
        <v>20.973800000000001</v>
      </c>
      <c r="C280" s="4">
        <f>20.661 * CHOOSE(CONTROL!$C$6, $C$13, 100%, $E$13) + CHOOSE(CONTROL!$C$25, 0.0003, 0)</f>
        <v>20.661300000000001</v>
      </c>
      <c r="D280" s="4">
        <f>27.2159 * CHOOSE(CONTROL!$C$6, $C$13, 100%, $E$13) + CHOOSE(CONTROL!$C$25, 0, 0)</f>
        <v>27.215900000000001</v>
      </c>
      <c r="E280" s="4">
        <f>122.169886019954 * CHOOSE(CONTROL!$C$6, $C$13, 100%, $E$13) + CHOOSE(CONTROL!$C$25, 0, 0)</f>
        <v>122.16988601995401</v>
      </c>
    </row>
    <row r="281" spans="1:5" ht="15">
      <c r="A281" s="13">
        <v>50436</v>
      </c>
      <c r="B281" s="4">
        <f>20.4798 * CHOOSE(CONTROL!$C$6, $C$13, 100%, $E$13) + CHOOSE(CONTROL!$C$25, 0.0003, 0)</f>
        <v>20.4801</v>
      </c>
      <c r="C281" s="4">
        <f>20.1673 * CHOOSE(CONTROL!$C$6, $C$13, 100%, $E$13) + CHOOSE(CONTROL!$C$25, 0.0003, 0)</f>
        <v>20.1676</v>
      </c>
      <c r="D281" s="4">
        <f>26.3292 * CHOOSE(CONTROL!$C$6, $C$13, 100%, $E$13) + CHOOSE(CONTROL!$C$25, 0, 0)</f>
        <v>26.3292</v>
      </c>
      <c r="E281" s="4">
        <f>118.666519241301 * CHOOSE(CONTROL!$C$6, $C$13, 100%, $E$13) + CHOOSE(CONTROL!$C$25, 0, 0)</f>
        <v>118.666519241301</v>
      </c>
    </row>
    <row r="282" spans="1:5" ht="15">
      <c r="A282" s="13">
        <v>50464</v>
      </c>
      <c r="B282" s="4">
        <f>20.9215 * CHOOSE(CONTROL!$C$6, $C$13, 100%, $E$13) + CHOOSE(CONTROL!$C$25, 0.0003, 0)</f>
        <v>20.921800000000001</v>
      </c>
      <c r="C282" s="4">
        <f>20.609 * CHOOSE(CONTROL!$C$6, $C$13, 100%, $E$13) + CHOOSE(CONTROL!$C$25, 0.0003, 0)</f>
        <v>20.609300000000001</v>
      </c>
      <c r="D282" s="4">
        <f>27.2221 * CHOOSE(CONTROL!$C$6, $C$13, 100%, $E$13) + CHOOSE(CONTROL!$C$25, 0, 0)</f>
        <v>27.222100000000001</v>
      </c>
      <c r="E282" s="4">
        <f>121.484130062095 * CHOOSE(CONTROL!$C$6, $C$13, 100%, $E$13) + CHOOSE(CONTROL!$C$25, 0, 0)</f>
        <v>121.48413006209501</v>
      </c>
    </row>
    <row r="283" spans="1:5" ht="15">
      <c r="A283" s="13">
        <v>50495</v>
      </c>
      <c r="B283" s="4">
        <f>22.0816 * CHOOSE(CONTROL!$C$6, $C$13, 100%, $E$13) + CHOOSE(CONTROL!$C$25, 0.0003, 0)</f>
        <v>22.081900000000001</v>
      </c>
      <c r="C283" s="4">
        <f>21.7691 * CHOOSE(CONTROL!$C$6, $C$13, 100%, $E$13) + CHOOSE(CONTROL!$C$25, 0.0003, 0)</f>
        <v>21.769400000000001</v>
      </c>
      <c r="D283" s="4">
        <f>28.6199 * CHOOSE(CONTROL!$C$6, $C$13, 100%, $E$13) + CHOOSE(CONTROL!$C$25, 0, 0)</f>
        <v>28.619900000000001</v>
      </c>
      <c r="E283" s="4">
        <f>128.883325814434 * CHOOSE(CONTROL!$C$6, $C$13, 100%, $E$13) + CHOOSE(CONTROL!$C$25, 0, 0)</f>
        <v>128.88332581443399</v>
      </c>
    </row>
    <row r="284" spans="1:5" ht="15">
      <c r="A284" s="13">
        <v>50525</v>
      </c>
      <c r="B284" s="4">
        <f>22.9058 * CHOOSE(CONTROL!$C$6, $C$13, 100%, $E$13) + CHOOSE(CONTROL!$C$25, 0.0003, 0)</f>
        <v>22.906099999999999</v>
      </c>
      <c r="C284" s="4">
        <f>22.5933 * CHOOSE(CONTROL!$C$6, $C$13, 100%, $E$13) + CHOOSE(CONTROL!$C$25, 0.0003, 0)</f>
        <v>22.593599999999999</v>
      </c>
      <c r="D284" s="4">
        <f>29.4251 * CHOOSE(CONTROL!$C$6, $C$13, 100%, $E$13) + CHOOSE(CONTROL!$C$25, 0, 0)</f>
        <v>29.4251</v>
      </c>
      <c r="E284" s="4">
        <f>134.14055300372 * CHOOSE(CONTROL!$C$6, $C$13, 100%, $E$13) + CHOOSE(CONTROL!$C$25, 0, 0)</f>
        <v>134.14055300371999</v>
      </c>
    </row>
    <row r="285" spans="1:5" ht="15">
      <c r="A285" s="13">
        <v>50556</v>
      </c>
      <c r="B285" s="4">
        <f>23.4094 * CHOOSE(CONTROL!$C$6, $C$13, 100%, $E$13) + CHOOSE(CONTROL!$C$25, 0.0263, 0)</f>
        <v>23.435700000000001</v>
      </c>
      <c r="C285" s="4">
        <f>23.0969 * CHOOSE(CONTROL!$C$6, $C$13, 100%, $E$13) + CHOOSE(CONTROL!$C$25, 0.0263, 0)</f>
        <v>23.123200000000001</v>
      </c>
      <c r="D285" s="4">
        <f>29.1069 * CHOOSE(CONTROL!$C$6, $C$13, 100%, $E$13) + CHOOSE(CONTROL!$C$25, 0, 0)</f>
        <v>29.1069</v>
      </c>
      <c r="E285" s="4">
        <f>137.352592818222 * CHOOSE(CONTROL!$C$6, $C$13, 100%, $E$13) + CHOOSE(CONTROL!$C$25, 0, 0)</f>
        <v>137.35259281822201</v>
      </c>
    </row>
    <row r="286" spans="1:5" ht="15">
      <c r="A286" s="13">
        <v>50586</v>
      </c>
      <c r="B286" s="4">
        <f>23.4776 * CHOOSE(CONTROL!$C$6, $C$13, 100%, $E$13) + CHOOSE(CONTROL!$C$25, 0.0263, 0)</f>
        <v>23.503899999999998</v>
      </c>
      <c r="C286" s="4">
        <f>23.1651 * CHOOSE(CONTROL!$C$6, $C$13, 100%, $E$13) + CHOOSE(CONTROL!$C$25, 0.0263, 0)</f>
        <v>23.191399999999998</v>
      </c>
      <c r="D286" s="4">
        <f>29.3661 * CHOOSE(CONTROL!$C$6, $C$13, 100%, $E$13) + CHOOSE(CONTROL!$C$25, 0, 0)</f>
        <v>29.366099999999999</v>
      </c>
      <c r="E286" s="4">
        <f>137.787195135363 * CHOOSE(CONTROL!$C$6, $C$13, 100%, $E$13) + CHOOSE(CONTROL!$C$25, 0, 0)</f>
        <v>137.78719513536299</v>
      </c>
    </row>
    <row r="287" spans="1:5" ht="15">
      <c r="A287" s="13">
        <v>50617</v>
      </c>
      <c r="B287" s="4">
        <f>23.4707 * CHOOSE(CONTROL!$C$6, $C$13, 100%, $E$13) + CHOOSE(CONTROL!$C$25, 0.0263, 0)</f>
        <v>23.497</v>
      </c>
      <c r="C287" s="4">
        <f>23.1582 * CHOOSE(CONTROL!$C$6, $C$13, 100%, $E$13) + CHOOSE(CONTROL!$C$25, 0.0263, 0)</f>
        <v>23.1845</v>
      </c>
      <c r="D287" s="4">
        <f>29.8336 * CHOOSE(CONTROL!$C$6, $C$13, 100%, $E$13) + CHOOSE(CONTROL!$C$25, 0, 0)</f>
        <v>29.833600000000001</v>
      </c>
      <c r="E287" s="4">
        <f>137.743369691618 * CHOOSE(CONTROL!$C$6, $C$13, 100%, $E$13) + CHOOSE(CONTROL!$C$25, 0, 0)</f>
        <v>137.743369691618</v>
      </c>
    </row>
    <row r="288" spans="1:5" ht="15">
      <c r="A288" s="13">
        <v>50648</v>
      </c>
      <c r="B288" s="4">
        <f>23.9877 * CHOOSE(CONTROL!$C$6, $C$13, 100%, $E$13) + CHOOSE(CONTROL!$C$25, 0.0263, 0)</f>
        <v>24.013999999999999</v>
      </c>
      <c r="C288" s="4">
        <f>23.6752 * CHOOSE(CONTROL!$C$6, $C$13, 100%, $E$13) + CHOOSE(CONTROL!$C$25, 0.0263, 0)</f>
        <v>23.701499999999999</v>
      </c>
      <c r="D288" s="4">
        <f>29.5249 * CHOOSE(CONTROL!$C$6, $C$13, 100%, $E$13) + CHOOSE(CONTROL!$C$25, 0, 0)</f>
        <v>29.524899999999999</v>
      </c>
      <c r="E288" s="4">
        <f>141.041234333455 * CHOOSE(CONTROL!$C$6, $C$13, 100%, $E$13) + CHOOSE(CONTROL!$C$25, 0, 0)</f>
        <v>141.04123433345501</v>
      </c>
    </row>
    <row r="289" spans="1:5" ht="15">
      <c r="A289" s="13">
        <v>50678</v>
      </c>
      <c r="B289" s="4">
        <f>23.1065 * CHOOSE(CONTROL!$C$6, $C$13, 100%, $E$13) + CHOOSE(CONTROL!$C$25, 0.0263, 0)</f>
        <v>23.1328</v>
      </c>
      <c r="C289" s="4">
        <f>22.794 * CHOOSE(CONTROL!$C$6, $C$13, 100%, $E$13) + CHOOSE(CONTROL!$C$25, 0.0263, 0)</f>
        <v>22.8203</v>
      </c>
      <c r="D289" s="4">
        <f>29.379 * CHOOSE(CONTROL!$C$6, $C$13, 100%, $E$13) + CHOOSE(CONTROL!$C$25, 0, 0)</f>
        <v>29.379000000000001</v>
      </c>
      <c r="E289" s="4">
        <f>135.420621173115 * CHOOSE(CONTROL!$C$6, $C$13, 100%, $E$13) + CHOOSE(CONTROL!$C$25, 0, 0)</f>
        <v>135.42062117311499</v>
      </c>
    </row>
    <row r="290" spans="1:5" ht="15">
      <c r="A290" s="13">
        <v>50709</v>
      </c>
      <c r="B290" s="4">
        <f>22.4011 * CHOOSE(CONTROL!$C$6, $C$13, 100%, $E$13) + CHOOSE(CONTROL!$C$25, 0.0003, 0)</f>
        <v>22.401399999999999</v>
      </c>
      <c r="C290" s="4">
        <f>22.0886 * CHOOSE(CONTROL!$C$6, $C$13, 100%, $E$13) + CHOOSE(CONTROL!$C$25, 0.0003, 0)</f>
        <v>22.088899999999999</v>
      </c>
      <c r="D290" s="4">
        <f>28.9883 * CHOOSE(CONTROL!$C$6, $C$13, 100%, $E$13) + CHOOSE(CONTROL!$C$25, 0, 0)</f>
        <v>28.988299999999999</v>
      </c>
      <c r="E290" s="4">
        <f>130.921208948593 * CHOOSE(CONTROL!$C$6, $C$13, 100%, $E$13) + CHOOSE(CONTROL!$C$25, 0, 0)</f>
        <v>130.92120894859301</v>
      </c>
    </row>
    <row r="291" spans="1:5" ht="15">
      <c r="A291" s="13">
        <v>50739</v>
      </c>
      <c r="B291" s="4">
        <f>21.9468 * CHOOSE(CONTROL!$C$6, $C$13, 100%, $E$13) + CHOOSE(CONTROL!$C$25, 0.0003, 0)</f>
        <v>21.947099999999999</v>
      </c>
      <c r="C291" s="4">
        <f>21.6343 * CHOOSE(CONTROL!$C$6, $C$13, 100%, $E$13) + CHOOSE(CONTROL!$C$25, 0.0003, 0)</f>
        <v>21.634599999999999</v>
      </c>
      <c r="D291" s="4">
        <f>28.854 * CHOOSE(CONTROL!$C$6, $C$13, 100%, $E$13) + CHOOSE(CONTROL!$C$25, 0, 0)</f>
        <v>28.853999999999999</v>
      </c>
      <c r="E291" s="4">
        <f>128.023251480932 * CHOOSE(CONTROL!$C$6, $C$13, 100%, $E$13) + CHOOSE(CONTROL!$C$25, 0, 0)</f>
        <v>128.023251480932</v>
      </c>
    </row>
    <row r="292" spans="1:5" ht="15">
      <c r="A292" s="13">
        <v>50770</v>
      </c>
      <c r="B292" s="4">
        <f>21.6324 * CHOOSE(CONTROL!$C$6, $C$13, 100%, $E$13) + CHOOSE(CONTROL!$C$25, 0.0003, 0)</f>
        <v>21.6327</v>
      </c>
      <c r="C292" s="4">
        <f>21.3199 * CHOOSE(CONTROL!$C$6, $C$13, 100%, $E$13) + CHOOSE(CONTROL!$C$25, 0.0003, 0)</f>
        <v>21.3202</v>
      </c>
      <c r="D292" s="4">
        <f>27.8653 * CHOOSE(CONTROL!$C$6, $C$13, 100%, $E$13) + CHOOSE(CONTROL!$C$25, 0, 0)</f>
        <v>27.865300000000001</v>
      </c>
      <c r="E292" s="4">
        <f>126.018237429582 * CHOOSE(CONTROL!$C$6, $C$13, 100%, $E$13) + CHOOSE(CONTROL!$C$25, 0, 0)</f>
        <v>126.018237429582</v>
      </c>
    </row>
    <row r="293" spans="1:5" ht="15">
      <c r="A293" s="13">
        <v>50801</v>
      </c>
      <c r="B293" s="4">
        <f>21.1217 * CHOOSE(CONTROL!$C$6, $C$13, 100%, $E$13) + CHOOSE(CONTROL!$C$25, 0.0003, 0)</f>
        <v>21.122</v>
      </c>
      <c r="C293" s="4">
        <f>20.8092 * CHOOSE(CONTROL!$C$6, $C$13, 100%, $E$13) + CHOOSE(CONTROL!$C$25, 0.0003, 0)</f>
        <v>20.8095</v>
      </c>
      <c r="D293" s="4">
        <f>26.9566 * CHOOSE(CONTROL!$C$6, $C$13, 100%, $E$13) + CHOOSE(CONTROL!$C$25, 0, 0)</f>
        <v>26.956600000000002</v>
      </c>
      <c r="E293" s="4">
        <f>122.404514597402 * CHOOSE(CONTROL!$C$6, $C$13, 100%, $E$13) + CHOOSE(CONTROL!$C$25, 0, 0)</f>
        <v>122.404514597402</v>
      </c>
    </row>
    <row r="294" spans="1:5" ht="15">
      <c r="A294" s="13">
        <v>50829</v>
      </c>
      <c r="B294" s="4">
        <f>21.5786 * CHOOSE(CONTROL!$C$6, $C$13, 100%, $E$13) + CHOOSE(CONTROL!$C$25, 0.0003, 0)</f>
        <v>21.578900000000001</v>
      </c>
      <c r="C294" s="4">
        <f>21.2661 * CHOOSE(CONTROL!$C$6, $C$13, 100%, $E$13) + CHOOSE(CONTROL!$C$25, 0.0003, 0)</f>
        <v>21.266400000000001</v>
      </c>
      <c r="D294" s="4">
        <f>27.8717 * CHOOSE(CONTROL!$C$6, $C$13, 100%, $E$13) + CHOOSE(CONTROL!$C$25, 0, 0)</f>
        <v>27.871700000000001</v>
      </c>
      <c r="E294" s="4">
        <f>125.310880159051 * CHOOSE(CONTROL!$C$6, $C$13, 100%, $E$13) + CHOOSE(CONTROL!$C$25, 0, 0)</f>
        <v>125.310880159051</v>
      </c>
    </row>
    <row r="295" spans="1:5" ht="15">
      <c r="A295" s="13">
        <v>50860</v>
      </c>
      <c r="B295" s="4">
        <f>22.7787 * CHOOSE(CONTROL!$C$6, $C$13, 100%, $E$13) + CHOOSE(CONTROL!$C$25, 0.0003, 0)</f>
        <v>22.779</v>
      </c>
      <c r="C295" s="4">
        <f>22.4662 * CHOOSE(CONTROL!$C$6, $C$13, 100%, $E$13) + CHOOSE(CONTROL!$C$25, 0.0003, 0)</f>
        <v>22.4665</v>
      </c>
      <c r="D295" s="4">
        <f>29.3042 * CHOOSE(CONTROL!$C$6, $C$13, 100%, $E$13) + CHOOSE(CONTROL!$C$25, 0, 0)</f>
        <v>29.304200000000002</v>
      </c>
      <c r="E295" s="4">
        <f>132.943150577589 * CHOOSE(CONTROL!$C$6, $C$13, 100%, $E$13) + CHOOSE(CONTROL!$C$25, 0, 0)</f>
        <v>132.94315057758899</v>
      </c>
    </row>
    <row r="296" spans="1:5" ht="15">
      <c r="A296" s="13">
        <v>50890</v>
      </c>
      <c r="B296" s="4">
        <f>23.6314 * CHOOSE(CONTROL!$C$6, $C$13, 100%, $E$13) + CHOOSE(CONTROL!$C$25, 0.0003, 0)</f>
        <v>23.631699999999999</v>
      </c>
      <c r="C296" s="4">
        <f>23.3189 * CHOOSE(CONTROL!$C$6, $C$13, 100%, $E$13) + CHOOSE(CONTROL!$C$25, 0.0003, 0)</f>
        <v>23.319199999999999</v>
      </c>
      <c r="D296" s="4">
        <f>30.1293 * CHOOSE(CONTROL!$C$6, $C$13, 100%, $E$13) + CHOOSE(CONTROL!$C$25, 0, 0)</f>
        <v>30.129300000000001</v>
      </c>
      <c r="E296" s="4">
        <f>138.365980423337 * CHOOSE(CONTROL!$C$6, $C$13, 100%, $E$13) + CHOOSE(CONTROL!$C$25, 0, 0)</f>
        <v>138.36598042333699</v>
      </c>
    </row>
    <row r="297" spans="1:5" ht="15">
      <c r="A297" s="13">
        <v>50921</v>
      </c>
      <c r="B297" s="4">
        <f>24.1524 * CHOOSE(CONTROL!$C$6, $C$13, 100%, $E$13) + CHOOSE(CONTROL!$C$25, 0.0263, 0)</f>
        <v>24.178699999999999</v>
      </c>
      <c r="C297" s="4">
        <f>23.8399 * CHOOSE(CONTROL!$C$6, $C$13, 100%, $E$13) + CHOOSE(CONTROL!$C$25, 0.0263, 0)</f>
        <v>23.866199999999999</v>
      </c>
      <c r="D297" s="4">
        <f>29.8033 * CHOOSE(CONTROL!$C$6, $C$13, 100%, $E$13) + CHOOSE(CONTROL!$C$25, 0, 0)</f>
        <v>29.8033</v>
      </c>
      <c r="E297" s="4">
        <f>141.679199491996 * CHOOSE(CONTROL!$C$6, $C$13, 100%, $E$13) + CHOOSE(CONTROL!$C$25, 0, 0)</f>
        <v>141.679199491996</v>
      </c>
    </row>
    <row r="298" spans="1:5" ht="15">
      <c r="A298" s="13">
        <v>50951</v>
      </c>
      <c r="B298" s="4">
        <f>24.2229 * CHOOSE(CONTROL!$C$6, $C$13, 100%, $E$13) + CHOOSE(CONTROL!$C$25, 0.0263, 0)</f>
        <v>24.249199999999998</v>
      </c>
      <c r="C298" s="4">
        <f>23.9104 * CHOOSE(CONTROL!$C$6, $C$13, 100%, $E$13) + CHOOSE(CONTROL!$C$25, 0.0263, 0)</f>
        <v>23.936699999999998</v>
      </c>
      <c r="D298" s="4">
        <f>30.0688 * CHOOSE(CONTROL!$C$6, $C$13, 100%, $E$13) + CHOOSE(CONTROL!$C$25, 0, 0)</f>
        <v>30.0688</v>
      </c>
      <c r="E298" s="4">
        <f>142.127491782127 * CHOOSE(CONTROL!$C$6, $C$13, 100%, $E$13) + CHOOSE(CONTROL!$C$25, 0, 0)</f>
        <v>142.12749178212701</v>
      </c>
    </row>
    <row r="299" spans="1:5" ht="15">
      <c r="A299" s="13">
        <v>50982</v>
      </c>
      <c r="B299" s="4">
        <f>24.2158 * CHOOSE(CONTROL!$C$6, $C$13, 100%, $E$13) + CHOOSE(CONTROL!$C$25, 0.0263, 0)</f>
        <v>24.242100000000001</v>
      </c>
      <c r="C299" s="4">
        <f>23.9033 * CHOOSE(CONTROL!$C$6, $C$13, 100%, $E$13) + CHOOSE(CONTROL!$C$25, 0.0263, 0)</f>
        <v>23.929600000000001</v>
      </c>
      <c r="D299" s="4">
        <f>30.548 * CHOOSE(CONTROL!$C$6, $C$13, 100%, $E$13) + CHOOSE(CONTROL!$C$25, 0, 0)</f>
        <v>30.547999999999998</v>
      </c>
      <c r="E299" s="4">
        <f>142.082285836904 * CHOOSE(CONTROL!$C$6, $C$13, 100%, $E$13) + CHOOSE(CONTROL!$C$25, 0, 0)</f>
        <v>142.08228583690399</v>
      </c>
    </row>
    <row r="300" spans="1:5" ht="15">
      <c r="A300" s="13">
        <v>51013</v>
      </c>
      <c r="B300" s="4">
        <f>24.7506 * CHOOSE(CONTROL!$C$6, $C$13, 100%, $E$13) + CHOOSE(CONTROL!$C$25, 0.0263, 0)</f>
        <v>24.776899999999998</v>
      </c>
      <c r="C300" s="4">
        <f>24.4381 * CHOOSE(CONTROL!$C$6, $C$13, 100%, $E$13) + CHOOSE(CONTROL!$C$25, 0.0263, 0)</f>
        <v>24.464399999999998</v>
      </c>
      <c r="D300" s="4">
        <f>30.2315 * CHOOSE(CONTROL!$C$6, $C$13, 100%, $E$13) + CHOOSE(CONTROL!$C$25, 0, 0)</f>
        <v>30.2315</v>
      </c>
      <c r="E300" s="4">
        <f>145.484033214959 * CHOOSE(CONTROL!$C$6, $C$13, 100%, $E$13) + CHOOSE(CONTROL!$C$25, 0, 0)</f>
        <v>145.484033214959</v>
      </c>
    </row>
    <row r="301" spans="1:5" ht="15">
      <c r="A301" s="13">
        <v>51043</v>
      </c>
      <c r="B301" s="4">
        <f>23.839 * CHOOSE(CONTROL!$C$6, $C$13, 100%, $E$13) + CHOOSE(CONTROL!$C$25, 0.0263, 0)</f>
        <v>23.865299999999998</v>
      </c>
      <c r="C301" s="4">
        <f>23.5265 * CHOOSE(CONTROL!$C$6, $C$13, 100%, $E$13) + CHOOSE(CONTROL!$C$25, 0.0263, 0)</f>
        <v>23.552799999999998</v>
      </c>
      <c r="D301" s="4">
        <f>30.082 * CHOOSE(CONTROL!$C$6, $C$13, 100%, $E$13) + CHOOSE(CONTROL!$C$25, 0, 0)</f>
        <v>30.082000000000001</v>
      </c>
      <c r="E301" s="4">
        <f>139.686370740068 * CHOOSE(CONTROL!$C$6, $C$13, 100%, $E$13) + CHOOSE(CONTROL!$C$25, 0, 0)</f>
        <v>139.68637074006801</v>
      </c>
    </row>
    <row r="302" spans="1:5" ht="15">
      <c r="A302" s="13">
        <v>51074</v>
      </c>
      <c r="B302" s="4">
        <f>23.1093 * CHOOSE(CONTROL!$C$6, $C$13, 100%, $E$13) + CHOOSE(CONTROL!$C$25, 0.0003, 0)</f>
        <v>23.1096</v>
      </c>
      <c r="C302" s="4">
        <f>22.7968 * CHOOSE(CONTROL!$C$6, $C$13, 100%, $E$13) + CHOOSE(CONTROL!$C$25, 0.0003, 0)</f>
        <v>22.7971</v>
      </c>
      <c r="D302" s="4">
        <f>29.6817 * CHOOSE(CONTROL!$C$6, $C$13, 100%, $E$13) + CHOOSE(CONTROL!$C$25, 0, 0)</f>
        <v>29.681699999999999</v>
      </c>
      <c r="E302" s="4">
        <f>135.045227030473 * CHOOSE(CONTROL!$C$6, $C$13, 100%, $E$13) + CHOOSE(CONTROL!$C$25, 0, 0)</f>
        <v>135.045227030473</v>
      </c>
    </row>
    <row r="303" spans="1:5" ht="15">
      <c r="A303" s="13">
        <v>51104</v>
      </c>
      <c r="B303" s="4">
        <f>22.6392 * CHOOSE(CONTROL!$C$6, $C$13, 100%, $E$13) + CHOOSE(CONTROL!$C$25, 0.0003, 0)</f>
        <v>22.639499999999998</v>
      </c>
      <c r="C303" s="4">
        <f>22.3267 * CHOOSE(CONTROL!$C$6, $C$13, 100%, $E$13) + CHOOSE(CONTROL!$C$25, 0.0003, 0)</f>
        <v>22.326999999999998</v>
      </c>
      <c r="D303" s="4">
        <f>29.5441 * CHOOSE(CONTROL!$C$6, $C$13, 100%, $E$13) + CHOOSE(CONTROL!$C$25, 0, 0)</f>
        <v>29.5441</v>
      </c>
      <c r="E303" s="4">
        <f>132.055983902581 * CHOOSE(CONTROL!$C$6, $C$13, 100%, $E$13) + CHOOSE(CONTROL!$C$25, 0, 0)</f>
        <v>132.055983902581</v>
      </c>
    </row>
    <row r="304" spans="1:5" ht="15">
      <c r="A304" s="13">
        <v>51135</v>
      </c>
      <c r="B304" s="4">
        <f>22.314 * CHOOSE(CONTROL!$C$6, $C$13, 100%, $E$13) + CHOOSE(CONTROL!$C$25, 0.0003, 0)</f>
        <v>22.314299999999999</v>
      </c>
      <c r="C304" s="4">
        <f>22.0015 * CHOOSE(CONTROL!$C$6, $C$13, 100%, $E$13) + CHOOSE(CONTROL!$C$25, 0.0003, 0)</f>
        <v>22.001799999999999</v>
      </c>
      <c r="D304" s="4">
        <f>28.5309 * CHOOSE(CONTROL!$C$6, $C$13, 100%, $E$13) + CHOOSE(CONTROL!$C$25, 0, 0)</f>
        <v>28.530899999999999</v>
      </c>
      <c r="E304" s="4">
        <f>129.987811908614 * CHOOSE(CONTROL!$C$6, $C$13, 100%, $E$13) + CHOOSE(CONTROL!$C$25, 0, 0)</f>
        <v>129.98781190861399</v>
      </c>
    </row>
    <row r="305" spans="1:5" ht="15">
      <c r="A305" s="13">
        <v>51166</v>
      </c>
      <c r="B305" s="4">
        <f>21.7857 * CHOOSE(CONTROL!$C$6, $C$13, 100%, $E$13) + CHOOSE(CONTROL!$C$25, 0.0003, 0)</f>
        <v>21.785999999999998</v>
      </c>
      <c r="C305" s="4">
        <f>21.4732 * CHOOSE(CONTROL!$C$6, $C$13, 100%, $E$13) + CHOOSE(CONTROL!$C$25, 0.0003, 0)</f>
        <v>21.473499999999998</v>
      </c>
      <c r="D305" s="4">
        <f>27.5996 * CHOOSE(CONTROL!$C$6, $C$13, 100%, $E$13) + CHOOSE(CONTROL!$C$25, 0, 0)</f>
        <v>27.599599999999999</v>
      </c>
      <c r="E305" s="4">
        <f>126.26025680722 * CHOOSE(CONTROL!$C$6, $C$13, 100%, $E$13) + CHOOSE(CONTROL!$C$25, 0, 0)</f>
        <v>126.26025680722</v>
      </c>
    </row>
    <row r="306" spans="1:5" ht="15">
      <c r="A306" s="13">
        <v>51194</v>
      </c>
      <c r="B306" s="4">
        <f>22.2584 * CHOOSE(CONTROL!$C$6, $C$13, 100%, $E$13) + CHOOSE(CONTROL!$C$25, 0.0003, 0)</f>
        <v>22.258700000000001</v>
      </c>
      <c r="C306" s="4">
        <f>21.9459 * CHOOSE(CONTROL!$C$6, $C$13, 100%, $E$13) + CHOOSE(CONTROL!$C$25, 0.0003, 0)</f>
        <v>21.946200000000001</v>
      </c>
      <c r="D306" s="4">
        <f>28.5374 * CHOOSE(CONTROL!$C$6, $C$13, 100%, $E$13) + CHOOSE(CONTROL!$C$25, 0, 0)</f>
        <v>28.537400000000002</v>
      </c>
      <c r="E306" s="4">
        <f>129.258172884061 * CHOOSE(CONTROL!$C$6, $C$13, 100%, $E$13) + CHOOSE(CONTROL!$C$25, 0, 0)</f>
        <v>129.258172884061</v>
      </c>
    </row>
    <row r="307" spans="1:5" ht="15">
      <c r="A307" s="13">
        <v>51226</v>
      </c>
      <c r="B307" s="4">
        <f>23.4999 * CHOOSE(CONTROL!$C$6, $C$13, 100%, $E$13) + CHOOSE(CONTROL!$C$25, 0.0003, 0)</f>
        <v>23.5002</v>
      </c>
      <c r="C307" s="4">
        <f>23.1874 * CHOOSE(CONTROL!$C$6, $C$13, 100%, $E$13) + CHOOSE(CONTROL!$C$25, 0.0003, 0)</f>
        <v>23.1877</v>
      </c>
      <c r="D307" s="4">
        <f>30.0054 * CHOOSE(CONTROL!$C$6, $C$13, 100%, $E$13) + CHOOSE(CONTROL!$C$25, 0, 0)</f>
        <v>30.005400000000002</v>
      </c>
      <c r="E307" s="4">
        <f>137.130859820783 * CHOOSE(CONTROL!$C$6, $C$13, 100%, $E$13) + CHOOSE(CONTROL!$C$25, 0, 0)</f>
        <v>137.130859820783</v>
      </c>
    </row>
    <row r="308" spans="1:5" ht="15">
      <c r="A308" s="13">
        <v>51256</v>
      </c>
      <c r="B308" s="4">
        <f>24.382 * CHOOSE(CONTROL!$C$6, $C$13, 100%, $E$13) + CHOOSE(CONTROL!$C$25, 0.0003, 0)</f>
        <v>24.382300000000001</v>
      </c>
      <c r="C308" s="4">
        <f>24.0695 * CHOOSE(CONTROL!$C$6, $C$13, 100%, $E$13) + CHOOSE(CONTROL!$C$25, 0.0003, 0)</f>
        <v>24.069800000000001</v>
      </c>
      <c r="D308" s="4">
        <f>30.851 * CHOOSE(CONTROL!$C$6, $C$13, 100%, $E$13) + CHOOSE(CONTROL!$C$25, 0, 0)</f>
        <v>30.850999999999999</v>
      </c>
      <c r="E308" s="4">
        <f>142.724508806672 * CHOOSE(CONTROL!$C$6, $C$13, 100%, $E$13) + CHOOSE(CONTROL!$C$25, 0, 0)</f>
        <v>142.72450880667199</v>
      </c>
    </row>
    <row r="309" spans="1:5" ht="15">
      <c r="A309" s="13">
        <v>51287</v>
      </c>
      <c r="B309" s="4">
        <f>24.9209 * CHOOSE(CONTROL!$C$6, $C$13, 100%, $E$13) + CHOOSE(CONTROL!$C$25, 0.0263, 0)</f>
        <v>24.947199999999999</v>
      </c>
      <c r="C309" s="4">
        <f>24.6084 * CHOOSE(CONTROL!$C$6, $C$13, 100%, $E$13) + CHOOSE(CONTROL!$C$25, 0.0263, 0)</f>
        <v>24.634699999999999</v>
      </c>
      <c r="D309" s="4">
        <f>30.5169 * CHOOSE(CONTROL!$C$6, $C$13, 100%, $E$13) + CHOOSE(CONTROL!$C$25, 0, 0)</f>
        <v>30.5169</v>
      </c>
      <c r="E309" s="4">
        <f>146.142094275994 * CHOOSE(CONTROL!$C$6, $C$13, 100%, $E$13) + CHOOSE(CONTROL!$C$25, 0, 0)</f>
        <v>146.142094275994</v>
      </c>
    </row>
    <row r="310" spans="1:5" ht="15">
      <c r="A310" s="13">
        <v>51317</v>
      </c>
      <c r="B310" s="4">
        <f>24.9939 * CHOOSE(CONTROL!$C$6, $C$13, 100%, $E$13) + CHOOSE(CONTROL!$C$25, 0.0263, 0)</f>
        <v>25.020199999999999</v>
      </c>
      <c r="C310" s="4">
        <f>24.6814 * CHOOSE(CONTROL!$C$6, $C$13, 100%, $E$13) + CHOOSE(CONTROL!$C$25, 0.0263, 0)</f>
        <v>24.707699999999999</v>
      </c>
      <c r="D310" s="4">
        <f>30.789 * CHOOSE(CONTROL!$C$6, $C$13, 100%, $E$13) + CHOOSE(CONTROL!$C$25, 0, 0)</f>
        <v>30.789000000000001</v>
      </c>
      <c r="E310" s="4">
        <f>146.604507773264 * CHOOSE(CONTROL!$C$6, $C$13, 100%, $E$13) + CHOOSE(CONTROL!$C$25, 0, 0)</f>
        <v>146.604507773264</v>
      </c>
    </row>
    <row r="311" spans="1:5" ht="15">
      <c r="A311" s="13">
        <v>51348</v>
      </c>
      <c r="B311" s="4">
        <f>24.9865 * CHOOSE(CONTROL!$C$6, $C$13, 100%, $E$13) + CHOOSE(CONTROL!$C$25, 0.0263, 0)</f>
        <v>25.012799999999999</v>
      </c>
      <c r="C311" s="4">
        <f>24.674 * CHOOSE(CONTROL!$C$6, $C$13, 100%, $E$13) + CHOOSE(CONTROL!$C$25, 0.0263, 0)</f>
        <v>24.700299999999999</v>
      </c>
      <c r="D311" s="4">
        <f>31.2801 * CHOOSE(CONTROL!$C$6, $C$13, 100%, $E$13) + CHOOSE(CONTROL!$C$25, 0, 0)</f>
        <v>31.280100000000001</v>
      </c>
      <c r="E311" s="4">
        <f>146.557877840766 * CHOOSE(CONTROL!$C$6, $C$13, 100%, $E$13) + CHOOSE(CONTROL!$C$25, 0, 0)</f>
        <v>146.557877840766</v>
      </c>
    </row>
    <row r="312" spans="1:5" ht="15">
      <c r="A312" s="13">
        <v>51379</v>
      </c>
      <c r="B312" s="4">
        <f>25.5398 * CHOOSE(CONTROL!$C$6, $C$13, 100%, $E$13) + CHOOSE(CONTROL!$C$25, 0.0263, 0)</f>
        <v>25.566099999999999</v>
      </c>
      <c r="C312" s="4">
        <f>25.2273 * CHOOSE(CONTROL!$C$6, $C$13, 100%, $E$13) + CHOOSE(CONTROL!$C$25, 0.0263, 0)</f>
        <v>25.253599999999999</v>
      </c>
      <c r="D312" s="4">
        <f>30.9558 * CHOOSE(CONTROL!$C$6, $C$13, 100%, $E$13) + CHOOSE(CONTROL!$C$25, 0, 0)</f>
        <v>30.9558</v>
      </c>
      <c r="E312" s="4">
        <f>150.06678026123 * CHOOSE(CONTROL!$C$6, $C$13, 100%, $E$13) + CHOOSE(CONTROL!$C$25, 0, 0)</f>
        <v>150.06678026123001</v>
      </c>
    </row>
    <row r="313" spans="1:5" ht="15">
      <c r="A313" s="13">
        <v>51409</v>
      </c>
      <c r="B313" s="4">
        <f>24.5968 * CHOOSE(CONTROL!$C$6, $C$13, 100%, $E$13) + CHOOSE(CONTROL!$C$25, 0.0263, 0)</f>
        <v>24.623100000000001</v>
      </c>
      <c r="C313" s="4">
        <f>24.2843 * CHOOSE(CONTROL!$C$6, $C$13, 100%, $E$13) + CHOOSE(CONTROL!$C$25, 0.0263, 0)</f>
        <v>24.310600000000001</v>
      </c>
      <c r="D313" s="4">
        <f>30.8025 * CHOOSE(CONTROL!$C$6, $C$13, 100%, $E$13) + CHOOSE(CONTROL!$C$25, 0, 0)</f>
        <v>30.802499999999998</v>
      </c>
      <c r="E313" s="4">
        <f>144.08649141838 * CHOOSE(CONTROL!$C$6, $C$13, 100%, $E$13) + CHOOSE(CONTROL!$C$25, 0, 0)</f>
        <v>144.08649141838001</v>
      </c>
    </row>
    <row r="314" spans="1:5" ht="15">
      <c r="A314" s="13">
        <v>51440</v>
      </c>
      <c r="B314" s="4">
        <f>23.8418 * CHOOSE(CONTROL!$C$6, $C$13, 100%, $E$13) + CHOOSE(CONTROL!$C$25, 0.0003, 0)</f>
        <v>23.842099999999999</v>
      </c>
      <c r="C314" s="4">
        <f>23.5293 * CHOOSE(CONTROL!$C$6, $C$13, 100%, $E$13) + CHOOSE(CONTROL!$C$25, 0.0003, 0)</f>
        <v>23.529599999999999</v>
      </c>
      <c r="D314" s="4">
        <f>30.3923 * CHOOSE(CONTROL!$C$6, $C$13, 100%, $E$13) + CHOOSE(CONTROL!$C$25, 0, 0)</f>
        <v>30.392299999999999</v>
      </c>
      <c r="E314" s="4">
        <f>139.299151681933 * CHOOSE(CONTROL!$C$6, $C$13, 100%, $E$13) + CHOOSE(CONTROL!$C$25, 0, 0)</f>
        <v>139.29915168193301</v>
      </c>
    </row>
    <row r="315" spans="1:5" ht="15">
      <c r="A315" s="13">
        <v>51470</v>
      </c>
      <c r="B315" s="4">
        <f>23.3556 * CHOOSE(CONTROL!$C$6, $C$13, 100%, $E$13) + CHOOSE(CONTROL!$C$25, 0.0003, 0)</f>
        <v>23.355899999999998</v>
      </c>
      <c r="C315" s="4">
        <f>23.0431 * CHOOSE(CONTROL!$C$6, $C$13, 100%, $E$13) + CHOOSE(CONTROL!$C$25, 0.0003, 0)</f>
        <v>23.043399999999998</v>
      </c>
      <c r="D315" s="4">
        <f>30.2513 * CHOOSE(CONTROL!$C$6, $C$13, 100%, $E$13) + CHOOSE(CONTROL!$C$25, 0, 0)</f>
        <v>30.251300000000001</v>
      </c>
      <c r="E315" s="4">
        <f>136.215747395512 * CHOOSE(CONTROL!$C$6, $C$13, 100%, $E$13) + CHOOSE(CONTROL!$C$25, 0, 0)</f>
        <v>136.21574739551201</v>
      </c>
    </row>
    <row r="316" spans="1:5" ht="15">
      <c r="A316" s="13">
        <v>51501</v>
      </c>
      <c r="B316" s="4">
        <f>23.0192 * CHOOSE(CONTROL!$C$6, $C$13, 100%, $E$13) + CHOOSE(CONTROL!$C$25, 0.0003, 0)</f>
        <v>23.019500000000001</v>
      </c>
      <c r="C316" s="4">
        <f>22.7067 * CHOOSE(CONTROL!$C$6, $C$13, 100%, $E$13) + CHOOSE(CONTROL!$C$25, 0.0003, 0)</f>
        <v>22.707000000000001</v>
      </c>
      <c r="D316" s="4">
        <f>29.2129 * CHOOSE(CONTROL!$C$6, $C$13, 100%, $E$13) + CHOOSE(CONTROL!$C$25, 0, 0)</f>
        <v>29.212900000000001</v>
      </c>
      <c r="E316" s="4">
        <f>134.082427983735 * CHOOSE(CONTROL!$C$6, $C$13, 100%, $E$13) + CHOOSE(CONTROL!$C$25, 0, 0)</f>
        <v>134.08242798373499</v>
      </c>
    </row>
    <row r="317" spans="1:5" ht="15">
      <c r="A317" s="13">
        <v>51532</v>
      </c>
      <c r="B317" s="4">
        <f>22.4726 * CHOOSE(CONTROL!$C$6, $C$13, 100%, $E$13) + CHOOSE(CONTROL!$C$25, 0.0003, 0)</f>
        <v>22.472899999999999</v>
      </c>
      <c r="C317" s="4">
        <f>22.1601 * CHOOSE(CONTROL!$C$6, $C$13, 100%, $E$13) + CHOOSE(CONTROL!$C$25, 0.0003, 0)</f>
        <v>22.160399999999999</v>
      </c>
      <c r="D317" s="4">
        <f>28.2586 * CHOOSE(CONTROL!$C$6, $C$13, 100%, $E$13) + CHOOSE(CONTROL!$C$25, 0, 0)</f>
        <v>28.258600000000001</v>
      </c>
      <c r="E317" s="4">
        <f>130.237454896647 * CHOOSE(CONTROL!$C$6, $C$13, 100%, $E$13) + CHOOSE(CONTROL!$C$25, 0, 0)</f>
        <v>130.23745489664699</v>
      </c>
    </row>
    <row r="318" spans="1:5" ht="15">
      <c r="A318" s="13">
        <v>51560</v>
      </c>
      <c r="B318" s="4">
        <f>22.9617 * CHOOSE(CONTROL!$C$6, $C$13, 100%, $E$13) + CHOOSE(CONTROL!$C$25, 0.0003, 0)</f>
        <v>22.962</v>
      </c>
      <c r="C318" s="4">
        <f>22.6492 * CHOOSE(CONTROL!$C$6, $C$13, 100%, $E$13) + CHOOSE(CONTROL!$C$25, 0.0003, 0)</f>
        <v>22.6495</v>
      </c>
      <c r="D318" s="4">
        <f>29.2196 * CHOOSE(CONTROL!$C$6, $C$13, 100%, $E$13) + CHOOSE(CONTROL!$C$25, 0, 0)</f>
        <v>29.2196</v>
      </c>
      <c r="E318" s="4">
        <f>133.329805329909 * CHOOSE(CONTROL!$C$6, $C$13, 100%, $E$13) + CHOOSE(CONTROL!$C$25, 0, 0)</f>
        <v>133.32980532990899</v>
      </c>
    </row>
    <row r="319" spans="1:5" ht="15">
      <c r="A319" s="13">
        <v>51591</v>
      </c>
      <c r="B319" s="4">
        <f>24.246 * CHOOSE(CONTROL!$C$6, $C$13, 100%, $E$13) + CHOOSE(CONTROL!$C$25, 0.0003, 0)</f>
        <v>24.246299999999998</v>
      </c>
      <c r="C319" s="4">
        <f>23.9335 * CHOOSE(CONTROL!$C$6, $C$13, 100%, $E$13) + CHOOSE(CONTROL!$C$25, 0.0003, 0)</f>
        <v>23.933799999999998</v>
      </c>
      <c r="D319" s="4">
        <f>30.724 * CHOOSE(CONTROL!$C$6, $C$13, 100%, $E$13) + CHOOSE(CONTROL!$C$25, 0, 0)</f>
        <v>30.724</v>
      </c>
      <c r="E319" s="4">
        <f>141.450481905138 * CHOOSE(CONTROL!$C$6, $C$13, 100%, $E$13) + CHOOSE(CONTROL!$C$25, 0, 0)</f>
        <v>141.45048190513799</v>
      </c>
    </row>
    <row r="320" spans="1:5" ht="15">
      <c r="A320" s="13">
        <v>51621</v>
      </c>
      <c r="B320" s="4">
        <f>25.1585 * CHOOSE(CONTROL!$C$6, $C$13, 100%, $E$13) + CHOOSE(CONTROL!$C$25, 0.0003, 0)</f>
        <v>25.158799999999999</v>
      </c>
      <c r="C320" s="4">
        <f>24.846 * CHOOSE(CONTROL!$C$6, $C$13, 100%, $E$13) + CHOOSE(CONTROL!$C$25, 0.0003, 0)</f>
        <v>24.846299999999999</v>
      </c>
      <c r="D320" s="4">
        <f>31.5906 * CHOOSE(CONTROL!$C$6, $C$13, 100%, $E$13) + CHOOSE(CONTROL!$C$25, 0, 0)</f>
        <v>31.590599999999998</v>
      </c>
      <c r="E320" s="4">
        <f>147.220330834082 * CHOOSE(CONTROL!$C$6, $C$13, 100%, $E$13) + CHOOSE(CONTROL!$C$25, 0, 0)</f>
        <v>147.22033083408201</v>
      </c>
    </row>
    <row r="321" spans="1:5" ht="15">
      <c r="A321" s="13">
        <v>51652</v>
      </c>
      <c r="B321" s="4">
        <f>25.716 * CHOOSE(CONTROL!$C$6, $C$13, 100%, $E$13) + CHOOSE(CONTROL!$C$25, 0.0263, 0)</f>
        <v>25.7423</v>
      </c>
      <c r="C321" s="4">
        <f>25.4035 * CHOOSE(CONTROL!$C$6, $C$13, 100%, $E$13) + CHOOSE(CONTROL!$C$25, 0.0263, 0)</f>
        <v>25.4298</v>
      </c>
      <c r="D321" s="4">
        <f>31.2482 * CHOOSE(CONTROL!$C$6, $C$13, 100%, $E$13) + CHOOSE(CONTROL!$C$25, 0, 0)</f>
        <v>31.248200000000001</v>
      </c>
      <c r="E321" s="4">
        <f>150.745570245688 * CHOOSE(CONTROL!$C$6, $C$13, 100%, $E$13) + CHOOSE(CONTROL!$C$25, 0, 0)</f>
        <v>150.74557024568799</v>
      </c>
    </row>
    <row r="322" spans="1:5" ht="15">
      <c r="A322" s="13">
        <v>51682</v>
      </c>
      <c r="B322" s="4">
        <f>25.7915 * CHOOSE(CONTROL!$C$6, $C$13, 100%, $E$13) + CHOOSE(CONTROL!$C$25, 0.0263, 0)</f>
        <v>25.817799999999998</v>
      </c>
      <c r="C322" s="4">
        <f>25.479 * CHOOSE(CONTROL!$C$6, $C$13, 100%, $E$13) + CHOOSE(CONTROL!$C$25, 0.0263, 0)</f>
        <v>25.505299999999998</v>
      </c>
      <c r="D322" s="4">
        <f>31.5271 * CHOOSE(CONTROL!$C$6, $C$13, 100%, $E$13) + CHOOSE(CONTROL!$C$25, 0, 0)</f>
        <v>31.527100000000001</v>
      </c>
      <c r="E322" s="4">
        <f>151.222549768122 * CHOOSE(CONTROL!$C$6, $C$13, 100%, $E$13) + CHOOSE(CONTROL!$C$25, 0, 0)</f>
        <v>151.22254976812201</v>
      </c>
    </row>
    <row r="323" spans="1:5" ht="15">
      <c r="A323" s="13">
        <v>51713</v>
      </c>
      <c r="B323" s="4">
        <f>25.7839 * CHOOSE(CONTROL!$C$6, $C$13, 100%, $E$13) + CHOOSE(CONTROL!$C$25, 0.0263, 0)</f>
        <v>25.810199999999998</v>
      </c>
      <c r="C323" s="4">
        <f>25.4714 * CHOOSE(CONTROL!$C$6, $C$13, 100%, $E$13) + CHOOSE(CONTROL!$C$25, 0.0263, 0)</f>
        <v>25.497699999999998</v>
      </c>
      <c r="D323" s="4">
        <f>32.0303 * CHOOSE(CONTROL!$C$6, $C$13, 100%, $E$13) + CHOOSE(CONTROL!$C$25, 0, 0)</f>
        <v>32.030299999999997</v>
      </c>
      <c r="E323" s="4">
        <f>151.174450992751 * CHOOSE(CONTROL!$C$6, $C$13, 100%, $E$13) + CHOOSE(CONTROL!$C$25, 0, 0)</f>
        <v>151.17445099275099</v>
      </c>
    </row>
    <row r="324" spans="1:5" ht="15">
      <c r="A324" s="13">
        <v>51744</v>
      </c>
      <c r="B324" s="4">
        <f>26.3563 * CHOOSE(CONTROL!$C$6, $C$13, 100%, $E$13) + CHOOSE(CONTROL!$C$25, 0.0263, 0)</f>
        <v>26.3826</v>
      </c>
      <c r="C324" s="4">
        <f>26.0438 * CHOOSE(CONTROL!$C$6, $C$13, 100%, $E$13) + CHOOSE(CONTROL!$C$25, 0.0263, 0)</f>
        <v>26.0701</v>
      </c>
      <c r="D324" s="4">
        <f>31.6979 * CHOOSE(CONTROL!$C$6, $C$13, 100%, $E$13) + CHOOSE(CONTROL!$C$25, 0, 0)</f>
        <v>31.697900000000001</v>
      </c>
      <c r="E324" s="4">
        <f>154.793883839459 * CHOOSE(CONTROL!$C$6, $C$13, 100%, $E$13) + CHOOSE(CONTROL!$C$25, 0, 0)</f>
        <v>154.793883839459</v>
      </c>
    </row>
    <row r="325" spans="1:5" ht="15">
      <c r="A325" s="13">
        <v>51774</v>
      </c>
      <c r="B325" s="4">
        <f>25.3807 * CHOOSE(CONTROL!$C$6, $C$13, 100%, $E$13) + CHOOSE(CONTROL!$C$25, 0.0263, 0)</f>
        <v>25.407</v>
      </c>
      <c r="C325" s="4">
        <f>25.0682 * CHOOSE(CONTROL!$C$6, $C$13, 100%, $E$13) + CHOOSE(CONTROL!$C$25, 0.0263, 0)</f>
        <v>25.0945</v>
      </c>
      <c r="D325" s="4">
        <f>31.5409 * CHOOSE(CONTROL!$C$6, $C$13, 100%, $E$13) + CHOOSE(CONTROL!$C$25, 0, 0)</f>
        <v>31.540900000000001</v>
      </c>
      <c r="E325" s="4">
        <f>148.625215898059 * CHOOSE(CONTROL!$C$6, $C$13, 100%, $E$13) + CHOOSE(CONTROL!$C$25, 0, 0)</f>
        <v>148.625215898059</v>
      </c>
    </row>
    <row r="326" spans="1:5" ht="15">
      <c r="A326" s="13">
        <v>51805</v>
      </c>
      <c r="B326" s="4">
        <f>24.5997 * CHOOSE(CONTROL!$C$6, $C$13, 100%, $E$13) + CHOOSE(CONTROL!$C$25, 0.0003, 0)</f>
        <v>24.599999999999998</v>
      </c>
      <c r="C326" s="4">
        <f>24.2872 * CHOOSE(CONTROL!$C$6, $C$13, 100%, $E$13) + CHOOSE(CONTROL!$C$25, 0.0003, 0)</f>
        <v>24.287499999999998</v>
      </c>
      <c r="D326" s="4">
        <f>31.1205 * CHOOSE(CONTROL!$C$6, $C$13, 100%, $E$13) + CHOOSE(CONTROL!$C$25, 0, 0)</f>
        <v>31.1205</v>
      </c>
      <c r="E326" s="4">
        <f>143.687074959914 * CHOOSE(CONTROL!$C$6, $C$13, 100%, $E$13) + CHOOSE(CONTROL!$C$25, 0, 0)</f>
        <v>143.68707495991401</v>
      </c>
    </row>
    <row r="327" spans="1:5" ht="15">
      <c r="A327" s="13">
        <v>51835</v>
      </c>
      <c r="B327" s="4">
        <f>24.0967 * CHOOSE(CONTROL!$C$6, $C$13, 100%, $E$13) + CHOOSE(CONTROL!$C$25, 0.0003, 0)</f>
        <v>24.096999999999998</v>
      </c>
      <c r="C327" s="4">
        <f>23.7842 * CHOOSE(CONTROL!$C$6, $C$13, 100%, $E$13) + CHOOSE(CONTROL!$C$25, 0.0003, 0)</f>
        <v>23.784499999999998</v>
      </c>
      <c r="D327" s="4">
        <f>30.976 * CHOOSE(CONTROL!$C$6, $C$13, 100%, $E$13) + CHOOSE(CONTROL!$C$25, 0, 0)</f>
        <v>30.975999999999999</v>
      </c>
      <c r="E327" s="4">
        <f>140.506543438471 * CHOOSE(CONTROL!$C$6, $C$13, 100%, $E$13) + CHOOSE(CONTROL!$C$25, 0, 0)</f>
        <v>140.506543438471</v>
      </c>
    </row>
    <row r="328" spans="1:5" ht="15">
      <c r="A328" s="13">
        <v>51866</v>
      </c>
      <c r="B328" s="4">
        <f>23.7487 * CHOOSE(CONTROL!$C$6, $C$13, 100%, $E$13) + CHOOSE(CONTROL!$C$25, 0.0003, 0)</f>
        <v>23.748999999999999</v>
      </c>
      <c r="C328" s="4">
        <f>23.4362 * CHOOSE(CONTROL!$C$6, $C$13, 100%, $E$13) + CHOOSE(CONTROL!$C$25, 0.0003, 0)</f>
        <v>23.436499999999999</v>
      </c>
      <c r="D328" s="4">
        <f>29.9119 * CHOOSE(CONTROL!$C$6, $C$13, 100%, $E$13) + CHOOSE(CONTROL!$C$25, 0, 0)</f>
        <v>29.911899999999999</v>
      </c>
      <c r="E328" s="4">
        <f>138.306024465223 * CHOOSE(CONTROL!$C$6, $C$13, 100%, $E$13) + CHOOSE(CONTROL!$C$25, 0, 0)</f>
        <v>138.306024465223</v>
      </c>
    </row>
    <row r="329" spans="1:5" ht="15">
      <c r="A329" s="13">
        <v>51897</v>
      </c>
      <c r="B329" s="4">
        <f>23.1832 * CHOOSE(CONTROL!$C$6, $C$13, 100%, $E$13) + CHOOSE(CONTROL!$C$25, 0.0003, 0)</f>
        <v>23.183499999999999</v>
      </c>
      <c r="C329" s="4">
        <f>22.8707 * CHOOSE(CONTROL!$C$6, $C$13, 100%, $E$13) + CHOOSE(CONTROL!$C$25, 0.0003, 0)</f>
        <v>22.870999999999999</v>
      </c>
      <c r="D329" s="4">
        <f>28.9338 * CHOOSE(CONTROL!$C$6, $C$13, 100%, $E$13) + CHOOSE(CONTROL!$C$25, 0, 0)</f>
        <v>28.933800000000002</v>
      </c>
      <c r="E329" s="4">
        <f>134.339934725892 * CHOOSE(CONTROL!$C$6, $C$13, 100%, $E$13) + CHOOSE(CONTROL!$C$25, 0, 0)</f>
        <v>134.33993472589199</v>
      </c>
    </row>
    <row r="330" spans="1:5" ht="15">
      <c r="A330" s="13">
        <v>51925</v>
      </c>
      <c r="B330" s="4">
        <f>23.6891 * CHOOSE(CONTROL!$C$6, $C$13, 100%, $E$13) + CHOOSE(CONTROL!$C$25, 0.0003, 0)</f>
        <v>23.689399999999999</v>
      </c>
      <c r="C330" s="4">
        <f>23.3766 * CHOOSE(CONTROL!$C$6, $C$13, 100%, $E$13) + CHOOSE(CONTROL!$C$25, 0.0003, 0)</f>
        <v>23.376899999999999</v>
      </c>
      <c r="D330" s="4">
        <f>29.9187 * CHOOSE(CONTROL!$C$6, $C$13, 100%, $E$13) + CHOOSE(CONTROL!$C$25, 0, 0)</f>
        <v>29.918700000000001</v>
      </c>
      <c r="E330" s="4">
        <f>137.529694197801 * CHOOSE(CONTROL!$C$6, $C$13, 100%, $E$13) + CHOOSE(CONTROL!$C$25, 0, 0)</f>
        <v>137.52969419780101</v>
      </c>
    </row>
    <row r="331" spans="1:5" ht="15">
      <c r="A331" s="13">
        <v>51956</v>
      </c>
      <c r="B331" s="4">
        <f>25.0178 * CHOOSE(CONTROL!$C$6, $C$13, 100%, $E$13) + CHOOSE(CONTROL!$C$25, 0.0003, 0)</f>
        <v>25.0181</v>
      </c>
      <c r="C331" s="4">
        <f>24.7053 * CHOOSE(CONTROL!$C$6, $C$13, 100%, $E$13) + CHOOSE(CONTROL!$C$25, 0.0003, 0)</f>
        <v>24.7056</v>
      </c>
      <c r="D331" s="4">
        <f>31.4604 * CHOOSE(CONTROL!$C$6, $C$13, 100%, $E$13) + CHOOSE(CONTROL!$C$25, 0, 0)</f>
        <v>31.4604</v>
      </c>
      <c r="E331" s="4">
        <f>145.906172085149 * CHOOSE(CONTROL!$C$6, $C$13, 100%, $E$13) + CHOOSE(CONTROL!$C$25, 0, 0)</f>
        <v>145.906172085149</v>
      </c>
    </row>
    <row r="332" spans="1:5" ht="15">
      <c r="A332" s="13">
        <v>51986</v>
      </c>
      <c r="B332" s="4">
        <f>25.9618 * CHOOSE(CONTROL!$C$6, $C$13, 100%, $E$13) + CHOOSE(CONTROL!$C$25, 0.0003, 0)</f>
        <v>25.9621</v>
      </c>
      <c r="C332" s="4">
        <f>25.6493 * CHOOSE(CONTROL!$C$6, $C$13, 100%, $E$13) + CHOOSE(CONTROL!$C$25, 0.0003, 0)</f>
        <v>25.6496</v>
      </c>
      <c r="D332" s="4">
        <f>32.3485 * CHOOSE(CONTROL!$C$6, $C$13, 100%, $E$13) + CHOOSE(CONTROL!$C$25, 0, 0)</f>
        <v>32.348500000000001</v>
      </c>
      <c r="E332" s="4">
        <f>151.857771255356 * CHOOSE(CONTROL!$C$6, $C$13, 100%, $E$13) + CHOOSE(CONTROL!$C$25, 0, 0)</f>
        <v>151.857771255356</v>
      </c>
    </row>
    <row r="333" spans="1:5" ht="15">
      <c r="A333" s="13">
        <v>52017</v>
      </c>
      <c r="B333" s="4">
        <f>26.5385 * CHOOSE(CONTROL!$C$6, $C$13, 100%, $E$13) + CHOOSE(CONTROL!$C$25, 0.0263, 0)</f>
        <v>26.564799999999998</v>
      </c>
      <c r="C333" s="4">
        <f>26.226 * CHOOSE(CONTROL!$C$6, $C$13, 100%, $E$13) + CHOOSE(CONTROL!$C$25, 0.0263, 0)</f>
        <v>26.252299999999998</v>
      </c>
      <c r="D333" s="4">
        <f>31.9976 * CHOOSE(CONTROL!$C$6, $C$13, 100%, $E$13) + CHOOSE(CONTROL!$C$25, 0, 0)</f>
        <v>31.997599999999998</v>
      </c>
      <c r="E333" s="4">
        <f>155.494055708427 * CHOOSE(CONTROL!$C$6, $C$13, 100%, $E$13) + CHOOSE(CONTROL!$C$25, 0, 0)</f>
        <v>155.494055708427</v>
      </c>
    </row>
    <row r="334" spans="1:5" ht="15">
      <c r="A334" s="13">
        <v>52047</v>
      </c>
      <c r="B334" s="4">
        <f>26.6166 * CHOOSE(CONTROL!$C$6, $C$13, 100%, $E$13) + CHOOSE(CONTROL!$C$25, 0.0263, 0)</f>
        <v>26.642899999999997</v>
      </c>
      <c r="C334" s="4">
        <f>26.3041 * CHOOSE(CONTROL!$C$6, $C$13, 100%, $E$13) + CHOOSE(CONTROL!$C$25, 0.0263, 0)</f>
        <v>26.330399999999997</v>
      </c>
      <c r="D334" s="4">
        <f>32.2834 * CHOOSE(CONTROL!$C$6, $C$13, 100%, $E$13) + CHOOSE(CONTROL!$C$25, 0, 0)</f>
        <v>32.2834</v>
      </c>
      <c r="E334" s="4">
        <f>155.986060085818 * CHOOSE(CONTROL!$C$6, $C$13, 100%, $E$13) + CHOOSE(CONTROL!$C$25, 0, 0)</f>
        <v>155.986060085818</v>
      </c>
    </row>
    <row r="335" spans="1:5" ht="15">
      <c r="A335" s="13">
        <v>52078</v>
      </c>
      <c r="B335" s="4">
        <f>26.6087 * CHOOSE(CONTROL!$C$6, $C$13, 100%, $E$13) + CHOOSE(CONTROL!$C$25, 0.0263, 0)</f>
        <v>26.634999999999998</v>
      </c>
      <c r="C335" s="4">
        <f>26.2962 * CHOOSE(CONTROL!$C$6, $C$13, 100%, $E$13) + CHOOSE(CONTROL!$C$25, 0.0263, 0)</f>
        <v>26.322499999999998</v>
      </c>
      <c r="D335" s="4">
        <f>32.7991 * CHOOSE(CONTROL!$C$6, $C$13, 100%, $E$13) + CHOOSE(CONTROL!$C$25, 0, 0)</f>
        <v>32.799100000000003</v>
      </c>
      <c r="E335" s="4">
        <f>155.936446199022 * CHOOSE(CONTROL!$C$6, $C$13, 100%, $E$13) + CHOOSE(CONTROL!$C$25, 0, 0)</f>
        <v>155.93644619902199</v>
      </c>
    </row>
    <row r="336" spans="1:5" ht="15">
      <c r="A336" s="13">
        <v>52109</v>
      </c>
      <c r="B336" s="4">
        <f>27.2009 * CHOOSE(CONTROL!$C$6, $C$13, 100%, $E$13) + CHOOSE(CONTROL!$C$25, 0.0263, 0)</f>
        <v>27.2272</v>
      </c>
      <c r="C336" s="4">
        <f>26.8884 * CHOOSE(CONTROL!$C$6, $C$13, 100%, $E$13) + CHOOSE(CONTROL!$C$25, 0.0263, 0)</f>
        <v>26.9147</v>
      </c>
      <c r="D336" s="4">
        <f>32.4585 * CHOOSE(CONTROL!$C$6, $C$13, 100%, $E$13) + CHOOSE(CONTROL!$C$25, 0, 0)</f>
        <v>32.458500000000001</v>
      </c>
      <c r="E336" s="4">
        <f>159.669891180402 * CHOOSE(CONTROL!$C$6, $C$13, 100%, $E$13) + CHOOSE(CONTROL!$C$25, 0, 0)</f>
        <v>159.669891180402</v>
      </c>
    </row>
    <row r="337" spans="1:5" ht="15">
      <c r="A337" s="13">
        <v>52139</v>
      </c>
      <c r="B337" s="4">
        <f>26.1916 * CHOOSE(CONTROL!$C$6, $C$13, 100%, $E$13) + CHOOSE(CONTROL!$C$25, 0.0263, 0)</f>
        <v>26.2179</v>
      </c>
      <c r="C337" s="4">
        <f>25.8791 * CHOOSE(CONTROL!$C$6, $C$13, 100%, $E$13) + CHOOSE(CONTROL!$C$25, 0.0263, 0)</f>
        <v>25.9054</v>
      </c>
      <c r="D337" s="4">
        <f>32.2976 * CHOOSE(CONTROL!$C$6, $C$13, 100%, $E$13) + CHOOSE(CONTROL!$C$25, 0, 0)</f>
        <v>32.297600000000003</v>
      </c>
      <c r="E337" s="4">
        <f>153.306910198848 * CHOOSE(CONTROL!$C$6, $C$13, 100%, $E$13) + CHOOSE(CONTROL!$C$25, 0, 0)</f>
        <v>153.30691019884799</v>
      </c>
    </row>
    <row r="338" spans="1:5" ht="15">
      <c r="A338" s="13">
        <v>52170</v>
      </c>
      <c r="B338" s="4">
        <f>25.3837 * CHOOSE(CONTROL!$C$6, $C$13, 100%, $E$13) + CHOOSE(CONTROL!$C$25, 0.0003, 0)</f>
        <v>25.384</v>
      </c>
      <c r="C338" s="4">
        <f>25.0712 * CHOOSE(CONTROL!$C$6, $C$13, 100%, $E$13) + CHOOSE(CONTROL!$C$25, 0.0003, 0)</f>
        <v>25.0715</v>
      </c>
      <c r="D338" s="4">
        <f>31.8668 * CHOOSE(CONTROL!$C$6, $C$13, 100%, $E$13) + CHOOSE(CONTROL!$C$25, 0, 0)</f>
        <v>31.866800000000001</v>
      </c>
      <c r="E338" s="4">
        <f>148.213217821152 * CHOOSE(CONTROL!$C$6, $C$13, 100%, $E$13) + CHOOSE(CONTROL!$C$25, 0, 0)</f>
        <v>148.213217821152</v>
      </c>
    </row>
    <row r="339" spans="1:5" ht="15">
      <c r="A339" s="13">
        <v>52200</v>
      </c>
      <c r="B339" s="4">
        <f>24.8633 * CHOOSE(CONTROL!$C$6, $C$13, 100%, $E$13) + CHOOSE(CONTROL!$C$25, 0.0003, 0)</f>
        <v>24.863599999999998</v>
      </c>
      <c r="C339" s="4">
        <f>24.5508 * CHOOSE(CONTROL!$C$6, $C$13, 100%, $E$13) + CHOOSE(CONTROL!$C$25, 0.0003, 0)</f>
        <v>24.551099999999998</v>
      </c>
      <c r="D339" s="4">
        <f>31.7187 * CHOOSE(CONTROL!$C$6, $C$13, 100%, $E$13) + CHOOSE(CONTROL!$C$25, 0, 0)</f>
        <v>31.718699999999998</v>
      </c>
      <c r="E339" s="4">
        <f>144.932499556783 * CHOOSE(CONTROL!$C$6, $C$13, 100%, $E$13) + CHOOSE(CONTROL!$C$25, 0, 0)</f>
        <v>144.932499556783</v>
      </c>
    </row>
    <row r="340" spans="1:5" ht="15">
      <c r="A340" s="13">
        <v>52231</v>
      </c>
      <c r="B340" s="4">
        <f>24.5033 * CHOOSE(CONTROL!$C$6, $C$13, 100%, $E$13) + CHOOSE(CONTROL!$C$25, 0.0003, 0)</f>
        <v>24.503599999999999</v>
      </c>
      <c r="C340" s="4">
        <f>24.1908 * CHOOSE(CONTROL!$C$6, $C$13, 100%, $E$13) + CHOOSE(CONTROL!$C$25, 0.0003, 0)</f>
        <v>24.191099999999999</v>
      </c>
      <c r="D340" s="4">
        <f>30.6281 * CHOOSE(CONTROL!$C$6, $C$13, 100%, $E$13) + CHOOSE(CONTROL!$C$25, 0, 0)</f>
        <v>30.6281</v>
      </c>
      <c r="E340" s="4">
        <f>142.662664235878 * CHOOSE(CONTROL!$C$6, $C$13, 100%, $E$13) + CHOOSE(CONTROL!$C$25, 0, 0)</f>
        <v>142.662664235878</v>
      </c>
    </row>
    <row r="341" spans="1:5" ht="15">
      <c r="A341" s="13">
        <v>52262</v>
      </c>
      <c r="B341" s="4">
        <f>23.9183 * CHOOSE(CONTROL!$C$6, $C$13, 100%, $E$13) + CHOOSE(CONTROL!$C$25, 0.0003, 0)</f>
        <v>23.918599999999998</v>
      </c>
      <c r="C341" s="4">
        <f>23.6058 * CHOOSE(CONTROL!$C$6, $C$13, 100%, $E$13) + CHOOSE(CONTROL!$C$25, 0.0003, 0)</f>
        <v>23.606099999999998</v>
      </c>
      <c r="D341" s="4">
        <f>29.6259 * CHOOSE(CONTROL!$C$6, $C$13, 100%, $E$13) + CHOOSE(CONTROL!$C$25, 0, 0)</f>
        <v>29.625900000000001</v>
      </c>
      <c r="E341" s="4">
        <f>138.571642669757 * CHOOSE(CONTROL!$C$6, $C$13, 100%, $E$13) + CHOOSE(CONTROL!$C$25, 0, 0)</f>
        <v>138.57164266975701</v>
      </c>
    </row>
    <row r="342" spans="1:5" ht="15">
      <c r="A342" s="13">
        <v>52290</v>
      </c>
      <c r="B342" s="4">
        <f>24.4417 * CHOOSE(CONTROL!$C$6, $C$13, 100%, $E$13) + CHOOSE(CONTROL!$C$25, 0.0003, 0)</f>
        <v>24.442</v>
      </c>
      <c r="C342" s="4">
        <f>24.1292 * CHOOSE(CONTROL!$C$6, $C$13, 100%, $E$13) + CHOOSE(CONTROL!$C$25, 0.0003, 0)</f>
        <v>24.1295</v>
      </c>
      <c r="D342" s="4">
        <f>30.6352 * CHOOSE(CONTROL!$C$6, $C$13, 100%, $E$13) + CHOOSE(CONTROL!$C$25, 0, 0)</f>
        <v>30.635200000000001</v>
      </c>
      <c r="E342" s="4">
        <f>141.861879565032 * CHOOSE(CONTROL!$C$6, $C$13, 100%, $E$13) + CHOOSE(CONTROL!$C$25, 0, 0)</f>
        <v>141.86187956503201</v>
      </c>
    </row>
    <row r="343" spans="1:5" ht="15">
      <c r="A343" s="13">
        <v>52321</v>
      </c>
      <c r="B343" s="4">
        <f>25.8162 * CHOOSE(CONTROL!$C$6, $C$13, 100%, $E$13) + CHOOSE(CONTROL!$C$25, 0.0003, 0)</f>
        <v>25.816499999999998</v>
      </c>
      <c r="C343" s="4">
        <f>25.5037 * CHOOSE(CONTROL!$C$6, $C$13, 100%, $E$13) + CHOOSE(CONTROL!$C$25, 0.0003, 0)</f>
        <v>25.503999999999998</v>
      </c>
      <c r="D343" s="4">
        <f>32.2151 * CHOOSE(CONTROL!$C$6, $C$13, 100%, $E$13) + CHOOSE(CONTROL!$C$25, 0, 0)</f>
        <v>32.2151</v>
      </c>
      <c r="E343" s="4">
        <f>150.502216505832 * CHOOSE(CONTROL!$C$6, $C$13, 100%, $E$13) + CHOOSE(CONTROL!$C$25, 0, 0)</f>
        <v>150.502216505832</v>
      </c>
    </row>
    <row r="344" spans="1:5" ht="15">
      <c r="A344" s="13">
        <v>52351</v>
      </c>
      <c r="B344" s="4">
        <f>26.7928 * CHOOSE(CONTROL!$C$6, $C$13, 100%, $E$13) + CHOOSE(CONTROL!$C$25, 0.0003, 0)</f>
        <v>26.793099999999999</v>
      </c>
      <c r="C344" s="4">
        <f>26.4803 * CHOOSE(CONTROL!$C$6, $C$13, 100%, $E$13) + CHOOSE(CONTROL!$C$25, 0.0003, 0)</f>
        <v>26.480599999999999</v>
      </c>
      <c r="D344" s="4">
        <f>33.1253 * CHOOSE(CONTROL!$C$6, $C$13, 100%, $E$13) + CHOOSE(CONTROL!$C$25, 0, 0)</f>
        <v>33.125300000000003</v>
      </c>
      <c r="E344" s="4">
        <f>156.641291049899 * CHOOSE(CONTROL!$C$6, $C$13, 100%, $E$13) + CHOOSE(CONTROL!$C$25, 0, 0)</f>
        <v>156.641291049899</v>
      </c>
    </row>
    <row r="345" spans="1:5" ht="15">
      <c r="A345" s="13">
        <v>52382</v>
      </c>
      <c r="B345" s="4">
        <f>27.3894 * CHOOSE(CONTROL!$C$6, $C$13, 100%, $E$13) + CHOOSE(CONTROL!$C$25, 0.0263, 0)</f>
        <v>27.415699999999998</v>
      </c>
      <c r="C345" s="4">
        <f>27.0769 * CHOOSE(CONTROL!$C$6, $C$13, 100%, $E$13) + CHOOSE(CONTROL!$C$25, 0.0263, 0)</f>
        <v>27.103199999999998</v>
      </c>
      <c r="D345" s="4">
        <f>32.7656 * CHOOSE(CONTROL!$C$6, $C$13, 100%, $E$13) + CHOOSE(CONTROL!$C$25, 0, 0)</f>
        <v>32.765599999999999</v>
      </c>
      <c r="E345" s="4">
        <f>160.392118463242 * CHOOSE(CONTROL!$C$6, $C$13, 100%, $E$13) + CHOOSE(CONTROL!$C$25, 0, 0)</f>
        <v>160.39211846324201</v>
      </c>
    </row>
    <row r="346" spans="1:5" ht="15">
      <c r="A346" s="13">
        <v>52412</v>
      </c>
      <c r="B346" s="4">
        <f>27.4702 * CHOOSE(CONTROL!$C$6, $C$13, 100%, $E$13) + CHOOSE(CONTROL!$C$25, 0.0263, 0)</f>
        <v>27.496499999999997</v>
      </c>
      <c r="C346" s="4">
        <f>27.1577 * CHOOSE(CONTROL!$C$6, $C$13, 100%, $E$13) + CHOOSE(CONTROL!$C$25, 0.0263, 0)</f>
        <v>27.183999999999997</v>
      </c>
      <c r="D346" s="4">
        <f>33.0585 * CHOOSE(CONTROL!$C$6, $C$13, 100%, $E$13) + CHOOSE(CONTROL!$C$25, 0, 0)</f>
        <v>33.058500000000002</v>
      </c>
      <c r="E346" s="4">
        <f>160.899620978521 * CHOOSE(CONTROL!$C$6, $C$13, 100%, $E$13) + CHOOSE(CONTROL!$C$25, 0, 0)</f>
        <v>160.899620978521</v>
      </c>
    </row>
    <row r="347" spans="1:5" ht="15">
      <c r="A347" s="13">
        <v>52443</v>
      </c>
      <c r="B347" s="4">
        <f>27.462 * CHOOSE(CONTROL!$C$6, $C$13, 100%, $E$13) + CHOOSE(CONTROL!$C$25, 0.0263, 0)</f>
        <v>27.488299999999999</v>
      </c>
      <c r="C347" s="4">
        <f>27.1495 * CHOOSE(CONTROL!$C$6, $C$13, 100%, $E$13) + CHOOSE(CONTROL!$C$25, 0.0263, 0)</f>
        <v>27.175799999999999</v>
      </c>
      <c r="D347" s="4">
        <f>33.587 * CHOOSE(CONTROL!$C$6, $C$13, 100%, $E$13) + CHOOSE(CONTROL!$C$25, 0, 0)</f>
        <v>33.587000000000003</v>
      </c>
      <c r="E347" s="4">
        <f>160.848444254292 * CHOOSE(CONTROL!$C$6, $C$13, 100%, $E$13) + CHOOSE(CONTROL!$C$25, 0, 0)</f>
        <v>160.84844425429199</v>
      </c>
    </row>
    <row r="348" spans="1:5" ht="15">
      <c r="A348" s="13">
        <v>52474</v>
      </c>
      <c r="B348" s="4">
        <f>28.0746 * CHOOSE(CONTROL!$C$6, $C$13, 100%, $E$13) + CHOOSE(CONTROL!$C$25, 0.0263, 0)</f>
        <v>28.100899999999999</v>
      </c>
      <c r="C348" s="4">
        <f>27.7621 * CHOOSE(CONTROL!$C$6, $C$13, 100%, $E$13) + CHOOSE(CONTROL!$C$25, 0.0263, 0)</f>
        <v>27.788399999999999</v>
      </c>
      <c r="D348" s="4">
        <f>33.238 * CHOOSE(CONTROL!$C$6, $C$13, 100%, $E$13) + CHOOSE(CONTROL!$C$25, 0, 0)</f>
        <v>33.238</v>
      </c>
      <c r="E348" s="4">
        <f>164.699492752585 * CHOOSE(CONTROL!$C$6, $C$13, 100%, $E$13) + CHOOSE(CONTROL!$C$25, 0, 0)</f>
        <v>164.699492752585</v>
      </c>
    </row>
    <row r="349" spans="1:5" ht="15">
      <c r="A349" s="13">
        <v>52504</v>
      </c>
      <c r="B349" s="4">
        <f>27.0306 * CHOOSE(CONTROL!$C$6, $C$13, 100%, $E$13) + CHOOSE(CONTROL!$C$25, 0.0263, 0)</f>
        <v>27.056899999999999</v>
      </c>
      <c r="C349" s="4">
        <f>26.7181 * CHOOSE(CONTROL!$C$6, $C$13, 100%, $E$13) + CHOOSE(CONTROL!$C$25, 0.0263, 0)</f>
        <v>26.744399999999999</v>
      </c>
      <c r="D349" s="4">
        <f>33.0731 * CHOOSE(CONTROL!$C$6, $C$13, 100%, $E$13) + CHOOSE(CONTROL!$C$25, 0, 0)</f>
        <v>33.073099999999997</v>
      </c>
      <c r="E349" s="4">
        <f>158.136077870112 * CHOOSE(CONTROL!$C$6, $C$13, 100%, $E$13) + CHOOSE(CONTROL!$C$25, 0, 0)</f>
        <v>158.13607787011199</v>
      </c>
    </row>
    <row r="350" spans="1:5" ht="15">
      <c r="A350" s="13">
        <v>52535</v>
      </c>
      <c r="B350" s="4">
        <f>26.1947 * CHOOSE(CONTROL!$C$6, $C$13, 100%, $E$13) + CHOOSE(CONTROL!$C$25, 0.0003, 0)</f>
        <v>26.195</v>
      </c>
      <c r="C350" s="4">
        <f>25.8822 * CHOOSE(CONTROL!$C$6, $C$13, 100%, $E$13) + CHOOSE(CONTROL!$C$25, 0.0003, 0)</f>
        <v>25.8825</v>
      </c>
      <c r="D350" s="4">
        <f>32.6316 * CHOOSE(CONTROL!$C$6, $C$13, 100%, $E$13) + CHOOSE(CONTROL!$C$25, 0, 0)</f>
        <v>32.631599999999999</v>
      </c>
      <c r="E350" s="4">
        <f>152.881934182518 * CHOOSE(CONTROL!$C$6, $C$13, 100%, $E$13) + CHOOSE(CONTROL!$C$25, 0, 0)</f>
        <v>152.88193418251799</v>
      </c>
    </row>
    <row r="351" spans="1:5" ht="15">
      <c r="A351" s="13">
        <v>52565</v>
      </c>
      <c r="B351" s="4">
        <f>25.6564 * CHOOSE(CONTROL!$C$6, $C$13, 100%, $E$13) + CHOOSE(CONTROL!$C$25, 0.0003, 0)</f>
        <v>25.656700000000001</v>
      </c>
      <c r="C351" s="4">
        <f>25.3439 * CHOOSE(CONTROL!$C$6, $C$13, 100%, $E$13) + CHOOSE(CONTROL!$C$25, 0.0003, 0)</f>
        <v>25.344200000000001</v>
      </c>
      <c r="D351" s="4">
        <f>32.4798 * CHOOSE(CONTROL!$C$6, $C$13, 100%, $E$13) + CHOOSE(CONTROL!$C$25, 0, 0)</f>
        <v>32.479799999999997</v>
      </c>
      <c r="E351" s="4">
        <f>149.497873292822 * CHOOSE(CONTROL!$C$6, $C$13, 100%, $E$13) + CHOOSE(CONTROL!$C$25, 0, 0)</f>
        <v>149.49787329282199</v>
      </c>
    </row>
    <row r="352" spans="1:5" ht="15">
      <c r="A352" s="13">
        <v>52596</v>
      </c>
      <c r="B352" s="4">
        <f>25.284 * CHOOSE(CONTROL!$C$6, $C$13, 100%, $E$13) + CHOOSE(CONTROL!$C$25, 0.0003, 0)</f>
        <v>25.284299999999998</v>
      </c>
      <c r="C352" s="4">
        <f>24.9715 * CHOOSE(CONTROL!$C$6, $C$13, 100%, $E$13) + CHOOSE(CONTROL!$C$25, 0.0003, 0)</f>
        <v>24.971799999999998</v>
      </c>
      <c r="D352" s="4">
        <f>31.3622 * CHOOSE(CONTROL!$C$6, $C$13, 100%, $E$13) + CHOOSE(CONTROL!$C$25, 0, 0)</f>
        <v>31.362200000000001</v>
      </c>
      <c r="E352" s="4">
        <f>147.156538159308 * CHOOSE(CONTROL!$C$6, $C$13, 100%, $E$13) + CHOOSE(CONTROL!$C$25, 0, 0)</f>
        <v>147.15653815930801</v>
      </c>
    </row>
    <row r="353" spans="1:5" ht="15">
      <c r="A353" s="13">
        <v>52627</v>
      </c>
      <c r="B353" s="4">
        <f>24.6788 * CHOOSE(CONTROL!$C$6, $C$13, 100%, $E$13) + CHOOSE(CONTROL!$C$25, 0.0003, 0)</f>
        <v>24.679099999999998</v>
      </c>
      <c r="C353" s="4">
        <f>24.3663 * CHOOSE(CONTROL!$C$6, $C$13, 100%, $E$13) + CHOOSE(CONTROL!$C$25, 0.0003, 0)</f>
        <v>24.366599999999998</v>
      </c>
      <c r="D353" s="4">
        <f>30.3351 * CHOOSE(CONTROL!$C$6, $C$13, 100%, $E$13) + CHOOSE(CONTROL!$C$25, 0, 0)</f>
        <v>30.335100000000001</v>
      </c>
      <c r="E353" s="4">
        <f>142.936649413855 * CHOOSE(CONTROL!$C$6, $C$13, 100%, $E$13) + CHOOSE(CONTROL!$C$25, 0, 0)</f>
        <v>142.93664941385501</v>
      </c>
    </row>
    <row r="354" spans="1:5" ht="15">
      <c r="A354" s="13">
        <v>52655</v>
      </c>
      <c r="B354" s="4">
        <f>25.2203 * CHOOSE(CONTROL!$C$6, $C$13, 100%, $E$13) + CHOOSE(CONTROL!$C$25, 0.0003, 0)</f>
        <v>25.220600000000001</v>
      </c>
      <c r="C354" s="4">
        <f>24.9078 * CHOOSE(CONTROL!$C$6, $C$13, 100%, $E$13) + CHOOSE(CONTROL!$C$25, 0.0003, 0)</f>
        <v>24.908100000000001</v>
      </c>
      <c r="D354" s="4">
        <f>31.3694 * CHOOSE(CONTROL!$C$6, $C$13, 100%, $E$13) + CHOOSE(CONTROL!$C$25, 0, 0)</f>
        <v>31.369399999999999</v>
      </c>
      <c r="E354" s="4">
        <f>146.330528771331 * CHOOSE(CONTROL!$C$6, $C$13, 100%, $E$13) + CHOOSE(CONTROL!$C$25, 0, 0)</f>
        <v>146.33052877133099</v>
      </c>
    </row>
    <row r="355" spans="1:5" ht="15">
      <c r="A355" s="13">
        <v>52687</v>
      </c>
      <c r="B355" s="4">
        <f>26.6422 * CHOOSE(CONTROL!$C$6, $C$13, 100%, $E$13) + CHOOSE(CONTROL!$C$25, 0.0003, 0)</f>
        <v>26.642499999999998</v>
      </c>
      <c r="C355" s="4">
        <f>26.3297 * CHOOSE(CONTROL!$C$6, $C$13, 100%, $E$13) + CHOOSE(CONTROL!$C$25, 0.0003, 0)</f>
        <v>26.33</v>
      </c>
      <c r="D355" s="4">
        <f>32.9886 * CHOOSE(CONTROL!$C$6, $C$13, 100%, $E$13) + CHOOSE(CONTROL!$C$25, 0, 0)</f>
        <v>32.988599999999998</v>
      </c>
      <c r="E355" s="4">
        <f>155.243036325765 * CHOOSE(CONTROL!$C$6, $C$13, 100%, $E$13) + CHOOSE(CONTROL!$C$25, 0, 0)</f>
        <v>155.24303632576499</v>
      </c>
    </row>
    <row r="356" spans="1:5" ht="15">
      <c r="A356" s="13">
        <v>52717</v>
      </c>
      <c r="B356" s="4">
        <f>27.6524 * CHOOSE(CONTROL!$C$6, $C$13, 100%, $E$13) + CHOOSE(CONTROL!$C$25, 0.0003, 0)</f>
        <v>27.652699999999999</v>
      </c>
      <c r="C356" s="4">
        <f>27.3399 * CHOOSE(CONTROL!$C$6, $C$13, 100%, $E$13) + CHOOSE(CONTROL!$C$25, 0.0003, 0)</f>
        <v>27.340199999999999</v>
      </c>
      <c r="D356" s="4">
        <f>33.9212 * CHOOSE(CONTROL!$C$6, $C$13, 100%, $E$13) + CHOOSE(CONTROL!$C$25, 0, 0)</f>
        <v>33.921199999999999</v>
      </c>
      <c r="E356" s="4">
        <f>161.575491717971 * CHOOSE(CONTROL!$C$6, $C$13, 100%, $E$13) + CHOOSE(CONTROL!$C$25, 0, 0)</f>
        <v>161.575491717971</v>
      </c>
    </row>
    <row r="357" spans="1:5" ht="15">
      <c r="A357" s="13">
        <v>52748</v>
      </c>
      <c r="B357" s="4">
        <f>28.2697 * CHOOSE(CONTROL!$C$6, $C$13, 100%, $E$13) + CHOOSE(CONTROL!$C$25, 0.0263, 0)</f>
        <v>28.295999999999999</v>
      </c>
      <c r="C357" s="4">
        <f>27.9572 * CHOOSE(CONTROL!$C$6, $C$13, 100%, $E$13) + CHOOSE(CONTROL!$C$25, 0.0263, 0)</f>
        <v>27.983499999999999</v>
      </c>
      <c r="D357" s="4">
        <f>33.5527 * CHOOSE(CONTROL!$C$6, $C$13, 100%, $E$13) + CHOOSE(CONTROL!$C$25, 0, 0)</f>
        <v>33.552700000000002</v>
      </c>
      <c r="E357" s="4">
        <f>165.444470194835 * CHOOSE(CONTROL!$C$6, $C$13, 100%, $E$13) + CHOOSE(CONTROL!$C$25, 0, 0)</f>
        <v>165.44447019483499</v>
      </c>
    </row>
    <row r="358" spans="1:5" ht="15">
      <c r="A358" s="13">
        <v>52778</v>
      </c>
      <c r="B358" s="4">
        <f>28.3532 * CHOOSE(CONTROL!$C$6, $C$13, 100%, $E$13) + CHOOSE(CONTROL!$C$25, 0.0263, 0)</f>
        <v>28.3795</v>
      </c>
      <c r="C358" s="4">
        <f>28.0407 * CHOOSE(CONTROL!$C$6, $C$13, 100%, $E$13) + CHOOSE(CONTROL!$C$25, 0.0263, 0)</f>
        <v>28.067</v>
      </c>
      <c r="D358" s="4">
        <f>33.8528 * CHOOSE(CONTROL!$C$6, $C$13, 100%, $E$13) + CHOOSE(CONTROL!$C$25, 0, 0)</f>
        <v>33.852800000000002</v>
      </c>
      <c r="E358" s="4">
        <f>165.967959039345 * CHOOSE(CONTROL!$C$6, $C$13, 100%, $E$13) + CHOOSE(CONTROL!$C$25, 0, 0)</f>
        <v>165.967959039345</v>
      </c>
    </row>
    <row r="359" spans="1:5" ht="15">
      <c r="A359" s="13">
        <v>52809</v>
      </c>
      <c r="B359" s="4">
        <f>28.3448 * CHOOSE(CONTROL!$C$6, $C$13, 100%, $E$13) + CHOOSE(CONTROL!$C$25, 0.0263, 0)</f>
        <v>28.371099999999998</v>
      </c>
      <c r="C359" s="4">
        <f>28.0323 * CHOOSE(CONTROL!$C$6, $C$13, 100%, $E$13) + CHOOSE(CONTROL!$C$25, 0.0263, 0)</f>
        <v>28.058599999999998</v>
      </c>
      <c r="D359" s="4">
        <f>34.3944 * CHOOSE(CONTROL!$C$6, $C$13, 100%, $E$13) + CHOOSE(CONTROL!$C$25, 0, 0)</f>
        <v>34.394399999999997</v>
      </c>
      <c r="E359" s="4">
        <f>165.915170248302 * CHOOSE(CONTROL!$C$6, $C$13, 100%, $E$13) + CHOOSE(CONTROL!$C$25, 0, 0)</f>
        <v>165.91517024830199</v>
      </c>
    </row>
    <row r="360" spans="1:5" ht="15">
      <c r="A360" s="13">
        <v>52840</v>
      </c>
      <c r="B360" s="4">
        <f>28.9785 * CHOOSE(CONTROL!$C$6, $C$13, 100%, $E$13) + CHOOSE(CONTROL!$C$25, 0.0263, 0)</f>
        <v>29.004799999999999</v>
      </c>
      <c r="C360" s="4">
        <f>28.666 * CHOOSE(CONTROL!$C$6, $C$13, 100%, $E$13) + CHOOSE(CONTROL!$C$25, 0.0263, 0)</f>
        <v>28.692299999999999</v>
      </c>
      <c r="D360" s="4">
        <f>34.0368 * CHOOSE(CONTROL!$C$6, $C$13, 100%, $E$13) + CHOOSE(CONTROL!$C$25, 0, 0)</f>
        <v>34.036799999999999</v>
      </c>
      <c r="E360" s="4">
        <f>169.887526774291 * CHOOSE(CONTROL!$C$6, $C$13, 100%, $E$13) + CHOOSE(CONTROL!$C$25, 0, 0)</f>
        <v>169.88752677429099</v>
      </c>
    </row>
    <row r="361" spans="1:5" ht="15">
      <c r="A361" s="13">
        <v>52870</v>
      </c>
      <c r="B361" s="4">
        <f>27.8984 * CHOOSE(CONTROL!$C$6, $C$13, 100%, $E$13) + CHOOSE(CONTROL!$C$25, 0.0263, 0)</f>
        <v>27.924699999999998</v>
      </c>
      <c r="C361" s="4">
        <f>27.5859 * CHOOSE(CONTROL!$C$6, $C$13, 100%, $E$13) + CHOOSE(CONTROL!$C$25, 0.0263, 0)</f>
        <v>27.612199999999998</v>
      </c>
      <c r="D361" s="4">
        <f>33.8678 * CHOOSE(CONTROL!$C$6, $C$13, 100%, $E$13) + CHOOSE(CONTROL!$C$25, 0, 0)</f>
        <v>33.867800000000003</v>
      </c>
      <c r="E361" s="4">
        <f>163.11736432302 * CHOOSE(CONTROL!$C$6, $C$13, 100%, $E$13) + CHOOSE(CONTROL!$C$25, 0, 0)</f>
        <v>163.11736432302001</v>
      </c>
    </row>
    <row r="362" spans="1:5" ht="15">
      <c r="A362" s="13">
        <v>52901</v>
      </c>
      <c r="B362" s="4">
        <f>27.0338 * CHOOSE(CONTROL!$C$6, $C$13, 100%, $E$13) + CHOOSE(CONTROL!$C$25, 0.0003, 0)</f>
        <v>27.034099999999999</v>
      </c>
      <c r="C362" s="4">
        <f>26.7213 * CHOOSE(CONTROL!$C$6, $C$13, 100%, $E$13) + CHOOSE(CONTROL!$C$25, 0.0003, 0)</f>
        <v>26.721599999999999</v>
      </c>
      <c r="D362" s="4">
        <f>33.4153 * CHOOSE(CONTROL!$C$6, $C$13, 100%, $E$13) + CHOOSE(CONTROL!$C$25, 0, 0)</f>
        <v>33.415300000000002</v>
      </c>
      <c r="E362" s="4">
        <f>157.697715109267 * CHOOSE(CONTROL!$C$6, $C$13, 100%, $E$13) + CHOOSE(CONTROL!$C$25, 0, 0)</f>
        <v>157.69771510926699</v>
      </c>
    </row>
    <row r="363" spans="1:5" ht="15">
      <c r="A363" s="13">
        <v>52931</v>
      </c>
      <c r="B363" s="4">
        <f>26.4769 * CHOOSE(CONTROL!$C$6, $C$13, 100%, $E$13) + CHOOSE(CONTROL!$C$25, 0.0003, 0)</f>
        <v>26.4772</v>
      </c>
      <c r="C363" s="4">
        <f>26.1644 * CHOOSE(CONTROL!$C$6, $C$13, 100%, $E$13) + CHOOSE(CONTROL!$C$25, 0.0003, 0)</f>
        <v>26.1647</v>
      </c>
      <c r="D363" s="4">
        <f>33.2597 * CHOOSE(CONTROL!$C$6, $C$13, 100%, $E$13) + CHOOSE(CONTROL!$C$25, 0, 0)</f>
        <v>33.259700000000002</v>
      </c>
      <c r="E363" s="4">
        <f>154.207056301546 * CHOOSE(CONTROL!$C$6, $C$13, 100%, $E$13) + CHOOSE(CONTROL!$C$25, 0, 0)</f>
        <v>154.207056301546</v>
      </c>
    </row>
    <row r="364" spans="1:5" ht="15">
      <c r="A364" s="13">
        <v>52962</v>
      </c>
      <c r="B364" s="4">
        <f>26.0916 * CHOOSE(CONTROL!$C$6, $C$13, 100%, $E$13) + CHOOSE(CONTROL!$C$25, 0.0003, 0)</f>
        <v>26.091899999999999</v>
      </c>
      <c r="C364" s="4">
        <f>25.7791 * CHOOSE(CONTROL!$C$6, $C$13, 100%, $E$13) + CHOOSE(CONTROL!$C$25, 0.0003, 0)</f>
        <v>25.779399999999999</v>
      </c>
      <c r="D364" s="4">
        <f>32.1145 * CHOOSE(CONTROL!$C$6, $C$13, 100%, $E$13) + CHOOSE(CONTROL!$C$25, 0, 0)</f>
        <v>32.1145</v>
      </c>
      <c r="E364" s="4">
        <f>151.791969111326 * CHOOSE(CONTROL!$C$6, $C$13, 100%, $E$13) + CHOOSE(CONTROL!$C$25, 0, 0)</f>
        <v>151.79196911132601</v>
      </c>
    </row>
    <row r="365" spans="1:5" ht="15">
      <c r="A365" s="13">
        <v>52993</v>
      </c>
      <c r="B365" s="4">
        <f>25.4656 * CHOOSE(CONTROL!$C$6, $C$13, 100%, $E$13) + CHOOSE(CONTROL!$C$25, 0.0003, 0)</f>
        <v>25.465899999999998</v>
      </c>
      <c r="C365" s="4">
        <f>25.1531 * CHOOSE(CONTROL!$C$6, $C$13, 100%, $E$13) + CHOOSE(CONTROL!$C$25, 0.0003, 0)</f>
        <v>25.153399999999998</v>
      </c>
      <c r="D365" s="4">
        <f>31.0619 * CHOOSE(CONTROL!$C$6, $C$13, 100%, $E$13) + CHOOSE(CONTROL!$C$25, 0, 0)</f>
        <v>31.061900000000001</v>
      </c>
      <c r="E365" s="4">
        <f>147.439153870391 * CHOOSE(CONTROL!$C$6, $C$13, 100%, $E$13) + CHOOSE(CONTROL!$C$25, 0, 0)</f>
        <v>147.43915387039101</v>
      </c>
    </row>
    <row r="366" spans="1:5" ht="15">
      <c r="A366" s="13">
        <v>53021</v>
      </c>
      <c r="B366" s="4">
        <f>26.0257 * CHOOSE(CONTROL!$C$6, $C$13, 100%, $E$13) + CHOOSE(CONTROL!$C$25, 0.0003, 0)</f>
        <v>26.026</v>
      </c>
      <c r="C366" s="4">
        <f>25.7132 * CHOOSE(CONTROL!$C$6, $C$13, 100%, $E$13) + CHOOSE(CONTROL!$C$25, 0.0003, 0)</f>
        <v>25.7135</v>
      </c>
      <c r="D366" s="4">
        <f>32.1218 * CHOOSE(CONTROL!$C$6, $C$13, 100%, $E$13) + CHOOSE(CONTROL!$C$25, 0, 0)</f>
        <v>32.1218</v>
      </c>
      <c r="E366" s="4">
        <f>150.939940427628 * CHOOSE(CONTROL!$C$6, $C$13, 100%, $E$13) + CHOOSE(CONTROL!$C$25, 0, 0)</f>
        <v>150.93994042762799</v>
      </c>
    </row>
    <row r="367" spans="1:5" ht="15">
      <c r="A367" s="13">
        <v>53052</v>
      </c>
      <c r="B367" s="4">
        <f>27.4966 * CHOOSE(CONTROL!$C$6, $C$13, 100%, $E$13) + CHOOSE(CONTROL!$C$25, 0.0003, 0)</f>
        <v>27.4969</v>
      </c>
      <c r="C367" s="4">
        <f>27.1841 * CHOOSE(CONTROL!$C$6, $C$13, 100%, $E$13) + CHOOSE(CONTROL!$C$25, 0.0003, 0)</f>
        <v>27.1844</v>
      </c>
      <c r="D367" s="4">
        <f>33.7811 * CHOOSE(CONTROL!$C$6, $C$13, 100%, $E$13) + CHOOSE(CONTROL!$C$25, 0, 0)</f>
        <v>33.781100000000002</v>
      </c>
      <c r="E367" s="4">
        <f>160.133191970027 * CHOOSE(CONTROL!$C$6, $C$13, 100%, $E$13) + CHOOSE(CONTROL!$C$25, 0, 0)</f>
        <v>160.13319197002701</v>
      </c>
    </row>
    <row r="368" spans="1:5" ht="15">
      <c r="A368" s="13">
        <v>53082</v>
      </c>
      <c r="B368" s="4">
        <f>28.5418 * CHOOSE(CONTROL!$C$6, $C$13, 100%, $E$13) + CHOOSE(CONTROL!$C$25, 0.0003, 0)</f>
        <v>28.542099999999998</v>
      </c>
      <c r="C368" s="4">
        <f>28.2293 * CHOOSE(CONTROL!$C$6, $C$13, 100%, $E$13) + CHOOSE(CONTROL!$C$25, 0.0003, 0)</f>
        <v>28.229599999999998</v>
      </c>
      <c r="D368" s="4">
        <f>34.737 * CHOOSE(CONTROL!$C$6, $C$13, 100%, $E$13) + CHOOSE(CONTROL!$C$25, 0, 0)</f>
        <v>34.737000000000002</v>
      </c>
      <c r="E368" s="4">
        <f>166.665119707087 * CHOOSE(CONTROL!$C$6, $C$13, 100%, $E$13) + CHOOSE(CONTROL!$C$25, 0, 0)</f>
        <v>166.665119707087</v>
      </c>
    </row>
    <row r="369" spans="1:5" ht="15">
      <c r="A369" s="13">
        <v>53113</v>
      </c>
      <c r="B369" s="4">
        <f>29.1803 * CHOOSE(CONTROL!$C$6, $C$13, 100%, $E$13) + CHOOSE(CONTROL!$C$25, 0.0263, 0)</f>
        <v>29.206599999999998</v>
      </c>
      <c r="C369" s="4">
        <f>28.8678 * CHOOSE(CONTROL!$C$6, $C$13, 100%, $E$13) + CHOOSE(CONTROL!$C$25, 0.0263, 0)</f>
        <v>28.894099999999998</v>
      </c>
      <c r="D369" s="4">
        <f>34.3593 * CHOOSE(CONTROL!$C$6, $C$13, 100%, $E$13) + CHOOSE(CONTROL!$C$25, 0, 0)</f>
        <v>34.359299999999998</v>
      </c>
      <c r="E369" s="4">
        <f>170.655971005972 * CHOOSE(CONTROL!$C$6, $C$13, 100%, $E$13) + CHOOSE(CONTROL!$C$25, 0, 0)</f>
        <v>170.65597100597199</v>
      </c>
    </row>
    <row r="370" spans="1:5" ht="15">
      <c r="A370" s="13">
        <v>53143</v>
      </c>
      <c r="B370" s="4">
        <f>29.2667 * CHOOSE(CONTROL!$C$6, $C$13, 100%, $E$13) + CHOOSE(CONTROL!$C$25, 0.0263, 0)</f>
        <v>29.292999999999999</v>
      </c>
      <c r="C370" s="4">
        <f>28.9542 * CHOOSE(CONTROL!$C$6, $C$13, 100%, $E$13) + CHOOSE(CONTROL!$C$25, 0.0263, 0)</f>
        <v>28.980499999999999</v>
      </c>
      <c r="D370" s="4">
        <f>34.6669 * CHOOSE(CONTROL!$C$6, $C$13, 100%, $E$13) + CHOOSE(CONTROL!$C$25, 0, 0)</f>
        <v>34.666899999999998</v>
      </c>
      <c r="E370" s="4">
        <f>171.195949749084 * CHOOSE(CONTROL!$C$6, $C$13, 100%, $E$13) + CHOOSE(CONTROL!$C$25, 0, 0)</f>
        <v>171.19594974908401</v>
      </c>
    </row>
    <row r="371" spans="1:5" ht="15">
      <c r="A371" s="13">
        <v>53174</v>
      </c>
      <c r="B371" s="4">
        <f>29.258 * CHOOSE(CONTROL!$C$6, $C$13, 100%, $E$13) + CHOOSE(CONTROL!$C$25, 0.0263, 0)</f>
        <v>29.284299999999998</v>
      </c>
      <c r="C371" s="4">
        <f>28.9455 * CHOOSE(CONTROL!$C$6, $C$13, 100%, $E$13) + CHOOSE(CONTROL!$C$25, 0.0263, 0)</f>
        <v>28.971799999999998</v>
      </c>
      <c r="D371" s="4">
        <f>35.2219 * CHOOSE(CONTROL!$C$6, $C$13, 100%, $E$13) + CHOOSE(CONTROL!$C$25, 0, 0)</f>
        <v>35.221899999999998</v>
      </c>
      <c r="E371" s="4">
        <f>171.141498111123 * CHOOSE(CONTROL!$C$6, $C$13, 100%, $E$13) + CHOOSE(CONTROL!$C$25, 0, 0)</f>
        <v>171.14149811112301</v>
      </c>
    </row>
    <row r="372" spans="1:5" ht="15">
      <c r="A372" s="13">
        <v>53205</v>
      </c>
      <c r="B372" s="4">
        <f>29.9136 * CHOOSE(CONTROL!$C$6, $C$13, 100%, $E$13) + CHOOSE(CONTROL!$C$25, 0.0263, 0)</f>
        <v>29.939899999999998</v>
      </c>
      <c r="C372" s="4">
        <f>29.6011 * CHOOSE(CONTROL!$C$6, $C$13, 100%, $E$13) + CHOOSE(CONTROL!$C$25, 0.0263, 0)</f>
        <v>29.627399999999998</v>
      </c>
      <c r="D372" s="4">
        <f>34.8554 * CHOOSE(CONTROL!$C$6, $C$13, 100%, $E$13) + CHOOSE(CONTROL!$C$25, 0, 0)</f>
        <v>34.855400000000003</v>
      </c>
      <c r="E372" s="4">
        <f>175.238983867681 * CHOOSE(CONTROL!$C$6, $C$13, 100%, $E$13) + CHOOSE(CONTROL!$C$25, 0, 0)</f>
        <v>175.23898386768099</v>
      </c>
    </row>
    <row r="373" spans="1:5" ht="15">
      <c r="A373" s="13">
        <v>53235</v>
      </c>
      <c r="B373" s="4">
        <f>28.7962 * CHOOSE(CONTROL!$C$6, $C$13, 100%, $E$13) + CHOOSE(CONTROL!$C$25, 0.0263, 0)</f>
        <v>28.822499999999998</v>
      </c>
      <c r="C373" s="4">
        <f>28.4837 * CHOOSE(CONTROL!$C$6, $C$13, 100%, $E$13) + CHOOSE(CONTROL!$C$25, 0.0263, 0)</f>
        <v>28.509999999999998</v>
      </c>
      <c r="D373" s="4">
        <f>34.6822 * CHOOSE(CONTROL!$C$6, $C$13, 100%, $E$13) + CHOOSE(CONTROL!$C$25, 0, 0)</f>
        <v>34.682200000000002</v>
      </c>
      <c r="E373" s="4">
        <f>168.255561299195 * CHOOSE(CONTROL!$C$6, $C$13, 100%, $E$13) + CHOOSE(CONTROL!$C$25, 0, 0)</f>
        <v>168.25556129919499</v>
      </c>
    </row>
    <row r="374" spans="1:5" ht="15">
      <c r="A374" s="13">
        <v>53266</v>
      </c>
      <c r="B374" s="4">
        <f>27.9018 * CHOOSE(CONTROL!$C$6, $C$13, 100%, $E$13) + CHOOSE(CONTROL!$C$25, 0.0003, 0)</f>
        <v>27.902100000000001</v>
      </c>
      <c r="C374" s="4">
        <f>27.5893 * CHOOSE(CONTROL!$C$6, $C$13, 100%, $E$13) + CHOOSE(CONTROL!$C$25, 0.0003, 0)</f>
        <v>27.589600000000001</v>
      </c>
      <c r="D374" s="4">
        <f>34.2185 * CHOOSE(CONTROL!$C$6, $C$13, 100%, $E$13) + CHOOSE(CONTROL!$C$25, 0, 0)</f>
        <v>34.218499999999999</v>
      </c>
      <c r="E374" s="4">
        <f>162.665193135209 * CHOOSE(CONTROL!$C$6, $C$13, 100%, $E$13) + CHOOSE(CONTROL!$C$25, 0, 0)</f>
        <v>162.66519313520899</v>
      </c>
    </row>
    <row r="375" spans="1:5" ht="15">
      <c r="A375" s="13">
        <v>53296</v>
      </c>
      <c r="B375" s="4">
        <f>27.3257 * CHOOSE(CONTROL!$C$6, $C$13, 100%, $E$13) + CHOOSE(CONTROL!$C$25, 0.0003, 0)</f>
        <v>27.326000000000001</v>
      </c>
      <c r="C375" s="4">
        <f>27.0132 * CHOOSE(CONTROL!$C$6, $C$13, 100%, $E$13) + CHOOSE(CONTROL!$C$25, 0.0003, 0)</f>
        <v>27.013500000000001</v>
      </c>
      <c r="D375" s="4">
        <f>34.0591 * CHOOSE(CONTROL!$C$6, $C$13, 100%, $E$13) + CHOOSE(CONTROL!$C$25, 0, 0)</f>
        <v>34.059100000000001</v>
      </c>
      <c r="E375" s="4">
        <f>159.064578575044 * CHOOSE(CONTROL!$C$6, $C$13, 100%, $E$13) + CHOOSE(CONTROL!$C$25, 0, 0)</f>
        <v>159.06457857504401</v>
      </c>
    </row>
    <row r="376" spans="1:5" ht="15">
      <c r="A376" s="13">
        <v>53327</v>
      </c>
      <c r="B376" s="4">
        <f>26.9271 * CHOOSE(CONTROL!$C$6, $C$13, 100%, $E$13) + CHOOSE(CONTROL!$C$25, 0.0003, 0)</f>
        <v>26.927399999999999</v>
      </c>
      <c r="C376" s="4">
        <f>26.6146 * CHOOSE(CONTROL!$C$6, $C$13, 100%, $E$13) + CHOOSE(CONTROL!$C$25, 0.0003, 0)</f>
        <v>26.614899999999999</v>
      </c>
      <c r="D376" s="4">
        <f>32.8854 * CHOOSE(CONTROL!$C$6, $C$13, 100%, $E$13) + CHOOSE(CONTROL!$C$25, 0, 0)</f>
        <v>32.885399999999997</v>
      </c>
      <c r="E376" s="4">
        <f>156.573416138333 * CHOOSE(CONTROL!$C$6, $C$13, 100%, $E$13) + CHOOSE(CONTROL!$C$25, 0, 0)</f>
        <v>156.57341613833299</v>
      </c>
    </row>
    <row r="377" spans="1:5" ht="15">
      <c r="A377" s="13">
        <v>53358</v>
      </c>
      <c r="B377" s="4">
        <f>26.2794 * CHOOSE(CONTROL!$C$6, $C$13, 100%, $E$13) + CHOOSE(CONTROL!$C$25, 0.0003, 0)</f>
        <v>26.279699999999998</v>
      </c>
      <c r="C377" s="4">
        <f>25.9669 * CHOOSE(CONTROL!$C$6, $C$13, 100%, $E$13) + CHOOSE(CONTROL!$C$25, 0.0003, 0)</f>
        <v>25.967199999999998</v>
      </c>
      <c r="D377" s="4">
        <f>31.8067 * CHOOSE(CONTROL!$C$6, $C$13, 100%, $E$13) + CHOOSE(CONTROL!$C$25, 0, 0)</f>
        <v>31.806699999999999</v>
      </c>
      <c r="E377" s="4">
        <f>152.083487217308 * CHOOSE(CONTROL!$C$6, $C$13, 100%, $E$13) + CHOOSE(CONTROL!$C$25, 0, 0)</f>
        <v>152.083487217308</v>
      </c>
    </row>
    <row r="378" spans="1:5" ht="15">
      <c r="A378" s="13">
        <v>53386</v>
      </c>
      <c r="B378" s="4">
        <f>26.8589 * CHOOSE(CONTROL!$C$6, $C$13, 100%, $E$13) + CHOOSE(CONTROL!$C$25, 0.0003, 0)</f>
        <v>26.859199999999998</v>
      </c>
      <c r="C378" s="4">
        <f>26.5464 * CHOOSE(CONTROL!$C$6, $C$13, 100%, $E$13) + CHOOSE(CONTROL!$C$25, 0.0003, 0)</f>
        <v>26.546699999999998</v>
      </c>
      <c r="D378" s="4">
        <f>32.8929 * CHOOSE(CONTROL!$C$6, $C$13, 100%, $E$13) + CHOOSE(CONTROL!$C$25, 0, 0)</f>
        <v>32.892899999999997</v>
      </c>
      <c r="E378" s="4">
        <f>155.694548551098 * CHOOSE(CONTROL!$C$6, $C$13, 100%, $E$13) + CHOOSE(CONTROL!$C$25, 0, 0)</f>
        <v>155.69454855109799</v>
      </c>
    </row>
    <row r="379" spans="1:5" ht="15">
      <c r="A379" s="13">
        <v>53417</v>
      </c>
      <c r="B379" s="4">
        <f>28.3806 * CHOOSE(CONTROL!$C$6, $C$13, 100%, $E$13) + CHOOSE(CONTROL!$C$25, 0.0003, 0)</f>
        <v>28.3809</v>
      </c>
      <c r="C379" s="4">
        <f>28.0681 * CHOOSE(CONTROL!$C$6, $C$13, 100%, $E$13) + CHOOSE(CONTROL!$C$25, 0.0003, 0)</f>
        <v>28.0684</v>
      </c>
      <c r="D379" s="4">
        <f>34.5934 * CHOOSE(CONTROL!$C$6, $C$13, 100%, $E$13) + CHOOSE(CONTROL!$C$25, 0, 0)</f>
        <v>34.593400000000003</v>
      </c>
      <c r="E379" s="4">
        <f>165.177387517083 * CHOOSE(CONTROL!$C$6, $C$13, 100%, $E$13) + CHOOSE(CONTROL!$C$25, 0, 0)</f>
        <v>165.17738751708299</v>
      </c>
    </row>
    <row r="380" spans="1:5" ht="15">
      <c r="A380" s="13">
        <v>53447</v>
      </c>
      <c r="B380" s="4">
        <f>29.4618 * CHOOSE(CONTROL!$C$6, $C$13, 100%, $E$13) + CHOOSE(CONTROL!$C$25, 0.0003, 0)</f>
        <v>29.4621</v>
      </c>
      <c r="C380" s="4">
        <f>29.1493 * CHOOSE(CONTROL!$C$6, $C$13, 100%, $E$13) + CHOOSE(CONTROL!$C$25, 0.0003, 0)</f>
        <v>29.1496</v>
      </c>
      <c r="D380" s="4">
        <f>35.5729 * CHOOSE(CONTROL!$C$6, $C$13, 100%, $E$13) + CHOOSE(CONTROL!$C$25, 0, 0)</f>
        <v>35.572899999999997</v>
      </c>
      <c r="E380" s="4">
        <f>171.91507097786 * CHOOSE(CONTROL!$C$6, $C$13, 100%, $E$13) + CHOOSE(CONTROL!$C$25, 0, 0)</f>
        <v>171.91507097786001</v>
      </c>
    </row>
    <row r="381" spans="1:5" ht="15">
      <c r="A381" s="13">
        <v>53478</v>
      </c>
      <c r="B381" s="4">
        <f>30.1223 * CHOOSE(CONTROL!$C$6, $C$13, 100%, $E$13) + CHOOSE(CONTROL!$C$25, 0.0263, 0)</f>
        <v>30.148599999999998</v>
      </c>
      <c r="C381" s="4">
        <f>29.8098 * CHOOSE(CONTROL!$C$6, $C$13, 100%, $E$13) + CHOOSE(CONTROL!$C$25, 0.0263, 0)</f>
        <v>29.836099999999998</v>
      </c>
      <c r="D381" s="4">
        <f>35.1859 * CHOOSE(CONTROL!$C$6, $C$13, 100%, $E$13) + CHOOSE(CONTROL!$C$25, 0, 0)</f>
        <v>35.185899999999997</v>
      </c>
      <c r="E381" s="4">
        <f>176.03163409266 * CHOOSE(CONTROL!$C$6, $C$13, 100%, $E$13) + CHOOSE(CONTROL!$C$25, 0, 0)</f>
        <v>176.03163409266</v>
      </c>
    </row>
    <row r="382" spans="1:5" ht="15">
      <c r="A382" s="13">
        <v>53508</v>
      </c>
      <c r="B382" s="4">
        <f>30.2117 * CHOOSE(CONTROL!$C$6, $C$13, 100%, $E$13) + CHOOSE(CONTROL!$C$25, 0.0263, 0)</f>
        <v>30.238</v>
      </c>
      <c r="C382" s="4">
        <f>29.8992 * CHOOSE(CONTROL!$C$6, $C$13, 100%, $E$13) + CHOOSE(CONTROL!$C$25, 0.0263, 0)</f>
        <v>29.9255</v>
      </c>
      <c r="D382" s="4">
        <f>35.5011 * CHOOSE(CONTROL!$C$6, $C$13, 100%, $E$13) + CHOOSE(CONTROL!$C$25, 0, 0)</f>
        <v>35.501100000000001</v>
      </c>
      <c r="E382" s="4">
        <f>176.58862216618 * CHOOSE(CONTROL!$C$6, $C$13, 100%, $E$13) + CHOOSE(CONTROL!$C$25, 0, 0)</f>
        <v>176.58862216617999</v>
      </c>
    </row>
    <row r="383" spans="1:5" ht="15">
      <c r="A383" s="13">
        <v>53539</v>
      </c>
      <c r="B383" s="4">
        <f>30.2027 * CHOOSE(CONTROL!$C$6, $C$13, 100%, $E$13) + CHOOSE(CONTROL!$C$25, 0.0263, 0)</f>
        <v>30.228999999999999</v>
      </c>
      <c r="C383" s="4">
        <f>29.8902 * CHOOSE(CONTROL!$C$6, $C$13, 100%, $E$13) + CHOOSE(CONTROL!$C$25, 0.0263, 0)</f>
        <v>29.916499999999999</v>
      </c>
      <c r="D383" s="4">
        <f>36.0699 * CHOOSE(CONTROL!$C$6, $C$13, 100%, $E$13) + CHOOSE(CONTROL!$C$25, 0, 0)</f>
        <v>36.069899999999997</v>
      </c>
      <c r="E383" s="4">
        <f>176.532455301624 * CHOOSE(CONTROL!$C$6, $C$13, 100%, $E$13) + CHOOSE(CONTROL!$C$25, 0, 0)</f>
        <v>176.532455301624</v>
      </c>
    </row>
    <row r="384" spans="1:5" ht="15">
      <c r="A384" s="13">
        <v>53570</v>
      </c>
      <c r="B384" s="4">
        <f>30.8809 * CHOOSE(CONTROL!$C$6, $C$13, 100%, $E$13) + CHOOSE(CONTROL!$C$25, 0.0263, 0)</f>
        <v>30.9072</v>
      </c>
      <c r="C384" s="4">
        <f>30.5684 * CHOOSE(CONTROL!$C$6, $C$13, 100%, $E$13) + CHOOSE(CONTROL!$C$25, 0.0263, 0)</f>
        <v>30.5947</v>
      </c>
      <c r="D384" s="4">
        <f>35.6942 * CHOOSE(CONTROL!$C$6, $C$13, 100%, $E$13) + CHOOSE(CONTROL!$C$25, 0, 0)</f>
        <v>35.694200000000002</v>
      </c>
      <c r="E384" s="4">
        <f>180.759011859513 * CHOOSE(CONTROL!$C$6, $C$13, 100%, $E$13) + CHOOSE(CONTROL!$C$25, 0, 0)</f>
        <v>180.75901185951301</v>
      </c>
    </row>
    <row r="385" spans="1:5" ht="15">
      <c r="A385" s="13">
        <v>53600</v>
      </c>
      <c r="B385" s="4">
        <f>29.725 * CHOOSE(CONTROL!$C$6, $C$13, 100%, $E$13) + CHOOSE(CONTROL!$C$25, 0.0263, 0)</f>
        <v>29.751300000000001</v>
      </c>
      <c r="C385" s="4">
        <f>29.4125 * CHOOSE(CONTROL!$C$6, $C$13, 100%, $E$13) + CHOOSE(CONTROL!$C$25, 0.0263, 0)</f>
        <v>29.438800000000001</v>
      </c>
      <c r="D385" s="4">
        <f>35.5168 * CHOOSE(CONTROL!$C$6, $C$13, 100%, $E$13) + CHOOSE(CONTROL!$C$25, 0, 0)</f>
        <v>35.516800000000003</v>
      </c>
      <c r="E385" s="4">
        <f>173.55561148012 * CHOOSE(CONTROL!$C$6, $C$13, 100%, $E$13) + CHOOSE(CONTROL!$C$25, 0, 0)</f>
        <v>173.55561148012001</v>
      </c>
    </row>
    <row r="386" spans="1:5" ht="15">
      <c r="A386" s="13">
        <v>53631</v>
      </c>
      <c r="B386" s="4">
        <f>28.7997 * CHOOSE(CONTROL!$C$6, $C$13, 100%, $E$13) + CHOOSE(CONTROL!$C$25, 0.0003, 0)</f>
        <v>28.8</v>
      </c>
      <c r="C386" s="4">
        <f>28.4872 * CHOOSE(CONTROL!$C$6, $C$13, 100%, $E$13) + CHOOSE(CONTROL!$C$25, 0.0003, 0)</f>
        <v>28.487500000000001</v>
      </c>
      <c r="D386" s="4">
        <f>35.0416 * CHOOSE(CONTROL!$C$6, $C$13, 100%, $E$13) + CHOOSE(CONTROL!$C$25, 0, 0)</f>
        <v>35.041600000000003</v>
      </c>
      <c r="E386" s="4">
        <f>167.789146718968 * CHOOSE(CONTROL!$C$6, $C$13, 100%, $E$13) + CHOOSE(CONTROL!$C$25, 0, 0)</f>
        <v>167.789146718968</v>
      </c>
    </row>
    <row r="387" spans="1:5" ht="15">
      <c r="A387" s="13">
        <v>53661</v>
      </c>
      <c r="B387" s="4">
        <f>28.2037 * CHOOSE(CONTROL!$C$6, $C$13, 100%, $E$13) + CHOOSE(CONTROL!$C$25, 0.0003, 0)</f>
        <v>28.204000000000001</v>
      </c>
      <c r="C387" s="4">
        <f>27.8912 * CHOOSE(CONTROL!$C$6, $C$13, 100%, $E$13) + CHOOSE(CONTROL!$C$25, 0.0003, 0)</f>
        <v>27.891500000000001</v>
      </c>
      <c r="D387" s="4">
        <f>34.8782 * CHOOSE(CONTROL!$C$6, $C$13, 100%, $E$13) + CHOOSE(CONTROL!$C$25, 0, 0)</f>
        <v>34.8782</v>
      </c>
      <c r="E387" s="4">
        <f>164.075112800158 * CHOOSE(CONTROL!$C$6, $C$13, 100%, $E$13) + CHOOSE(CONTROL!$C$25, 0, 0)</f>
        <v>164.075112800158</v>
      </c>
    </row>
    <row r="388" spans="1:5" ht="15">
      <c r="A388" s="13">
        <v>53692</v>
      </c>
      <c r="B388" s="4">
        <f>27.7914 * CHOOSE(CONTROL!$C$6, $C$13, 100%, $E$13) + CHOOSE(CONTROL!$C$25, 0.0003, 0)</f>
        <v>27.791699999999999</v>
      </c>
      <c r="C388" s="4">
        <f>27.4789 * CHOOSE(CONTROL!$C$6, $C$13, 100%, $E$13) + CHOOSE(CONTROL!$C$25, 0.0003, 0)</f>
        <v>27.479199999999999</v>
      </c>
      <c r="D388" s="4">
        <f>33.6754 * CHOOSE(CONTROL!$C$6, $C$13, 100%, $E$13) + CHOOSE(CONTROL!$C$25, 0, 0)</f>
        <v>33.675400000000003</v>
      </c>
      <c r="E388" s="4">
        <f>161.50547874669 * CHOOSE(CONTROL!$C$6, $C$13, 100%, $E$13) + CHOOSE(CONTROL!$C$25, 0, 0)</f>
        <v>161.50547874668999</v>
      </c>
    </row>
    <row r="389" spans="1:5" ht="15">
      <c r="A389" s="13">
        <v>53723</v>
      </c>
      <c r="B389" s="4">
        <f>27.1214 * CHOOSE(CONTROL!$C$6, $C$13, 100%, $E$13) + CHOOSE(CONTROL!$C$25, 0.0003, 0)</f>
        <v>27.121700000000001</v>
      </c>
      <c r="C389" s="4">
        <f>26.8089 * CHOOSE(CONTROL!$C$6, $C$13, 100%, $E$13) + CHOOSE(CONTROL!$C$25, 0.0003, 0)</f>
        <v>26.809200000000001</v>
      </c>
      <c r="D389" s="4">
        <f>32.57 * CHOOSE(CONTROL!$C$6, $C$13, 100%, $E$13) + CHOOSE(CONTROL!$C$25, 0, 0)</f>
        <v>32.57</v>
      </c>
      <c r="E389" s="4">
        <f>156.874117064654 * CHOOSE(CONTROL!$C$6, $C$13, 100%, $E$13) + CHOOSE(CONTROL!$C$25, 0, 0)</f>
        <v>156.874117064654</v>
      </c>
    </row>
    <row r="390" spans="1:5" ht="15">
      <c r="A390" s="13">
        <v>53751</v>
      </c>
      <c r="B390" s="4">
        <f>27.7208 * CHOOSE(CONTROL!$C$6, $C$13, 100%, $E$13) + CHOOSE(CONTROL!$C$25, 0.0003, 0)</f>
        <v>27.7211</v>
      </c>
      <c r="C390" s="4">
        <f>27.4083 * CHOOSE(CONTROL!$C$6, $C$13, 100%, $E$13) + CHOOSE(CONTROL!$C$25, 0.0003, 0)</f>
        <v>27.4086</v>
      </c>
      <c r="D390" s="4">
        <f>33.6832 * CHOOSE(CONTROL!$C$6, $C$13, 100%, $E$13) + CHOOSE(CONTROL!$C$25, 0, 0)</f>
        <v>33.683199999999999</v>
      </c>
      <c r="E390" s="4">
        <f>160.598926830458 * CHOOSE(CONTROL!$C$6, $C$13, 100%, $E$13) + CHOOSE(CONTROL!$C$25, 0, 0)</f>
        <v>160.598926830458</v>
      </c>
    </row>
    <row r="391" spans="1:5" ht="15">
      <c r="A391" s="13">
        <v>53782</v>
      </c>
      <c r="B391" s="4">
        <f>29.295 * CHOOSE(CONTROL!$C$6, $C$13, 100%, $E$13) + CHOOSE(CONTROL!$C$25, 0.0003, 0)</f>
        <v>29.295300000000001</v>
      </c>
      <c r="C391" s="4">
        <f>28.9825 * CHOOSE(CONTROL!$C$6, $C$13, 100%, $E$13) + CHOOSE(CONTROL!$C$25, 0.0003, 0)</f>
        <v>28.982800000000001</v>
      </c>
      <c r="D391" s="4">
        <f>35.4258 * CHOOSE(CONTROL!$C$6, $C$13, 100%, $E$13) + CHOOSE(CONTROL!$C$25, 0, 0)</f>
        <v>35.425800000000002</v>
      </c>
      <c r="E391" s="4">
        <f>170.380475223871 * CHOOSE(CONTROL!$C$6, $C$13, 100%, $E$13) + CHOOSE(CONTROL!$C$25, 0, 0)</f>
        <v>170.380475223871</v>
      </c>
    </row>
    <row r="392" spans="1:5" ht="15">
      <c r="A392" s="13">
        <v>53812</v>
      </c>
      <c r="B392" s="4">
        <f>30.4135 * CHOOSE(CONTROL!$C$6, $C$13, 100%, $E$13) + CHOOSE(CONTROL!$C$25, 0.0003, 0)</f>
        <v>30.413799999999998</v>
      </c>
      <c r="C392" s="4">
        <f>30.101 * CHOOSE(CONTROL!$C$6, $C$13, 100%, $E$13) + CHOOSE(CONTROL!$C$25, 0.0003, 0)</f>
        <v>30.101299999999998</v>
      </c>
      <c r="D392" s="4">
        <f>36.4296 * CHOOSE(CONTROL!$C$6, $C$13, 100%, $E$13) + CHOOSE(CONTROL!$C$25, 0, 0)</f>
        <v>36.429600000000001</v>
      </c>
      <c r="E392" s="4">
        <f>177.330395713663 * CHOOSE(CONTROL!$C$6, $C$13, 100%, $E$13) + CHOOSE(CONTROL!$C$25, 0, 0)</f>
        <v>177.33039571366299</v>
      </c>
    </row>
    <row r="393" spans="1:5" ht="15">
      <c r="A393" s="13">
        <v>53843</v>
      </c>
      <c r="B393" s="4">
        <f>31.0969 * CHOOSE(CONTROL!$C$6, $C$13, 100%, $E$13) + CHOOSE(CONTROL!$C$25, 0.0263, 0)</f>
        <v>31.123200000000001</v>
      </c>
      <c r="C393" s="4">
        <f>30.7844 * CHOOSE(CONTROL!$C$6, $C$13, 100%, $E$13) + CHOOSE(CONTROL!$C$25, 0.0263, 0)</f>
        <v>30.810700000000001</v>
      </c>
      <c r="D393" s="4">
        <f>36.0329 * CHOOSE(CONTROL!$C$6, $C$13, 100%, $E$13) + CHOOSE(CONTROL!$C$25, 0, 0)</f>
        <v>36.032899999999998</v>
      </c>
      <c r="E393" s="4">
        <f>181.576630566579 * CHOOSE(CONTROL!$C$6, $C$13, 100%, $E$13) + CHOOSE(CONTROL!$C$25, 0, 0)</f>
        <v>181.57663056657901</v>
      </c>
    </row>
    <row r="394" spans="1:5" ht="15">
      <c r="A394" s="13">
        <v>53873</v>
      </c>
      <c r="B394" s="4">
        <f>31.1893 * CHOOSE(CONTROL!$C$6, $C$13, 100%, $E$13) + CHOOSE(CONTROL!$C$25, 0.0263, 0)</f>
        <v>31.215599999999998</v>
      </c>
      <c r="C394" s="4">
        <f>30.8768 * CHOOSE(CONTROL!$C$6, $C$13, 100%, $E$13) + CHOOSE(CONTROL!$C$25, 0.0263, 0)</f>
        <v>30.903099999999998</v>
      </c>
      <c r="D394" s="4">
        <f>36.356 * CHOOSE(CONTROL!$C$6, $C$13, 100%, $E$13) + CHOOSE(CONTROL!$C$25, 0, 0)</f>
        <v>36.356000000000002</v>
      </c>
      <c r="E394" s="4">
        <f>182.151163764415 * CHOOSE(CONTROL!$C$6, $C$13, 100%, $E$13) + CHOOSE(CONTROL!$C$25, 0, 0)</f>
        <v>182.151163764415</v>
      </c>
    </row>
    <row r="395" spans="1:5" ht="15">
      <c r="A395" s="13">
        <v>53904</v>
      </c>
      <c r="B395" s="4">
        <f>31.18 * CHOOSE(CONTROL!$C$6, $C$13, 100%, $E$13) + CHOOSE(CONTROL!$C$25, 0.0263, 0)</f>
        <v>31.206299999999999</v>
      </c>
      <c r="C395" s="4">
        <f>30.8675 * CHOOSE(CONTROL!$C$6, $C$13, 100%, $E$13) + CHOOSE(CONTROL!$C$25, 0.0263, 0)</f>
        <v>30.893799999999999</v>
      </c>
      <c r="D395" s="4">
        <f>36.9389 * CHOOSE(CONTROL!$C$6, $C$13, 100%, $E$13) + CHOOSE(CONTROL!$C$25, 0, 0)</f>
        <v>36.938899999999997</v>
      </c>
      <c r="E395" s="4">
        <f>182.093227643625 * CHOOSE(CONTROL!$C$6, $C$13, 100%, $E$13) + CHOOSE(CONTROL!$C$25, 0, 0)</f>
        <v>182.093227643625</v>
      </c>
    </row>
    <row r="396" spans="1:5" ht="15">
      <c r="A396" s="13">
        <v>53935</v>
      </c>
      <c r="B396" s="4">
        <f>31.8816 * CHOOSE(CONTROL!$C$6, $C$13, 100%, $E$13) + CHOOSE(CONTROL!$C$25, 0.0263, 0)</f>
        <v>31.907899999999998</v>
      </c>
      <c r="C396" s="4">
        <f>31.5691 * CHOOSE(CONTROL!$C$6, $C$13, 100%, $E$13) + CHOOSE(CONTROL!$C$25, 0.0263, 0)</f>
        <v>31.595399999999998</v>
      </c>
      <c r="D396" s="4">
        <f>36.5539 * CHOOSE(CONTROL!$C$6, $C$13, 100%, $E$13) + CHOOSE(CONTROL!$C$25, 0, 0)</f>
        <v>36.553899999999999</v>
      </c>
      <c r="E396" s="4">
        <f>186.452920733088 * CHOOSE(CONTROL!$C$6, $C$13, 100%, $E$13) + CHOOSE(CONTROL!$C$25, 0, 0)</f>
        <v>186.45292073308801</v>
      </c>
    </row>
    <row r="397" spans="1:5" ht="15">
      <c r="A397" s="13">
        <v>53965</v>
      </c>
      <c r="B397" s="4">
        <f>30.6858 * CHOOSE(CONTROL!$C$6, $C$13, 100%, $E$13) + CHOOSE(CONTROL!$C$25, 0.0263, 0)</f>
        <v>30.7121</v>
      </c>
      <c r="C397" s="4">
        <f>30.3733 * CHOOSE(CONTROL!$C$6, $C$13, 100%, $E$13) + CHOOSE(CONTROL!$C$25, 0.0263, 0)</f>
        <v>30.3996</v>
      </c>
      <c r="D397" s="4">
        <f>36.3721 * CHOOSE(CONTROL!$C$6, $C$13, 100%, $E$13) + CHOOSE(CONTROL!$C$25, 0, 0)</f>
        <v>36.372100000000003</v>
      </c>
      <c r="E397" s="4">
        <f>179.022613241744 * CHOOSE(CONTROL!$C$6, $C$13, 100%, $E$13) + CHOOSE(CONTROL!$C$25, 0, 0)</f>
        <v>179.02261324174401</v>
      </c>
    </row>
    <row r="398" spans="1:5" ht="15">
      <c r="A398" s="13">
        <v>53996</v>
      </c>
      <c r="B398" s="4">
        <f>29.7286 * CHOOSE(CONTROL!$C$6, $C$13, 100%, $E$13) + CHOOSE(CONTROL!$C$25, 0.0003, 0)</f>
        <v>29.728899999999999</v>
      </c>
      <c r="C398" s="4">
        <f>29.4161 * CHOOSE(CONTROL!$C$6, $C$13, 100%, $E$13) + CHOOSE(CONTROL!$C$25, 0.0003, 0)</f>
        <v>29.416399999999999</v>
      </c>
      <c r="D398" s="4">
        <f>35.8851 * CHOOSE(CONTROL!$C$6, $C$13, 100%, $E$13) + CHOOSE(CONTROL!$C$25, 0, 0)</f>
        <v>35.885100000000001</v>
      </c>
      <c r="E398" s="4">
        <f>173.074504840616 * CHOOSE(CONTROL!$C$6, $C$13, 100%, $E$13) + CHOOSE(CONTROL!$C$25, 0, 0)</f>
        <v>173.07450484061599</v>
      </c>
    </row>
    <row r="399" spans="1:5" ht="15">
      <c r="A399" s="13">
        <v>54026</v>
      </c>
      <c r="B399" s="4">
        <f>29.112 * CHOOSE(CONTROL!$C$6, $C$13, 100%, $E$13) + CHOOSE(CONTROL!$C$25, 0.0003, 0)</f>
        <v>29.112299999999998</v>
      </c>
      <c r="C399" s="4">
        <f>28.7995 * CHOOSE(CONTROL!$C$6, $C$13, 100%, $E$13) + CHOOSE(CONTROL!$C$25, 0.0003, 0)</f>
        <v>28.799799999999998</v>
      </c>
      <c r="D399" s="4">
        <f>35.7177 * CHOOSE(CONTROL!$C$6, $C$13, 100%, $E$13) + CHOOSE(CONTROL!$C$25, 0, 0)</f>
        <v>35.717700000000001</v>
      </c>
      <c r="E399" s="4">
        <f>169.243478853363 * CHOOSE(CONTROL!$C$6, $C$13, 100%, $E$13) + CHOOSE(CONTROL!$C$25, 0, 0)</f>
        <v>169.243478853363</v>
      </c>
    </row>
    <row r="400" spans="1:5" ht="15">
      <c r="A400" s="13">
        <v>54057</v>
      </c>
      <c r="B400" s="4">
        <f>28.6855 * CHOOSE(CONTROL!$C$6, $C$13, 100%, $E$13) + CHOOSE(CONTROL!$C$25, 0.0003, 0)</f>
        <v>28.6858</v>
      </c>
      <c r="C400" s="4">
        <f>28.373 * CHOOSE(CONTROL!$C$6, $C$13, 100%, $E$13) + CHOOSE(CONTROL!$C$25, 0.0003, 0)</f>
        <v>28.3733</v>
      </c>
      <c r="D400" s="4">
        <f>34.485 * CHOOSE(CONTROL!$C$6, $C$13, 100%, $E$13) + CHOOSE(CONTROL!$C$25, 0, 0)</f>
        <v>34.484999999999999</v>
      </c>
      <c r="E400" s="4">
        <f>166.592901327211 * CHOOSE(CONTROL!$C$6, $C$13, 100%, $E$13) + CHOOSE(CONTROL!$C$25, 0, 0)</f>
        <v>166.592901327211</v>
      </c>
    </row>
    <row r="401" spans="1:5" ht="15">
      <c r="A401" s="13">
        <v>54088</v>
      </c>
      <c r="B401" s="4">
        <f>27.9924 * CHOOSE(CONTROL!$C$6, $C$13, 100%, $E$13) + CHOOSE(CONTROL!$C$25, 0.0003, 0)</f>
        <v>27.992699999999999</v>
      </c>
      <c r="C401" s="4">
        <f>27.6799 * CHOOSE(CONTROL!$C$6, $C$13, 100%, $E$13) + CHOOSE(CONTROL!$C$25, 0.0003, 0)</f>
        <v>27.680199999999999</v>
      </c>
      <c r="D401" s="4">
        <f>33.3522 * CHOOSE(CONTROL!$C$6, $C$13, 100%, $E$13) + CHOOSE(CONTROL!$C$25, 0, 0)</f>
        <v>33.352200000000003</v>
      </c>
      <c r="E401" s="4">
        <f>161.81565175219 * CHOOSE(CONTROL!$C$6, $C$13, 100%, $E$13) + CHOOSE(CONTROL!$C$25, 0, 0)</f>
        <v>161.81565175219001</v>
      </c>
    </row>
    <row r="402" spans="1:5" ht="15">
      <c r="A402" s="13">
        <v>54116</v>
      </c>
      <c r="B402" s="4">
        <f>28.6125 * CHOOSE(CONTROL!$C$6, $C$13, 100%, $E$13) + CHOOSE(CONTROL!$C$25, 0.0003, 0)</f>
        <v>28.6128</v>
      </c>
      <c r="C402" s="4">
        <f>28.3 * CHOOSE(CONTROL!$C$6, $C$13, 100%, $E$13) + CHOOSE(CONTROL!$C$25, 0.0003, 0)</f>
        <v>28.3003</v>
      </c>
      <c r="D402" s="4">
        <f>34.493 * CHOOSE(CONTROL!$C$6, $C$13, 100%, $E$13) + CHOOSE(CONTROL!$C$25, 0, 0)</f>
        <v>34.493000000000002</v>
      </c>
      <c r="E402" s="4">
        <f>165.657793025617 * CHOOSE(CONTROL!$C$6, $C$13, 100%, $E$13) + CHOOSE(CONTROL!$C$25, 0, 0)</f>
        <v>165.657793025617</v>
      </c>
    </row>
    <row r="403" spans="1:5" ht="15">
      <c r="A403" s="13">
        <v>54148</v>
      </c>
      <c r="B403" s="4">
        <f>30.241 * CHOOSE(CONTROL!$C$6, $C$13, 100%, $E$13) + CHOOSE(CONTROL!$C$25, 0.0003, 0)</f>
        <v>30.241299999999999</v>
      </c>
      <c r="C403" s="4">
        <f>29.9285 * CHOOSE(CONTROL!$C$6, $C$13, 100%, $E$13) + CHOOSE(CONTROL!$C$25, 0.0003, 0)</f>
        <v>29.928799999999999</v>
      </c>
      <c r="D403" s="4">
        <f>36.2788 * CHOOSE(CONTROL!$C$6, $C$13, 100%, $E$13) + CHOOSE(CONTROL!$C$25, 0, 0)</f>
        <v>36.278799999999997</v>
      </c>
      <c r="E403" s="4">
        <f>175.747460193423 * CHOOSE(CONTROL!$C$6, $C$13, 100%, $E$13) + CHOOSE(CONTROL!$C$25, 0, 0)</f>
        <v>175.747460193423</v>
      </c>
    </row>
    <row r="404" spans="1:5" ht="15">
      <c r="A404" s="13">
        <v>54178</v>
      </c>
      <c r="B404" s="4">
        <f>31.3981 * CHOOSE(CONTROL!$C$6, $C$13, 100%, $E$13) + CHOOSE(CONTROL!$C$25, 0.0003, 0)</f>
        <v>31.398399999999999</v>
      </c>
      <c r="C404" s="4">
        <f>31.0856 * CHOOSE(CONTROL!$C$6, $C$13, 100%, $E$13) + CHOOSE(CONTROL!$C$25, 0.0003, 0)</f>
        <v>31.085899999999999</v>
      </c>
      <c r="D404" s="4">
        <f>37.3075 * CHOOSE(CONTROL!$C$6, $C$13, 100%, $E$13) + CHOOSE(CONTROL!$C$25, 0, 0)</f>
        <v>37.307499999999997</v>
      </c>
      <c r="E404" s="4">
        <f>182.916303178643 * CHOOSE(CONTROL!$C$6, $C$13, 100%, $E$13) + CHOOSE(CONTROL!$C$25, 0, 0)</f>
        <v>182.91630317864301</v>
      </c>
    </row>
    <row r="405" spans="1:5" ht="15">
      <c r="A405" s="13">
        <v>54209</v>
      </c>
      <c r="B405" s="4">
        <f>32.105 * CHOOSE(CONTROL!$C$6, $C$13, 100%, $E$13) + CHOOSE(CONTROL!$C$25, 0.0263, 0)</f>
        <v>32.131299999999996</v>
      </c>
      <c r="C405" s="4">
        <f>31.7925 * CHOOSE(CONTROL!$C$6, $C$13, 100%, $E$13) + CHOOSE(CONTROL!$C$25, 0.0263, 0)</f>
        <v>31.8188</v>
      </c>
      <c r="D405" s="4">
        <f>36.901 * CHOOSE(CONTROL!$C$6, $C$13, 100%, $E$13) + CHOOSE(CONTROL!$C$25, 0, 0)</f>
        <v>36.901000000000003</v>
      </c>
      <c r="E405" s="4">
        <f>187.296294429426 * CHOOSE(CONTROL!$C$6, $C$13, 100%, $E$13) + CHOOSE(CONTROL!$C$25, 0, 0)</f>
        <v>187.29629442942601</v>
      </c>
    </row>
    <row r="406" spans="1:5" ht="15">
      <c r="A406" s="13">
        <v>54239</v>
      </c>
      <c r="B406" s="4">
        <f>32.2007 * CHOOSE(CONTROL!$C$6, $C$13, 100%, $E$13) + CHOOSE(CONTROL!$C$25, 0.0263, 0)</f>
        <v>32.226999999999997</v>
      </c>
      <c r="C406" s="4">
        <f>31.8882 * CHOOSE(CONTROL!$C$6, $C$13, 100%, $E$13) + CHOOSE(CONTROL!$C$25, 0.0263, 0)</f>
        <v>31.9145</v>
      </c>
      <c r="D406" s="4">
        <f>37.2321 * CHOOSE(CONTROL!$C$6, $C$13, 100%, $E$13) + CHOOSE(CONTROL!$C$25, 0, 0)</f>
        <v>37.232100000000003</v>
      </c>
      <c r="E406" s="4">
        <f>187.888925422994 * CHOOSE(CONTROL!$C$6, $C$13, 100%, $E$13) + CHOOSE(CONTROL!$C$25, 0, 0)</f>
        <v>187.88892542299399</v>
      </c>
    </row>
    <row r="407" spans="1:5" ht="15">
      <c r="A407" s="13">
        <v>54270</v>
      </c>
      <c r="B407" s="4">
        <f>32.191 * CHOOSE(CONTROL!$C$6, $C$13, 100%, $E$13) + CHOOSE(CONTROL!$C$25, 0.0263, 0)</f>
        <v>32.217300000000002</v>
      </c>
      <c r="C407" s="4">
        <f>31.8785 * CHOOSE(CONTROL!$C$6, $C$13, 100%, $E$13) + CHOOSE(CONTROL!$C$25, 0.0263, 0)</f>
        <v>31.904799999999998</v>
      </c>
      <c r="D407" s="4">
        <f>37.8295 * CHOOSE(CONTROL!$C$6, $C$13, 100%, $E$13) + CHOOSE(CONTROL!$C$25, 0, 0)</f>
        <v>37.829500000000003</v>
      </c>
      <c r="E407" s="4">
        <f>187.829164314399 * CHOOSE(CONTROL!$C$6, $C$13, 100%, $E$13) + CHOOSE(CONTROL!$C$25, 0, 0)</f>
        <v>187.82916431439901</v>
      </c>
    </row>
    <row r="408" spans="1:5" ht="15">
      <c r="A408" s="13">
        <v>54301</v>
      </c>
      <c r="B408" s="4">
        <f>32.9169 * CHOOSE(CONTROL!$C$6, $C$13, 100%, $E$13) + CHOOSE(CONTROL!$C$25, 0.0263, 0)</f>
        <v>32.943199999999997</v>
      </c>
      <c r="C408" s="4">
        <f>32.6044 * CHOOSE(CONTROL!$C$6, $C$13, 100%, $E$13) + CHOOSE(CONTROL!$C$25, 0.0263, 0)</f>
        <v>32.630699999999997</v>
      </c>
      <c r="D408" s="4">
        <f>37.435 * CHOOSE(CONTROL!$C$6, $C$13, 100%, $E$13) + CHOOSE(CONTROL!$C$25, 0, 0)</f>
        <v>37.435000000000002</v>
      </c>
      <c r="E408" s="4">
        <f>192.32618773618 * CHOOSE(CONTROL!$C$6, $C$13, 100%, $E$13) + CHOOSE(CONTROL!$C$25, 0, 0)</f>
        <v>192.32618773618</v>
      </c>
    </row>
    <row r="409" spans="1:5" ht="15">
      <c r="A409" s="13">
        <v>54331</v>
      </c>
      <c r="B409" s="4">
        <f>31.6798 * CHOOSE(CONTROL!$C$6, $C$13, 100%, $E$13) + CHOOSE(CONTROL!$C$25, 0.0263, 0)</f>
        <v>31.706099999999999</v>
      </c>
      <c r="C409" s="4">
        <f>31.3673 * CHOOSE(CONTROL!$C$6, $C$13, 100%, $E$13) + CHOOSE(CONTROL!$C$25, 0.0263, 0)</f>
        <v>31.393599999999999</v>
      </c>
      <c r="D409" s="4">
        <f>37.2486 * CHOOSE(CONTROL!$C$6, $C$13, 100%, $E$13) + CHOOSE(CONTROL!$C$25, 0, 0)</f>
        <v>37.248600000000003</v>
      </c>
      <c r="E409" s="4">
        <f>184.661825558859 * CHOOSE(CONTROL!$C$6, $C$13, 100%, $E$13) + CHOOSE(CONTROL!$C$25, 0, 0)</f>
        <v>184.66182555885899</v>
      </c>
    </row>
    <row r="410" spans="1:5" ht="15">
      <c r="A410" s="13">
        <v>54362</v>
      </c>
      <c r="B410" s="4">
        <f>30.6895 * CHOOSE(CONTROL!$C$6, $C$13, 100%, $E$13) + CHOOSE(CONTROL!$C$25, 0.0003, 0)</f>
        <v>30.689799999999998</v>
      </c>
      <c r="C410" s="4">
        <f>30.377 * CHOOSE(CONTROL!$C$6, $C$13, 100%, $E$13) + CHOOSE(CONTROL!$C$25, 0.0003, 0)</f>
        <v>30.377299999999998</v>
      </c>
      <c r="D410" s="4">
        <f>36.7495 * CHOOSE(CONTROL!$C$6, $C$13, 100%, $E$13) + CHOOSE(CONTROL!$C$25, 0, 0)</f>
        <v>36.749499999999998</v>
      </c>
      <c r="E410" s="4">
        <f>178.526351743095 * CHOOSE(CONTROL!$C$6, $C$13, 100%, $E$13) + CHOOSE(CONTROL!$C$25, 0, 0)</f>
        <v>178.52635174309501</v>
      </c>
    </row>
    <row r="411" spans="1:5" ht="15">
      <c r="A411" s="13">
        <v>54392</v>
      </c>
      <c r="B411" s="4">
        <f>30.0517 * CHOOSE(CONTROL!$C$6, $C$13, 100%, $E$13) + CHOOSE(CONTROL!$C$25, 0.0003, 0)</f>
        <v>30.052</v>
      </c>
      <c r="C411" s="4">
        <f>29.7392 * CHOOSE(CONTROL!$C$6, $C$13, 100%, $E$13) + CHOOSE(CONTROL!$C$25, 0.0003, 0)</f>
        <v>29.7395</v>
      </c>
      <c r="D411" s="4">
        <f>36.5779 * CHOOSE(CONTROL!$C$6, $C$13, 100%, $E$13) + CHOOSE(CONTROL!$C$25, 0, 0)</f>
        <v>36.5779</v>
      </c>
      <c r="E411" s="4">
        <f>174.574648437244 * CHOOSE(CONTROL!$C$6, $C$13, 100%, $E$13) + CHOOSE(CONTROL!$C$25, 0, 0)</f>
        <v>174.57464843724401</v>
      </c>
    </row>
    <row r="412" spans="1:5" ht="15">
      <c r="A412" s="13">
        <v>54423</v>
      </c>
      <c r="B412" s="4">
        <f>29.6104 * CHOOSE(CONTROL!$C$6, $C$13, 100%, $E$13) + CHOOSE(CONTROL!$C$25, 0.0003, 0)</f>
        <v>29.610699999999998</v>
      </c>
      <c r="C412" s="4">
        <f>29.2979 * CHOOSE(CONTROL!$C$6, $C$13, 100%, $E$13) + CHOOSE(CONTROL!$C$25, 0.0003, 0)</f>
        <v>29.298199999999998</v>
      </c>
      <c r="D412" s="4">
        <f>35.3148 * CHOOSE(CONTROL!$C$6, $C$13, 100%, $E$13) + CHOOSE(CONTROL!$C$25, 0, 0)</f>
        <v>35.314799999999998</v>
      </c>
      <c r="E412" s="4">
        <f>171.840577719018 * CHOOSE(CONTROL!$C$6, $C$13, 100%, $E$13) + CHOOSE(CONTROL!$C$25, 0, 0)</f>
        <v>171.840577719018</v>
      </c>
    </row>
    <row r="413" spans="1:5" ht="15">
      <c r="A413" s="13">
        <v>54454</v>
      </c>
      <c r="B413" s="4">
        <f>28.8934 * CHOOSE(CONTROL!$C$6, $C$13, 100%, $E$13) + CHOOSE(CONTROL!$C$25, 0.0003, 0)</f>
        <v>28.893699999999999</v>
      </c>
      <c r="C413" s="4">
        <f>28.5809 * CHOOSE(CONTROL!$C$6, $C$13, 100%, $E$13) + CHOOSE(CONTROL!$C$25, 0.0003, 0)</f>
        <v>28.581199999999999</v>
      </c>
      <c r="D413" s="4">
        <f>34.1538 * CHOOSE(CONTROL!$C$6, $C$13, 100%, $E$13) + CHOOSE(CONTROL!$C$25, 0, 0)</f>
        <v>34.153799999999997</v>
      </c>
      <c r="E413" s="4">
        <f>166.912844782384 * CHOOSE(CONTROL!$C$6, $C$13, 100%, $E$13) + CHOOSE(CONTROL!$C$25, 0, 0)</f>
        <v>166.91284478238401</v>
      </c>
    </row>
    <row r="414" spans="1:5" ht="15">
      <c r="A414" s="13">
        <v>54482</v>
      </c>
      <c r="B414" s="4">
        <f>29.535 * CHOOSE(CONTROL!$C$6, $C$13, 100%, $E$13) + CHOOSE(CONTROL!$C$25, 0.0003, 0)</f>
        <v>29.535299999999999</v>
      </c>
      <c r="C414" s="4">
        <f>29.2225 * CHOOSE(CONTROL!$C$6, $C$13, 100%, $E$13) + CHOOSE(CONTROL!$C$25, 0.0003, 0)</f>
        <v>29.222799999999999</v>
      </c>
      <c r="D414" s="4">
        <f>35.3229 * CHOOSE(CONTROL!$C$6, $C$13, 100%, $E$13) + CHOOSE(CONTROL!$C$25, 0, 0)</f>
        <v>35.322899999999997</v>
      </c>
      <c r="E414" s="4">
        <f>170.876013505924 * CHOOSE(CONTROL!$C$6, $C$13, 100%, $E$13) + CHOOSE(CONTROL!$C$25, 0, 0)</f>
        <v>170.87601350592399</v>
      </c>
    </row>
    <row r="415" spans="1:5" ht="15">
      <c r="A415" s="13">
        <v>54513</v>
      </c>
      <c r="B415" s="4">
        <f>31.2196 * CHOOSE(CONTROL!$C$6, $C$13, 100%, $E$13) + CHOOSE(CONTROL!$C$25, 0.0003, 0)</f>
        <v>31.219899999999999</v>
      </c>
      <c r="C415" s="4">
        <f>30.9071 * CHOOSE(CONTROL!$C$6, $C$13, 100%, $E$13) + CHOOSE(CONTROL!$C$25, 0.0003, 0)</f>
        <v>30.907399999999999</v>
      </c>
      <c r="D415" s="4">
        <f>37.153 * CHOOSE(CONTROL!$C$6, $C$13, 100%, $E$13) + CHOOSE(CONTROL!$C$25, 0, 0)</f>
        <v>37.152999999999999</v>
      </c>
      <c r="E415" s="4">
        <f>181.283505189516 * CHOOSE(CONTROL!$C$6, $C$13, 100%, $E$13) + CHOOSE(CONTROL!$C$25, 0, 0)</f>
        <v>181.28350518951601</v>
      </c>
    </row>
    <row r="416" spans="1:5" ht="15">
      <c r="A416" s="13">
        <v>54543</v>
      </c>
      <c r="B416" s="4">
        <f>32.4166 * CHOOSE(CONTROL!$C$6, $C$13, 100%, $E$13) + CHOOSE(CONTROL!$C$25, 0.0003, 0)</f>
        <v>32.416900000000005</v>
      </c>
      <c r="C416" s="4">
        <f>32.1041 * CHOOSE(CONTROL!$C$6, $C$13, 100%, $E$13) + CHOOSE(CONTROL!$C$25, 0.0003, 0)</f>
        <v>32.104400000000005</v>
      </c>
      <c r="D416" s="4">
        <f>38.2072 * CHOOSE(CONTROL!$C$6, $C$13, 100%, $E$13) + CHOOSE(CONTROL!$C$25, 0, 0)</f>
        <v>38.2072</v>
      </c>
      <c r="E416" s="4">
        <f>188.678166728771 * CHOOSE(CONTROL!$C$6, $C$13, 100%, $E$13) + CHOOSE(CONTROL!$C$25, 0, 0)</f>
        <v>188.678166728771</v>
      </c>
    </row>
    <row r="417" spans="1:5" ht="15">
      <c r="A417" s="13">
        <v>54574</v>
      </c>
      <c r="B417" s="4">
        <f>33.148 * CHOOSE(CONTROL!$C$6, $C$13, 100%, $E$13) + CHOOSE(CONTROL!$C$25, 0.0263, 0)</f>
        <v>33.174300000000002</v>
      </c>
      <c r="C417" s="4">
        <f>32.8355 * CHOOSE(CONTROL!$C$6, $C$13, 100%, $E$13) + CHOOSE(CONTROL!$C$25, 0.0263, 0)</f>
        <v>32.861800000000002</v>
      </c>
      <c r="D417" s="4">
        <f>37.7907 * CHOOSE(CONTROL!$C$6, $C$13, 100%, $E$13) + CHOOSE(CONTROL!$C$25, 0, 0)</f>
        <v>37.790700000000001</v>
      </c>
      <c r="E417" s="4">
        <f>193.196127703953 * CHOOSE(CONTROL!$C$6, $C$13, 100%, $E$13) + CHOOSE(CONTROL!$C$25, 0, 0)</f>
        <v>193.19612770395301</v>
      </c>
    </row>
    <row r="418" spans="1:5" ht="15">
      <c r="A418" s="13">
        <v>54604</v>
      </c>
      <c r="B418" s="4">
        <f>33.2469 * CHOOSE(CONTROL!$C$6, $C$13, 100%, $E$13) + CHOOSE(CONTROL!$C$25, 0.0263, 0)</f>
        <v>33.273199999999996</v>
      </c>
      <c r="C418" s="4">
        <f>32.9344 * CHOOSE(CONTROL!$C$6, $C$13, 100%, $E$13) + CHOOSE(CONTROL!$C$25, 0.0263, 0)</f>
        <v>32.960699999999996</v>
      </c>
      <c r="D418" s="4">
        <f>38.1299 * CHOOSE(CONTROL!$C$6, $C$13, 100%, $E$13) + CHOOSE(CONTROL!$C$25, 0, 0)</f>
        <v>38.129899999999999</v>
      </c>
      <c r="E418" s="4">
        <f>193.807426573818 * CHOOSE(CONTROL!$C$6, $C$13, 100%, $E$13) + CHOOSE(CONTROL!$C$25, 0, 0)</f>
        <v>193.80742657381799</v>
      </c>
    </row>
    <row r="419" spans="1:5" ht="15">
      <c r="A419" s="13">
        <v>54635</v>
      </c>
      <c r="B419" s="4">
        <f>33.2369 * CHOOSE(CONTROL!$C$6, $C$13, 100%, $E$13) + CHOOSE(CONTROL!$C$25, 0.0263, 0)</f>
        <v>33.263199999999998</v>
      </c>
      <c r="C419" s="4">
        <f>32.9244 * CHOOSE(CONTROL!$C$6, $C$13, 100%, $E$13) + CHOOSE(CONTROL!$C$25, 0.0263, 0)</f>
        <v>32.950699999999998</v>
      </c>
      <c r="D419" s="4">
        <f>38.7421 * CHOOSE(CONTROL!$C$6, $C$13, 100%, $E$13) + CHOOSE(CONTROL!$C$25, 0, 0)</f>
        <v>38.742100000000001</v>
      </c>
      <c r="E419" s="4">
        <f>193.745782990303 * CHOOSE(CONTROL!$C$6, $C$13, 100%, $E$13) + CHOOSE(CONTROL!$C$25, 0, 0)</f>
        <v>193.74578299030301</v>
      </c>
    </row>
    <row r="420" spans="1:5" ht="15">
      <c r="A420" s="13">
        <v>54666</v>
      </c>
      <c r="B420" s="4">
        <f>33.9878 * CHOOSE(CONTROL!$C$6, $C$13, 100%, $E$13) + CHOOSE(CONTROL!$C$25, 0.0263, 0)</f>
        <v>34.014099999999999</v>
      </c>
      <c r="C420" s="4">
        <f>33.6753 * CHOOSE(CONTROL!$C$6, $C$13, 100%, $E$13) + CHOOSE(CONTROL!$C$25, 0.0263, 0)</f>
        <v>33.701599999999999</v>
      </c>
      <c r="D420" s="4">
        <f>38.3378 * CHOOSE(CONTROL!$C$6, $C$13, 100%, $E$13) + CHOOSE(CONTROL!$C$25, 0, 0)</f>
        <v>38.337800000000001</v>
      </c>
      <c r="E420" s="4">
        <f>198.38446264987 * CHOOSE(CONTROL!$C$6, $C$13, 100%, $E$13) + CHOOSE(CONTROL!$C$25, 0, 0)</f>
        <v>198.38446264986999</v>
      </c>
    </row>
    <row r="421" spans="1:5" ht="15">
      <c r="A421" s="13">
        <v>54696</v>
      </c>
      <c r="B421" s="4">
        <f>32.7081 * CHOOSE(CONTROL!$C$6, $C$13, 100%, $E$13) + CHOOSE(CONTROL!$C$25, 0.0263, 0)</f>
        <v>32.734400000000001</v>
      </c>
      <c r="C421" s="4">
        <f>32.3956 * CHOOSE(CONTROL!$C$6, $C$13, 100%, $E$13) + CHOOSE(CONTROL!$C$25, 0.0263, 0)</f>
        <v>32.421900000000001</v>
      </c>
      <c r="D421" s="4">
        <f>38.1468 * CHOOSE(CONTROL!$C$6, $C$13, 100%, $E$13) + CHOOSE(CONTROL!$C$25, 0, 0)</f>
        <v>38.146799999999999</v>
      </c>
      <c r="E421" s="4">
        <f>190.478673063963 * CHOOSE(CONTROL!$C$6, $C$13, 100%, $E$13) + CHOOSE(CONTROL!$C$25, 0, 0)</f>
        <v>190.47867306396299</v>
      </c>
    </row>
    <row r="422" spans="1:5" ht="15">
      <c r="A422" s="13">
        <v>54727</v>
      </c>
      <c r="B422" s="4">
        <f>31.6836 * CHOOSE(CONTROL!$C$6, $C$13, 100%, $E$13) + CHOOSE(CONTROL!$C$25, 0.0003, 0)</f>
        <v>31.683899999999998</v>
      </c>
      <c r="C422" s="4">
        <f>31.3711 * CHOOSE(CONTROL!$C$6, $C$13, 100%, $E$13) + CHOOSE(CONTROL!$C$25, 0.0003, 0)</f>
        <v>31.371399999999998</v>
      </c>
      <c r="D422" s="4">
        <f>37.6354 * CHOOSE(CONTROL!$C$6, $C$13, 100%, $E$13) + CHOOSE(CONTROL!$C$25, 0, 0)</f>
        <v>37.635399999999997</v>
      </c>
      <c r="E422" s="4">
        <f>184.149931823003 * CHOOSE(CONTROL!$C$6, $C$13, 100%, $E$13) + CHOOSE(CONTROL!$C$25, 0, 0)</f>
        <v>184.14993182300299</v>
      </c>
    </row>
    <row r="423" spans="1:5" ht="15">
      <c r="A423" s="13">
        <v>54757</v>
      </c>
      <c r="B423" s="4">
        <f>31.0238 * CHOOSE(CONTROL!$C$6, $C$13, 100%, $E$13) + CHOOSE(CONTROL!$C$25, 0.0003, 0)</f>
        <v>31.024100000000001</v>
      </c>
      <c r="C423" s="4">
        <f>30.7113 * CHOOSE(CONTROL!$C$6, $C$13, 100%, $E$13) + CHOOSE(CONTROL!$C$25, 0.0003, 0)</f>
        <v>30.711600000000001</v>
      </c>
      <c r="D423" s="4">
        <f>37.4595 * CHOOSE(CONTROL!$C$6, $C$13, 100%, $E$13) + CHOOSE(CONTROL!$C$25, 0, 0)</f>
        <v>37.459499999999998</v>
      </c>
      <c r="E423" s="4">
        <f>180.073749863017 * CHOOSE(CONTROL!$C$6, $C$13, 100%, $E$13) + CHOOSE(CONTROL!$C$25, 0, 0)</f>
        <v>180.07374986301701</v>
      </c>
    </row>
    <row r="424" spans="1:5" ht="15">
      <c r="A424" s="13">
        <v>54788</v>
      </c>
      <c r="B424" s="4">
        <f>30.5673 * CHOOSE(CONTROL!$C$6, $C$13, 100%, $E$13) + CHOOSE(CONTROL!$C$25, 0.0003, 0)</f>
        <v>30.567599999999999</v>
      </c>
      <c r="C424" s="4">
        <f>30.2548 * CHOOSE(CONTROL!$C$6, $C$13, 100%, $E$13) + CHOOSE(CONTROL!$C$25, 0.0003, 0)</f>
        <v>30.255099999999999</v>
      </c>
      <c r="D424" s="4">
        <f>36.165 * CHOOSE(CONTROL!$C$6, $C$13, 100%, $E$13) + CHOOSE(CONTROL!$C$25, 0, 0)</f>
        <v>36.164999999999999</v>
      </c>
      <c r="E424" s="4">
        <f>177.253555917167 * CHOOSE(CONTROL!$C$6, $C$13, 100%, $E$13) + CHOOSE(CONTROL!$C$25, 0, 0)</f>
        <v>177.25355591716701</v>
      </c>
    </row>
    <row r="425" spans="1:5" ht="15">
      <c r="A425" s="13">
        <v>54819</v>
      </c>
      <c r="B425" s="4">
        <f>29.8256 * CHOOSE(CONTROL!$C$6, $C$13, 100%, $E$13) + CHOOSE(CONTROL!$C$25, 0.0003, 0)</f>
        <v>29.825900000000001</v>
      </c>
      <c r="C425" s="4">
        <f>29.5131 * CHOOSE(CONTROL!$C$6, $C$13, 100%, $E$13) + CHOOSE(CONTROL!$C$25, 0.0003, 0)</f>
        <v>29.513400000000001</v>
      </c>
      <c r="D425" s="4">
        <f>34.9753 * CHOOSE(CONTROL!$C$6, $C$13, 100%, $E$13) + CHOOSE(CONTROL!$C$25, 0, 0)</f>
        <v>34.975299999999997</v>
      </c>
      <c r="E425" s="4">
        <f>172.170599393029 * CHOOSE(CONTROL!$C$6, $C$13, 100%, $E$13) + CHOOSE(CONTROL!$C$25, 0, 0)</f>
        <v>172.17059939302899</v>
      </c>
    </row>
    <row r="426" spans="1:5" ht="15">
      <c r="A426" s="13">
        <v>54847</v>
      </c>
      <c r="B426" s="4">
        <f>30.4892 * CHOOSE(CONTROL!$C$6, $C$13, 100%, $E$13) + CHOOSE(CONTROL!$C$25, 0.0003, 0)</f>
        <v>30.4895</v>
      </c>
      <c r="C426" s="4">
        <f>30.1767 * CHOOSE(CONTROL!$C$6, $C$13, 100%, $E$13) + CHOOSE(CONTROL!$C$25, 0.0003, 0)</f>
        <v>30.177</v>
      </c>
      <c r="D426" s="4">
        <f>36.1734 * CHOOSE(CONTROL!$C$6, $C$13, 100%, $E$13) + CHOOSE(CONTROL!$C$25, 0, 0)</f>
        <v>36.173400000000001</v>
      </c>
      <c r="E426" s="4">
        <f>176.258607931361 * CHOOSE(CONTROL!$C$6, $C$13, 100%, $E$13) + CHOOSE(CONTROL!$C$25, 0, 0)</f>
        <v>176.25860793136101</v>
      </c>
    </row>
    <row r="427" spans="1:5" ht="15">
      <c r="A427" s="13">
        <v>54878</v>
      </c>
      <c r="B427" s="4">
        <f>32.232 * CHOOSE(CONTROL!$C$6, $C$13, 100%, $E$13) + CHOOSE(CONTROL!$C$25, 0.0003, 0)</f>
        <v>32.232300000000002</v>
      </c>
      <c r="C427" s="4">
        <f>31.9195 * CHOOSE(CONTROL!$C$6, $C$13, 100%, $E$13) + CHOOSE(CONTROL!$C$25, 0.0003, 0)</f>
        <v>31.919799999999999</v>
      </c>
      <c r="D427" s="4">
        <f>38.0489 * CHOOSE(CONTROL!$C$6, $C$13, 100%, $E$13) + CHOOSE(CONTROL!$C$25, 0, 0)</f>
        <v>38.048900000000003</v>
      </c>
      <c r="E427" s="4">
        <f>186.993935602986 * CHOOSE(CONTROL!$C$6, $C$13, 100%, $E$13) + CHOOSE(CONTROL!$C$25, 0, 0)</f>
        <v>186.993935602986</v>
      </c>
    </row>
    <row r="428" spans="1:5" ht="15">
      <c r="A428" s="13">
        <v>54908</v>
      </c>
      <c r="B428" s="4">
        <f>33.4703 * CHOOSE(CONTROL!$C$6, $C$13, 100%, $E$13) + CHOOSE(CONTROL!$C$25, 0.0003, 0)</f>
        <v>33.470600000000005</v>
      </c>
      <c r="C428" s="4">
        <f>33.1578 * CHOOSE(CONTROL!$C$6, $C$13, 100%, $E$13) + CHOOSE(CONTROL!$C$25, 0.0003, 0)</f>
        <v>33.158100000000005</v>
      </c>
      <c r="D428" s="4">
        <f>39.1293 * CHOOSE(CONTROL!$C$6, $C$13, 100%, $E$13) + CHOOSE(CONTROL!$C$25, 0, 0)</f>
        <v>39.129300000000001</v>
      </c>
      <c r="E428" s="4">
        <f>194.621528980727 * CHOOSE(CONTROL!$C$6, $C$13, 100%, $E$13) + CHOOSE(CONTROL!$C$25, 0, 0)</f>
        <v>194.62152898072699</v>
      </c>
    </row>
    <row r="429" spans="1:5" ht="15">
      <c r="A429" s="13">
        <v>54939</v>
      </c>
      <c r="B429" s="4">
        <f>34.2269 * CHOOSE(CONTROL!$C$6, $C$13, 100%, $E$13) + CHOOSE(CONTROL!$C$25, 0.0263, 0)</f>
        <v>34.2532</v>
      </c>
      <c r="C429" s="4">
        <f>33.9144 * CHOOSE(CONTROL!$C$6, $C$13, 100%, $E$13) + CHOOSE(CONTROL!$C$25, 0.0263, 0)</f>
        <v>33.9407</v>
      </c>
      <c r="D429" s="4">
        <f>38.7024 * CHOOSE(CONTROL!$C$6, $C$13, 100%, $E$13) + CHOOSE(CONTROL!$C$25, 0, 0)</f>
        <v>38.702399999999997</v>
      </c>
      <c r="E429" s="4">
        <f>199.281805726627 * CHOOSE(CONTROL!$C$6, $C$13, 100%, $E$13) + CHOOSE(CONTROL!$C$25, 0, 0)</f>
        <v>199.281805726627</v>
      </c>
    </row>
    <row r="430" spans="1:5" ht="15">
      <c r="A430" s="13">
        <v>54969</v>
      </c>
      <c r="B430" s="4">
        <f>34.3292 * CHOOSE(CONTROL!$C$6, $C$13, 100%, $E$13) + CHOOSE(CONTROL!$C$25, 0.0263, 0)</f>
        <v>34.355499999999999</v>
      </c>
      <c r="C430" s="4">
        <f>34.0167 * CHOOSE(CONTROL!$C$6, $C$13, 100%, $E$13) + CHOOSE(CONTROL!$C$25, 0.0263, 0)</f>
        <v>34.042999999999999</v>
      </c>
      <c r="D430" s="4">
        <f>39.05 * CHOOSE(CONTROL!$C$6, $C$13, 100%, $E$13) + CHOOSE(CONTROL!$C$25, 0, 0)</f>
        <v>39.049999999999997</v>
      </c>
      <c r="E430" s="4">
        <f>199.912360510894 * CHOOSE(CONTROL!$C$6, $C$13, 100%, $E$13) + CHOOSE(CONTROL!$C$25, 0, 0)</f>
        <v>199.91236051089399</v>
      </c>
    </row>
    <row r="431" spans="1:5" ht="15">
      <c r="A431" s="13">
        <v>55000</v>
      </c>
      <c r="B431" s="4">
        <f>34.3189 * CHOOSE(CONTROL!$C$6, $C$13, 100%, $E$13) + CHOOSE(CONTROL!$C$25, 0.0263, 0)</f>
        <v>34.345199999999998</v>
      </c>
      <c r="C431" s="4">
        <f>34.0064 * CHOOSE(CONTROL!$C$6, $C$13, 100%, $E$13) + CHOOSE(CONTROL!$C$25, 0.0263, 0)</f>
        <v>34.032699999999998</v>
      </c>
      <c r="D431" s="4">
        <f>39.6774 * CHOOSE(CONTROL!$C$6, $C$13, 100%, $E$13) + CHOOSE(CONTROL!$C$25, 0, 0)</f>
        <v>39.677399999999999</v>
      </c>
      <c r="E431" s="4">
        <f>199.848775154497 * CHOOSE(CONTROL!$C$6, $C$13, 100%, $E$13) + CHOOSE(CONTROL!$C$25, 0, 0)</f>
        <v>199.84877515449699</v>
      </c>
    </row>
    <row r="432" spans="1:5" ht="15">
      <c r="A432" s="13">
        <v>55031</v>
      </c>
      <c r="B432" s="4">
        <f>35.0957 * CHOOSE(CONTROL!$C$6, $C$13, 100%, $E$13) + CHOOSE(CONTROL!$C$25, 0.0263, 0)</f>
        <v>35.122</v>
      </c>
      <c r="C432" s="4">
        <f>34.7832 * CHOOSE(CONTROL!$C$6, $C$13, 100%, $E$13) + CHOOSE(CONTROL!$C$25, 0.0263, 0)</f>
        <v>34.8095</v>
      </c>
      <c r="D432" s="4">
        <f>39.2631 * CHOOSE(CONTROL!$C$6, $C$13, 100%, $E$13) + CHOOSE(CONTROL!$C$25, 0, 0)</f>
        <v>39.263100000000001</v>
      </c>
      <c r="E432" s="4">
        <f>204.633573223341 * CHOOSE(CONTROL!$C$6, $C$13, 100%, $E$13) + CHOOSE(CONTROL!$C$25, 0, 0)</f>
        <v>204.63357322334099</v>
      </c>
    </row>
    <row r="433" spans="1:5" ht="15">
      <c r="A433" s="13">
        <v>55061</v>
      </c>
      <c r="B433" s="4">
        <f>33.7718 * CHOOSE(CONTROL!$C$6, $C$13, 100%, $E$13) + CHOOSE(CONTROL!$C$25, 0.0263, 0)</f>
        <v>33.798099999999998</v>
      </c>
      <c r="C433" s="4">
        <f>33.4593 * CHOOSE(CONTROL!$C$6, $C$13, 100%, $E$13) + CHOOSE(CONTROL!$C$25, 0.0263, 0)</f>
        <v>33.485599999999998</v>
      </c>
      <c r="D433" s="4">
        <f>39.0673 * CHOOSE(CONTROL!$C$6, $C$13, 100%, $E$13) + CHOOSE(CONTROL!$C$25, 0, 0)</f>
        <v>39.067300000000003</v>
      </c>
      <c r="E433" s="4">
        <f>196.478751265478 * CHOOSE(CONTROL!$C$6, $C$13, 100%, $E$13) + CHOOSE(CONTROL!$C$25, 0, 0)</f>
        <v>196.478751265478</v>
      </c>
    </row>
    <row r="434" spans="1:5" ht="15">
      <c r="A434" s="13">
        <v>55092</v>
      </c>
      <c r="B434" s="4">
        <f>32.712 * CHOOSE(CONTROL!$C$6, $C$13, 100%, $E$13) + CHOOSE(CONTROL!$C$25, 0.0003, 0)</f>
        <v>32.712300000000006</v>
      </c>
      <c r="C434" s="4">
        <f>32.3995 * CHOOSE(CONTROL!$C$6, $C$13, 100%, $E$13) + CHOOSE(CONTROL!$C$25, 0.0003, 0)</f>
        <v>32.399800000000006</v>
      </c>
      <c r="D434" s="4">
        <f>38.5432 * CHOOSE(CONTROL!$C$6, $C$13, 100%, $E$13) + CHOOSE(CONTROL!$C$25, 0, 0)</f>
        <v>38.543199999999999</v>
      </c>
      <c r="E434" s="4">
        <f>189.950654675427 * CHOOSE(CONTROL!$C$6, $C$13, 100%, $E$13) + CHOOSE(CONTROL!$C$25, 0, 0)</f>
        <v>189.95065467542699</v>
      </c>
    </row>
    <row r="435" spans="1:5" ht="15">
      <c r="A435" s="13">
        <v>55122</v>
      </c>
      <c r="B435" s="4">
        <f>32.0294 * CHOOSE(CONTROL!$C$6, $C$13, 100%, $E$13) + CHOOSE(CONTROL!$C$25, 0.0003, 0)</f>
        <v>32.029700000000005</v>
      </c>
      <c r="C435" s="4">
        <f>31.7169 * CHOOSE(CONTROL!$C$6, $C$13, 100%, $E$13) + CHOOSE(CONTROL!$C$25, 0.0003, 0)</f>
        <v>31.717199999999998</v>
      </c>
      <c r="D435" s="4">
        <f>38.363 * CHOOSE(CONTROL!$C$6, $C$13, 100%, $E$13) + CHOOSE(CONTROL!$C$25, 0, 0)</f>
        <v>38.363</v>
      </c>
      <c r="E435" s="4">
        <f>185.746072983702 * CHOOSE(CONTROL!$C$6, $C$13, 100%, $E$13) + CHOOSE(CONTROL!$C$25, 0, 0)</f>
        <v>185.74607298370199</v>
      </c>
    </row>
    <row r="436" spans="1:5" ht="15">
      <c r="A436" s="13">
        <v>55153</v>
      </c>
      <c r="B436" s="4">
        <f>31.5572 * CHOOSE(CONTROL!$C$6, $C$13, 100%, $E$13) + CHOOSE(CONTROL!$C$25, 0.0003, 0)</f>
        <v>31.557500000000001</v>
      </c>
      <c r="C436" s="4">
        <f>31.2447 * CHOOSE(CONTROL!$C$6, $C$13, 100%, $E$13) + CHOOSE(CONTROL!$C$25, 0.0003, 0)</f>
        <v>31.245000000000001</v>
      </c>
      <c r="D436" s="4">
        <f>37.0364 * CHOOSE(CONTROL!$C$6, $C$13, 100%, $E$13) + CHOOSE(CONTROL!$C$25, 0, 0)</f>
        <v>37.0364</v>
      </c>
      <c r="E436" s="4">
        <f>182.837042928558 * CHOOSE(CONTROL!$C$6, $C$13, 100%, $E$13) + CHOOSE(CONTROL!$C$25, 0, 0)</f>
        <v>182.83704292855799</v>
      </c>
    </row>
    <row r="437" spans="1:5" ht="15">
      <c r="A437" s="13">
        <v>55184</v>
      </c>
      <c r="B437" s="4">
        <f>30.7899 * CHOOSE(CONTROL!$C$6, $C$13, 100%, $E$13) + CHOOSE(CONTROL!$C$25, 0.0003, 0)</f>
        <v>30.790199999999999</v>
      </c>
      <c r="C437" s="4">
        <f>30.4774 * CHOOSE(CONTROL!$C$6, $C$13, 100%, $E$13) + CHOOSE(CONTROL!$C$25, 0.0003, 0)</f>
        <v>30.477699999999999</v>
      </c>
      <c r="D437" s="4">
        <f>35.8171 * CHOOSE(CONTROL!$C$6, $C$13, 100%, $E$13) + CHOOSE(CONTROL!$C$25, 0, 0)</f>
        <v>35.817100000000003</v>
      </c>
      <c r="E437" s="4">
        <f>177.59397327391 * CHOOSE(CONTROL!$C$6, $C$13, 100%, $E$13) + CHOOSE(CONTROL!$C$25, 0, 0)</f>
        <v>177.59397327391</v>
      </c>
    </row>
    <row r="438" spans="1:5" ht="15">
      <c r="A438" s="13">
        <v>55212</v>
      </c>
      <c r="B438" s="4">
        <f>31.4764 * CHOOSE(CONTROL!$C$6, $C$13, 100%, $E$13) + CHOOSE(CONTROL!$C$25, 0.0003, 0)</f>
        <v>31.476700000000001</v>
      </c>
      <c r="C438" s="4">
        <f>31.1639 * CHOOSE(CONTROL!$C$6, $C$13, 100%, $E$13) + CHOOSE(CONTROL!$C$25, 0.0003, 0)</f>
        <v>31.164200000000001</v>
      </c>
      <c r="D438" s="4">
        <f>37.045 * CHOOSE(CONTROL!$C$6, $C$13, 100%, $E$13) + CHOOSE(CONTROL!$C$25, 0, 0)</f>
        <v>37.045000000000002</v>
      </c>
      <c r="E438" s="4">
        <f>181.810754081198 * CHOOSE(CONTROL!$C$6, $C$13, 100%, $E$13) + CHOOSE(CONTROL!$C$25, 0, 0)</f>
        <v>181.81075408119801</v>
      </c>
    </row>
    <row r="439" spans="1:5" ht="15">
      <c r="A439" s="13">
        <v>55243</v>
      </c>
      <c r="B439" s="4">
        <f>33.2793 * CHOOSE(CONTROL!$C$6, $C$13, 100%, $E$13) + CHOOSE(CONTROL!$C$25, 0.0003, 0)</f>
        <v>33.279600000000002</v>
      </c>
      <c r="C439" s="4">
        <f>32.9668 * CHOOSE(CONTROL!$C$6, $C$13, 100%, $E$13) + CHOOSE(CONTROL!$C$25, 0.0003, 0)</f>
        <v>32.967100000000002</v>
      </c>
      <c r="D439" s="4">
        <f>38.967 * CHOOSE(CONTROL!$C$6, $C$13, 100%, $E$13) + CHOOSE(CONTROL!$C$25, 0, 0)</f>
        <v>38.966999999999999</v>
      </c>
      <c r="E439" s="4">
        <f>192.88424457448 * CHOOSE(CONTROL!$C$6, $C$13, 100%, $E$13) + CHOOSE(CONTROL!$C$25, 0, 0)</f>
        <v>192.88424457447999</v>
      </c>
    </row>
    <row r="440" spans="1:5" ht="15">
      <c r="A440" s="13">
        <v>55273</v>
      </c>
      <c r="B440" s="4">
        <f>34.5603 * CHOOSE(CONTROL!$C$6, $C$13, 100%, $E$13) + CHOOSE(CONTROL!$C$25, 0.0003, 0)</f>
        <v>34.560600000000001</v>
      </c>
      <c r="C440" s="4">
        <f>34.2478 * CHOOSE(CONTROL!$C$6, $C$13, 100%, $E$13) + CHOOSE(CONTROL!$C$25, 0.0003, 0)</f>
        <v>34.248100000000001</v>
      </c>
      <c r="D440" s="4">
        <f>40.0741 * CHOOSE(CONTROL!$C$6, $C$13, 100%, $E$13) + CHOOSE(CONTROL!$C$25, 0, 0)</f>
        <v>40.074100000000001</v>
      </c>
      <c r="E440" s="4">
        <f>200.75210714362 * CHOOSE(CONTROL!$C$6, $C$13, 100%, $E$13) + CHOOSE(CONTROL!$C$25, 0, 0)</f>
        <v>200.75210714362001</v>
      </c>
    </row>
    <row r="441" spans="1:5" ht="15">
      <c r="A441" s="13">
        <v>55304</v>
      </c>
      <c r="B441" s="4">
        <f>35.343 * CHOOSE(CONTROL!$C$6, $C$13, 100%, $E$13) + CHOOSE(CONTROL!$C$25, 0.0263, 0)</f>
        <v>35.369300000000003</v>
      </c>
      <c r="C441" s="4">
        <f>35.0305 * CHOOSE(CONTROL!$C$6, $C$13, 100%, $E$13) + CHOOSE(CONTROL!$C$25, 0.0263, 0)</f>
        <v>35.056800000000003</v>
      </c>
      <c r="D441" s="4">
        <f>39.6366 * CHOOSE(CONTROL!$C$6, $C$13, 100%, $E$13) + CHOOSE(CONTROL!$C$25, 0, 0)</f>
        <v>39.636600000000001</v>
      </c>
      <c r="E441" s="4">
        <f>205.559182607016 * CHOOSE(CONTROL!$C$6, $C$13, 100%, $E$13) + CHOOSE(CONTROL!$C$25, 0, 0)</f>
        <v>205.559182607016</v>
      </c>
    </row>
    <row r="442" spans="1:5" ht="15">
      <c r="A442" s="13">
        <v>55334</v>
      </c>
      <c r="B442" s="4">
        <f>35.4489 * CHOOSE(CONTROL!$C$6, $C$13, 100%, $E$13) + CHOOSE(CONTROL!$C$25, 0.0263, 0)</f>
        <v>35.475200000000001</v>
      </c>
      <c r="C442" s="4">
        <f>35.1364 * CHOOSE(CONTROL!$C$6, $C$13, 100%, $E$13) + CHOOSE(CONTROL!$C$25, 0.0263, 0)</f>
        <v>35.162700000000001</v>
      </c>
      <c r="D442" s="4">
        <f>39.993 * CHOOSE(CONTROL!$C$6, $C$13, 100%, $E$13) + CHOOSE(CONTROL!$C$25, 0, 0)</f>
        <v>39.993000000000002</v>
      </c>
      <c r="E442" s="4">
        <f>206.209599866987 * CHOOSE(CONTROL!$C$6, $C$13, 100%, $E$13) + CHOOSE(CONTROL!$C$25, 0, 0)</f>
        <v>206.20959986698699</v>
      </c>
    </row>
    <row r="443" spans="1:5" ht="15">
      <c r="A443" s="13">
        <v>55365</v>
      </c>
      <c r="B443" s="4">
        <f>35.4382 * CHOOSE(CONTROL!$C$6, $C$13, 100%, $E$13) + CHOOSE(CONTROL!$C$25, 0.0263, 0)</f>
        <v>35.464500000000001</v>
      </c>
      <c r="C443" s="4">
        <f>35.1257 * CHOOSE(CONTROL!$C$6, $C$13, 100%, $E$13) + CHOOSE(CONTROL!$C$25, 0.0263, 0)</f>
        <v>35.152000000000001</v>
      </c>
      <c r="D443" s="4">
        <f>40.6359 * CHOOSE(CONTROL!$C$6, $C$13, 100%, $E$13) + CHOOSE(CONTROL!$C$25, 0, 0)</f>
        <v>40.635899999999999</v>
      </c>
      <c r="E443" s="4">
        <f>206.144011571864 * CHOOSE(CONTROL!$C$6, $C$13, 100%, $E$13) + CHOOSE(CONTROL!$C$25, 0, 0)</f>
        <v>206.14401157186401</v>
      </c>
    </row>
    <row r="444" spans="1:5" ht="15">
      <c r="A444" s="13">
        <v>55396</v>
      </c>
      <c r="B444" s="4">
        <f>36.2418 * CHOOSE(CONTROL!$C$6, $C$13, 100%, $E$13) + CHOOSE(CONTROL!$C$25, 0.0263, 0)</f>
        <v>36.268099999999997</v>
      </c>
      <c r="C444" s="4">
        <f>35.9293 * CHOOSE(CONTROL!$C$6, $C$13, 100%, $E$13) + CHOOSE(CONTROL!$C$25, 0.0263, 0)</f>
        <v>35.955599999999997</v>
      </c>
      <c r="D444" s="4">
        <f>40.2113 * CHOOSE(CONTROL!$C$6, $C$13, 100%, $E$13) + CHOOSE(CONTROL!$C$25, 0, 0)</f>
        <v>40.211300000000001</v>
      </c>
      <c r="E444" s="4">
        <f>211.079530779876 * CHOOSE(CONTROL!$C$6, $C$13, 100%, $E$13) + CHOOSE(CONTROL!$C$25, 0, 0)</f>
        <v>211.07953077987599</v>
      </c>
    </row>
    <row r="445" spans="1:5" ht="15">
      <c r="A445" s="13">
        <v>55426</v>
      </c>
      <c r="B445" s="4">
        <f>34.8723 * CHOOSE(CONTROL!$C$6, $C$13, 100%, $E$13) + CHOOSE(CONTROL!$C$25, 0.0263, 0)</f>
        <v>34.898600000000002</v>
      </c>
      <c r="C445" s="4">
        <f>34.5598 * CHOOSE(CONTROL!$C$6, $C$13, 100%, $E$13) + CHOOSE(CONTROL!$C$25, 0.0263, 0)</f>
        <v>34.586100000000002</v>
      </c>
      <c r="D445" s="4">
        <f>40.0107 * CHOOSE(CONTROL!$C$6, $C$13, 100%, $E$13) + CHOOSE(CONTROL!$C$25, 0, 0)</f>
        <v>40.0107</v>
      </c>
      <c r="E445" s="4">
        <f>202.66783193034 * CHOOSE(CONTROL!$C$6, $C$13, 100%, $E$13) + CHOOSE(CONTROL!$C$25, 0, 0)</f>
        <v>202.66783193033999</v>
      </c>
    </row>
    <row r="446" spans="1:5" ht="15">
      <c r="A446" s="13">
        <v>55457</v>
      </c>
      <c r="B446" s="4">
        <f>33.7759 * CHOOSE(CONTROL!$C$6, $C$13, 100%, $E$13) + CHOOSE(CONTROL!$C$25, 0.0003, 0)</f>
        <v>33.776200000000003</v>
      </c>
      <c r="C446" s="4">
        <f>33.4634 * CHOOSE(CONTROL!$C$6, $C$13, 100%, $E$13) + CHOOSE(CONTROL!$C$25, 0.0003, 0)</f>
        <v>33.463700000000003</v>
      </c>
      <c r="D446" s="4">
        <f>39.4736 * CHOOSE(CONTROL!$C$6, $C$13, 100%, $E$13) + CHOOSE(CONTROL!$C$25, 0, 0)</f>
        <v>39.473599999999998</v>
      </c>
      <c r="E446" s="4">
        <f>195.934100297703 * CHOOSE(CONTROL!$C$6, $C$13, 100%, $E$13) + CHOOSE(CONTROL!$C$25, 0, 0)</f>
        <v>195.934100297703</v>
      </c>
    </row>
    <row r="447" spans="1:5" ht="15">
      <c r="A447" s="13">
        <v>55487</v>
      </c>
      <c r="B447" s="4">
        <f>33.0698 * CHOOSE(CONTROL!$C$6, $C$13, 100%, $E$13) + CHOOSE(CONTROL!$C$25, 0.0003, 0)</f>
        <v>33.070100000000004</v>
      </c>
      <c r="C447" s="4">
        <f>32.7573 * CHOOSE(CONTROL!$C$6, $C$13, 100%, $E$13) + CHOOSE(CONTROL!$C$25, 0.0003, 0)</f>
        <v>32.757600000000004</v>
      </c>
      <c r="D447" s="4">
        <f>39.2889 * CHOOSE(CONTROL!$C$6, $C$13, 100%, $E$13) + CHOOSE(CONTROL!$C$25, 0, 0)</f>
        <v>39.288899999999998</v>
      </c>
      <c r="E447" s="4">
        <f>191.597074282689 * CHOOSE(CONTROL!$C$6, $C$13, 100%, $E$13) + CHOOSE(CONTROL!$C$25, 0, 0)</f>
        <v>191.59707428268899</v>
      </c>
    </row>
    <row r="448" spans="1:5" ht="15">
      <c r="A448" s="13">
        <v>55518</v>
      </c>
      <c r="B448" s="4">
        <f>32.5812 * CHOOSE(CONTROL!$C$6, $C$13, 100%, $E$13) + CHOOSE(CONTROL!$C$25, 0.0003, 0)</f>
        <v>32.581500000000005</v>
      </c>
      <c r="C448" s="4">
        <f>32.2687 * CHOOSE(CONTROL!$C$6, $C$13, 100%, $E$13) + CHOOSE(CONTROL!$C$25, 0.0003, 0)</f>
        <v>32.269000000000005</v>
      </c>
      <c r="D448" s="4">
        <f>37.9294 * CHOOSE(CONTROL!$C$6, $C$13, 100%, $E$13) + CHOOSE(CONTROL!$C$25, 0, 0)</f>
        <v>37.929400000000001</v>
      </c>
      <c r="E448" s="4">
        <f>188.596409780808 * CHOOSE(CONTROL!$C$6, $C$13, 100%, $E$13) + CHOOSE(CONTROL!$C$25, 0, 0)</f>
        <v>188.59640978080799</v>
      </c>
    </row>
    <row r="449" spans="1:5" ht="15">
      <c r="A449" s="13">
        <v>55549</v>
      </c>
      <c r="B449" s="4">
        <f>31.7874 * CHOOSE(CONTROL!$C$6, $C$13, 100%, $E$13) + CHOOSE(CONTROL!$C$25, 0.0003, 0)</f>
        <v>31.787700000000001</v>
      </c>
      <c r="C449" s="4">
        <f>31.4749 * CHOOSE(CONTROL!$C$6, $C$13, 100%, $E$13) + CHOOSE(CONTROL!$C$25, 0.0003, 0)</f>
        <v>31.475200000000001</v>
      </c>
      <c r="D449" s="4">
        <f>36.6799 * CHOOSE(CONTROL!$C$6, $C$13, 100%, $E$13) + CHOOSE(CONTROL!$C$25, 0, 0)</f>
        <v>36.679900000000004</v>
      </c>
      <c r="E449" s="4">
        <f>183.188183432038 * CHOOSE(CONTROL!$C$6, $C$13, 100%, $E$13) + CHOOSE(CONTROL!$C$25, 0, 0)</f>
        <v>183.18818343203799</v>
      </c>
    </row>
    <row r="450" spans="1:5" ht="15">
      <c r="A450" s="13">
        <v>55577</v>
      </c>
      <c r="B450" s="4">
        <f>32.4977 * CHOOSE(CONTROL!$C$6, $C$13, 100%, $E$13) + CHOOSE(CONTROL!$C$25, 0.0003, 0)</f>
        <v>32.498000000000005</v>
      </c>
      <c r="C450" s="4">
        <f>32.1852 * CHOOSE(CONTROL!$C$6, $C$13, 100%, $E$13) + CHOOSE(CONTROL!$C$25, 0.0003, 0)</f>
        <v>32.185500000000005</v>
      </c>
      <c r="D450" s="4">
        <f>37.9381 * CHOOSE(CONTROL!$C$6, $C$13, 100%, $E$13) + CHOOSE(CONTROL!$C$25, 0, 0)</f>
        <v>37.938099999999999</v>
      </c>
      <c r="E450" s="4">
        <f>187.537792834756 * CHOOSE(CONTROL!$C$6, $C$13, 100%, $E$13) + CHOOSE(CONTROL!$C$25, 0, 0)</f>
        <v>187.537792834756</v>
      </c>
    </row>
    <row r="451" spans="1:5" ht="15">
      <c r="A451" s="13">
        <v>55609</v>
      </c>
      <c r="B451" s="4">
        <f>34.3628 * CHOOSE(CONTROL!$C$6, $C$13, 100%, $E$13) + CHOOSE(CONTROL!$C$25, 0.0003, 0)</f>
        <v>34.363100000000003</v>
      </c>
      <c r="C451" s="4">
        <f>34.0503 * CHOOSE(CONTROL!$C$6, $C$13, 100%, $E$13) + CHOOSE(CONTROL!$C$25, 0.0003, 0)</f>
        <v>34.050600000000003</v>
      </c>
      <c r="D451" s="4">
        <f>39.9078 * CHOOSE(CONTROL!$C$6, $C$13, 100%, $E$13) + CHOOSE(CONTROL!$C$25, 0, 0)</f>
        <v>39.907800000000002</v>
      </c>
      <c r="E451" s="4">
        <f>198.960098278576 * CHOOSE(CONTROL!$C$6, $C$13, 100%, $E$13) + CHOOSE(CONTROL!$C$25, 0, 0)</f>
        <v>198.960098278576</v>
      </c>
    </row>
    <row r="452" spans="1:5" ht="15">
      <c r="A452" s="13">
        <v>55639</v>
      </c>
      <c r="B452" s="4">
        <f>35.688 * CHOOSE(CONTROL!$C$6, $C$13, 100%, $E$13) + CHOOSE(CONTROL!$C$25, 0.0003, 0)</f>
        <v>35.688300000000005</v>
      </c>
      <c r="C452" s="4">
        <f>35.3755 * CHOOSE(CONTROL!$C$6, $C$13, 100%, $E$13) + CHOOSE(CONTROL!$C$25, 0.0003, 0)</f>
        <v>35.375800000000005</v>
      </c>
      <c r="D452" s="4">
        <f>41.0425 * CHOOSE(CONTROL!$C$6, $C$13, 100%, $E$13) + CHOOSE(CONTROL!$C$25, 0, 0)</f>
        <v>41.042499999999997</v>
      </c>
      <c r="E452" s="4">
        <f>207.075798518644 * CHOOSE(CONTROL!$C$6, $C$13, 100%, $E$13) + CHOOSE(CONTROL!$C$25, 0, 0)</f>
        <v>207.07579851864401</v>
      </c>
    </row>
    <row r="453" spans="1:5" ht="15">
      <c r="A453" s="13">
        <v>55670</v>
      </c>
      <c r="B453" s="4">
        <f>36.4977 * CHOOSE(CONTROL!$C$6, $C$13, 100%, $E$13) + CHOOSE(CONTROL!$C$25, 0.0263, 0)</f>
        <v>36.524000000000001</v>
      </c>
      <c r="C453" s="4">
        <f>36.1852 * CHOOSE(CONTROL!$C$6, $C$13, 100%, $E$13) + CHOOSE(CONTROL!$C$25, 0.0263, 0)</f>
        <v>36.211500000000001</v>
      </c>
      <c r="D453" s="4">
        <f>40.5941 * CHOOSE(CONTROL!$C$6, $C$13, 100%, $E$13) + CHOOSE(CONTROL!$C$25, 0, 0)</f>
        <v>40.594099999999997</v>
      </c>
      <c r="E453" s="4">
        <f>212.034296859137 * CHOOSE(CONTROL!$C$6, $C$13, 100%, $E$13) + CHOOSE(CONTROL!$C$25, 0, 0)</f>
        <v>212.03429685913699</v>
      </c>
    </row>
    <row r="454" spans="1:5" ht="15">
      <c r="A454" s="13">
        <v>55700</v>
      </c>
      <c r="B454" s="4">
        <f>36.6072 * CHOOSE(CONTROL!$C$6, $C$13, 100%, $E$13) + CHOOSE(CONTROL!$C$25, 0.0263, 0)</f>
        <v>36.633499999999998</v>
      </c>
      <c r="C454" s="4">
        <f>36.2947 * CHOOSE(CONTROL!$C$6, $C$13, 100%, $E$13) + CHOOSE(CONTROL!$C$25, 0.0263, 0)</f>
        <v>36.320999999999998</v>
      </c>
      <c r="D454" s="4">
        <f>40.9593 * CHOOSE(CONTROL!$C$6, $C$13, 100%, $E$13) + CHOOSE(CONTROL!$C$25, 0, 0)</f>
        <v>40.959299999999999</v>
      </c>
      <c r="E454" s="4">
        <f>212.705202262797 * CHOOSE(CONTROL!$C$6, $C$13, 100%, $E$13) + CHOOSE(CONTROL!$C$25, 0, 0)</f>
        <v>212.705202262797</v>
      </c>
    </row>
    <row r="455" spans="1:5" ht="15">
      <c r="A455" s="13">
        <v>55731</v>
      </c>
      <c r="B455" s="4">
        <f>36.5962 * CHOOSE(CONTROL!$C$6, $C$13, 100%, $E$13) + CHOOSE(CONTROL!$C$25, 0.0263, 0)</f>
        <v>36.622500000000002</v>
      </c>
      <c r="C455" s="4">
        <f>36.2837 * CHOOSE(CONTROL!$C$6, $C$13, 100%, $E$13) + CHOOSE(CONTROL!$C$25, 0.0263, 0)</f>
        <v>36.31</v>
      </c>
      <c r="D455" s="4">
        <f>41.6181 * CHOOSE(CONTROL!$C$6, $C$13, 100%, $E$13) + CHOOSE(CONTROL!$C$25, 0, 0)</f>
        <v>41.618099999999998</v>
      </c>
      <c r="E455" s="4">
        <f>212.637547936377 * CHOOSE(CONTROL!$C$6, $C$13, 100%, $E$13) + CHOOSE(CONTROL!$C$25, 0, 0)</f>
        <v>212.63754793637699</v>
      </c>
    </row>
    <row r="456" spans="1:5" ht="15">
      <c r="A456" s="13">
        <v>55762</v>
      </c>
      <c r="B456" s="4">
        <f>37.4275 * CHOOSE(CONTROL!$C$6, $C$13, 100%, $E$13) + CHOOSE(CONTROL!$C$25, 0.0263, 0)</f>
        <v>37.453800000000001</v>
      </c>
      <c r="C456" s="4">
        <f>37.115 * CHOOSE(CONTROL!$C$6, $C$13, 100%, $E$13) + CHOOSE(CONTROL!$C$25, 0.0263, 0)</f>
        <v>37.141300000000001</v>
      </c>
      <c r="D456" s="4">
        <f>41.183 * CHOOSE(CONTROL!$C$6, $C$13, 100%, $E$13) + CHOOSE(CONTROL!$C$25, 0, 0)</f>
        <v>41.183</v>
      </c>
      <c r="E456" s="4">
        <f>217.728535999442 * CHOOSE(CONTROL!$C$6, $C$13, 100%, $E$13) + CHOOSE(CONTROL!$C$25, 0, 0)</f>
        <v>217.72853599944199</v>
      </c>
    </row>
    <row r="457" spans="1:5" ht="15">
      <c r="A457" s="13">
        <v>55792</v>
      </c>
      <c r="B457" s="4">
        <f>36.0107 * CHOOSE(CONTROL!$C$6, $C$13, 100%, $E$13) + CHOOSE(CONTROL!$C$25, 0.0263, 0)</f>
        <v>36.036999999999999</v>
      </c>
      <c r="C457" s="4">
        <f>35.6982 * CHOOSE(CONTROL!$C$6, $C$13, 100%, $E$13) + CHOOSE(CONTROL!$C$25, 0.0263, 0)</f>
        <v>35.724499999999999</v>
      </c>
      <c r="D457" s="4">
        <f>40.9774 * CHOOSE(CONTROL!$C$6, $C$13, 100%, $E$13) + CHOOSE(CONTROL!$C$25, 0, 0)</f>
        <v>40.977400000000003</v>
      </c>
      <c r="E457" s="4">
        <f>209.051868636146 * CHOOSE(CONTROL!$C$6, $C$13, 100%, $E$13) + CHOOSE(CONTROL!$C$25, 0, 0)</f>
        <v>209.051868636146</v>
      </c>
    </row>
    <row r="458" spans="1:5" ht="15">
      <c r="A458" s="13">
        <v>55823</v>
      </c>
      <c r="B458" s="4">
        <f>34.8765 * CHOOSE(CONTROL!$C$6, $C$13, 100%, $E$13) + CHOOSE(CONTROL!$C$25, 0.0003, 0)</f>
        <v>34.876800000000003</v>
      </c>
      <c r="C458" s="4">
        <f>34.564 * CHOOSE(CONTROL!$C$6, $C$13, 100%, $E$13) + CHOOSE(CONTROL!$C$25, 0.0003, 0)</f>
        <v>34.564300000000003</v>
      </c>
      <c r="D458" s="4">
        <f>40.427 * CHOOSE(CONTROL!$C$6, $C$13, 100%, $E$13) + CHOOSE(CONTROL!$C$25, 0, 0)</f>
        <v>40.427</v>
      </c>
      <c r="E458" s="4">
        <f>202.106024457081 * CHOOSE(CONTROL!$C$6, $C$13, 100%, $E$13) + CHOOSE(CONTROL!$C$25, 0, 0)</f>
        <v>202.10602445708099</v>
      </c>
    </row>
    <row r="459" spans="1:5" ht="15">
      <c r="A459" s="13">
        <v>55853</v>
      </c>
      <c r="B459" s="4">
        <f>34.146 * CHOOSE(CONTROL!$C$6, $C$13, 100%, $E$13) + CHOOSE(CONTROL!$C$25, 0.0003, 0)</f>
        <v>34.146300000000004</v>
      </c>
      <c r="C459" s="4">
        <f>33.8335 * CHOOSE(CONTROL!$C$6, $C$13, 100%, $E$13) + CHOOSE(CONTROL!$C$25, 0.0003, 0)</f>
        <v>33.833800000000004</v>
      </c>
      <c r="D459" s="4">
        <f>40.2377 * CHOOSE(CONTROL!$C$6, $C$13, 100%, $E$13) + CHOOSE(CONTROL!$C$25, 0, 0)</f>
        <v>40.237699999999997</v>
      </c>
      <c r="E459" s="4">
        <f>197.632382122594 * CHOOSE(CONTROL!$C$6, $C$13, 100%, $E$13) + CHOOSE(CONTROL!$C$25, 0, 0)</f>
        <v>197.63238212259401</v>
      </c>
    </row>
    <row r="460" spans="1:5" ht="15">
      <c r="A460" s="13">
        <v>55884</v>
      </c>
      <c r="B460" s="4">
        <f>33.6406 * CHOOSE(CONTROL!$C$6, $C$13, 100%, $E$13) + CHOOSE(CONTROL!$C$25, 0.0003, 0)</f>
        <v>33.640900000000002</v>
      </c>
      <c r="C460" s="4">
        <f>33.3281 * CHOOSE(CONTROL!$C$6, $C$13, 100%, $E$13) + CHOOSE(CONTROL!$C$25, 0.0003, 0)</f>
        <v>33.328400000000002</v>
      </c>
      <c r="D460" s="4">
        <f>38.8445 * CHOOSE(CONTROL!$C$6, $C$13, 100%, $E$13) + CHOOSE(CONTROL!$C$25, 0, 0)</f>
        <v>38.844499999999996</v>
      </c>
      <c r="E460" s="4">
        <f>194.537196688903 * CHOOSE(CONTROL!$C$6, $C$13, 100%, $E$13) + CHOOSE(CONTROL!$C$25, 0, 0)</f>
        <v>194.53719668890301</v>
      </c>
    </row>
    <row r="461" spans="1:5" ht="15">
      <c r="A461" s="13">
        <v>55915</v>
      </c>
      <c r="B461" s="4">
        <f>32.8194 * CHOOSE(CONTROL!$C$6, $C$13, 100%, $E$13) + CHOOSE(CONTROL!$C$25, 0.0003, 0)</f>
        <v>32.819700000000005</v>
      </c>
      <c r="C461" s="4">
        <f>32.5069 * CHOOSE(CONTROL!$C$6, $C$13, 100%, $E$13) + CHOOSE(CONTROL!$C$25, 0.0003, 0)</f>
        <v>32.507200000000005</v>
      </c>
      <c r="D461" s="4">
        <f>37.564 * CHOOSE(CONTROL!$C$6, $C$13, 100%, $E$13) + CHOOSE(CONTROL!$C$25, 0, 0)</f>
        <v>37.564</v>
      </c>
      <c r="E461" s="4">
        <f>188.958611210147 * CHOOSE(CONTROL!$C$6, $C$13, 100%, $E$13) + CHOOSE(CONTROL!$C$25, 0, 0)</f>
        <v>188.95861121014701</v>
      </c>
    </row>
    <row r="462" spans="1:5" ht="15">
      <c r="A462" s="13">
        <v>55943</v>
      </c>
      <c r="B462" s="4">
        <f>33.5542 * CHOOSE(CONTROL!$C$6, $C$13, 100%, $E$13) + CHOOSE(CONTROL!$C$25, 0.0003, 0)</f>
        <v>33.554500000000004</v>
      </c>
      <c r="C462" s="4">
        <f>33.2417 * CHOOSE(CONTROL!$C$6, $C$13, 100%, $E$13) + CHOOSE(CONTROL!$C$25, 0.0003, 0)</f>
        <v>33.242000000000004</v>
      </c>
      <c r="D462" s="4">
        <f>38.8535 * CHOOSE(CONTROL!$C$6, $C$13, 100%, $E$13) + CHOOSE(CONTROL!$C$25, 0, 0)</f>
        <v>38.853499999999997</v>
      </c>
      <c r="E462" s="4">
        <f>193.445233309051 * CHOOSE(CONTROL!$C$6, $C$13, 100%, $E$13) + CHOOSE(CONTROL!$C$25, 0, 0)</f>
        <v>193.44523330905099</v>
      </c>
    </row>
    <row r="463" spans="1:5" ht="15">
      <c r="A463" s="13">
        <v>55974</v>
      </c>
      <c r="B463" s="4">
        <f>35.4836 * CHOOSE(CONTROL!$C$6, $C$13, 100%, $E$13) + CHOOSE(CONTROL!$C$25, 0.0003, 0)</f>
        <v>35.483900000000006</v>
      </c>
      <c r="C463" s="4">
        <f>35.1711 * CHOOSE(CONTROL!$C$6, $C$13, 100%, $E$13) + CHOOSE(CONTROL!$C$25, 0.0003, 0)</f>
        <v>35.171400000000006</v>
      </c>
      <c r="D463" s="4">
        <f>40.872 * CHOOSE(CONTROL!$C$6, $C$13, 100%, $E$13) + CHOOSE(CONTROL!$C$25, 0, 0)</f>
        <v>40.872</v>
      </c>
      <c r="E463" s="4">
        <f>205.227341374351 * CHOOSE(CONTROL!$C$6, $C$13, 100%, $E$13) + CHOOSE(CONTROL!$C$25, 0, 0)</f>
        <v>205.227341374351</v>
      </c>
    </row>
    <row r="464" spans="1:5" ht="15">
      <c r="A464" s="13">
        <v>56004</v>
      </c>
      <c r="B464" s="4">
        <f>36.8545 * CHOOSE(CONTROL!$C$6, $C$13, 100%, $E$13) + CHOOSE(CONTROL!$C$25, 0.0003, 0)</f>
        <v>36.854800000000004</v>
      </c>
      <c r="C464" s="4">
        <f>36.542 * CHOOSE(CONTROL!$C$6, $C$13, 100%, $E$13) + CHOOSE(CONTROL!$C$25, 0.0003, 0)</f>
        <v>36.542300000000004</v>
      </c>
      <c r="D464" s="4">
        <f>42.0348 * CHOOSE(CONTROL!$C$6, $C$13, 100%, $E$13) + CHOOSE(CONTROL!$C$25, 0, 0)</f>
        <v>42.034799999999997</v>
      </c>
      <c r="E464" s="4">
        <f>213.598686171981 * CHOOSE(CONTROL!$C$6, $C$13, 100%, $E$13) + CHOOSE(CONTROL!$C$25, 0, 0)</f>
        <v>213.598686171981</v>
      </c>
    </row>
    <row r="465" spans="1:5" ht="15">
      <c r="A465" s="13">
        <v>56035</v>
      </c>
      <c r="B465" s="4">
        <f>37.6921 * CHOOSE(CONTROL!$C$6, $C$13, 100%, $E$13) + CHOOSE(CONTROL!$C$25, 0.0263, 0)</f>
        <v>37.718400000000003</v>
      </c>
      <c r="C465" s="4">
        <f>37.3796 * CHOOSE(CONTROL!$C$6, $C$13, 100%, $E$13) + CHOOSE(CONTROL!$C$25, 0.0263, 0)</f>
        <v>37.405900000000003</v>
      </c>
      <c r="D465" s="4">
        <f>41.5753 * CHOOSE(CONTROL!$C$6, $C$13, 100%, $E$13) + CHOOSE(CONTROL!$C$25, 0, 0)</f>
        <v>41.575299999999999</v>
      </c>
      <c r="E465" s="4">
        <f>218.7133772102 * CHOOSE(CONTROL!$C$6, $C$13, 100%, $E$13) + CHOOSE(CONTROL!$C$25, 0, 0)</f>
        <v>218.71337721020001</v>
      </c>
    </row>
    <row r="466" spans="1:5" ht="15">
      <c r="A466" s="13">
        <v>56065</v>
      </c>
      <c r="B466" s="4">
        <f>37.8055 * CHOOSE(CONTROL!$C$6, $C$13, 100%, $E$13) + CHOOSE(CONTROL!$C$25, 0.0263, 0)</f>
        <v>37.831800000000001</v>
      </c>
      <c r="C466" s="4">
        <f>37.493 * CHOOSE(CONTROL!$C$6, $C$13, 100%, $E$13) + CHOOSE(CONTROL!$C$25, 0.0263, 0)</f>
        <v>37.519300000000001</v>
      </c>
      <c r="D466" s="4">
        <f>41.9495 * CHOOSE(CONTROL!$C$6, $C$13, 100%, $E$13) + CHOOSE(CONTROL!$C$25, 0, 0)</f>
        <v>41.9495</v>
      </c>
      <c r="E466" s="4">
        <f>219.405416134075 * CHOOSE(CONTROL!$C$6, $C$13, 100%, $E$13) + CHOOSE(CONTROL!$C$25, 0, 0)</f>
        <v>219.40541613407501</v>
      </c>
    </row>
    <row r="467" spans="1:5" ht="15">
      <c r="A467" s="13">
        <v>56096</v>
      </c>
      <c r="B467" s="4">
        <f>37.794 * CHOOSE(CONTROL!$C$6, $C$13, 100%, $E$13) + CHOOSE(CONTROL!$C$25, 0.0263, 0)</f>
        <v>37.820299999999996</v>
      </c>
      <c r="C467" s="4">
        <f>37.4815 * CHOOSE(CONTROL!$C$6, $C$13, 100%, $E$13) + CHOOSE(CONTROL!$C$25, 0.0263, 0)</f>
        <v>37.507799999999996</v>
      </c>
      <c r="D467" s="4">
        <f>42.6247 * CHOOSE(CONTROL!$C$6, $C$13, 100%, $E$13) + CHOOSE(CONTROL!$C$25, 0, 0)</f>
        <v>42.624699999999997</v>
      </c>
      <c r="E467" s="4">
        <f>219.335630696373 * CHOOSE(CONTROL!$C$6, $C$13, 100%, $E$13) + CHOOSE(CONTROL!$C$25, 0, 0)</f>
        <v>219.33563069637299</v>
      </c>
    </row>
    <row r="468" spans="1:5" ht="15">
      <c r="A468" s="13">
        <v>56127</v>
      </c>
      <c r="B468" s="4">
        <f>38.654 * CHOOSE(CONTROL!$C$6, $C$13, 100%, $E$13) + CHOOSE(CONTROL!$C$25, 0.0263, 0)</f>
        <v>38.680300000000003</v>
      </c>
      <c r="C468" s="4">
        <f>38.3415 * CHOOSE(CONTROL!$C$6, $C$13, 100%, $E$13) + CHOOSE(CONTROL!$C$25, 0.0263, 0)</f>
        <v>38.367800000000003</v>
      </c>
      <c r="D468" s="4">
        <f>42.1788 * CHOOSE(CONTROL!$C$6, $C$13, 100%, $E$13) + CHOOSE(CONTROL!$C$25, 0, 0)</f>
        <v>42.178800000000003</v>
      </c>
      <c r="E468" s="4">
        <f>224.586984883425 * CHOOSE(CONTROL!$C$6, $C$13, 100%, $E$13) + CHOOSE(CONTROL!$C$25, 0, 0)</f>
        <v>224.586984883425</v>
      </c>
    </row>
    <row r="469" spans="1:5" ht="15">
      <c r="A469" s="13">
        <v>56157</v>
      </c>
      <c r="B469" s="4">
        <f>37.1883 * CHOOSE(CONTROL!$C$6, $C$13, 100%, $E$13) + CHOOSE(CONTROL!$C$25, 0.0263, 0)</f>
        <v>37.214599999999997</v>
      </c>
      <c r="C469" s="4">
        <f>36.8758 * CHOOSE(CONTROL!$C$6, $C$13, 100%, $E$13) + CHOOSE(CONTROL!$C$25, 0.0263, 0)</f>
        <v>36.902099999999997</v>
      </c>
      <c r="D469" s="4">
        <f>41.9681 * CHOOSE(CONTROL!$C$6, $C$13, 100%, $E$13) + CHOOSE(CONTROL!$C$25, 0, 0)</f>
        <v>41.9681</v>
      </c>
      <c r="E469" s="4">
        <f>215.637002498185 * CHOOSE(CONTROL!$C$6, $C$13, 100%, $E$13) + CHOOSE(CONTROL!$C$25, 0, 0)</f>
        <v>215.63700249818501</v>
      </c>
    </row>
    <row r="470" spans="1:5" ht="15">
      <c r="A470" s="13">
        <v>56188</v>
      </c>
      <c r="B470" s="4">
        <f>36.015 * CHOOSE(CONTROL!$C$6, $C$13, 100%, $E$13) + CHOOSE(CONTROL!$C$25, 0.0003, 0)</f>
        <v>36.015300000000003</v>
      </c>
      <c r="C470" s="4">
        <f>35.7025 * CHOOSE(CONTROL!$C$6, $C$13, 100%, $E$13) + CHOOSE(CONTROL!$C$25, 0.0003, 0)</f>
        <v>35.702800000000003</v>
      </c>
      <c r="D470" s="4">
        <f>41.404 * CHOOSE(CONTROL!$C$6, $C$13, 100%, $E$13) + CHOOSE(CONTROL!$C$25, 0, 0)</f>
        <v>41.404000000000003</v>
      </c>
      <c r="E470" s="4">
        <f>208.472364227479 * CHOOSE(CONTROL!$C$6, $C$13, 100%, $E$13) + CHOOSE(CONTROL!$C$25, 0, 0)</f>
        <v>208.47236422747901</v>
      </c>
    </row>
    <row r="471" spans="1:5" ht="15">
      <c r="A471" s="13">
        <v>56218</v>
      </c>
      <c r="B471" s="4">
        <f>35.2593 * CHOOSE(CONTROL!$C$6, $C$13, 100%, $E$13) + CHOOSE(CONTROL!$C$25, 0.0003, 0)</f>
        <v>35.259600000000006</v>
      </c>
      <c r="C471" s="4">
        <f>34.9468 * CHOOSE(CONTROL!$C$6, $C$13, 100%, $E$13) + CHOOSE(CONTROL!$C$25, 0.0003, 0)</f>
        <v>34.947100000000006</v>
      </c>
      <c r="D471" s="4">
        <f>41.2101 * CHOOSE(CONTROL!$C$6, $C$13, 100%, $E$13) + CHOOSE(CONTROL!$C$25, 0, 0)</f>
        <v>41.210099999999997</v>
      </c>
      <c r="E471" s="4">
        <f>203.857802159455 * CHOOSE(CONTROL!$C$6, $C$13, 100%, $E$13) + CHOOSE(CONTROL!$C$25, 0, 0)</f>
        <v>203.85780215945499</v>
      </c>
    </row>
    <row r="472" spans="1:5" ht="15">
      <c r="A472" s="13">
        <v>56249</v>
      </c>
      <c r="B472" s="4">
        <f>34.7365 * CHOOSE(CONTROL!$C$6, $C$13, 100%, $E$13) + CHOOSE(CONTROL!$C$25, 0.0003, 0)</f>
        <v>34.736800000000002</v>
      </c>
      <c r="C472" s="4">
        <f>34.424 * CHOOSE(CONTROL!$C$6, $C$13, 100%, $E$13) + CHOOSE(CONTROL!$C$25, 0.0003, 0)</f>
        <v>34.424300000000002</v>
      </c>
      <c r="D472" s="4">
        <f>39.7823 * CHOOSE(CONTROL!$C$6, $C$13, 100%, $E$13) + CHOOSE(CONTROL!$C$25, 0, 0)</f>
        <v>39.782299999999999</v>
      </c>
      <c r="E472" s="4">
        <f>200.665118384604 * CHOOSE(CONTROL!$C$6, $C$13, 100%, $E$13) + CHOOSE(CONTROL!$C$25, 0, 0)</f>
        <v>200.665118384604</v>
      </c>
    </row>
    <row r="473" spans="1:5" ht="15">
      <c r="A473" s="13">
        <v>56280</v>
      </c>
      <c r="B473" s="4">
        <f>33.887 * CHOOSE(CONTROL!$C$6, $C$13, 100%, $E$13) + CHOOSE(CONTROL!$C$25, 0.0003, 0)</f>
        <v>33.887300000000003</v>
      </c>
      <c r="C473" s="4">
        <f>33.5745 * CHOOSE(CONTROL!$C$6, $C$13, 100%, $E$13) + CHOOSE(CONTROL!$C$25, 0.0003, 0)</f>
        <v>33.574800000000003</v>
      </c>
      <c r="D473" s="4">
        <f>38.4701 * CHOOSE(CONTROL!$C$6, $C$13, 100%, $E$13) + CHOOSE(CONTROL!$C$25, 0, 0)</f>
        <v>38.470100000000002</v>
      </c>
      <c r="E473" s="4">
        <f>194.910807463267 * CHOOSE(CONTROL!$C$6, $C$13, 100%, $E$13) + CHOOSE(CONTROL!$C$25, 0, 0)</f>
        <v>194.91080746326699</v>
      </c>
    </row>
    <row r="474" spans="1:5" ht="15">
      <c r="A474" s="13">
        <v>56308</v>
      </c>
      <c r="B474" s="4">
        <f>34.6471 * CHOOSE(CONTROL!$C$6, $C$13, 100%, $E$13) + CHOOSE(CONTROL!$C$25, 0.0003, 0)</f>
        <v>34.647400000000005</v>
      </c>
      <c r="C474" s="4">
        <f>34.3346 * CHOOSE(CONTROL!$C$6, $C$13, 100%, $E$13) + CHOOSE(CONTROL!$C$25, 0.0003, 0)</f>
        <v>34.334900000000005</v>
      </c>
      <c r="D474" s="4">
        <f>39.7915 * CHOOSE(CONTROL!$C$6, $C$13, 100%, $E$13) + CHOOSE(CONTROL!$C$25, 0, 0)</f>
        <v>39.791499999999999</v>
      </c>
      <c r="E474" s="4">
        <f>199.538758158286 * CHOOSE(CONTROL!$C$6, $C$13, 100%, $E$13) + CHOOSE(CONTROL!$C$25, 0, 0)</f>
        <v>199.53875815828599</v>
      </c>
    </row>
    <row r="475" spans="1:5" ht="15">
      <c r="A475" s="13">
        <v>56339</v>
      </c>
      <c r="B475" s="4">
        <f>36.6431 * CHOOSE(CONTROL!$C$6, $C$13, 100%, $E$13) + CHOOSE(CONTROL!$C$25, 0.0003, 0)</f>
        <v>36.6434</v>
      </c>
      <c r="C475" s="4">
        <f>36.3306 * CHOOSE(CONTROL!$C$6, $C$13, 100%, $E$13) + CHOOSE(CONTROL!$C$25, 0.0003, 0)</f>
        <v>36.3309</v>
      </c>
      <c r="D475" s="4">
        <f>41.8601 * CHOOSE(CONTROL!$C$6, $C$13, 100%, $E$13) + CHOOSE(CONTROL!$C$25, 0, 0)</f>
        <v>41.860100000000003</v>
      </c>
      <c r="E475" s="4">
        <f>211.692002627643 * CHOOSE(CONTROL!$C$6, $C$13, 100%, $E$13) + CHOOSE(CONTROL!$C$25, 0, 0)</f>
        <v>211.69200262764301</v>
      </c>
    </row>
    <row r="476" spans="1:5" ht="15">
      <c r="A476" s="13">
        <v>56369</v>
      </c>
      <c r="B476" s="4">
        <f>38.0613 * CHOOSE(CONTROL!$C$6, $C$13, 100%, $E$13) + CHOOSE(CONTROL!$C$25, 0.0003, 0)</f>
        <v>38.061600000000006</v>
      </c>
      <c r="C476" s="4">
        <f>37.7488 * CHOOSE(CONTROL!$C$6, $C$13, 100%, $E$13) + CHOOSE(CONTROL!$C$25, 0.0003, 0)</f>
        <v>37.749100000000006</v>
      </c>
      <c r="D476" s="4">
        <f>43.0517 * CHOOSE(CONTROL!$C$6, $C$13, 100%, $E$13) + CHOOSE(CONTROL!$C$25, 0, 0)</f>
        <v>43.051699999999997</v>
      </c>
      <c r="E476" s="4">
        <f>220.327044786399 * CHOOSE(CONTROL!$C$6, $C$13, 100%, $E$13) + CHOOSE(CONTROL!$C$25, 0, 0)</f>
        <v>220.327044786399</v>
      </c>
    </row>
    <row r="477" spans="1:5" ht="15">
      <c r="A477" s="13">
        <v>56400</v>
      </c>
      <c r="B477" s="4">
        <f>38.9278 * CHOOSE(CONTROL!$C$6, $C$13, 100%, $E$13) + CHOOSE(CONTROL!$C$25, 0.0263, 0)</f>
        <v>38.954099999999997</v>
      </c>
      <c r="C477" s="4">
        <f>38.6153 * CHOOSE(CONTROL!$C$6, $C$13, 100%, $E$13) + CHOOSE(CONTROL!$C$25, 0.0263, 0)</f>
        <v>38.641599999999997</v>
      </c>
      <c r="D477" s="4">
        <f>42.5809 * CHOOSE(CONTROL!$C$6, $C$13, 100%, $E$13) + CHOOSE(CONTROL!$C$25, 0, 0)</f>
        <v>42.5809</v>
      </c>
      <c r="E477" s="4">
        <f>225.602848592321 * CHOOSE(CONTROL!$C$6, $C$13, 100%, $E$13) + CHOOSE(CONTROL!$C$25, 0, 0)</f>
        <v>225.60284859232101</v>
      </c>
    </row>
    <row r="478" spans="1:5" ht="15">
      <c r="A478" s="13">
        <v>56430</v>
      </c>
      <c r="B478" s="4">
        <f>39.0451 * CHOOSE(CONTROL!$C$6, $C$13, 100%, $E$13) + CHOOSE(CONTROL!$C$25, 0.0263, 0)</f>
        <v>39.071399999999997</v>
      </c>
      <c r="C478" s="4">
        <f>38.7326 * CHOOSE(CONTROL!$C$6, $C$13, 100%, $E$13) + CHOOSE(CONTROL!$C$25, 0.0263, 0)</f>
        <v>38.758899999999997</v>
      </c>
      <c r="D478" s="4">
        <f>42.9644 * CHOOSE(CONTROL!$C$6, $C$13, 100%, $E$13) + CHOOSE(CONTROL!$C$25, 0, 0)</f>
        <v>42.964399999999998</v>
      </c>
      <c r="E478" s="4">
        <f>226.316686742298 * CHOOSE(CONTROL!$C$6, $C$13, 100%, $E$13) + CHOOSE(CONTROL!$C$25, 0, 0)</f>
        <v>226.316686742298</v>
      </c>
    </row>
    <row r="479" spans="1:5" ht="15">
      <c r="A479" s="13">
        <v>56461</v>
      </c>
      <c r="B479" s="4">
        <f>39.0332 * CHOOSE(CONTROL!$C$6, $C$13, 100%, $E$13) + CHOOSE(CONTROL!$C$25, 0.0263, 0)</f>
        <v>39.0595</v>
      </c>
      <c r="C479" s="4">
        <f>38.7207 * CHOOSE(CONTROL!$C$6, $C$13, 100%, $E$13) + CHOOSE(CONTROL!$C$25, 0.0263, 0)</f>
        <v>38.747</v>
      </c>
      <c r="D479" s="4">
        <f>43.6563 * CHOOSE(CONTROL!$C$6, $C$13, 100%, $E$13) + CHOOSE(CONTROL!$C$25, 0, 0)</f>
        <v>43.656300000000002</v>
      </c>
      <c r="E479" s="4">
        <f>226.244703063309 * CHOOSE(CONTROL!$C$6, $C$13, 100%, $E$13) + CHOOSE(CONTROL!$C$25, 0, 0)</f>
        <v>226.244703063309</v>
      </c>
    </row>
    <row r="480" spans="1:5" ht="15">
      <c r="A480" s="13">
        <v>56492</v>
      </c>
      <c r="B480" s="4">
        <f>39.9229 * CHOOSE(CONTROL!$C$6, $C$13, 100%, $E$13) + CHOOSE(CONTROL!$C$25, 0.0263, 0)</f>
        <v>39.949199999999998</v>
      </c>
      <c r="C480" s="4">
        <f>39.6104 * CHOOSE(CONTROL!$C$6, $C$13, 100%, $E$13) + CHOOSE(CONTROL!$C$25, 0.0263, 0)</f>
        <v>39.636699999999998</v>
      </c>
      <c r="D480" s="4">
        <f>43.1993 * CHOOSE(CONTROL!$C$6, $C$13, 100%, $E$13) + CHOOSE(CONTROL!$C$25, 0, 0)</f>
        <v>43.199300000000001</v>
      </c>
      <c r="E480" s="4">
        <f>231.661474907253 * CHOOSE(CONTROL!$C$6, $C$13, 100%, $E$13) + CHOOSE(CONTROL!$C$25, 0, 0)</f>
        <v>231.66147490725299</v>
      </c>
    </row>
    <row r="481" spans="1:5" ht="15">
      <c r="A481" s="13">
        <v>56522</v>
      </c>
      <c r="B481" s="4">
        <f>38.4067 * CHOOSE(CONTROL!$C$6, $C$13, 100%, $E$13) + CHOOSE(CONTROL!$C$25, 0.0263, 0)</f>
        <v>38.433</v>
      </c>
      <c r="C481" s="4">
        <f>38.0942 * CHOOSE(CONTROL!$C$6, $C$13, 100%, $E$13) + CHOOSE(CONTROL!$C$25, 0.0263, 0)</f>
        <v>38.1205</v>
      </c>
      <c r="D481" s="4">
        <f>42.9834 * CHOOSE(CONTROL!$C$6, $C$13, 100%, $E$13) + CHOOSE(CONTROL!$C$25, 0, 0)</f>
        <v>42.983400000000003</v>
      </c>
      <c r="E481" s="4">
        <f>222.429568076877 * CHOOSE(CONTROL!$C$6, $C$13, 100%, $E$13) + CHOOSE(CONTROL!$C$25, 0, 0)</f>
        <v>222.42956807687699</v>
      </c>
    </row>
    <row r="482" spans="1:5" ht="15">
      <c r="A482" s="13">
        <v>56553</v>
      </c>
      <c r="B482" s="4">
        <f>37.1929 * CHOOSE(CONTROL!$C$6, $C$13, 100%, $E$13) + CHOOSE(CONTROL!$C$25, 0.0003, 0)</f>
        <v>37.193200000000004</v>
      </c>
      <c r="C482" s="4">
        <f>36.8804 * CHOOSE(CONTROL!$C$6, $C$13, 100%, $E$13) + CHOOSE(CONTROL!$C$25, 0.0003, 0)</f>
        <v>36.880700000000004</v>
      </c>
      <c r="D482" s="4">
        <f>42.4053 * CHOOSE(CONTROL!$C$6, $C$13, 100%, $E$13) + CHOOSE(CONTROL!$C$25, 0, 0)</f>
        <v>42.405299999999997</v>
      </c>
      <c r="E482" s="4">
        <f>215.039243700644 * CHOOSE(CONTROL!$C$6, $C$13, 100%, $E$13) + CHOOSE(CONTROL!$C$25, 0, 0)</f>
        <v>215.03924370064399</v>
      </c>
    </row>
    <row r="483" spans="1:5" ht="15">
      <c r="A483" s="13">
        <v>56583</v>
      </c>
      <c r="B483" s="4">
        <f>36.4111 * CHOOSE(CONTROL!$C$6, $C$13, 100%, $E$13) + CHOOSE(CONTROL!$C$25, 0.0003, 0)</f>
        <v>36.4114</v>
      </c>
      <c r="C483" s="4">
        <f>36.0986 * CHOOSE(CONTROL!$C$6, $C$13, 100%, $E$13) + CHOOSE(CONTROL!$C$25, 0.0003, 0)</f>
        <v>36.0989</v>
      </c>
      <c r="D483" s="4">
        <f>42.2066 * CHOOSE(CONTROL!$C$6, $C$13, 100%, $E$13) + CHOOSE(CONTROL!$C$25, 0, 0)</f>
        <v>42.206600000000002</v>
      </c>
      <c r="E483" s="4">
        <f>210.279322927478 * CHOOSE(CONTROL!$C$6, $C$13, 100%, $E$13) + CHOOSE(CONTROL!$C$25, 0, 0)</f>
        <v>210.27932292747801</v>
      </c>
    </row>
    <row r="484" spans="1:5" ht="15">
      <c r="A484" s="13">
        <v>56614</v>
      </c>
      <c r="B484" s="4">
        <f>35.8702 * CHOOSE(CONTROL!$C$6, $C$13, 100%, $E$13) + CHOOSE(CONTROL!$C$25, 0.0003, 0)</f>
        <v>35.8705</v>
      </c>
      <c r="C484" s="4">
        <f>35.5577 * CHOOSE(CONTROL!$C$6, $C$13, 100%, $E$13) + CHOOSE(CONTROL!$C$25, 0.0003, 0)</f>
        <v>35.558</v>
      </c>
      <c r="D484" s="4">
        <f>40.7434 * CHOOSE(CONTROL!$C$6, $C$13, 100%, $E$13) + CHOOSE(CONTROL!$C$25, 0, 0)</f>
        <v>40.743400000000001</v>
      </c>
      <c r="E484" s="4">
        <f>206.986069613719 * CHOOSE(CONTROL!$C$6, $C$13, 100%, $E$13) + CHOOSE(CONTROL!$C$25, 0, 0)</f>
        <v>206.986069613719</v>
      </c>
    </row>
    <row r="485" spans="1:5" ht="15">
      <c r="A485" s="13">
        <v>56645</v>
      </c>
      <c r="B485" s="4">
        <f>34.9914 * CHOOSE(CONTROL!$C$6, $C$13, 100%, $E$13) + CHOOSE(CONTROL!$C$25, 0.0003, 0)</f>
        <v>34.991700000000002</v>
      </c>
      <c r="C485" s="4">
        <f>34.6789 * CHOOSE(CONTROL!$C$6, $C$13, 100%, $E$13) + CHOOSE(CONTROL!$C$25, 0.0003, 0)</f>
        <v>34.679200000000002</v>
      </c>
      <c r="D485" s="4">
        <f>39.3986 * CHOOSE(CONTROL!$C$6, $C$13, 100%, $E$13) + CHOOSE(CONTROL!$C$25, 0, 0)</f>
        <v>39.398600000000002</v>
      </c>
      <c r="E485" s="4">
        <f>201.05049789836 * CHOOSE(CONTROL!$C$6, $C$13, 100%, $E$13) + CHOOSE(CONTROL!$C$25, 0, 0)</f>
        <v>201.05049789835999</v>
      </c>
    </row>
    <row r="486" spans="1:5" ht="15">
      <c r="A486" s="13">
        <v>56673</v>
      </c>
      <c r="B486" s="4">
        <f>35.7777 * CHOOSE(CONTROL!$C$6, $C$13, 100%, $E$13) + CHOOSE(CONTROL!$C$25, 0.0003, 0)</f>
        <v>35.778000000000006</v>
      </c>
      <c r="C486" s="4">
        <f>35.4652 * CHOOSE(CONTROL!$C$6, $C$13, 100%, $E$13) + CHOOSE(CONTROL!$C$25, 0.0003, 0)</f>
        <v>35.465500000000006</v>
      </c>
      <c r="D486" s="4">
        <f>40.7528 * CHOOSE(CONTROL!$C$6, $C$13, 100%, $E$13) + CHOOSE(CONTROL!$C$25, 0, 0)</f>
        <v>40.752800000000001</v>
      </c>
      <c r="E486" s="4">
        <f>205.824229040272 * CHOOSE(CONTROL!$C$6, $C$13, 100%, $E$13) + CHOOSE(CONTROL!$C$25, 0, 0)</f>
        <v>205.824229040272</v>
      </c>
    </row>
    <row r="487" spans="1:5" ht="15">
      <c r="A487" s="13">
        <v>56704</v>
      </c>
      <c r="B487" s="4">
        <f>37.8426 * CHOOSE(CONTROL!$C$6, $C$13, 100%, $E$13) + CHOOSE(CONTROL!$C$25, 0.0003, 0)</f>
        <v>37.8429</v>
      </c>
      <c r="C487" s="4">
        <f>37.5301 * CHOOSE(CONTROL!$C$6, $C$13, 100%, $E$13) + CHOOSE(CONTROL!$C$25, 0.0003, 0)</f>
        <v>37.5304</v>
      </c>
      <c r="D487" s="4">
        <f>42.8728 * CHOOSE(CONTROL!$C$6, $C$13, 100%, $E$13) + CHOOSE(CONTROL!$C$25, 0, 0)</f>
        <v>42.872799999999998</v>
      </c>
      <c r="E487" s="4">
        <f>218.360300710414 * CHOOSE(CONTROL!$C$6, $C$13, 100%, $E$13) + CHOOSE(CONTROL!$C$25, 0, 0)</f>
        <v>218.36030071041401</v>
      </c>
    </row>
    <row r="488" spans="1:5" ht="15">
      <c r="A488" s="13">
        <v>56734</v>
      </c>
      <c r="B488" s="4">
        <f>39.3098 * CHOOSE(CONTROL!$C$6, $C$13, 100%, $E$13) + CHOOSE(CONTROL!$C$25, 0.0003, 0)</f>
        <v>39.310100000000006</v>
      </c>
      <c r="C488" s="4">
        <f>38.9973 * CHOOSE(CONTROL!$C$6, $C$13, 100%, $E$13) + CHOOSE(CONTROL!$C$25, 0.0003, 0)</f>
        <v>38.997600000000006</v>
      </c>
      <c r="D488" s="4">
        <f>44.0939 * CHOOSE(CONTROL!$C$6, $C$13, 100%, $E$13) + CHOOSE(CONTROL!$C$25, 0, 0)</f>
        <v>44.093899999999998</v>
      </c>
      <c r="E488" s="4">
        <f>227.26734669717 * CHOOSE(CONTROL!$C$6, $C$13, 100%, $E$13) + CHOOSE(CONTROL!$C$25, 0, 0)</f>
        <v>227.26734669717001</v>
      </c>
    </row>
    <row r="489" spans="1:5" ht="15">
      <c r="A489" s="13">
        <v>56765</v>
      </c>
      <c r="B489" s="4">
        <f>40.2062 * CHOOSE(CONTROL!$C$6, $C$13, 100%, $E$13) + CHOOSE(CONTROL!$C$25, 0.0263, 0)</f>
        <v>40.232500000000002</v>
      </c>
      <c r="C489" s="4">
        <f>39.8937 * CHOOSE(CONTROL!$C$6, $C$13, 100%, $E$13) + CHOOSE(CONTROL!$C$25, 0.0263, 0)</f>
        <v>39.92</v>
      </c>
      <c r="D489" s="4">
        <f>43.6114 * CHOOSE(CONTROL!$C$6, $C$13, 100%, $E$13) + CHOOSE(CONTROL!$C$25, 0, 0)</f>
        <v>43.611400000000003</v>
      </c>
      <c r="E489" s="4">
        <f>232.70933832298 * CHOOSE(CONTROL!$C$6, $C$13, 100%, $E$13) + CHOOSE(CONTROL!$C$25, 0, 0)</f>
        <v>232.70933832297999</v>
      </c>
    </row>
    <row r="490" spans="1:5" ht="15">
      <c r="A490" s="13">
        <v>56795</v>
      </c>
      <c r="B490" s="4">
        <f>40.3274 * CHOOSE(CONTROL!$C$6, $C$13, 100%, $E$13) + CHOOSE(CONTROL!$C$25, 0.0263, 0)</f>
        <v>40.353699999999996</v>
      </c>
      <c r="C490" s="4">
        <f>40.0149 * CHOOSE(CONTROL!$C$6, $C$13, 100%, $E$13) + CHOOSE(CONTROL!$C$25, 0.0263, 0)</f>
        <v>40.041199999999996</v>
      </c>
      <c r="D490" s="4">
        <f>44.0043 * CHOOSE(CONTROL!$C$6, $C$13, 100%, $E$13) + CHOOSE(CONTROL!$C$25, 0, 0)</f>
        <v>44.004300000000001</v>
      </c>
      <c r="E490" s="4">
        <f>233.445662374681 * CHOOSE(CONTROL!$C$6, $C$13, 100%, $E$13) + CHOOSE(CONTROL!$C$25, 0, 0)</f>
        <v>233.44566237468101</v>
      </c>
    </row>
    <row r="491" spans="1:5" ht="15">
      <c r="A491" s="13">
        <v>56826</v>
      </c>
      <c r="B491" s="4">
        <f>40.3152 * CHOOSE(CONTROL!$C$6, $C$13, 100%, $E$13) + CHOOSE(CONTROL!$C$25, 0.0263, 0)</f>
        <v>40.341499999999996</v>
      </c>
      <c r="C491" s="4">
        <f>40.0027 * CHOOSE(CONTROL!$C$6, $C$13, 100%, $E$13) + CHOOSE(CONTROL!$C$25, 0.0263, 0)</f>
        <v>40.028999999999996</v>
      </c>
      <c r="D491" s="4">
        <f>44.7134 * CHOOSE(CONTROL!$C$6, $C$13, 100%, $E$13) + CHOOSE(CONTROL!$C$25, 0, 0)</f>
        <v>44.7134</v>
      </c>
      <c r="E491" s="4">
        <f>233.371411209803 * CHOOSE(CONTROL!$C$6, $C$13, 100%, $E$13) + CHOOSE(CONTROL!$C$25, 0, 0)</f>
        <v>233.371411209803</v>
      </c>
    </row>
    <row r="492" spans="1:5" ht="15">
      <c r="A492" s="13">
        <v>56857</v>
      </c>
      <c r="B492" s="4">
        <f>41.2355 * CHOOSE(CONTROL!$C$6, $C$13, 100%, $E$13) + CHOOSE(CONTROL!$C$25, 0.0263, 0)</f>
        <v>41.261800000000001</v>
      </c>
      <c r="C492" s="4">
        <f>40.923 * CHOOSE(CONTROL!$C$6, $C$13, 100%, $E$13) + CHOOSE(CONTROL!$C$25, 0.0263, 0)</f>
        <v>40.949300000000001</v>
      </c>
      <c r="D492" s="4">
        <f>44.2451 * CHOOSE(CONTROL!$C$6, $C$13, 100%, $E$13) + CHOOSE(CONTROL!$C$25, 0, 0)</f>
        <v>44.245100000000001</v>
      </c>
      <c r="E492" s="4">
        <f>238.958811366831 * CHOOSE(CONTROL!$C$6, $C$13, 100%, $E$13) + CHOOSE(CONTROL!$C$25, 0, 0)</f>
        <v>238.95881136683099</v>
      </c>
    </row>
    <row r="493" spans="1:5" ht="15">
      <c r="A493" s="13">
        <v>56887</v>
      </c>
      <c r="B493" s="4">
        <f>39.667 * CHOOSE(CONTROL!$C$6, $C$13, 100%, $E$13) + CHOOSE(CONTROL!$C$25, 0.0263, 0)</f>
        <v>39.693300000000001</v>
      </c>
      <c r="C493" s="4">
        <f>39.3545 * CHOOSE(CONTROL!$C$6, $C$13, 100%, $E$13) + CHOOSE(CONTROL!$C$25, 0.0263, 0)</f>
        <v>39.380800000000001</v>
      </c>
      <c r="D493" s="4">
        <f>44.0239 * CHOOSE(CONTROL!$C$6, $C$13, 100%, $E$13) + CHOOSE(CONTROL!$C$25, 0, 0)</f>
        <v>44.023899999999998</v>
      </c>
      <c r="E493" s="4">
        <f>229.436099471299 * CHOOSE(CONTROL!$C$6, $C$13, 100%, $E$13) + CHOOSE(CONTROL!$C$25, 0, 0)</f>
        <v>229.436099471299</v>
      </c>
    </row>
    <row r="494" spans="1:5" ht="15">
      <c r="A494" s="13">
        <v>56918</v>
      </c>
      <c r="B494" s="4">
        <f>38.4113 * CHOOSE(CONTROL!$C$6, $C$13, 100%, $E$13) + CHOOSE(CONTROL!$C$25, 0.0003, 0)</f>
        <v>38.4116</v>
      </c>
      <c r="C494" s="4">
        <f>38.0988 * CHOOSE(CONTROL!$C$6, $C$13, 100%, $E$13) + CHOOSE(CONTROL!$C$25, 0.0003, 0)</f>
        <v>38.0991</v>
      </c>
      <c r="D494" s="4">
        <f>43.4315 * CHOOSE(CONTROL!$C$6, $C$13, 100%, $E$13) + CHOOSE(CONTROL!$C$25, 0, 0)</f>
        <v>43.4315</v>
      </c>
      <c r="E494" s="4">
        <f>221.812979877215 * CHOOSE(CONTROL!$C$6, $C$13, 100%, $E$13) + CHOOSE(CONTROL!$C$25, 0, 0)</f>
        <v>221.81297987721501</v>
      </c>
    </row>
    <row r="495" spans="1:5" ht="15">
      <c r="A495" s="13">
        <v>56948</v>
      </c>
      <c r="B495" s="4">
        <f>37.6026 * CHOOSE(CONTROL!$C$6, $C$13, 100%, $E$13) + CHOOSE(CONTROL!$C$25, 0.0003, 0)</f>
        <v>37.602900000000005</v>
      </c>
      <c r="C495" s="4">
        <f>37.2901 * CHOOSE(CONTROL!$C$6, $C$13, 100%, $E$13) + CHOOSE(CONTROL!$C$25, 0.0003, 0)</f>
        <v>37.290400000000005</v>
      </c>
      <c r="D495" s="4">
        <f>43.2278 * CHOOSE(CONTROL!$C$6, $C$13, 100%, $E$13) + CHOOSE(CONTROL!$C$25, 0, 0)</f>
        <v>43.227800000000002</v>
      </c>
      <c r="E495" s="4">
        <f>216.903121599694 * CHOOSE(CONTROL!$C$6, $C$13, 100%, $E$13) + CHOOSE(CONTROL!$C$25, 0, 0)</f>
        <v>216.903121599694</v>
      </c>
    </row>
    <row r="496" spans="1:5" ht="15">
      <c r="A496" s="13">
        <v>56979</v>
      </c>
      <c r="B496" s="4">
        <f>37.0431 * CHOOSE(CONTROL!$C$6, $C$13, 100%, $E$13) + CHOOSE(CONTROL!$C$25, 0.0003, 0)</f>
        <v>37.043400000000005</v>
      </c>
      <c r="C496" s="4">
        <f>36.7306 * CHOOSE(CONTROL!$C$6, $C$13, 100%, $E$13) + CHOOSE(CONTROL!$C$25, 0.0003, 0)</f>
        <v>36.730900000000005</v>
      </c>
      <c r="D496" s="4">
        <f>41.7283 * CHOOSE(CONTROL!$C$6, $C$13, 100%, $E$13) + CHOOSE(CONTROL!$C$25, 0, 0)</f>
        <v>41.728299999999997</v>
      </c>
      <c r="E496" s="4">
        <f>213.506130806551 * CHOOSE(CONTROL!$C$6, $C$13, 100%, $E$13) + CHOOSE(CONTROL!$C$25, 0, 0)</f>
        <v>213.506130806551</v>
      </c>
    </row>
    <row r="497" spans="1:5" ht="15">
      <c r="A497" s="13">
        <v>57010</v>
      </c>
      <c r="B497" s="4">
        <f>36.1339 * CHOOSE(CONTROL!$C$6, $C$13, 100%, $E$13) + CHOOSE(CONTROL!$C$25, 0.0003, 0)</f>
        <v>36.1342</v>
      </c>
      <c r="C497" s="4">
        <f>35.8214 * CHOOSE(CONTROL!$C$6, $C$13, 100%, $E$13) + CHOOSE(CONTROL!$C$25, 0.0003, 0)</f>
        <v>35.8217</v>
      </c>
      <c r="D497" s="4">
        <f>40.3502 * CHOOSE(CONTROL!$C$6, $C$13, 100%, $E$13) + CHOOSE(CONTROL!$C$25, 0, 0)</f>
        <v>40.350200000000001</v>
      </c>
      <c r="E497" s="4">
        <f>207.383588582158 * CHOOSE(CONTROL!$C$6, $C$13, 100%, $E$13) + CHOOSE(CONTROL!$C$25, 0, 0)</f>
        <v>207.38358858215801</v>
      </c>
    </row>
    <row r="498" spans="1:5" ht="15">
      <c r="A498" s="13">
        <v>57038</v>
      </c>
      <c r="B498" s="4">
        <f>36.9474 * CHOOSE(CONTROL!$C$6, $C$13, 100%, $E$13) + CHOOSE(CONTROL!$C$25, 0.0003, 0)</f>
        <v>36.947700000000005</v>
      </c>
      <c r="C498" s="4">
        <f>36.6349 * CHOOSE(CONTROL!$C$6, $C$13, 100%, $E$13) + CHOOSE(CONTROL!$C$25, 0.0003, 0)</f>
        <v>36.635200000000005</v>
      </c>
      <c r="D498" s="4">
        <f>41.738 * CHOOSE(CONTROL!$C$6, $C$13, 100%, $E$13) + CHOOSE(CONTROL!$C$25, 0, 0)</f>
        <v>41.738</v>
      </c>
      <c r="E498" s="4">
        <f>212.307692255041 * CHOOSE(CONTROL!$C$6, $C$13, 100%, $E$13) + CHOOSE(CONTROL!$C$25, 0, 0)</f>
        <v>212.30769225504099</v>
      </c>
    </row>
    <row r="499" spans="1:5" ht="15">
      <c r="A499" s="13">
        <v>57070</v>
      </c>
      <c r="B499" s="4">
        <f>39.0835 * CHOOSE(CONTROL!$C$6, $C$13, 100%, $E$13) + CHOOSE(CONTROL!$C$25, 0.0003, 0)</f>
        <v>39.083800000000004</v>
      </c>
      <c r="C499" s="4">
        <f>38.771 * CHOOSE(CONTROL!$C$6, $C$13, 100%, $E$13) + CHOOSE(CONTROL!$C$25, 0.0003, 0)</f>
        <v>38.771300000000004</v>
      </c>
      <c r="D499" s="4">
        <f>43.9105 * CHOOSE(CONTROL!$C$6, $C$13, 100%, $E$13) + CHOOSE(CONTROL!$C$25, 0, 0)</f>
        <v>43.910499999999999</v>
      </c>
      <c r="E499" s="4">
        <f>225.238650182792 * CHOOSE(CONTROL!$C$6, $C$13, 100%, $E$13) + CHOOSE(CONTROL!$C$25, 0, 0)</f>
        <v>225.23865018279199</v>
      </c>
    </row>
    <row r="500" spans="1:5" ht="15">
      <c r="A500" s="13">
        <v>57100</v>
      </c>
      <c r="B500" s="4">
        <f>40.6013 * CHOOSE(CONTROL!$C$6, $C$13, 100%, $E$13) + CHOOSE(CONTROL!$C$25, 0.0003, 0)</f>
        <v>40.601600000000005</v>
      </c>
      <c r="C500" s="4">
        <f>40.2888 * CHOOSE(CONTROL!$C$6, $C$13, 100%, $E$13) + CHOOSE(CONTROL!$C$25, 0.0003, 0)</f>
        <v>40.289100000000005</v>
      </c>
      <c r="D500" s="4">
        <f>45.1619 * CHOOSE(CONTROL!$C$6, $C$13, 100%, $E$13) + CHOOSE(CONTROL!$C$25, 0, 0)</f>
        <v>45.161900000000003</v>
      </c>
      <c r="E500" s="4">
        <f>234.426268118131 * CHOOSE(CONTROL!$C$6, $C$13, 100%, $E$13) + CHOOSE(CONTROL!$C$25, 0, 0)</f>
        <v>234.42626811813099</v>
      </c>
    </row>
    <row r="501" spans="1:5" ht="15">
      <c r="A501" s="13">
        <v>57131</v>
      </c>
      <c r="B501" s="4">
        <f>41.5286 * CHOOSE(CONTROL!$C$6, $C$13, 100%, $E$13) + CHOOSE(CONTROL!$C$25, 0.0263, 0)</f>
        <v>41.554899999999996</v>
      </c>
      <c r="C501" s="4">
        <f>41.2161 * CHOOSE(CONTROL!$C$6, $C$13, 100%, $E$13) + CHOOSE(CONTROL!$C$25, 0.0263, 0)</f>
        <v>41.242399999999996</v>
      </c>
      <c r="D501" s="4">
        <f>44.6674 * CHOOSE(CONTROL!$C$6, $C$13, 100%, $E$13) + CHOOSE(CONTROL!$C$25, 0, 0)</f>
        <v>44.667400000000001</v>
      </c>
      <c r="E501" s="4">
        <f>240.039682480153 * CHOOSE(CONTROL!$C$6, $C$13, 100%, $E$13) + CHOOSE(CONTROL!$C$25, 0, 0)</f>
        <v>240.039682480153</v>
      </c>
    </row>
    <row r="502" spans="1:5" ht="15">
      <c r="A502" s="13">
        <v>57161</v>
      </c>
      <c r="B502" s="4">
        <f>41.654 * CHOOSE(CONTROL!$C$6, $C$13, 100%, $E$13) + CHOOSE(CONTROL!$C$25, 0.0263, 0)</f>
        <v>41.680300000000003</v>
      </c>
      <c r="C502" s="4">
        <f>41.3415 * CHOOSE(CONTROL!$C$6, $C$13, 100%, $E$13) + CHOOSE(CONTROL!$C$25, 0.0263, 0)</f>
        <v>41.367800000000003</v>
      </c>
      <c r="D502" s="4">
        <f>45.0701 * CHOOSE(CONTROL!$C$6, $C$13, 100%, $E$13) + CHOOSE(CONTROL!$C$25, 0, 0)</f>
        <v>45.070099999999996</v>
      </c>
      <c r="E502" s="4">
        <f>240.799200739483 * CHOOSE(CONTROL!$C$6, $C$13, 100%, $E$13) + CHOOSE(CONTROL!$C$25, 0, 0)</f>
        <v>240.79920073948301</v>
      </c>
    </row>
    <row r="503" spans="1:5" ht="15">
      <c r="A503" s="13">
        <v>57192</v>
      </c>
      <c r="B503" s="4">
        <f>41.6414 * CHOOSE(CONTROL!$C$6, $C$13, 100%, $E$13) + CHOOSE(CONTROL!$C$25, 0.0263, 0)</f>
        <v>41.667699999999996</v>
      </c>
      <c r="C503" s="4">
        <f>41.3289 * CHOOSE(CONTROL!$C$6, $C$13, 100%, $E$13) + CHOOSE(CONTROL!$C$25, 0.0263, 0)</f>
        <v>41.355199999999996</v>
      </c>
      <c r="D503" s="4">
        <f>45.7968 * CHOOSE(CONTROL!$C$6, $C$13, 100%, $E$13) + CHOOSE(CONTROL!$C$25, 0, 0)</f>
        <v>45.796799999999998</v>
      </c>
      <c r="E503" s="4">
        <f>240.722610662912 * CHOOSE(CONTROL!$C$6, $C$13, 100%, $E$13) + CHOOSE(CONTROL!$C$25, 0, 0)</f>
        <v>240.72261066291199</v>
      </c>
    </row>
    <row r="504" spans="1:5" ht="15">
      <c r="A504" s="13">
        <v>57223</v>
      </c>
      <c r="B504" s="4">
        <f>42.5935 * CHOOSE(CONTROL!$C$6, $C$13, 100%, $E$13) + CHOOSE(CONTROL!$C$25, 0.0263, 0)</f>
        <v>42.619799999999998</v>
      </c>
      <c r="C504" s="4">
        <f>42.281 * CHOOSE(CONTROL!$C$6, $C$13, 100%, $E$13) + CHOOSE(CONTROL!$C$25, 0.0263, 0)</f>
        <v>42.307299999999998</v>
      </c>
      <c r="D504" s="4">
        <f>45.3169 * CHOOSE(CONTROL!$C$6, $C$13, 100%, $E$13) + CHOOSE(CONTROL!$C$25, 0, 0)</f>
        <v>45.316899999999997</v>
      </c>
      <c r="E504" s="4">
        <f>246.486013924886 * CHOOSE(CONTROL!$C$6, $C$13, 100%, $E$13) + CHOOSE(CONTROL!$C$25, 0, 0)</f>
        <v>246.48601392488601</v>
      </c>
    </row>
    <row r="505" spans="1:5" ht="15">
      <c r="A505" s="13">
        <v>57253</v>
      </c>
      <c r="B505" s="4">
        <f>40.9708 * CHOOSE(CONTROL!$C$6, $C$13, 100%, $E$13) + CHOOSE(CONTROL!$C$25, 0.0263, 0)</f>
        <v>40.997099999999996</v>
      </c>
      <c r="C505" s="4">
        <f>40.6583 * CHOOSE(CONTROL!$C$6, $C$13, 100%, $E$13) + CHOOSE(CONTROL!$C$25, 0.0263, 0)</f>
        <v>40.684599999999996</v>
      </c>
      <c r="D505" s="4">
        <f>45.0902 * CHOOSE(CONTROL!$C$6, $C$13, 100%, $E$13) + CHOOSE(CONTROL!$C$25, 0, 0)</f>
        <v>45.090200000000003</v>
      </c>
      <c r="E505" s="4">
        <f>236.663336604645 * CHOOSE(CONTROL!$C$6, $C$13, 100%, $E$13) + CHOOSE(CONTROL!$C$25, 0, 0)</f>
        <v>236.663336604645</v>
      </c>
    </row>
    <row r="506" spans="1:5" ht="15">
      <c r="A506" s="13">
        <v>57284</v>
      </c>
      <c r="B506" s="4">
        <f>39.6718 * CHOOSE(CONTROL!$C$6, $C$13, 100%, $E$13) + CHOOSE(CONTROL!$C$25, 0.0003, 0)</f>
        <v>39.6721</v>
      </c>
      <c r="C506" s="4">
        <f>39.3593 * CHOOSE(CONTROL!$C$6, $C$13, 100%, $E$13) + CHOOSE(CONTROL!$C$25, 0.0003, 0)</f>
        <v>39.3596</v>
      </c>
      <c r="D506" s="4">
        <f>44.4831 * CHOOSE(CONTROL!$C$6, $C$13, 100%, $E$13) + CHOOSE(CONTROL!$C$25, 0, 0)</f>
        <v>44.4831</v>
      </c>
      <c r="E506" s="4">
        <f>228.800088743347 * CHOOSE(CONTROL!$C$6, $C$13, 100%, $E$13) + CHOOSE(CONTROL!$C$25, 0, 0)</f>
        <v>228.800088743347</v>
      </c>
    </row>
    <row r="507" spans="1:5" ht="15">
      <c r="A507" s="13">
        <v>57314</v>
      </c>
      <c r="B507" s="4">
        <f>38.8352 * CHOOSE(CONTROL!$C$6, $C$13, 100%, $E$13) + CHOOSE(CONTROL!$C$25, 0.0003, 0)</f>
        <v>38.835500000000003</v>
      </c>
      <c r="C507" s="4">
        <f>38.5227 * CHOOSE(CONTROL!$C$6, $C$13, 100%, $E$13) + CHOOSE(CONTROL!$C$25, 0.0003, 0)</f>
        <v>38.523000000000003</v>
      </c>
      <c r="D507" s="4">
        <f>44.2743 * CHOOSE(CONTROL!$C$6, $C$13, 100%, $E$13) + CHOOSE(CONTROL!$C$25, 0, 0)</f>
        <v>44.274299999999997</v>
      </c>
      <c r="E507" s="4">
        <f>223.735569930084 * CHOOSE(CONTROL!$C$6, $C$13, 100%, $E$13) + CHOOSE(CONTROL!$C$25, 0, 0)</f>
        <v>223.73556993008401</v>
      </c>
    </row>
    <row r="508" spans="1:5" ht="15">
      <c r="A508" s="13">
        <v>57345</v>
      </c>
      <c r="B508" s="4">
        <f>38.2564 * CHOOSE(CONTROL!$C$6, $C$13, 100%, $E$13) + CHOOSE(CONTROL!$C$25, 0.0003, 0)</f>
        <v>38.256700000000002</v>
      </c>
      <c r="C508" s="4">
        <f>37.9439 * CHOOSE(CONTROL!$C$6, $C$13, 100%, $E$13) + CHOOSE(CONTROL!$C$25, 0.0003, 0)</f>
        <v>37.944200000000002</v>
      </c>
      <c r="D508" s="4">
        <f>42.7377 * CHOOSE(CONTROL!$C$6, $C$13, 100%, $E$13) + CHOOSE(CONTROL!$C$25, 0, 0)</f>
        <v>42.737699999999997</v>
      </c>
      <c r="E508" s="4">
        <f>220.231573926957 * CHOOSE(CONTROL!$C$6, $C$13, 100%, $E$13) + CHOOSE(CONTROL!$C$25, 0, 0)</f>
        <v>220.231573926957</v>
      </c>
    </row>
    <row r="509" spans="1:5" ht="15">
      <c r="A509" s="13">
        <v>57376</v>
      </c>
      <c r="B509" s="4">
        <f>37.3159 * CHOOSE(CONTROL!$C$6, $C$13, 100%, $E$13) + CHOOSE(CONTROL!$C$25, 0.0003, 0)</f>
        <v>37.316200000000002</v>
      </c>
      <c r="C509" s="4">
        <f>37.0034 * CHOOSE(CONTROL!$C$6, $C$13, 100%, $E$13) + CHOOSE(CONTROL!$C$25, 0.0003, 0)</f>
        <v>37.003700000000002</v>
      </c>
      <c r="D509" s="4">
        <f>41.3254 * CHOOSE(CONTROL!$C$6, $C$13, 100%, $E$13) + CHOOSE(CONTROL!$C$25, 0, 0)</f>
        <v>41.325400000000002</v>
      </c>
      <c r="E509" s="4">
        <f>213.916171622496 * CHOOSE(CONTROL!$C$6, $C$13, 100%, $E$13) + CHOOSE(CONTROL!$C$25, 0, 0)</f>
        <v>213.91617162249599</v>
      </c>
    </row>
    <row r="510" spans="1:5" ht="15">
      <c r="A510" s="13">
        <v>57404</v>
      </c>
      <c r="B510" s="4">
        <f>38.1574 * CHOOSE(CONTROL!$C$6, $C$13, 100%, $E$13) + CHOOSE(CONTROL!$C$25, 0.0003, 0)</f>
        <v>38.157700000000006</v>
      </c>
      <c r="C510" s="4">
        <f>37.8449 * CHOOSE(CONTROL!$C$6, $C$13, 100%, $E$13) + CHOOSE(CONTROL!$C$25, 0.0003, 0)</f>
        <v>37.845200000000006</v>
      </c>
      <c r="D510" s="4">
        <f>42.7476 * CHOOSE(CONTROL!$C$6, $C$13, 100%, $E$13) + CHOOSE(CONTROL!$C$25, 0, 0)</f>
        <v>42.747599999999998</v>
      </c>
      <c r="E510" s="4">
        <f>218.995384561074 * CHOOSE(CONTROL!$C$6, $C$13, 100%, $E$13) + CHOOSE(CONTROL!$C$25, 0, 0)</f>
        <v>218.99538456107399</v>
      </c>
    </row>
    <row r="511" spans="1:5" ht="15">
      <c r="A511" s="13">
        <v>57435</v>
      </c>
      <c r="B511" s="4">
        <f>40.3672 * CHOOSE(CONTROL!$C$6, $C$13, 100%, $E$13) + CHOOSE(CONTROL!$C$25, 0.0003, 0)</f>
        <v>40.3675</v>
      </c>
      <c r="C511" s="4">
        <f>40.0547 * CHOOSE(CONTROL!$C$6, $C$13, 100%, $E$13) + CHOOSE(CONTROL!$C$25, 0.0003, 0)</f>
        <v>40.055</v>
      </c>
      <c r="D511" s="4">
        <f>44.9739 * CHOOSE(CONTROL!$C$6, $C$13, 100%, $E$13) + CHOOSE(CONTROL!$C$25, 0, 0)</f>
        <v>44.9739</v>
      </c>
      <c r="E511" s="4">
        <f>232.33366766355 * CHOOSE(CONTROL!$C$6, $C$13, 100%, $E$13) + CHOOSE(CONTROL!$C$25, 0, 0)</f>
        <v>232.33366766354999</v>
      </c>
    </row>
    <row r="512" spans="1:5" ht="15">
      <c r="A512" s="13">
        <v>57465</v>
      </c>
      <c r="B512" s="4">
        <f>41.9373 * CHOOSE(CONTROL!$C$6, $C$13, 100%, $E$13) + CHOOSE(CONTROL!$C$25, 0.0003, 0)</f>
        <v>41.937600000000003</v>
      </c>
      <c r="C512" s="4">
        <f>41.6248 * CHOOSE(CONTROL!$C$6, $C$13, 100%, $E$13) + CHOOSE(CONTROL!$C$25, 0.0003, 0)</f>
        <v>41.625100000000003</v>
      </c>
      <c r="D512" s="4">
        <f>46.2564 * CHOOSE(CONTROL!$C$6, $C$13, 100%, $E$13) + CHOOSE(CONTROL!$C$25, 0, 0)</f>
        <v>46.256399999999999</v>
      </c>
      <c r="E512" s="4">
        <f>241.810695563852 * CHOOSE(CONTROL!$C$6, $C$13, 100%, $E$13) + CHOOSE(CONTROL!$C$25, 0, 0)</f>
        <v>241.81069556385199</v>
      </c>
    </row>
    <row r="513" spans="1:5" ht="15">
      <c r="A513" s="13">
        <v>57496</v>
      </c>
      <c r="B513" s="4">
        <f>42.8966 * CHOOSE(CONTROL!$C$6, $C$13, 100%, $E$13) + CHOOSE(CONTROL!$C$25, 0.0263, 0)</f>
        <v>42.922899999999998</v>
      </c>
      <c r="C513" s="4">
        <f>42.5841 * CHOOSE(CONTROL!$C$6, $C$13, 100%, $E$13) + CHOOSE(CONTROL!$C$25, 0.0263, 0)</f>
        <v>42.610399999999998</v>
      </c>
      <c r="D513" s="4">
        <f>45.7496 * CHOOSE(CONTROL!$C$6, $C$13, 100%, $E$13) + CHOOSE(CONTROL!$C$25, 0, 0)</f>
        <v>45.749600000000001</v>
      </c>
      <c r="E513" s="4">
        <f>247.600932478278 * CHOOSE(CONTROL!$C$6, $C$13, 100%, $E$13) + CHOOSE(CONTROL!$C$25, 0, 0)</f>
        <v>247.600932478278</v>
      </c>
    </row>
    <row r="514" spans="1:5" ht="15">
      <c r="A514" s="13">
        <v>57526</v>
      </c>
      <c r="B514" s="4">
        <f>43.0264 * CHOOSE(CONTROL!$C$6, $C$13, 100%, $E$13) + CHOOSE(CONTROL!$C$25, 0.0263, 0)</f>
        <v>43.052700000000002</v>
      </c>
      <c r="C514" s="4">
        <f>42.7139 * CHOOSE(CONTROL!$C$6, $C$13, 100%, $E$13) + CHOOSE(CONTROL!$C$25, 0.0263, 0)</f>
        <v>42.740200000000002</v>
      </c>
      <c r="D514" s="4">
        <f>46.1623 * CHOOSE(CONTROL!$C$6, $C$13, 100%, $E$13) + CHOOSE(CONTROL!$C$25, 0, 0)</f>
        <v>46.162300000000002</v>
      </c>
      <c r="E514" s="4">
        <f>248.384375562777 * CHOOSE(CONTROL!$C$6, $C$13, 100%, $E$13) + CHOOSE(CONTROL!$C$25, 0, 0)</f>
        <v>248.384375562777</v>
      </c>
    </row>
    <row r="515" spans="1:5" ht="15">
      <c r="A515" s="13">
        <v>57557</v>
      </c>
      <c r="B515" s="4">
        <f>43.0133 * CHOOSE(CONTROL!$C$6, $C$13, 100%, $E$13) + CHOOSE(CONTROL!$C$25, 0.0263, 0)</f>
        <v>43.0396</v>
      </c>
      <c r="C515" s="4">
        <f>42.7008 * CHOOSE(CONTROL!$C$6, $C$13, 100%, $E$13) + CHOOSE(CONTROL!$C$25, 0.0263, 0)</f>
        <v>42.7271</v>
      </c>
      <c r="D515" s="4">
        <f>46.907 * CHOOSE(CONTROL!$C$6, $C$13, 100%, $E$13) + CHOOSE(CONTROL!$C$25, 0, 0)</f>
        <v>46.906999999999996</v>
      </c>
      <c r="E515" s="4">
        <f>248.305372898794 * CHOOSE(CONTROL!$C$6, $C$13, 100%, $E$13) + CHOOSE(CONTROL!$C$25, 0, 0)</f>
        <v>248.30537289879399</v>
      </c>
    </row>
    <row r="516" spans="1:5" ht="15">
      <c r="A516" s="13">
        <v>57588</v>
      </c>
      <c r="B516" s="4">
        <f>43.9983 * CHOOSE(CONTROL!$C$6, $C$13, 100%, $E$13) + CHOOSE(CONTROL!$C$25, 0.0263, 0)</f>
        <v>44.0246</v>
      </c>
      <c r="C516" s="4">
        <f>43.6858 * CHOOSE(CONTROL!$C$6, $C$13, 100%, $E$13) + CHOOSE(CONTROL!$C$25, 0.0263, 0)</f>
        <v>43.7121</v>
      </c>
      <c r="D516" s="4">
        <f>46.4152 * CHOOSE(CONTROL!$C$6, $C$13, 100%, $E$13) + CHOOSE(CONTROL!$C$25, 0, 0)</f>
        <v>46.415199999999999</v>
      </c>
      <c r="E516" s="4">
        <f>254.25032336352 * CHOOSE(CONTROL!$C$6, $C$13, 100%, $E$13) + CHOOSE(CONTROL!$C$25, 0, 0)</f>
        <v>254.25032336352001</v>
      </c>
    </row>
    <row r="517" spans="1:5" ht="15">
      <c r="A517" s="13">
        <v>57618</v>
      </c>
      <c r="B517" s="4">
        <f>42.3196 * CHOOSE(CONTROL!$C$6, $C$13, 100%, $E$13) + CHOOSE(CONTROL!$C$25, 0.0263, 0)</f>
        <v>42.3459</v>
      </c>
      <c r="C517" s="4">
        <f>42.0071 * CHOOSE(CONTROL!$C$6, $C$13, 100%, $E$13) + CHOOSE(CONTROL!$C$25, 0.0263, 0)</f>
        <v>42.0334</v>
      </c>
      <c r="D517" s="4">
        <f>46.1829 * CHOOSE(CONTROL!$C$6, $C$13, 100%, $E$13) + CHOOSE(CONTROL!$C$25, 0, 0)</f>
        <v>46.182899999999997</v>
      </c>
      <c r="E517" s="4">
        <f>244.118231707691 * CHOOSE(CONTROL!$C$6, $C$13, 100%, $E$13) + CHOOSE(CONTROL!$C$25, 0, 0)</f>
        <v>244.118231707691</v>
      </c>
    </row>
    <row r="518" spans="1:5" ht="15">
      <c r="A518" s="13">
        <v>57649</v>
      </c>
      <c r="B518" s="4">
        <f>40.9758 * CHOOSE(CONTROL!$C$6, $C$13, 100%, $E$13) + CHOOSE(CONTROL!$C$25, 0.0003, 0)</f>
        <v>40.976100000000002</v>
      </c>
      <c r="C518" s="4">
        <f>40.6633 * CHOOSE(CONTROL!$C$6, $C$13, 100%, $E$13) + CHOOSE(CONTROL!$C$25, 0.0003, 0)</f>
        <v>40.663600000000002</v>
      </c>
      <c r="D518" s="4">
        <f>45.5607 * CHOOSE(CONTROL!$C$6, $C$13, 100%, $E$13) + CHOOSE(CONTROL!$C$25, 0, 0)</f>
        <v>45.560699999999997</v>
      </c>
      <c r="E518" s="4">
        <f>236.007291538763 * CHOOSE(CONTROL!$C$6, $C$13, 100%, $E$13) + CHOOSE(CONTROL!$C$25, 0, 0)</f>
        <v>236.00729153876301</v>
      </c>
    </row>
    <row r="519" spans="1:5" ht="15">
      <c r="A519" s="13">
        <v>57679</v>
      </c>
      <c r="B519" s="4">
        <f>40.1103 * CHOOSE(CONTROL!$C$6, $C$13, 100%, $E$13) + CHOOSE(CONTROL!$C$25, 0.0003, 0)</f>
        <v>40.110600000000005</v>
      </c>
      <c r="C519" s="4">
        <f>39.7978 * CHOOSE(CONTROL!$C$6, $C$13, 100%, $E$13) + CHOOSE(CONTROL!$C$25, 0.0003, 0)</f>
        <v>39.798100000000005</v>
      </c>
      <c r="D519" s="4">
        <f>45.3468 * CHOOSE(CONTROL!$C$6, $C$13, 100%, $E$13) + CHOOSE(CONTROL!$C$25, 0, 0)</f>
        <v>45.346800000000002</v>
      </c>
      <c r="E519" s="4">
        <f>230.783240382882 * CHOOSE(CONTROL!$C$6, $C$13, 100%, $E$13) + CHOOSE(CONTROL!$C$25, 0, 0)</f>
        <v>230.78324038288201</v>
      </c>
    </row>
    <row r="520" spans="1:5" ht="15">
      <c r="A520" s="13">
        <v>57710</v>
      </c>
      <c r="B520" s="4">
        <f>39.5115 * CHOOSE(CONTROL!$C$6, $C$13, 100%, $E$13) + CHOOSE(CONTROL!$C$25, 0.0003, 0)</f>
        <v>39.511800000000001</v>
      </c>
      <c r="C520" s="4">
        <f>39.199 * CHOOSE(CONTROL!$C$6, $C$13, 100%, $E$13) + CHOOSE(CONTROL!$C$25, 0.0003, 0)</f>
        <v>39.199300000000001</v>
      </c>
      <c r="D520" s="4">
        <f>43.772 * CHOOSE(CONTROL!$C$6, $C$13, 100%, $E$13) + CHOOSE(CONTROL!$C$25, 0, 0)</f>
        <v>43.771999999999998</v>
      </c>
      <c r="E520" s="4">
        <f>227.168868505656 * CHOOSE(CONTROL!$C$6, $C$13, 100%, $E$13) + CHOOSE(CONTROL!$C$25, 0, 0)</f>
        <v>227.16886850565601</v>
      </c>
    </row>
    <row r="521" spans="1:5" ht="15">
      <c r="A521" s="13">
        <v>57741</v>
      </c>
      <c r="B521" s="4">
        <f>38.5386 * CHOOSE(CONTROL!$C$6, $C$13, 100%, $E$13) + CHOOSE(CONTROL!$C$25, 0.0003, 0)</f>
        <v>38.538900000000005</v>
      </c>
      <c r="C521" s="4">
        <f>38.2261 * CHOOSE(CONTROL!$C$6, $C$13, 100%, $E$13) + CHOOSE(CONTROL!$C$25, 0.0003, 0)</f>
        <v>38.226400000000005</v>
      </c>
      <c r="D521" s="4">
        <f>42.3247 * CHOOSE(CONTROL!$C$6, $C$13, 100%, $E$13) + CHOOSE(CONTROL!$C$25, 0, 0)</f>
        <v>42.3247</v>
      </c>
      <c r="E521" s="4">
        <f>220.654531028605 * CHOOSE(CONTROL!$C$6, $C$13, 100%, $E$13) + CHOOSE(CONTROL!$C$25, 0, 0)</f>
        <v>220.65453102860499</v>
      </c>
    </row>
    <row r="522" spans="1:5" ht="15">
      <c r="A522" s="13">
        <v>57769</v>
      </c>
      <c r="B522" s="4">
        <f>39.4091 * CHOOSE(CONTROL!$C$6, $C$13, 100%, $E$13) + CHOOSE(CONTROL!$C$25, 0.0003, 0)</f>
        <v>39.409400000000005</v>
      </c>
      <c r="C522" s="4">
        <f>39.0966 * CHOOSE(CONTROL!$C$6, $C$13, 100%, $E$13) + CHOOSE(CONTROL!$C$25, 0.0003, 0)</f>
        <v>39.096900000000005</v>
      </c>
      <c r="D522" s="4">
        <f>43.7822 * CHOOSE(CONTROL!$C$6, $C$13, 100%, $E$13) + CHOOSE(CONTROL!$C$25, 0, 0)</f>
        <v>43.782200000000003</v>
      </c>
      <c r="E522" s="4">
        <f>225.893739174748 * CHOOSE(CONTROL!$C$6, $C$13, 100%, $E$13) + CHOOSE(CONTROL!$C$25, 0, 0)</f>
        <v>225.89373917474799</v>
      </c>
    </row>
    <row r="523" spans="1:5" ht="15">
      <c r="A523" s="13">
        <v>57800</v>
      </c>
      <c r="B523" s="4">
        <f>41.6952 * CHOOSE(CONTROL!$C$6, $C$13, 100%, $E$13) + CHOOSE(CONTROL!$C$25, 0.0003, 0)</f>
        <v>41.695500000000003</v>
      </c>
      <c r="C523" s="4">
        <f>41.3827 * CHOOSE(CONTROL!$C$6, $C$13, 100%, $E$13) + CHOOSE(CONTROL!$C$25, 0.0003, 0)</f>
        <v>41.383000000000003</v>
      </c>
      <c r="D523" s="4">
        <f>46.0638 * CHOOSE(CONTROL!$C$6, $C$13, 100%, $E$13) + CHOOSE(CONTROL!$C$25, 0, 0)</f>
        <v>46.063800000000001</v>
      </c>
      <c r="E523" s="4">
        <f>239.652178194952 * CHOOSE(CONTROL!$C$6, $C$13, 100%, $E$13) + CHOOSE(CONTROL!$C$25, 0, 0)</f>
        <v>239.652178194952</v>
      </c>
    </row>
    <row r="524" spans="1:5" ht="15">
      <c r="A524" s="13">
        <v>57830</v>
      </c>
      <c r="B524" s="4">
        <f>43.3195 * CHOOSE(CONTROL!$C$6, $C$13, 100%, $E$13) + CHOOSE(CONTROL!$C$25, 0.0003, 0)</f>
        <v>43.319800000000001</v>
      </c>
      <c r="C524" s="4">
        <f>43.007 * CHOOSE(CONTROL!$C$6, $C$13, 100%, $E$13) + CHOOSE(CONTROL!$C$25, 0.0003, 0)</f>
        <v>43.007300000000001</v>
      </c>
      <c r="D524" s="4">
        <f>47.378 * CHOOSE(CONTROL!$C$6, $C$13, 100%, $E$13) + CHOOSE(CONTROL!$C$25, 0, 0)</f>
        <v>47.378</v>
      </c>
      <c r="E524" s="4">
        <f>249.427732474114 * CHOOSE(CONTROL!$C$6, $C$13, 100%, $E$13) + CHOOSE(CONTROL!$C$25, 0, 0)</f>
        <v>249.42773247411401</v>
      </c>
    </row>
    <row r="525" spans="1:5" ht="15">
      <c r="A525" s="13">
        <v>57861</v>
      </c>
      <c r="B525" s="4">
        <f>44.3119 * CHOOSE(CONTROL!$C$6, $C$13, 100%, $E$13) + CHOOSE(CONTROL!$C$25, 0.0263, 0)</f>
        <v>44.338200000000001</v>
      </c>
      <c r="C525" s="4">
        <f>43.9994 * CHOOSE(CONTROL!$C$6, $C$13, 100%, $E$13) + CHOOSE(CONTROL!$C$25, 0.0263, 0)</f>
        <v>44.025700000000001</v>
      </c>
      <c r="D525" s="4">
        <f>46.8587 * CHOOSE(CONTROL!$C$6, $C$13, 100%, $E$13) + CHOOSE(CONTROL!$C$25, 0, 0)</f>
        <v>46.858699999999999</v>
      </c>
      <c r="E525" s="4">
        <f>255.400361851344 * CHOOSE(CONTROL!$C$6, $C$13, 100%, $E$13) + CHOOSE(CONTROL!$C$25, 0, 0)</f>
        <v>255.400361851344</v>
      </c>
    </row>
    <row r="526" spans="1:5" ht="15">
      <c r="A526" s="13">
        <v>57891</v>
      </c>
      <c r="B526" s="4">
        <f>44.4461 * CHOOSE(CONTROL!$C$6, $C$13, 100%, $E$13) + CHOOSE(CONTROL!$C$25, 0.0263, 0)</f>
        <v>44.4724</v>
      </c>
      <c r="C526" s="4">
        <f>44.1336 * CHOOSE(CONTROL!$C$6, $C$13, 100%, $E$13) + CHOOSE(CONTROL!$C$25, 0.0263, 0)</f>
        <v>44.1599</v>
      </c>
      <c r="D526" s="4">
        <f>47.2817 * CHOOSE(CONTROL!$C$6, $C$13, 100%, $E$13) + CHOOSE(CONTROL!$C$25, 0, 0)</f>
        <v>47.281700000000001</v>
      </c>
      <c r="E526" s="4">
        <f>256.208483393005 * CHOOSE(CONTROL!$C$6, $C$13, 100%, $E$13) + CHOOSE(CONTROL!$C$25, 0, 0)</f>
        <v>256.208483393005</v>
      </c>
    </row>
    <row r="527" spans="1:5" ht="15">
      <c r="A527" s="13">
        <v>57922</v>
      </c>
      <c r="B527" s="4">
        <f>44.4326 * CHOOSE(CONTROL!$C$6, $C$13, 100%, $E$13) + CHOOSE(CONTROL!$C$25, 0.0263, 0)</f>
        <v>44.4589</v>
      </c>
      <c r="C527" s="4">
        <f>44.1201 * CHOOSE(CONTROL!$C$6, $C$13, 100%, $E$13) + CHOOSE(CONTROL!$C$25, 0.0263, 0)</f>
        <v>44.1464</v>
      </c>
      <c r="D527" s="4">
        <f>48.0448 * CHOOSE(CONTROL!$C$6, $C$13, 100%, $E$13) + CHOOSE(CONTROL!$C$25, 0, 0)</f>
        <v>48.044800000000002</v>
      </c>
      <c r="E527" s="4">
        <f>256.126992145106 * CHOOSE(CONTROL!$C$6, $C$13, 100%, $E$13) + CHOOSE(CONTROL!$C$25, 0, 0)</f>
        <v>256.12699214510599</v>
      </c>
    </row>
    <row r="528" spans="1:5" ht="15">
      <c r="A528" s="13">
        <v>57953</v>
      </c>
      <c r="B528" s="4">
        <f>45.4515 * CHOOSE(CONTROL!$C$6, $C$13, 100%, $E$13) + CHOOSE(CONTROL!$C$25, 0.0263, 0)</f>
        <v>45.477800000000002</v>
      </c>
      <c r="C528" s="4">
        <f>45.139 * CHOOSE(CONTROL!$C$6, $C$13, 100%, $E$13) + CHOOSE(CONTROL!$C$25, 0.0263, 0)</f>
        <v>45.165300000000002</v>
      </c>
      <c r="D528" s="4">
        <f>47.5408 * CHOOSE(CONTROL!$C$6, $C$13, 100%, $E$13) + CHOOSE(CONTROL!$C$25, 0, 0)</f>
        <v>47.540799999999997</v>
      </c>
      <c r="E528" s="4">
        <f>262.259208549471 * CHOOSE(CONTROL!$C$6, $C$13, 100%, $E$13) + CHOOSE(CONTROL!$C$25, 0, 0)</f>
        <v>262.259208549471</v>
      </c>
    </row>
    <row r="529" spans="1:5" ht="15">
      <c r="A529" s="13">
        <v>57983</v>
      </c>
      <c r="B529" s="4">
        <f>43.715 * CHOOSE(CONTROL!$C$6, $C$13, 100%, $E$13) + CHOOSE(CONTROL!$C$25, 0.0263, 0)</f>
        <v>43.741300000000003</v>
      </c>
      <c r="C529" s="4">
        <f>43.4025 * CHOOSE(CONTROL!$C$6, $C$13, 100%, $E$13) + CHOOSE(CONTROL!$C$25, 0.0263, 0)</f>
        <v>43.428800000000003</v>
      </c>
      <c r="D529" s="4">
        <f>47.3027 * CHOOSE(CONTROL!$C$6, $C$13, 100%, $E$13) + CHOOSE(CONTROL!$C$25, 0, 0)</f>
        <v>47.302700000000002</v>
      </c>
      <c r="E529" s="4">
        <f>251.807956006484 * CHOOSE(CONTROL!$C$6, $C$13, 100%, $E$13) + CHOOSE(CONTROL!$C$25, 0, 0)</f>
        <v>251.80795600648401</v>
      </c>
    </row>
    <row r="530" spans="1:5" ht="15">
      <c r="A530" s="13">
        <v>58014</v>
      </c>
      <c r="B530" s="4">
        <f>42.3248 * CHOOSE(CONTROL!$C$6, $C$13, 100%, $E$13) + CHOOSE(CONTROL!$C$25, 0.0003, 0)</f>
        <v>42.325100000000006</v>
      </c>
      <c r="C530" s="4">
        <f>42.0123 * CHOOSE(CONTROL!$C$6, $C$13, 100%, $E$13) + CHOOSE(CONTROL!$C$25, 0.0003, 0)</f>
        <v>42.012600000000006</v>
      </c>
      <c r="D530" s="4">
        <f>46.6651 * CHOOSE(CONTROL!$C$6, $C$13, 100%, $E$13) + CHOOSE(CONTROL!$C$25, 0, 0)</f>
        <v>46.665100000000002</v>
      </c>
      <c r="E530" s="4">
        <f>243.441521222234 * CHOOSE(CONTROL!$C$6, $C$13, 100%, $E$13) + CHOOSE(CONTROL!$C$25, 0, 0)</f>
        <v>243.441521222234</v>
      </c>
    </row>
    <row r="531" spans="1:5" ht="15">
      <c r="A531" s="13">
        <v>58044</v>
      </c>
      <c r="B531" s="4">
        <f>41.4295 * CHOOSE(CONTROL!$C$6, $C$13, 100%, $E$13) + CHOOSE(CONTROL!$C$25, 0.0003, 0)</f>
        <v>41.4298</v>
      </c>
      <c r="C531" s="4">
        <f>41.117 * CHOOSE(CONTROL!$C$6, $C$13, 100%, $E$13) + CHOOSE(CONTROL!$C$25, 0.0003, 0)</f>
        <v>41.1173</v>
      </c>
      <c r="D531" s="4">
        <f>46.4459 * CHOOSE(CONTROL!$C$6, $C$13, 100%, $E$13) + CHOOSE(CONTROL!$C$25, 0, 0)</f>
        <v>46.445900000000002</v>
      </c>
      <c r="E531" s="4">
        <f>238.052912454943 * CHOOSE(CONTROL!$C$6, $C$13, 100%, $E$13) + CHOOSE(CONTROL!$C$25, 0, 0)</f>
        <v>238.052912454943</v>
      </c>
    </row>
    <row r="532" spans="1:5" ht="15">
      <c r="A532" s="13">
        <v>58075</v>
      </c>
      <c r="B532" s="4">
        <f>40.81 * CHOOSE(CONTROL!$C$6, $C$13, 100%, $E$13) + CHOOSE(CONTROL!$C$25, 0.0003, 0)</f>
        <v>40.810300000000005</v>
      </c>
      <c r="C532" s="4">
        <f>40.4975 * CHOOSE(CONTROL!$C$6, $C$13, 100%, $E$13) + CHOOSE(CONTROL!$C$25, 0.0003, 0)</f>
        <v>40.497800000000005</v>
      </c>
      <c r="D532" s="4">
        <f>44.8321 * CHOOSE(CONTROL!$C$6, $C$13, 100%, $E$13) + CHOOSE(CONTROL!$C$25, 0, 0)</f>
        <v>44.832099999999997</v>
      </c>
      <c r="E532" s="4">
        <f>234.324687863585 * CHOOSE(CONTROL!$C$6, $C$13, 100%, $E$13) + CHOOSE(CONTROL!$C$25, 0, 0)</f>
        <v>234.32468786358501</v>
      </c>
    </row>
    <row r="533" spans="1:5" ht="15">
      <c r="A533" s="13">
        <v>58106</v>
      </c>
      <c r="B533" s="4">
        <f>39.8035 * CHOOSE(CONTROL!$C$6, $C$13, 100%, $E$13) + CHOOSE(CONTROL!$C$25, 0.0003, 0)</f>
        <v>39.803800000000003</v>
      </c>
      <c r="C533" s="4">
        <f>39.491 * CHOOSE(CONTROL!$C$6, $C$13, 100%, $E$13) + CHOOSE(CONTROL!$C$25, 0.0003, 0)</f>
        <v>39.491300000000003</v>
      </c>
      <c r="D533" s="4">
        <f>43.3488 * CHOOSE(CONTROL!$C$6, $C$13, 100%, $E$13) + CHOOSE(CONTROL!$C$25, 0, 0)</f>
        <v>43.348799999999997</v>
      </c>
      <c r="E533" s="4">
        <f>227.605148756006 * CHOOSE(CONTROL!$C$6, $C$13, 100%, $E$13) + CHOOSE(CONTROL!$C$25, 0, 0)</f>
        <v>227.605148756006</v>
      </c>
    </row>
    <row r="534" spans="1:5" ht="15">
      <c r="A534" s="13">
        <v>58134</v>
      </c>
      <c r="B534" s="4">
        <f>40.704 * CHOOSE(CONTROL!$C$6, $C$13, 100%, $E$13) + CHOOSE(CONTROL!$C$25, 0.0003, 0)</f>
        <v>40.704300000000003</v>
      </c>
      <c r="C534" s="4">
        <f>40.3915 * CHOOSE(CONTROL!$C$6, $C$13, 100%, $E$13) + CHOOSE(CONTROL!$C$25, 0.0003, 0)</f>
        <v>40.391800000000003</v>
      </c>
      <c r="D534" s="4">
        <f>44.8425 * CHOOSE(CONTROL!$C$6, $C$13, 100%, $E$13) + CHOOSE(CONTROL!$C$25, 0, 0)</f>
        <v>44.842500000000001</v>
      </c>
      <c r="E534" s="4">
        <f>233.009391958753 * CHOOSE(CONTROL!$C$6, $C$13, 100%, $E$13) + CHOOSE(CONTROL!$C$25, 0, 0)</f>
        <v>233.00939195875301</v>
      </c>
    </row>
    <row r="535" spans="1:5" ht="15">
      <c r="A535" s="13">
        <v>58165</v>
      </c>
      <c r="B535" s="4">
        <f>43.069 * CHOOSE(CONTROL!$C$6, $C$13, 100%, $E$13) + CHOOSE(CONTROL!$C$25, 0.0003, 0)</f>
        <v>43.069300000000005</v>
      </c>
      <c r="C535" s="4">
        <f>42.7565 * CHOOSE(CONTROL!$C$6, $C$13, 100%, $E$13) + CHOOSE(CONTROL!$C$25, 0.0003, 0)</f>
        <v>42.756800000000005</v>
      </c>
      <c r="D535" s="4">
        <f>47.1806 * CHOOSE(CONTROL!$C$6, $C$13, 100%, $E$13) + CHOOSE(CONTROL!$C$25, 0, 0)</f>
        <v>47.180599999999998</v>
      </c>
      <c r="E535" s="4">
        <f>247.201221808092 * CHOOSE(CONTROL!$C$6, $C$13, 100%, $E$13) + CHOOSE(CONTROL!$C$25, 0, 0)</f>
        <v>247.20122180809199</v>
      </c>
    </row>
    <row r="536" spans="1:5" ht="15">
      <c r="A536" s="13">
        <v>58195</v>
      </c>
      <c r="B536" s="4">
        <f>44.7493 * CHOOSE(CONTROL!$C$6, $C$13, 100%, $E$13) + CHOOSE(CONTROL!$C$25, 0.0003, 0)</f>
        <v>44.749600000000001</v>
      </c>
      <c r="C536" s="4">
        <f>44.4368 * CHOOSE(CONTROL!$C$6, $C$13, 100%, $E$13) + CHOOSE(CONTROL!$C$25, 0.0003, 0)</f>
        <v>44.437100000000001</v>
      </c>
      <c r="D536" s="4">
        <f>48.5275 * CHOOSE(CONTROL!$C$6, $C$13, 100%, $E$13) + CHOOSE(CONTROL!$C$25, 0, 0)</f>
        <v>48.527500000000003</v>
      </c>
      <c r="E536" s="4">
        <f>257.284706047048 * CHOOSE(CONTROL!$C$6, $C$13, 100%, $E$13) + CHOOSE(CONTROL!$C$25, 0, 0)</f>
        <v>257.28470604704802</v>
      </c>
    </row>
    <row r="537" spans="1:5" ht="15">
      <c r="A537" s="13">
        <v>58226</v>
      </c>
      <c r="B537" s="4">
        <f>45.7759 * CHOOSE(CONTROL!$C$6, $C$13, 100%, $E$13) + CHOOSE(CONTROL!$C$25, 0.0263, 0)</f>
        <v>45.802199999999999</v>
      </c>
      <c r="C537" s="4">
        <f>45.4634 * CHOOSE(CONTROL!$C$6, $C$13, 100%, $E$13) + CHOOSE(CONTROL!$C$25, 0.0263, 0)</f>
        <v>45.489699999999999</v>
      </c>
      <c r="D537" s="4">
        <f>47.9953 * CHOOSE(CONTROL!$C$6, $C$13, 100%, $E$13) + CHOOSE(CONTROL!$C$25, 0, 0)</f>
        <v>47.9953</v>
      </c>
      <c r="E537" s="4">
        <f>263.445473249661 * CHOOSE(CONTROL!$C$6, $C$13, 100%, $E$13) + CHOOSE(CONTROL!$C$25, 0, 0)</f>
        <v>263.44547324966101</v>
      </c>
    </row>
    <row r="538" spans="1:5" ht="15">
      <c r="A538" s="13">
        <v>58256</v>
      </c>
      <c r="B538" s="4">
        <f>45.9149 * CHOOSE(CONTROL!$C$6, $C$13, 100%, $E$13) + CHOOSE(CONTROL!$C$25, 0.0263, 0)</f>
        <v>45.941200000000002</v>
      </c>
      <c r="C538" s="4">
        <f>45.6024 * CHOOSE(CONTROL!$C$6, $C$13, 100%, $E$13) + CHOOSE(CONTROL!$C$25, 0.0263, 0)</f>
        <v>45.628700000000002</v>
      </c>
      <c r="D538" s="4">
        <f>48.4287 * CHOOSE(CONTROL!$C$6, $C$13, 100%, $E$13) + CHOOSE(CONTROL!$C$25, 0, 0)</f>
        <v>48.428699999999999</v>
      </c>
      <c r="E538" s="4">
        <f>264.279050619884 * CHOOSE(CONTROL!$C$6, $C$13, 100%, $E$13) + CHOOSE(CONTROL!$C$25, 0, 0)</f>
        <v>264.279050619884</v>
      </c>
    </row>
    <row r="539" spans="1:5" ht="15">
      <c r="A539" s="13">
        <v>58287</v>
      </c>
      <c r="B539" s="4">
        <f>45.9008 * CHOOSE(CONTROL!$C$6, $C$13, 100%, $E$13) + CHOOSE(CONTROL!$C$25, 0.0263, 0)</f>
        <v>45.927099999999996</v>
      </c>
      <c r="C539" s="4">
        <f>45.5883 * CHOOSE(CONTROL!$C$6, $C$13, 100%, $E$13) + CHOOSE(CONTROL!$C$25, 0.0263, 0)</f>
        <v>45.614599999999996</v>
      </c>
      <c r="D539" s="4">
        <f>49.2108 * CHOOSE(CONTROL!$C$6, $C$13, 100%, $E$13) + CHOOSE(CONTROL!$C$25, 0, 0)</f>
        <v>49.210799999999999</v>
      </c>
      <c r="E539" s="4">
        <f>264.194992397677 * CHOOSE(CONTROL!$C$6, $C$13, 100%, $E$13) + CHOOSE(CONTROL!$C$25, 0, 0)</f>
        <v>264.19499239767703</v>
      </c>
    </row>
    <row r="540" spans="1:5" ht="15">
      <c r="A540" s="13">
        <v>58318</v>
      </c>
      <c r="B540" s="4">
        <f>46.9549 * CHOOSE(CONTROL!$C$6, $C$13, 100%, $E$13) + CHOOSE(CONTROL!$C$25, 0.0263, 0)</f>
        <v>46.981200000000001</v>
      </c>
      <c r="C540" s="4">
        <f>46.6424 * CHOOSE(CONTROL!$C$6, $C$13, 100%, $E$13) + CHOOSE(CONTROL!$C$25, 0.0263, 0)</f>
        <v>46.668700000000001</v>
      </c>
      <c r="D540" s="4">
        <f>48.6943 * CHOOSE(CONTROL!$C$6, $C$13, 100%, $E$13) + CHOOSE(CONTROL!$C$25, 0, 0)</f>
        <v>48.694299999999998</v>
      </c>
      <c r="E540" s="4">
        <f>270.520373618779 * CHOOSE(CONTROL!$C$6, $C$13, 100%, $E$13) + CHOOSE(CONTROL!$C$25, 0, 0)</f>
        <v>270.52037361877899</v>
      </c>
    </row>
    <row r="541" spans="1:5" ht="15">
      <c r="A541" s="13">
        <v>58348</v>
      </c>
      <c r="B541" s="4">
        <f>45.1584 * CHOOSE(CONTROL!$C$6, $C$13, 100%, $E$13) + CHOOSE(CONTROL!$C$25, 0.0263, 0)</f>
        <v>45.184699999999999</v>
      </c>
      <c r="C541" s="4">
        <f>44.8459 * CHOOSE(CONTROL!$C$6, $C$13, 100%, $E$13) + CHOOSE(CONTROL!$C$25, 0.0263, 0)</f>
        <v>44.872199999999999</v>
      </c>
      <c r="D541" s="4">
        <f>48.4503 * CHOOSE(CONTROL!$C$6, $C$13, 100%, $E$13) + CHOOSE(CONTROL!$C$25, 0, 0)</f>
        <v>48.450299999999999</v>
      </c>
      <c r="E541" s="4">
        <f>259.739906620688 * CHOOSE(CONTROL!$C$6, $C$13, 100%, $E$13) + CHOOSE(CONTROL!$C$25, 0, 0)</f>
        <v>259.73990662068798</v>
      </c>
    </row>
    <row r="542" spans="1:5" ht="15">
      <c r="A542" s="13">
        <v>58379</v>
      </c>
      <c r="B542" s="4">
        <f>43.7203 * CHOOSE(CONTROL!$C$6, $C$13, 100%, $E$13) + CHOOSE(CONTROL!$C$25, 0.0003, 0)</f>
        <v>43.720600000000005</v>
      </c>
      <c r="C542" s="4">
        <f>43.4078 * CHOOSE(CONTROL!$C$6, $C$13, 100%, $E$13) + CHOOSE(CONTROL!$C$25, 0.0003, 0)</f>
        <v>43.408100000000005</v>
      </c>
      <c r="D542" s="4">
        <f>47.7969 * CHOOSE(CONTROL!$C$6, $C$13, 100%, $E$13) + CHOOSE(CONTROL!$C$25, 0, 0)</f>
        <v>47.796900000000001</v>
      </c>
      <c r="E542" s="4">
        <f>251.109929140734 * CHOOSE(CONTROL!$C$6, $C$13, 100%, $E$13) + CHOOSE(CONTROL!$C$25, 0, 0)</f>
        <v>251.10992914073401</v>
      </c>
    </row>
    <row r="543" spans="1:5" ht="15">
      <c r="A543" s="13">
        <v>58409</v>
      </c>
      <c r="B543" s="4">
        <f>42.7941 * CHOOSE(CONTROL!$C$6, $C$13, 100%, $E$13) + CHOOSE(CONTROL!$C$25, 0.0003, 0)</f>
        <v>42.794400000000003</v>
      </c>
      <c r="C543" s="4">
        <f>42.4816 * CHOOSE(CONTROL!$C$6, $C$13, 100%, $E$13) + CHOOSE(CONTROL!$C$25, 0.0003, 0)</f>
        <v>42.481900000000003</v>
      </c>
      <c r="D543" s="4">
        <f>47.5722 * CHOOSE(CONTROL!$C$6, $C$13, 100%, $E$13) + CHOOSE(CONTROL!$C$25, 0, 0)</f>
        <v>47.572200000000002</v>
      </c>
      <c r="E543" s="4">
        <f>245.551579197273 * CHOOSE(CONTROL!$C$6, $C$13, 100%, $E$13) + CHOOSE(CONTROL!$C$25, 0, 0)</f>
        <v>245.55157919727301</v>
      </c>
    </row>
    <row r="544" spans="1:5" ht="15">
      <c r="A544" s="13">
        <v>58440</v>
      </c>
      <c r="B544" s="4">
        <f>42.1532 * CHOOSE(CONTROL!$C$6, $C$13, 100%, $E$13) + CHOOSE(CONTROL!$C$25, 0.0003, 0)</f>
        <v>42.153500000000001</v>
      </c>
      <c r="C544" s="4">
        <f>41.8407 * CHOOSE(CONTROL!$C$6, $C$13, 100%, $E$13) + CHOOSE(CONTROL!$C$25, 0.0003, 0)</f>
        <v>41.841000000000001</v>
      </c>
      <c r="D544" s="4">
        <f>45.9184 * CHOOSE(CONTROL!$C$6, $C$13, 100%, $E$13) + CHOOSE(CONTROL!$C$25, 0, 0)</f>
        <v>45.918399999999998</v>
      </c>
      <c r="E544" s="4">
        <f>241.705915531288 * CHOOSE(CONTROL!$C$6, $C$13, 100%, $E$13) + CHOOSE(CONTROL!$C$25, 0, 0)</f>
        <v>241.70591553128801</v>
      </c>
    </row>
    <row r="545" spans="1:5" ht="15">
      <c r="A545" s="13">
        <v>58471</v>
      </c>
      <c r="B545" s="4">
        <f>41.112 * CHOOSE(CONTROL!$C$6, $C$13, 100%, $E$13) + CHOOSE(CONTROL!$C$25, 0.0003, 0)</f>
        <v>41.112300000000005</v>
      </c>
      <c r="C545" s="4">
        <f>40.7995 * CHOOSE(CONTROL!$C$6, $C$13, 100%, $E$13) + CHOOSE(CONTROL!$C$25, 0.0003, 0)</f>
        <v>40.799800000000005</v>
      </c>
      <c r="D545" s="4">
        <f>44.3984 * CHOOSE(CONTROL!$C$6, $C$13, 100%, $E$13) + CHOOSE(CONTROL!$C$25, 0, 0)</f>
        <v>44.398400000000002</v>
      </c>
      <c r="E545" s="4">
        <f>234.77471094182 * CHOOSE(CONTROL!$C$6, $C$13, 100%, $E$13) + CHOOSE(CONTROL!$C$25, 0, 0)</f>
        <v>234.77471094181999</v>
      </c>
    </row>
    <row r="546" spans="1:5" ht="15">
      <c r="A546" s="13">
        <v>58499</v>
      </c>
      <c r="B546" s="4">
        <f>42.0436 * CHOOSE(CONTROL!$C$6, $C$13, 100%, $E$13) + CHOOSE(CONTROL!$C$25, 0.0003, 0)</f>
        <v>42.043900000000001</v>
      </c>
      <c r="C546" s="4">
        <f>41.7311 * CHOOSE(CONTROL!$C$6, $C$13, 100%, $E$13) + CHOOSE(CONTROL!$C$25, 0.0003, 0)</f>
        <v>41.731400000000001</v>
      </c>
      <c r="D546" s="4">
        <f>45.929 * CHOOSE(CONTROL!$C$6, $C$13, 100%, $E$13) + CHOOSE(CONTROL!$C$25, 0, 0)</f>
        <v>45.929000000000002</v>
      </c>
      <c r="E546" s="4">
        <f>240.349187805454 * CHOOSE(CONTROL!$C$6, $C$13, 100%, $E$13) + CHOOSE(CONTROL!$C$25, 0, 0)</f>
        <v>240.34918780545399</v>
      </c>
    </row>
    <row r="547" spans="1:5" ht="15">
      <c r="A547" s="13">
        <v>58531</v>
      </c>
      <c r="B547" s="4">
        <f>44.4902 * CHOOSE(CONTROL!$C$6, $C$13, 100%, $E$13) + CHOOSE(CONTROL!$C$25, 0.0003, 0)</f>
        <v>44.490500000000004</v>
      </c>
      <c r="C547" s="4">
        <f>44.1777 * CHOOSE(CONTROL!$C$6, $C$13, 100%, $E$13) + CHOOSE(CONTROL!$C$25, 0.0003, 0)</f>
        <v>44.178000000000004</v>
      </c>
      <c r="D547" s="4">
        <f>48.3252 * CHOOSE(CONTROL!$C$6, $C$13, 100%, $E$13) + CHOOSE(CONTROL!$C$25, 0, 0)</f>
        <v>48.325200000000002</v>
      </c>
      <c r="E547" s="4">
        <f>254.988060295047 * CHOOSE(CONTROL!$C$6, $C$13, 100%, $E$13) + CHOOSE(CONTROL!$C$25, 0, 0)</f>
        <v>254.98806029504701</v>
      </c>
    </row>
    <row r="548" spans="1:5" ht="15">
      <c r="A548" s="13">
        <v>58561</v>
      </c>
      <c r="B548" s="4">
        <f>46.2285 * CHOOSE(CONTROL!$C$6, $C$13, 100%, $E$13) + CHOOSE(CONTROL!$C$25, 0.0003, 0)</f>
        <v>46.2288</v>
      </c>
      <c r="C548" s="4">
        <f>45.916 * CHOOSE(CONTROL!$C$6, $C$13, 100%, $E$13) + CHOOSE(CONTROL!$C$25, 0.0003, 0)</f>
        <v>45.9163</v>
      </c>
      <c r="D548" s="4">
        <f>49.7054 * CHOOSE(CONTROL!$C$6, $C$13, 100%, $E$13) + CHOOSE(CONTROL!$C$25, 0, 0)</f>
        <v>49.705399999999997</v>
      </c>
      <c r="E548" s="4">
        <f>265.38917428753 * CHOOSE(CONTROL!$C$6, $C$13, 100%, $E$13) + CHOOSE(CONTROL!$C$25, 0, 0)</f>
        <v>265.38917428753001</v>
      </c>
    </row>
    <row r="549" spans="1:5" ht="15">
      <c r="A549" s="13">
        <v>58592</v>
      </c>
      <c r="B549" s="4">
        <f>47.2905 * CHOOSE(CONTROL!$C$6, $C$13, 100%, $E$13) + CHOOSE(CONTROL!$C$25, 0.0263, 0)</f>
        <v>47.316800000000001</v>
      </c>
      <c r="C549" s="4">
        <f>46.978 * CHOOSE(CONTROL!$C$6, $C$13, 100%, $E$13) + CHOOSE(CONTROL!$C$25, 0.0263, 0)</f>
        <v>47.004300000000001</v>
      </c>
      <c r="D549" s="4">
        <f>49.16 * CHOOSE(CONTROL!$C$6, $C$13, 100%, $E$13) + CHOOSE(CONTROL!$C$25, 0, 0)</f>
        <v>49.16</v>
      </c>
      <c r="E549" s="4">
        <f>271.744005657026 * CHOOSE(CONTROL!$C$6, $C$13, 100%, $E$13) + CHOOSE(CONTROL!$C$25, 0, 0)</f>
        <v>271.74400565702598</v>
      </c>
    </row>
    <row r="550" spans="1:5" ht="15">
      <c r="A550" s="13">
        <v>58622</v>
      </c>
      <c r="B550" s="4">
        <f>47.4342 * CHOOSE(CONTROL!$C$6, $C$13, 100%, $E$13) + CHOOSE(CONTROL!$C$25, 0.0263, 0)</f>
        <v>47.460499999999996</v>
      </c>
      <c r="C550" s="4">
        <f>47.1217 * CHOOSE(CONTROL!$C$6, $C$13, 100%, $E$13) + CHOOSE(CONTROL!$C$25, 0.0263, 0)</f>
        <v>47.147999999999996</v>
      </c>
      <c r="D550" s="4">
        <f>49.6042 * CHOOSE(CONTROL!$C$6, $C$13, 100%, $E$13) + CHOOSE(CONTROL!$C$25, 0, 0)</f>
        <v>49.604199999999999</v>
      </c>
      <c r="E550" s="4">
        <f>272.603840714411 * CHOOSE(CONTROL!$C$6, $C$13, 100%, $E$13) + CHOOSE(CONTROL!$C$25, 0, 0)</f>
        <v>272.60384071441098</v>
      </c>
    </row>
    <row r="551" spans="1:5" ht="15">
      <c r="A551" s="13">
        <v>58653</v>
      </c>
      <c r="B551" s="4">
        <f>47.4197 * CHOOSE(CONTROL!$C$6, $C$13, 100%, $E$13) + CHOOSE(CONTROL!$C$25, 0.0263, 0)</f>
        <v>47.445999999999998</v>
      </c>
      <c r="C551" s="4">
        <f>47.1072 * CHOOSE(CONTROL!$C$6, $C$13, 100%, $E$13) + CHOOSE(CONTROL!$C$25, 0.0263, 0)</f>
        <v>47.133499999999998</v>
      </c>
      <c r="D551" s="4">
        <f>50.4057 * CHOOSE(CONTROL!$C$6, $C$13, 100%, $E$13) + CHOOSE(CONTROL!$C$25, 0, 0)</f>
        <v>50.405700000000003</v>
      </c>
      <c r="E551" s="4">
        <f>272.517134658204 * CHOOSE(CONTROL!$C$6, $C$13, 100%, $E$13) + CHOOSE(CONTROL!$C$25, 0, 0)</f>
        <v>272.51713465820399</v>
      </c>
    </row>
    <row r="552" spans="1:5" ht="15">
      <c r="A552" s="13">
        <v>58684</v>
      </c>
      <c r="B552" s="4">
        <f>48.5102 * CHOOSE(CONTROL!$C$6, $C$13, 100%, $E$13) + CHOOSE(CONTROL!$C$25, 0.0263, 0)</f>
        <v>48.536499999999997</v>
      </c>
      <c r="C552" s="4">
        <f>48.1977 * CHOOSE(CONTROL!$C$6, $C$13, 100%, $E$13) + CHOOSE(CONTROL!$C$25, 0.0263, 0)</f>
        <v>48.223999999999997</v>
      </c>
      <c r="D552" s="4">
        <f>49.8764 * CHOOSE(CONTROL!$C$6, $C$13, 100%, $E$13) + CHOOSE(CONTROL!$C$25, 0, 0)</f>
        <v>49.876399999999997</v>
      </c>
      <c r="E552" s="4">
        <f>279.041765387771 * CHOOSE(CONTROL!$C$6, $C$13, 100%, $E$13) + CHOOSE(CONTROL!$C$25, 0, 0)</f>
        <v>279.04176538777102</v>
      </c>
    </row>
    <row r="553" spans="1:5" ht="15">
      <c r="A553" s="13">
        <v>58714</v>
      </c>
      <c r="B553" s="4">
        <f>46.6517 * CHOOSE(CONTROL!$C$6, $C$13, 100%, $E$13) + CHOOSE(CONTROL!$C$25, 0.0263, 0)</f>
        <v>46.677999999999997</v>
      </c>
      <c r="C553" s="4">
        <f>46.3392 * CHOOSE(CONTROL!$C$6, $C$13, 100%, $E$13) + CHOOSE(CONTROL!$C$25, 0.0263, 0)</f>
        <v>46.365499999999997</v>
      </c>
      <c r="D553" s="4">
        <f>49.6263 * CHOOSE(CONTROL!$C$6, $C$13, 100%, $E$13) + CHOOSE(CONTROL!$C$25, 0, 0)</f>
        <v>49.626300000000001</v>
      </c>
      <c r="E553" s="4">
        <f>267.921713679239 * CHOOSE(CONTROL!$C$6, $C$13, 100%, $E$13) + CHOOSE(CONTROL!$C$25, 0, 0)</f>
        <v>267.92171367923902</v>
      </c>
    </row>
    <row r="554" spans="1:5" ht="15">
      <c r="A554" s="13">
        <v>58745</v>
      </c>
      <c r="B554" s="4">
        <f>45.164 * CHOOSE(CONTROL!$C$6, $C$13, 100%, $E$13) + CHOOSE(CONTROL!$C$25, 0.0003, 0)</f>
        <v>45.164300000000004</v>
      </c>
      <c r="C554" s="4">
        <f>44.8515 * CHOOSE(CONTROL!$C$6, $C$13, 100%, $E$13) + CHOOSE(CONTROL!$C$25, 0.0003, 0)</f>
        <v>44.851800000000004</v>
      </c>
      <c r="D554" s="4">
        <f>48.9567 * CHOOSE(CONTROL!$C$6, $C$13, 100%, $E$13) + CHOOSE(CONTROL!$C$25, 0, 0)</f>
        <v>48.956699999999998</v>
      </c>
      <c r="E554" s="4">
        <f>259.019891908667 * CHOOSE(CONTROL!$C$6, $C$13, 100%, $E$13) + CHOOSE(CONTROL!$C$25, 0, 0)</f>
        <v>259.01989190866698</v>
      </c>
    </row>
    <row r="555" spans="1:5" ht="15">
      <c r="A555" s="13">
        <v>58775</v>
      </c>
      <c r="B555" s="4">
        <f>44.2058 * CHOOSE(CONTROL!$C$6, $C$13, 100%, $E$13) + CHOOSE(CONTROL!$C$25, 0.0003, 0)</f>
        <v>44.206100000000006</v>
      </c>
      <c r="C555" s="4">
        <f>43.8933 * CHOOSE(CONTROL!$C$6, $C$13, 100%, $E$13) + CHOOSE(CONTROL!$C$25, 0.0003, 0)</f>
        <v>43.893600000000006</v>
      </c>
      <c r="D555" s="4">
        <f>48.7265 * CHOOSE(CONTROL!$C$6, $C$13, 100%, $E$13) + CHOOSE(CONTROL!$C$25, 0, 0)</f>
        <v>48.726500000000001</v>
      </c>
      <c r="E555" s="4">
        <f>253.286453941988 * CHOOSE(CONTROL!$C$6, $C$13, 100%, $E$13) + CHOOSE(CONTROL!$C$25, 0, 0)</f>
        <v>253.28645394198799</v>
      </c>
    </row>
    <row r="556" spans="1:5" ht="15">
      <c r="A556" s="13">
        <v>58806</v>
      </c>
      <c r="B556" s="4">
        <f>43.5428 * CHOOSE(CONTROL!$C$6, $C$13, 100%, $E$13) + CHOOSE(CONTROL!$C$25, 0.0003, 0)</f>
        <v>43.543100000000003</v>
      </c>
      <c r="C556" s="4">
        <f>43.2303 * CHOOSE(CONTROL!$C$6, $C$13, 100%, $E$13) + CHOOSE(CONTROL!$C$25, 0.0003, 0)</f>
        <v>43.230600000000003</v>
      </c>
      <c r="D556" s="4">
        <f>47.0316 * CHOOSE(CONTROL!$C$6, $C$13, 100%, $E$13) + CHOOSE(CONTROL!$C$25, 0, 0)</f>
        <v>47.031599999999997</v>
      </c>
      <c r="E556" s="4">
        <f>249.319651870523 * CHOOSE(CONTROL!$C$6, $C$13, 100%, $E$13) + CHOOSE(CONTROL!$C$25, 0, 0)</f>
        <v>249.31965187052299</v>
      </c>
    </row>
    <row r="557" spans="1:5" ht="15">
      <c r="A557" s="13">
        <v>58837</v>
      </c>
      <c r="B557" s="4">
        <f>42.4657 * CHOOSE(CONTROL!$C$6, $C$13, 100%, $E$13) + CHOOSE(CONTROL!$C$25, 0.0003, 0)</f>
        <v>42.466000000000001</v>
      </c>
      <c r="C557" s="4">
        <f>42.1532 * CHOOSE(CONTROL!$C$6, $C$13, 100%, $E$13) + CHOOSE(CONTROL!$C$25, 0.0003, 0)</f>
        <v>42.153500000000001</v>
      </c>
      <c r="D557" s="4">
        <f>45.4739 * CHOOSE(CONTROL!$C$6, $C$13, 100%, $E$13) + CHOOSE(CONTROL!$C$25, 0, 0)</f>
        <v>45.4739</v>
      </c>
      <c r="E557" s="4">
        <f>242.170114336487 * CHOOSE(CONTROL!$C$6, $C$13, 100%, $E$13) + CHOOSE(CONTROL!$C$25, 0, 0)</f>
        <v>242.17011433648699</v>
      </c>
    </row>
    <row r="558" spans="1:5" ht="15">
      <c r="A558" s="13">
        <v>58865</v>
      </c>
      <c r="B558" s="4">
        <f>43.4295 * CHOOSE(CONTROL!$C$6, $C$13, 100%, $E$13) + CHOOSE(CONTROL!$C$25, 0.0003, 0)</f>
        <v>43.4298</v>
      </c>
      <c r="C558" s="4">
        <f>43.117 * CHOOSE(CONTROL!$C$6, $C$13, 100%, $E$13) + CHOOSE(CONTROL!$C$25, 0.0003, 0)</f>
        <v>43.1173</v>
      </c>
      <c r="D558" s="4">
        <f>47.0426 * CHOOSE(CONTROL!$C$6, $C$13, 100%, $E$13) + CHOOSE(CONTROL!$C$25, 0, 0)</f>
        <v>47.0426</v>
      </c>
      <c r="E558" s="4">
        <f>247.920187221325 * CHOOSE(CONTROL!$C$6, $C$13, 100%, $E$13) + CHOOSE(CONTROL!$C$25, 0, 0)</f>
        <v>247.92018722132499</v>
      </c>
    </row>
    <row r="559" spans="1:5" ht="15">
      <c r="A559" s="13">
        <v>58893</v>
      </c>
      <c r="B559" s="4">
        <f>45.9604 * CHOOSE(CONTROL!$C$6, $C$13, 100%, $E$13) + CHOOSE(CONTROL!$C$25, 0.0003, 0)</f>
        <v>45.960700000000003</v>
      </c>
      <c r="C559" s="4">
        <f>45.6479 * CHOOSE(CONTROL!$C$6, $C$13, 100%, $E$13) + CHOOSE(CONTROL!$C$25, 0.0003, 0)</f>
        <v>45.648200000000003</v>
      </c>
      <c r="D559" s="4">
        <f>49.4981 * CHOOSE(CONTROL!$C$6, $C$13, 100%, $E$13) + CHOOSE(CONTROL!$C$25, 0, 0)</f>
        <v>49.498100000000001</v>
      </c>
      <c r="E559" s="4">
        <f>263.020184194341 * CHOOSE(CONTROL!$C$6, $C$13, 100%, $E$13) + CHOOSE(CONTROL!$C$25, 0, 0)</f>
        <v>263.02018419434103</v>
      </c>
    </row>
    <row r="560" spans="1:5" ht="15">
      <c r="A560" s="13">
        <v>58926</v>
      </c>
      <c r="B560" s="4">
        <f>47.7587 * CHOOSE(CONTROL!$C$6, $C$13, 100%, $E$13) + CHOOSE(CONTROL!$C$25, 0.0003, 0)</f>
        <v>47.759</v>
      </c>
      <c r="C560" s="4">
        <f>47.4462 * CHOOSE(CONTROL!$C$6, $C$13, 100%, $E$13) + CHOOSE(CONTROL!$C$25, 0.0003, 0)</f>
        <v>47.4465</v>
      </c>
      <c r="D560" s="4">
        <f>50.9126 * CHOOSE(CONTROL!$C$6, $C$13, 100%, $E$13) + CHOOSE(CONTROL!$C$25, 0, 0)</f>
        <v>50.912599999999998</v>
      </c>
      <c r="E560" s="4">
        <f>273.748933277588 * CHOOSE(CONTROL!$C$6, $C$13, 100%, $E$13) + CHOOSE(CONTROL!$C$25, 0, 0)</f>
        <v>273.74893327758798</v>
      </c>
    </row>
    <row r="561" spans="1:5" ht="15">
      <c r="A561" s="13">
        <v>58957</v>
      </c>
      <c r="B561" s="4">
        <f>48.8574 * CHOOSE(CONTROL!$C$6, $C$13, 100%, $E$13) + CHOOSE(CONTROL!$C$25, 0.0263, 0)</f>
        <v>48.883699999999997</v>
      </c>
      <c r="C561" s="4">
        <f>48.5449 * CHOOSE(CONTROL!$C$6, $C$13, 100%, $E$13) + CHOOSE(CONTROL!$C$25, 0.0263, 0)</f>
        <v>48.571199999999997</v>
      </c>
      <c r="D561" s="4">
        <f>50.3537 * CHOOSE(CONTROL!$C$6, $C$13, 100%, $E$13) + CHOOSE(CONTROL!$C$25, 0, 0)</f>
        <v>50.353700000000003</v>
      </c>
      <c r="E561" s="4">
        <f>280.303941835222 * CHOOSE(CONTROL!$C$6, $C$13, 100%, $E$13) + CHOOSE(CONTROL!$C$25, 0, 0)</f>
        <v>280.30394183522202</v>
      </c>
    </row>
    <row r="562" spans="1:5" ht="15">
      <c r="A562" s="13">
        <v>58987</v>
      </c>
      <c r="B562" s="4">
        <f>49.006 * CHOOSE(CONTROL!$C$6, $C$13, 100%, $E$13) + CHOOSE(CONTROL!$C$25, 0.0263, 0)</f>
        <v>49.032299999999999</v>
      </c>
      <c r="C562" s="4">
        <f>48.6935 * CHOOSE(CONTROL!$C$6, $C$13, 100%, $E$13) + CHOOSE(CONTROL!$C$25, 0.0263, 0)</f>
        <v>48.719799999999999</v>
      </c>
      <c r="D562" s="4">
        <f>50.8089 * CHOOSE(CONTROL!$C$6, $C$13, 100%, $E$13) + CHOOSE(CONTROL!$C$25, 0, 0)</f>
        <v>50.808900000000001</v>
      </c>
      <c r="E562" s="4">
        <f>281.190861696915 * CHOOSE(CONTROL!$C$6, $C$13, 100%, $E$13) + CHOOSE(CONTROL!$C$25, 0, 0)</f>
        <v>281.19086169691502</v>
      </c>
    </row>
    <row r="563" spans="1:5" ht="15">
      <c r="A563" s="13">
        <v>59018</v>
      </c>
      <c r="B563" s="4">
        <f>48.991 * CHOOSE(CONTROL!$C$6, $C$13, 100%, $E$13) + CHOOSE(CONTROL!$C$25, 0.0263, 0)</f>
        <v>49.017299999999999</v>
      </c>
      <c r="C563" s="4">
        <f>48.6785 * CHOOSE(CONTROL!$C$6, $C$13, 100%, $E$13) + CHOOSE(CONTROL!$C$25, 0.0263, 0)</f>
        <v>48.704799999999999</v>
      </c>
      <c r="D563" s="4">
        <f>51.6303 * CHOOSE(CONTROL!$C$6, $C$13, 100%, $E$13) + CHOOSE(CONTROL!$C$25, 0, 0)</f>
        <v>51.630299999999998</v>
      </c>
      <c r="E563" s="4">
        <f>281.101424399937 * CHOOSE(CONTROL!$C$6, $C$13, 100%, $E$13) + CHOOSE(CONTROL!$C$25, 0, 0)</f>
        <v>281.101424399937</v>
      </c>
    </row>
    <row r="564" spans="1:5" ht="15">
      <c r="A564" s="13">
        <v>59049</v>
      </c>
      <c r="B564" s="4">
        <f>50.1191 * CHOOSE(CONTROL!$C$6, $C$13, 100%, $E$13) + CHOOSE(CONTROL!$C$25, 0.0263, 0)</f>
        <v>50.145400000000002</v>
      </c>
      <c r="C564" s="4">
        <f>49.8066 * CHOOSE(CONTROL!$C$6, $C$13, 100%, $E$13) + CHOOSE(CONTROL!$C$25, 0.0263, 0)</f>
        <v>49.832900000000002</v>
      </c>
      <c r="D564" s="4">
        <f>51.0878 * CHOOSE(CONTROL!$C$6, $C$13, 100%, $E$13) + CHOOSE(CONTROL!$C$25, 0, 0)</f>
        <v>51.087800000000001</v>
      </c>
      <c r="E564" s="4">
        <f>287.831580997486 * CHOOSE(CONTROL!$C$6, $C$13, 100%, $E$13) + CHOOSE(CONTROL!$C$25, 0, 0)</f>
        <v>287.83158099748601</v>
      </c>
    </row>
    <row r="565" spans="1:5" ht="15">
      <c r="A565" s="13">
        <v>59079</v>
      </c>
      <c r="B565" s="4">
        <f>48.1965 * CHOOSE(CONTROL!$C$6, $C$13, 100%, $E$13) + CHOOSE(CONTROL!$C$25, 0.0263, 0)</f>
        <v>48.222799999999999</v>
      </c>
      <c r="C565" s="4">
        <f>47.884 * CHOOSE(CONTROL!$C$6, $C$13, 100%, $E$13) + CHOOSE(CONTROL!$C$25, 0.0263, 0)</f>
        <v>47.910299999999999</v>
      </c>
      <c r="D565" s="4">
        <f>50.8315 * CHOOSE(CONTROL!$C$6, $C$13, 100%, $E$13) + CHOOSE(CONTROL!$C$25, 0, 0)</f>
        <v>50.831499999999998</v>
      </c>
      <c r="E565" s="4">
        <f>276.361247660136 * CHOOSE(CONTROL!$C$6, $C$13, 100%, $E$13) + CHOOSE(CONTROL!$C$25, 0, 0)</f>
        <v>276.36124766013597</v>
      </c>
    </row>
    <row r="566" spans="1:5" ht="15">
      <c r="A566" s="13">
        <v>59110</v>
      </c>
      <c r="B566" s="4">
        <f>46.6575 * CHOOSE(CONTROL!$C$6, $C$13, 100%, $E$13) + CHOOSE(CONTROL!$C$25, 0.0003, 0)</f>
        <v>46.657800000000002</v>
      </c>
      <c r="C566" s="4">
        <f>46.345 * CHOOSE(CONTROL!$C$6, $C$13, 100%, $E$13) + CHOOSE(CONTROL!$C$25, 0.0003, 0)</f>
        <v>46.345300000000002</v>
      </c>
      <c r="D566" s="4">
        <f>50.1453 * CHOOSE(CONTROL!$C$6, $C$13, 100%, $E$13) + CHOOSE(CONTROL!$C$25, 0, 0)</f>
        <v>50.145299999999999</v>
      </c>
      <c r="E566" s="4">
        <f>267.17901850379 * CHOOSE(CONTROL!$C$6, $C$13, 100%, $E$13) + CHOOSE(CONTROL!$C$25, 0, 0)</f>
        <v>267.17901850379002</v>
      </c>
    </row>
    <row r="567" spans="1:5" ht="15">
      <c r="A567" s="13">
        <v>59140</v>
      </c>
      <c r="B567" s="4">
        <f>45.6662 * CHOOSE(CONTROL!$C$6, $C$13, 100%, $E$13) + CHOOSE(CONTROL!$C$25, 0.0003, 0)</f>
        <v>45.666500000000006</v>
      </c>
      <c r="C567" s="4">
        <f>45.3537 * CHOOSE(CONTROL!$C$6, $C$13, 100%, $E$13) + CHOOSE(CONTROL!$C$25, 0.0003, 0)</f>
        <v>45.354000000000006</v>
      </c>
      <c r="D567" s="4">
        <f>49.9094 * CHOOSE(CONTROL!$C$6, $C$13, 100%, $E$13) + CHOOSE(CONTROL!$C$25, 0, 0)</f>
        <v>49.909399999999998</v>
      </c>
      <c r="E567" s="4">
        <f>261.26497724116 * CHOOSE(CONTROL!$C$6, $C$13, 100%, $E$13) + CHOOSE(CONTROL!$C$25, 0, 0)</f>
        <v>261.26497724116001</v>
      </c>
    </row>
    <row r="568" spans="1:5" ht="15">
      <c r="A568" s="13">
        <v>59171</v>
      </c>
      <c r="B568" s="4">
        <f>44.9804 * CHOOSE(CONTROL!$C$6, $C$13, 100%, $E$13) + CHOOSE(CONTROL!$C$25, 0.0003, 0)</f>
        <v>44.980700000000006</v>
      </c>
      <c r="C568" s="4">
        <f>44.6679 * CHOOSE(CONTROL!$C$6, $C$13, 100%, $E$13) + CHOOSE(CONTROL!$C$25, 0.0003, 0)</f>
        <v>44.668200000000006</v>
      </c>
      <c r="D568" s="4">
        <f>48.1725 * CHOOSE(CONTROL!$C$6, $C$13, 100%, $E$13) + CHOOSE(CONTROL!$C$25, 0, 0)</f>
        <v>48.172499999999999</v>
      </c>
      <c r="E568" s="4">
        <f>257.173220904445 * CHOOSE(CONTROL!$C$6, $C$13, 100%, $E$13) + CHOOSE(CONTROL!$C$25, 0, 0)</f>
        <v>257.17322090444497</v>
      </c>
    </row>
    <row r="569" spans="1:5" ht="15">
      <c r="A569" s="13">
        <v>59202</v>
      </c>
      <c r="B569" s="4">
        <f>43.866 * CHOOSE(CONTROL!$C$6, $C$13, 100%, $E$13) + CHOOSE(CONTROL!$C$25, 0.0003, 0)</f>
        <v>43.866300000000003</v>
      </c>
      <c r="C569" s="4">
        <f>43.5535 * CHOOSE(CONTROL!$C$6, $C$13, 100%, $E$13) + CHOOSE(CONTROL!$C$25, 0.0003, 0)</f>
        <v>43.553800000000003</v>
      </c>
      <c r="D569" s="4">
        <f>46.5762 * CHOOSE(CONTROL!$C$6, $C$13, 100%, $E$13) + CHOOSE(CONTROL!$C$25, 0, 0)</f>
        <v>46.5762</v>
      </c>
      <c r="E569" s="4">
        <f>249.798472938087 * CHOOSE(CONTROL!$C$6, $C$13, 100%, $E$13) + CHOOSE(CONTROL!$C$25, 0, 0)</f>
        <v>249.798472938087</v>
      </c>
    </row>
    <row r="570" spans="1:5" ht="15">
      <c r="A570" s="13">
        <v>59230</v>
      </c>
      <c r="B570" s="4">
        <f>44.8631 * CHOOSE(CONTROL!$C$6, $C$13, 100%, $E$13) + CHOOSE(CONTROL!$C$25, 0.0003, 0)</f>
        <v>44.863400000000006</v>
      </c>
      <c r="C570" s="4">
        <f>44.5506 * CHOOSE(CONTROL!$C$6, $C$13, 100%, $E$13) + CHOOSE(CONTROL!$C$25, 0.0003, 0)</f>
        <v>44.550900000000006</v>
      </c>
      <c r="D570" s="4">
        <f>48.1837 * CHOOSE(CONTROL!$C$6, $C$13, 100%, $E$13) + CHOOSE(CONTROL!$C$25, 0, 0)</f>
        <v>48.183700000000002</v>
      </c>
      <c r="E570" s="4">
        <f>255.729673118797 * CHOOSE(CONTROL!$C$6, $C$13, 100%, $E$13) + CHOOSE(CONTROL!$C$25, 0, 0)</f>
        <v>255.729673118797</v>
      </c>
    </row>
    <row r="571" spans="1:5" ht="15">
      <c r="A571" s="13">
        <v>59261</v>
      </c>
      <c r="B571" s="4">
        <f>47.4813 * CHOOSE(CONTROL!$C$6, $C$13, 100%, $E$13) + CHOOSE(CONTROL!$C$25, 0.0003, 0)</f>
        <v>47.4816</v>
      </c>
      <c r="C571" s="4">
        <f>47.1688 * CHOOSE(CONTROL!$C$6, $C$13, 100%, $E$13) + CHOOSE(CONTROL!$C$25, 0.0003, 0)</f>
        <v>47.1691</v>
      </c>
      <c r="D571" s="4">
        <f>50.7002 * CHOOSE(CONTROL!$C$6, $C$13, 100%, $E$13) + CHOOSE(CONTROL!$C$25, 0, 0)</f>
        <v>50.700200000000002</v>
      </c>
      <c r="E571" s="4">
        <f>271.305319996463 * CHOOSE(CONTROL!$C$6, $C$13, 100%, $E$13) + CHOOSE(CONTROL!$C$25, 0, 0)</f>
        <v>271.30531999646303</v>
      </c>
    </row>
    <row r="572" spans="1:5" ht="15">
      <c r="A572" s="13">
        <v>59291</v>
      </c>
      <c r="B572" s="4">
        <f>49.3416 * CHOOSE(CONTROL!$C$6, $C$13, 100%, $E$13) + CHOOSE(CONTROL!$C$25, 0.0003, 0)</f>
        <v>49.341900000000003</v>
      </c>
      <c r="C572" s="4">
        <f>49.0291 * CHOOSE(CONTROL!$C$6, $C$13, 100%, $E$13) + CHOOSE(CONTROL!$C$25, 0.0003, 0)</f>
        <v>49.029400000000003</v>
      </c>
      <c r="D572" s="4">
        <f>52.1497 * CHOOSE(CONTROL!$C$6, $C$13, 100%, $E$13) + CHOOSE(CONTROL!$C$25, 0, 0)</f>
        <v>52.149700000000003</v>
      </c>
      <c r="E572" s="4">
        <f>282.372024675832 * CHOOSE(CONTROL!$C$6, $C$13, 100%, $E$13) + CHOOSE(CONTROL!$C$25, 0, 0)</f>
        <v>282.37202467583199</v>
      </c>
    </row>
    <row r="573" spans="1:5" ht="15">
      <c r="A573" s="13">
        <v>59322</v>
      </c>
      <c r="B573" s="4">
        <f>50.4783 * CHOOSE(CONTROL!$C$6, $C$13, 100%, $E$13) + CHOOSE(CONTROL!$C$25, 0.0263, 0)</f>
        <v>50.504599999999996</v>
      </c>
      <c r="C573" s="4">
        <f>50.1658 * CHOOSE(CONTROL!$C$6, $C$13, 100%, $E$13) + CHOOSE(CONTROL!$C$25, 0.0263, 0)</f>
        <v>50.192099999999996</v>
      </c>
      <c r="D573" s="4">
        <f>51.5769 * CHOOSE(CONTROL!$C$6, $C$13, 100%, $E$13) + CHOOSE(CONTROL!$C$25, 0, 0)</f>
        <v>51.576900000000002</v>
      </c>
      <c r="E573" s="4">
        <f>289.133516003032 * CHOOSE(CONTROL!$C$6, $C$13, 100%, $E$13) + CHOOSE(CONTROL!$C$25, 0, 0)</f>
        <v>289.13351600303201</v>
      </c>
    </row>
    <row r="574" spans="1:5" ht="15">
      <c r="A574" s="13">
        <v>59352</v>
      </c>
      <c r="B574" s="4">
        <f>50.632 * CHOOSE(CONTROL!$C$6, $C$13, 100%, $E$13) + CHOOSE(CONTROL!$C$25, 0.0263, 0)</f>
        <v>50.658299999999997</v>
      </c>
      <c r="C574" s="4">
        <f>50.3195 * CHOOSE(CONTROL!$C$6, $C$13, 100%, $E$13) + CHOOSE(CONTROL!$C$25, 0.0263, 0)</f>
        <v>50.345799999999997</v>
      </c>
      <c r="D574" s="4">
        <f>52.0434 * CHOOSE(CONTROL!$C$6, $C$13, 100%, $E$13) + CHOOSE(CONTROL!$C$25, 0, 0)</f>
        <v>52.043399999999998</v>
      </c>
      <c r="E574" s="4">
        <f>290.048373840367 * CHOOSE(CONTROL!$C$6, $C$13, 100%, $E$13) + CHOOSE(CONTROL!$C$25, 0, 0)</f>
        <v>290.04837384036699</v>
      </c>
    </row>
    <row r="575" spans="1:5" ht="15">
      <c r="A575" s="13">
        <v>59383</v>
      </c>
      <c r="B575" s="4">
        <f>50.6165 * CHOOSE(CONTROL!$C$6, $C$13, 100%, $E$13) + CHOOSE(CONTROL!$C$25, 0.0263, 0)</f>
        <v>50.642800000000001</v>
      </c>
      <c r="C575" s="4">
        <f>50.304 * CHOOSE(CONTROL!$C$6, $C$13, 100%, $E$13) + CHOOSE(CONTROL!$C$25, 0.0263, 0)</f>
        <v>50.330300000000001</v>
      </c>
      <c r="D575" s="4">
        <f>52.8852 * CHOOSE(CONTROL!$C$6, $C$13, 100%, $E$13) + CHOOSE(CONTROL!$C$25, 0, 0)</f>
        <v>52.885199999999998</v>
      </c>
      <c r="E575" s="4">
        <f>289.956119268535 * CHOOSE(CONTROL!$C$6, $C$13, 100%, $E$13) + CHOOSE(CONTROL!$C$25, 0, 0)</f>
        <v>289.95611926853502</v>
      </c>
    </row>
    <row r="576" spans="1:5" ht="15">
      <c r="A576" s="13">
        <v>59414</v>
      </c>
      <c r="B576" s="4">
        <f>51.7835 * CHOOSE(CONTROL!$C$6, $C$13, 100%, $E$13) + CHOOSE(CONTROL!$C$25, 0.0263, 0)</f>
        <v>51.809799999999996</v>
      </c>
      <c r="C576" s="4">
        <f>51.471 * CHOOSE(CONTROL!$C$6, $C$13, 100%, $E$13) + CHOOSE(CONTROL!$C$25, 0.0263, 0)</f>
        <v>51.497299999999996</v>
      </c>
      <c r="D576" s="4">
        <f>52.3293 * CHOOSE(CONTROL!$C$6, $C$13, 100%, $E$13) + CHOOSE(CONTROL!$C$25, 0, 0)</f>
        <v>52.329300000000003</v>
      </c>
      <c r="E576" s="4">
        <f>296.898275798907 * CHOOSE(CONTROL!$C$6, $C$13, 100%, $E$13) + CHOOSE(CONTROL!$C$25, 0, 0)</f>
        <v>296.89827579890698</v>
      </c>
    </row>
    <row r="577" spans="1:5" ht="15">
      <c r="A577" s="13">
        <v>59444</v>
      </c>
      <c r="B577" s="4">
        <f>49.7946 * CHOOSE(CONTROL!$C$6, $C$13, 100%, $E$13) + CHOOSE(CONTROL!$C$25, 0.0263, 0)</f>
        <v>49.820900000000002</v>
      </c>
      <c r="C577" s="4">
        <f>49.4821 * CHOOSE(CONTROL!$C$6, $C$13, 100%, $E$13) + CHOOSE(CONTROL!$C$25, 0.0263, 0)</f>
        <v>49.508400000000002</v>
      </c>
      <c r="D577" s="4">
        <f>52.0666 * CHOOSE(CONTROL!$C$6, $C$13, 100%, $E$13) + CHOOSE(CONTROL!$C$25, 0, 0)</f>
        <v>52.066600000000001</v>
      </c>
      <c r="E577" s="4">
        <f>285.06662696143 * CHOOSE(CONTROL!$C$6, $C$13, 100%, $E$13) + CHOOSE(CONTROL!$C$25, 0, 0)</f>
        <v>285.06662696143002</v>
      </c>
    </row>
    <row r="578" spans="1:5" ht="15">
      <c r="A578" s="13">
        <v>59475</v>
      </c>
      <c r="B578" s="4">
        <f>48.2025 * CHOOSE(CONTROL!$C$6, $C$13, 100%, $E$13) + CHOOSE(CONTROL!$C$25, 0.0003, 0)</f>
        <v>48.202800000000003</v>
      </c>
      <c r="C578" s="4">
        <f>47.89 * CHOOSE(CONTROL!$C$6, $C$13, 100%, $E$13) + CHOOSE(CONTROL!$C$25, 0.0003, 0)</f>
        <v>47.890300000000003</v>
      </c>
      <c r="D578" s="4">
        <f>51.3634 * CHOOSE(CONTROL!$C$6, $C$13, 100%, $E$13) + CHOOSE(CONTROL!$C$25, 0, 0)</f>
        <v>51.363399999999999</v>
      </c>
      <c r="E578" s="4">
        <f>275.59515758666 * CHOOSE(CONTROL!$C$6, $C$13, 100%, $E$13) + CHOOSE(CONTROL!$C$25, 0, 0)</f>
        <v>275.59515758665998</v>
      </c>
    </row>
    <row r="579" spans="1:5" ht="15">
      <c r="A579" s="13">
        <v>59505</v>
      </c>
      <c r="B579" s="4">
        <f>47.177 * CHOOSE(CONTROL!$C$6, $C$13, 100%, $E$13) + CHOOSE(CONTROL!$C$25, 0.0003, 0)</f>
        <v>47.177300000000002</v>
      </c>
      <c r="C579" s="4">
        <f>46.8645 * CHOOSE(CONTROL!$C$6, $C$13, 100%, $E$13) + CHOOSE(CONTROL!$C$25, 0.0003, 0)</f>
        <v>46.864800000000002</v>
      </c>
      <c r="D579" s="4">
        <f>51.1216 * CHOOSE(CONTROL!$C$6, $C$13, 100%, $E$13) + CHOOSE(CONTROL!$C$25, 0, 0)</f>
        <v>51.121600000000001</v>
      </c>
      <c r="E579" s="4">
        <f>269.494824024257 * CHOOSE(CONTROL!$C$6, $C$13, 100%, $E$13) + CHOOSE(CONTROL!$C$25, 0, 0)</f>
        <v>269.49482402425701</v>
      </c>
    </row>
    <row r="580" spans="1:5" ht="15">
      <c r="A580" s="13">
        <v>59536</v>
      </c>
      <c r="B580" s="4">
        <f>46.4675 * CHOOSE(CONTROL!$C$6, $C$13, 100%, $E$13) + CHOOSE(CONTROL!$C$25, 0.0003, 0)</f>
        <v>46.467800000000004</v>
      </c>
      <c r="C580" s="4">
        <f>46.155 * CHOOSE(CONTROL!$C$6, $C$13, 100%, $E$13) + CHOOSE(CONTROL!$C$25, 0.0003, 0)</f>
        <v>46.155300000000004</v>
      </c>
      <c r="D580" s="4">
        <f>49.3417 * CHOOSE(CONTROL!$C$6, $C$13, 100%, $E$13) + CHOOSE(CONTROL!$C$25, 0, 0)</f>
        <v>49.341700000000003</v>
      </c>
      <c r="E580" s="4">
        <f>265.274177362935 * CHOOSE(CONTROL!$C$6, $C$13, 100%, $E$13) + CHOOSE(CONTROL!$C$25, 0, 0)</f>
        <v>265.27417736293501</v>
      </c>
    </row>
    <row r="581" spans="1:5" ht="15">
      <c r="A581" s="13">
        <v>59567</v>
      </c>
      <c r="B581" s="4">
        <f>45.3147 * CHOOSE(CONTROL!$C$6, $C$13, 100%, $E$13) + CHOOSE(CONTROL!$C$25, 0.0003, 0)</f>
        <v>45.315000000000005</v>
      </c>
      <c r="C581" s="4">
        <f>45.0022 * CHOOSE(CONTROL!$C$6, $C$13, 100%, $E$13) + CHOOSE(CONTROL!$C$25, 0.0003, 0)</f>
        <v>45.002500000000005</v>
      </c>
      <c r="D581" s="4">
        <f>47.7057 * CHOOSE(CONTROL!$C$6, $C$13, 100%, $E$13) + CHOOSE(CONTROL!$C$25, 0, 0)</f>
        <v>47.7057</v>
      </c>
      <c r="E581" s="4">
        <f>257.667124835637 * CHOOSE(CONTROL!$C$6, $C$13, 100%, $E$13) + CHOOSE(CONTROL!$C$25, 0, 0)</f>
        <v>257.66712483563703</v>
      </c>
    </row>
    <row r="582" spans="1:5" ht="15">
      <c r="A582" s="13">
        <v>59595</v>
      </c>
      <c r="B582" s="4">
        <f>46.3462 * CHOOSE(CONTROL!$C$6, $C$13, 100%, $E$13) + CHOOSE(CONTROL!$C$25, 0.0003, 0)</f>
        <v>46.346500000000006</v>
      </c>
      <c r="C582" s="4">
        <f>46.0337 * CHOOSE(CONTROL!$C$6, $C$13, 100%, $E$13) + CHOOSE(CONTROL!$C$25, 0.0003, 0)</f>
        <v>46.034000000000006</v>
      </c>
      <c r="D582" s="4">
        <f>49.3531 * CHOOSE(CONTROL!$C$6, $C$13, 100%, $E$13) + CHOOSE(CONTROL!$C$25, 0, 0)</f>
        <v>49.353099999999998</v>
      </c>
      <c r="E582" s="4">
        <f>263.785157822039 * CHOOSE(CONTROL!$C$6, $C$13, 100%, $E$13) + CHOOSE(CONTROL!$C$25, 0, 0)</f>
        <v>263.78515782203903</v>
      </c>
    </row>
    <row r="583" spans="1:5" ht="15">
      <c r="A583" s="13">
        <v>59626</v>
      </c>
      <c r="B583" s="4">
        <f>49.0548 * CHOOSE(CONTROL!$C$6, $C$13, 100%, $E$13) + CHOOSE(CONTROL!$C$25, 0.0003, 0)</f>
        <v>49.055100000000003</v>
      </c>
      <c r="C583" s="4">
        <f>48.7423 * CHOOSE(CONTROL!$C$6, $C$13, 100%, $E$13) + CHOOSE(CONTROL!$C$25, 0.0003, 0)</f>
        <v>48.742600000000003</v>
      </c>
      <c r="D583" s="4">
        <f>51.932 * CHOOSE(CONTROL!$C$6, $C$13, 100%, $E$13) + CHOOSE(CONTROL!$C$25, 0, 0)</f>
        <v>51.932000000000002</v>
      </c>
      <c r="E583" s="4">
        <f>279.851437576352 * CHOOSE(CONTROL!$C$6, $C$13, 100%, $E$13) + CHOOSE(CONTROL!$C$25, 0, 0)</f>
        <v>279.851437576352</v>
      </c>
    </row>
    <row r="584" spans="1:5" ht="15">
      <c r="A584" s="13">
        <v>59656</v>
      </c>
      <c r="B584" s="4">
        <f>50.9792 * CHOOSE(CONTROL!$C$6, $C$13, 100%, $E$13) + CHOOSE(CONTROL!$C$25, 0.0003, 0)</f>
        <v>50.979500000000002</v>
      </c>
      <c r="C584" s="4">
        <f>50.6667 * CHOOSE(CONTROL!$C$6, $C$13, 100%, $E$13) + CHOOSE(CONTROL!$C$25, 0.0003, 0)</f>
        <v>50.667000000000002</v>
      </c>
      <c r="D584" s="4">
        <f>53.4175 * CHOOSE(CONTROL!$C$6, $C$13, 100%, $E$13) + CHOOSE(CONTROL!$C$25, 0, 0)</f>
        <v>53.417499999999997</v>
      </c>
      <c r="E584" s="4">
        <f>291.26674345312 * CHOOSE(CONTROL!$C$6, $C$13, 100%, $E$13) + CHOOSE(CONTROL!$C$25, 0, 0)</f>
        <v>291.26674345312</v>
      </c>
    </row>
    <row r="585" spans="1:5" ht="15">
      <c r="A585" s="13">
        <v>59687</v>
      </c>
      <c r="B585" s="4">
        <f>52.1551 * CHOOSE(CONTROL!$C$6, $C$13, 100%, $E$13) + CHOOSE(CONTROL!$C$25, 0.0263, 0)</f>
        <v>52.181399999999996</v>
      </c>
      <c r="C585" s="4">
        <f>51.8426 * CHOOSE(CONTROL!$C$6, $C$13, 100%, $E$13) + CHOOSE(CONTROL!$C$25, 0.0263, 0)</f>
        <v>51.868899999999996</v>
      </c>
      <c r="D585" s="4">
        <f>52.8305 * CHOOSE(CONTROL!$C$6, $C$13, 100%, $E$13) + CHOOSE(CONTROL!$C$25, 0, 0)</f>
        <v>52.830500000000001</v>
      </c>
      <c r="E585" s="4">
        <f>298.241221757127 * CHOOSE(CONTROL!$C$6, $C$13, 100%, $E$13) + CHOOSE(CONTROL!$C$25, 0, 0)</f>
        <v>298.24122175712699</v>
      </c>
    </row>
    <row r="586" spans="1:5" ht="15">
      <c r="A586" s="13">
        <v>59717</v>
      </c>
      <c r="B586" s="4">
        <f>52.3142 * CHOOSE(CONTROL!$C$6, $C$13, 100%, $E$13) + CHOOSE(CONTROL!$C$25, 0.0263, 0)</f>
        <v>52.340499999999999</v>
      </c>
      <c r="C586" s="4">
        <f>52.0017 * CHOOSE(CONTROL!$C$6, $C$13, 100%, $E$13) + CHOOSE(CONTROL!$C$25, 0.0263, 0)</f>
        <v>52.027999999999999</v>
      </c>
      <c r="D586" s="4">
        <f>53.3086 * CHOOSE(CONTROL!$C$6, $C$13, 100%, $E$13) + CHOOSE(CONTROL!$C$25, 0, 0)</f>
        <v>53.308599999999998</v>
      </c>
      <c r="E586" s="4">
        <f>299.184897616339 * CHOOSE(CONTROL!$C$6, $C$13, 100%, $E$13) + CHOOSE(CONTROL!$C$25, 0, 0)</f>
        <v>299.18489761633901</v>
      </c>
    </row>
    <row r="587" spans="1:5" ht="15">
      <c r="A587" s="13">
        <v>59748</v>
      </c>
      <c r="B587" s="4">
        <f>52.2981 * CHOOSE(CONTROL!$C$6, $C$13, 100%, $E$13) + CHOOSE(CONTROL!$C$25, 0.0263, 0)</f>
        <v>52.324399999999997</v>
      </c>
      <c r="C587" s="4">
        <f>51.9856 * CHOOSE(CONTROL!$C$6, $C$13, 100%, $E$13) + CHOOSE(CONTROL!$C$25, 0.0263, 0)</f>
        <v>52.011899999999997</v>
      </c>
      <c r="D587" s="4">
        <f>54.1712 * CHOOSE(CONTROL!$C$6, $C$13, 100%, $E$13) + CHOOSE(CONTROL!$C$25, 0, 0)</f>
        <v>54.171199999999999</v>
      </c>
      <c r="E587" s="4">
        <f>299.089737025494 * CHOOSE(CONTROL!$C$6, $C$13, 100%, $E$13) + CHOOSE(CONTROL!$C$25, 0, 0)</f>
        <v>299.089737025494</v>
      </c>
    </row>
    <row r="588" spans="1:5" ht="15">
      <c r="A588" s="13">
        <v>59779</v>
      </c>
      <c r="B588" s="4">
        <f>53.5054 * CHOOSE(CONTROL!$C$6, $C$13, 100%, $E$13) + CHOOSE(CONTROL!$C$25, 0.0263, 0)</f>
        <v>53.531700000000001</v>
      </c>
      <c r="C588" s="4">
        <f>53.1929 * CHOOSE(CONTROL!$C$6, $C$13, 100%, $E$13) + CHOOSE(CONTROL!$C$25, 0.0263, 0)</f>
        <v>53.219200000000001</v>
      </c>
      <c r="D588" s="4">
        <f>53.6015 * CHOOSE(CONTROL!$C$6, $C$13, 100%, $E$13) + CHOOSE(CONTROL!$C$25, 0, 0)</f>
        <v>53.601500000000001</v>
      </c>
      <c r="E588" s="4">
        <f>306.250571486572 * CHOOSE(CONTROL!$C$6, $C$13, 100%, $E$13) + CHOOSE(CONTROL!$C$25, 0, 0)</f>
        <v>306.25057148657203</v>
      </c>
    </row>
    <row r="589" spans="1:5" ht="15">
      <c r="A589" s="13">
        <v>59809</v>
      </c>
      <c r="B589" s="4">
        <f>51.4478 * CHOOSE(CONTROL!$C$6, $C$13, 100%, $E$13) + CHOOSE(CONTROL!$C$25, 0.0263, 0)</f>
        <v>51.4741</v>
      </c>
      <c r="C589" s="4">
        <f>51.1353 * CHOOSE(CONTROL!$C$6, $C$13, 100%, $E$13) + CHOOSE(CONTROL!$C$25, 0.0263, 0)</f>
        <v>51.1616</v>
      </c>
      <c r="D589" s="4">
        <f>53.3324 * CHOOSE(CONTROL!$C$6, $C$13, 100%, $E$13) + CHOOSE(CONTROL!$C$25, 0, 0)</f>
        <v>53.3324</v>
      </c>
      <c r="E589" s="4">
        <f>294.046225710715 * CHOOSE(CONTROL!$C$6, $C$13, 100%, $E$13) + CHOOSE(CONTROL!$C$25, 0, 0)</f>
        <v>294.04622571071502</v>
      </c>
    </row>
    <row r="590" spans="1:5" ht="15">
      <c r="A590" s="13">
        <v>59840</v>
      </c>
      <c r="B590" s="4">
        <f>49.8008 * CHOOSE(CONTROL!$C$6, $C$13, 100%, $E$13) + CHOOSE(CONTROL!$C$25, 0.0003, 0)</f>
        <v>49.801100000000005</v>
      </c>
      <c r="C590" s="4">
        <f>49.4883 * CHOOSE(CONTROL!$C$6, $C$13, 100%, $E$13) + CHOOSE(CONTROL!$C$25, 0.0003, 0)</f>
        <v>49.488600000000005</v>
      </c>
      <c r="D590" s="4">
        <f>52.6117 * CHOOSE(CONTROL!$C$6, $C$13, 100%, $E$13) + CHOOSE(CONTROL!$C$25, 0, 0)</f>
        <v>52.611699999999999</v>
      </c>
      <c r="E590" s="4">
        <f>284.276405050639 * CHOOSE(CONTROL!$C$6, $C$13, 100%, $E$13) + CHOOSE(CONTROL!$C$25, 0, 0)</f>
        <v>284.27640505063903</v>
      </c>
    </row>
    <row r="591" spans="1:5" ht="15">
      <c r="A591" s="13">
        <v>59870</v>
      </c>
      <c r="B591" s="4">
        <f>48.7399 * CHOOSE(CONTROL!$C$6, $C$13, 100%, $E$13) + CHOOSE(CONTROL!$C$25, 0.0003, 0)</f>
        <v>48.740200000000002</v>
      </c>
      <c r="C591" s="4">
        <f>48.4274 * CHOOSE(CONTROL!$C$6, $C$13, 100%, $E$13) + CHOOSE(CONTROL!$C$25, 0.0003, 0)</f>
        <v>48.427700000000002</v>
      </c>
      <c r="D591" s="4">
        <f>52.3639 * CHOOSE(CONTROL!$C$6, $C$13, 100%, $E$13) + CHOOSE(CONTROL!$C$25, 0, 0)</f>
        <v>52.363900000000001</v>
      </c>
      <c r="E591" s="4">
        <f>277.983910981021 * CHOOSE(CONTROL!$C$6, $C$13, 100%, $E$13) + CHOOSE(CONTROL!$C$25, 0, 0)</f>
        <v>277.98391098102098</v>
      </c>
    </row>
    <row r="592" spans="1:5" ht="15">
      <c r="A592" s="13">
        <v>59901</v>
      </c>
      <c r="B592" s="4">
        <f>48.0059 * CHOOSE(CONTROL!$C$6, $C$13, 100%, $E$13) + CHOOSE(CONTROL!$C$25, 0.0003, 0)</f>
        <v>48.0062</v>
      </c>
      <c r="C592" s="4">
        <f>47.6934 * CHOOSE(CONTROL!$C$6, $C$13, 100%, $E$13) + CHOOSE(CONTROL!$C$25, 0.0003, 0)</f>
        <v>47.6937</v>
      </c>
      <c r="D592" s="4">
        <f>50.5398 * CHOOSE(CONTROL!$C$6, $C$13, 100%, $E$13) + CHOOSE(CONTROL!$C$25, 0, 0)</f>
        <v>50.5398</v>
      </c>
      <c r="E592" s="4">
        <f>273.630313949867 * CHOOSE(CONTROL!$C$6, $C$13, 100%, $E$13) + CHOOSE(CONTROL!$C$25, 0, 0)</f>
        <v>273.630313949867</v>
      </c>
    </row>
    <row r="593" spans="1:5" ht="15">
      <c r="A593" s="13">
        <v>59932</v>
      </c>
      <c r="B593" s="4">
        <f>46.8134 * CHOOSE(CONTROL!$C$6, $C$13, 100%, $E$13) + CHOOSE(CONTROL!$C$25, 0.0003, 0)</f>
        <v>46.813700000000004</v>
      </c>
      <c r="C593" s="4">
        <f>46.5009 * CHOOSE(CONTROL!$C$6, $C$13, 100%, $E$13) + CHOOSE(CONTROL!$C$25, 0.0003, 0)</f>
        <v>46.501200000000004</v>
      </c>
      <c r="D593" s="4">
        <f>48.8633 * CHOOSE(CONTROL!$C$6, $C$13, 100%, $E$13) + CHOOSE(CONTROL!$C$25, 0, 0)</f>
        <v>48.863300000000002</v>
      </c>
      <c r="E593" s="4">
        <f>265.783639267959 * CHOOSE(CONTROL!$C$6, $C$13, 100%, $E$13) + CHOOSE(CONTROL!$C$25, 0, 0)</f>
        <v>265.78363926795902</v>
      </c>
    </row>
    <row r="594" spans="1:5" ht="15">
      <c r="A594" s="13">
        <v>59961</v>
      </c>
      <c r="B594" s="4">
        <f>47.8804 * CHOOSE(CONTROL!$C$6, $C$13, 100%, $E$13) + CHOOSE(CONTROL!$C$25, 0.0003, 0)</f>
        <v>47.880700000000004</v>
      </c>
      <c r="C594" s="4">
        <f>47.5679 * CHOOSE(CONTROL!$C$6, $C$13, 100%, $E$13) + CHOOSE(CONTROL!$C$25, 0.0003, 0)</f>
        <v>47.568200000000004</v>
      </c>
      <c r="D594" s="4">
        <f>50.5516 * CHOOSE(CONTROL!$C$6, $C$13, 100%, $E$13) + CHOOSE(CONTROL!$C$25, 0, 0)</f>
        <v>50.551600000000001</v>
      </c>
      <c r="E594" s="4">
        <f>272.094390293434 * CHOOSE(CONTROL!$C$6, $C$13, 100%, $E$13) + CHOOSE(CONTROL!$C$25, 0, 0)</f>
        <v>272.094390293434</v>
      </c>
    </row>
    <row r="595" spans="1:5" ht="15">
      <c r="A595" s="13">
        <v>59992</v>
      </c>
      <c r="B595" s="4">
        <f>50.6825 * CHOOSE(CONTROL!$C$6, $C$13, 100%, $E$13) + CHOOSE(CONTROL!$C$25, 0.0003, 0)</f>
        <v>50.6828</v>
      </c>
      <c r="C595" s="4">
        <f>50.37 * CHOOSE(CONTROL!$C$6, $C$13, 100%, $E$13) + CHOOSE(CONTROL!$C$25, 0.0003, 0)</f>
        <v>50.3703</v>
      </c>
      <c r="D595" s="4">
        <f>53.1944 * CHOOSE(CONTROL!$C$6, $C$13, 100%, $E$13) + CHOOSE(CONTROL!$C$25, 0, 0)</f>
        <v>53.194400000000002</v>
      </c>
      <c r="E595" s="4">
        <f>288.666757860007 * CHOOSE(CONTROL!$C$6, $C$13, 100%, $E$13) + CHOOSE(CONTROL!$C$25, 0, 0)</f>
        <v>288.66675786000701</v>
      </c>
    </row>
    <row r="596" spans="1:5" ht="15">
      <c r="A596" s="13">
        <v>60022</v>
      </c>
      <c r="B596" s="4">
        <f>52.6733 * CHOOSE(CONTROL!$C$6, $C$13, 100%, $E$13) + CHOOSE(CONTROL!$C$25, 0.0003, 0)</f>
        <v>52.6736</v>
      </c>
      <c r="C596" s="4">
        <f>52.3608 * CHOOSE(CONTROL!$C$6, $C$13, 100%, $E$13) + CHOOSE(CONTROL!$C$25, 0.0003, 0)</f>
        <v>52.3611</v>
      </c>
      <c r="D596" s="4">
        <f>54.7168 * CHOOSE(CONTROL!$C$6, $C$13, 100%, $E$13) + CHOOSE(CONTROL!$C$25, 0, 0)</f>
        <v>54.716799999999999</v>
      </c>
      <c r="E596" s="4">
        <f>300.441645871894 * CHOOSE(CONTROL!$C$6, $C$13, 100%, $E$13) + CHOOSE(CONTROL!$C$25, 0, 0)</f>
        <v>300.44164587189402</v>
      </c>
    </row>
    <row r="597" spans="1:5" ht="15">
      <c r="A597" s="13">
        <v>60053</v>
      </c>
      <c r="B597" s="4">
        <f>53.8897 * CHOOSE(CONTROL!$C$6, $C$13, 100%, $E$13) + CHOOSE(CONTROL!$C$25, 0.0263, 0)</f>
        <v>53.915999999999997</v>
      </c>
      <c r="C597" s="4">
        <f>53.5772 * CHOOSE(CONTROL!$C$6, $C$13, 100%, $E$13) + CHOOSE(CONTROL!$C$25, 0.0263, 0)</f>
        <v>53.603499999999997</v>
      </c>
      <c r="D597" s="4">
        <f>54.1152 * CHOOSE(CONTROL!$C$6, $C$13, 100%, $E$13) + CHOOSE(CONTROL!$C$25, 0, 0)</f>
        <v>54.115200000000002</v>
      </c>
      <c r="E597" s="4">
        <f>307.635820242477 * CHOOSE(CONTROL!$C$6, $C$13, 100%, $E$13) + CHOOSE(CONTROL!$C$25, 0, 0)</f>
        <v>307.635820242477</v>
      </c>
    </row>
    <row r="598" spans="1:5" ht="15">
      <c r="A598" s="13">
        <v>60083</v>
      </c>
      <c r="B598" s="4">
        <f>54.0543 * CHOOSE(CONTROL!$C$6, $C$13, 100%, $E$13) + CHOOSE(CONTROL!$C$25, 0.0263, 0)</f>
        <v>54.080599999999997</v>
      </c>
      <c r="C598" s="4">
        <f>53.7418 * CHOOSE(CONTROL!$C$6, $C$13, 100%, $E$13) + CHOOSE(CONTROL!$C$25, 0.0263, 0)</f>
        <v>53.768099999999997</v>
      </c>
      <c r="D598" s="4">
        <f>54.6051 * CHOOSE(CONTROL!$C$6, $C$13, 100%, $E$13) + CHOOSE(CONTROL!$C$25, 0, 0)</f>
        <v>54.6051</v>
      </c>
      <c r="E598" s="4">
        <f>308.609221891254 * CHOOSE(CONTROL!$C$6, $C$13, 100%, $E$13) + CHOOSE(CONTROL!$C$25, 0, 0)</f>
        <v>308.60922189125398</v>
      </c>
    </row>
    <row r="599" spans="1:5" ht="15">
      <c r="A599" s="13">
        <v>60114</v>
      </c>
      <c r="B599" s="4">
        <f>54.0377 * CHOOSE(CONTROL!$C$6, $C$13, 100%, $E$13) + CHOOSE(CONTROL!$C$25, 0.0263, 0)</f>
        <v>54.064</v>
      </c>
      <c r="C599" s="4">
        <f>53.7252 * CHOOSE(CONTROL!$C$6, $C$13, 100%, $E$13) + CHOOSE(CONTROL!$C$25, 0.0263, 0)</f>
        <v>53.7515</v>
      </c>
      <c r="D599" s="4">
        <f>55.4891 * CHOOSE(CONTROL!$C$6, $C$13, 100%, $E$13) + CHOOSE(CONTROL!$C$25, 0, 0)</f>
        <v>55.489100000000001</v>
      </c>
      <c r="E599" s="4">
        <f>308.511063741797 * CHOOSE(CONTROL!$C$6, $C$13, 100%, $E$13) + CHOOSE(CONTROL!$C$25, 0, 0)</f>
        <v>308.51106374179699</v>
      </c>
    </row>
    <row r="600" spans="1:5" ht="15">
      <c r="A600" s="13">
        <v>60145</v>
      </c>
      <c r="B600" s="4">
        <f>55.2866 * CHOOSE(CONTROL!$C$6, $C$13, 100%, $E$13) + CHOOSE(CONTROL!$C$25, 0.0263, 0)</f>
        <v>55.312899999999999</v>
      </c>
      <c r="C600" s="4">
        <f>54.9741 * CHOOSE(CONTROL!$C$6, $C$13, 100%, $E$13) + CHOOSE(CONTROL!$C$25, 0.0263, 0)</f>
        <v>55.000399999999999</v>
      </c>
      <c r="D600" s="4">
        <f>54.9053 * CHOOSE(CONTROL!$C$6, $C$13, 100%, $E$13) + CHOOSE(CONTROL!$C$25, 0, 0)</f>
        <v>54.905299999999997</v>
      </c>
      <c r="E600" s="4">
        <f>315.897464488399 * CHOOSE(CONTROL!$C$6, $C$13, 100%, $E$13) + CHOOSE(CONTROL!$C$25, 0, 0)</f>
        <v>315.89746448839901</v>
      </c>
    </row>
    <row r="601" spans="1:5" ht="15">
      <c r="A601" s="13">
        <v>60175</v>
      </c>
      <c r="B601" s="4">
        <f>53.1581 * CHOOSE(CONTROL!$C$6, $C$13, 100%, $E$13) + CHOOSE(CONTROL!$C$25, 0.0263, 0)</f>
        <v>53.184399999999997</v>
      </c>
      <c r="C601" s="4">
        <f>52.8456 * CHOOSE(CONTROL!$C$6, $C$13, 100%, $E$13) + CHOOSE(CONTROL!$C$25, 0.0263, 0)</f>
        <v>52.871899999999997</v>
      </c>
      <c r="D601" s="4">
        <f>54.6295 * CHOOSE(CONTROL!$C$6, $C$13, 100%, $E$13) + CHOOSE(CONTROL!$C$25, 0, 0)</f>
        <v>54.6295</v>
      </c>
      <c r="E601" s="4">
        <f>303.308681820602 * CHOOSE(CONTROL!$C$6, $C$13, 100%, $E$13) + CHOOSE(CONTROL!$C$25, 0, 0)</f>
        <v>303.30868182060198</v>
      </c>
    </row>
    <row r="602" spans="1:5" ht="15">
      <c r="A602" s="13">
        <v>60206</v>
      </c>
      <c r="B602" s="4">
        <f>51.4542 * CHOOSE(CONTROL!$C$6, $C$13, 100%, $E$13) + CHOOSE(CONTROL!$C$25, 0.0003, 0)</f>
        <v>51.454500000000003</v>
      </c>
      <c r="C602" s="4">
        <f>51.1417 * CHOOSE(CONTROL!$C$6, $C$13, 100%, $E$13) + CHOOSE(CONTROL!$C$25, 0.0003, 0)</f>
        <v>51.142000000000003</v>
      </c>
      <c r="D602" s="4">
        <f>53.8909 * CHOOSE(CONTROL!$C$6, $C$13, 100%, $E$13) + CHOOSE(CONTROL!$C$25, 0, 0)</f>
        <v>53.890900000000002</v>
      </c>
      <c r="E602" s="4">
        <f>293.231111809735 * CHOOSE(CONTROL!$C$6, $C$13, 100%, $E$13) + CHOOSE(CONTROL!$C$25, 0, 0)</f>
        <v>293.23111180973501</v>
      </c>
    </row>
    <row r="603" spans="1:5" ht="15">
      <c r="A603" s="13">
        <v>60236</v>
      </c>
      <c r="B603" s="4">
        <f>50.3568 * CHOOSE(CONTROL!$C$6, $C$13, 100%, $E$13) + CHOOSE(CONTROL!$C$25, 0.0003, 0)</f>
        <v>50.357100000000003</v>
      </c>
      <c r="C603" s="4">
        <f>50.0443 * CHOOSE(CONTROL!$C$6, $C$13, 100%, $E$13) + CHOOSE(CONTROL!$C$25, 0.0003, 0)</f>
        <v>50.044600000000003</v>
      </c>
      <c r="D603" s="4">
        <f>53.637 * CHOOSE(CONTROL!$C$6, $C$13, 100%, $E$13) + CHOOSE(CONTROL!$C$25, 0, 0)</f>
        <v>53.637</v>
      </c>
      <c r="E603" s="4">
        <f>286.740404176923 * CHOOSE(CONTROL!$C$6, $C$13, 100%, $E$13) + CHOOSE(CONTROL!$C$25, 0, 0)</f>
        <v>286.74040417692299</v>
      </c>
    </row>
    <row r="604" spans="1:5" ht="15">
      <c r="A604" s="13">
        <v>60267</v>
      </c>
      <c r="B604" s="4">
        <f>49.5975 * CHOOSE(CONTROL!$C$6, $C$13, 100%, $E$13) + CHOOSE(CONTROL!$C$25, 0.0003, 0)</f>
        <v>49.597799999999999</v>
      </c>
      <c r="C604" s="4">
        <f>49.285 * CHOOSE(CONTROL!$C$6, $C$13, 100%, $E$13) + CHOOSE(CONTROL!$C$25, 0.0003, 0)</f>
        <v>49.285299999999999</v>
      </c>
      <c r="D604" s="4">
        <f>51.7677 * CHOOSE(CONTROL!$C$6, $C$13, 100%, $E$13) + CHOOSE(CONTROL!$C$25, 0, 0)</f>
        <v>51.767699999999998</v>
      </c>
      <c r="E604" s="4">
        <f>282.249668839288 * CHOOSE(CONTROL!$C$6, $C$13, 100%, $E$13) + CHOOSE(CONTROL!$C$25, 0, 0)</f>
        <v>282.24966883928801</v>
      </c>
    </row>
    <row r="605" spans="1:5" ht="15">
      <c r="A605" s="13">
        <v>60298</v>
      </c>
      <c r="B605" s="4">
        <f>48.3638 * CHOOSE(CONTROL!$C$6, $C$13, 100%, $E$13) + CHOOSE(CONTROL!$C$25, 0.0003, 0)</f>
        <v>48.364100000000001</v>
      </c>
      <c r="C605" s="4">
        <f>48.0513 * CHOOSE(CONTROL!$C$6, $C$13, 100%, $E$13) + CHOOSE(CONTROL!$C$25, 0.0003, 0)</f>
        <v>48.051600000000001</v>
      </c>
      <c r="D605" s="4">
        <f>50.0496 * CHOOSE(CONTROL!$C$6, $C$13, 100%, $E$13) + CHOOSE(CONTROL!$C$25, 0, 0)</f>
        <v>50.049599999999998</v>
      </c>
      <c r="E605" s="4">
        <f>274.1558239049 * CHOOSE(CONTROL!$C$6, $C$13, 100%, $E$13) + CHOOSE(CONTROL!$C$25, 0, 0)</f>
        <v>274.15582390489999</v>
      </c>
    </row>
    <row r="606" spans="1:5" ht="15">
      <c r="A606" s="13">
        <v>60326</v>
      </c>
      <c r="B606" s="4">
        <f>49.4676 * CHOOSE(CONTROL!$C$6, $C$13, 100%, $E$13) + CHOOSE(CONTROL!$C$25, 0.0003, 0)</f>
        <v>49.4679</v>
      </c>
      <c r="C606" s="4">
        <f>49.1551 * CHOOSE(CONTROL!$C$6, $C$13, 100%, $E$13) + CHOOSE(CONTROL!$C$25, 0.0003, 0)</f>
        <v>49.1554</v>
      </c>
      <c r="D606" s="4">
        <f>51.7797 * CHOOSE(CONTROL!$C$6, $C$13, 100%, $E$13) + CHOOSE(CONTROL!$C$25, 0, 0)</f>
        <v>51.779699999999998</v>
      </c>
      <c r="E606" s="4">
        <f>280.665363587677 * CHOOSE(CONTROL!$C$6, $C$13, 100%, $E$13) + CHOOSE(CONTROL!$C$25, 0, 0)</f>
        <v>280.66536358767701</v>
      </c>
    </row>
    <row r="607" spans="1:5" ht="15">
      <c r="A607" s="13">
        <v>60357</v>
      </c>
      <c r="B607" s="4">
        <f>52.3663 * CHOOSE(CONTROL!$C$6, $C$13, 100%, $E$13) + CHOOSE(CONTROL!$C$25, 0.0003, 0)</f>
        <v>52.366600000000005</v>
      </c>
      <c r="C607" s="4">
        <f>52.0538 * CHOOSE(CONTROL!$C$6, $C$13, 100%, $E$13) + CHOOSE(CONTROL!$C$25, 0.0003, 0)</f>
        <v>52.054100000000005</v>
      </c>
      <c r="D607" s="4">
        <f>54.4881 * CHOOSE(CONTROL!$C$6, $C$13, 100%, $E$13) + CHOOSE(CONTROL!$C$25, 0, 0)</f>
        <v>54.488100000000003</v>
      </c>
      <c r="E607" s="4">
        <f>297.759760732597 * CHOOSE(CONTROL!$C$6, $C$13, 100%, $E$13) + CHOOSE(CONTROL!$C$25, 0, 0)</f>
        <v>297.75976073259699</v>
      </c>
    </row>
    <row r="608" spans="1:5" ht="15">
      <c r="A608" s="13">
        <v>60387</v>
      </c>
      <c r="B608" s="4">
        <f>54.4259 * CHOOSE(CONTROL!$C$6, $C$13, 100%, $E$13) + CHOOSE(CONTROL!$C$25, 0.0003, 0)</f>
        <v>54.426200000000001</v>
      </c>
      <c r="C608" s="4">
        <f>54.1134 * CHOOSE(CONTROL!$C$6, $C$13, 100%, $E$13) + CHOOSE(CONTROL!$C$25, 0.0003, 0)</f>
        <v>54.113700000000001</v>
      </c>
      <c r="D608" s="4">
        <f>56.0482 * CHOOSE(CONTROL!$C$6, $C$13, 100%, $E$13) + CHOOSE(CONTROL!$C$25, 0, 0)</f>
        <v>56.048200000000001</v>
      </c>
      <c r="E608" s="4">
        <f>309.905557716858 * CHOOSE(CONTROL!$C$6, $C$13, 100%, $E$13) + CHOOSE(CONTROL!$C$25, 0, 0)</f>
        <v>309.90555771685803</v>
      </c>
    </row>
    <row r="609" spans="1:5" ht="15">
      <c r="A609" s="13">
        <v>60418</v>
      </c>
      <c r="B609" s="4">
        <f>55.6842 * CHOOSE(CONTROL!$C$6, $C$13, 100%, $E$13) + CHOOSE(CONTROL!$C$25, 0.0263, 0)</f>
        <v>55.710499999999996</v>
      </c>
      <c r="C609" s="4">
        <f>55.3717 * CHOOSE(CONTROL!$C$6, $C$13, 100%, $E$13) + CHOOSE(CONTROL!$C$25, 0.0263, 0)</f>
        <v>55.397999999999996</v>
      </c>
      <c r="D609" s="4">
        <f>55.4317 * CHOOSE(CONTROL!$C$6, $C$13, 100%, $E$13) + CHOOSE(CONTROL!$C$25, 0, 0)</f>
        <v>55.431699999999999</v>
      </c>
      <c r="E609" s="4">
        <f>317.326348580115 * CHOOSE(CONTROL!$C$6, $C$13, 100%, $E$13) + CHOOSE(CONTROL!$C$25, 0, 0)</f>
        <v>317.326348580115</v>
      </c>
    </row>
    <row r="610" spans="1:5" ht="15">
      <c r="A610" s="13">
        <v>60448</v>
      </c>
      <c r="B610" s="4">
        <f>55.8545 * CHOOSE(CONTROL!$C$6, $C$13, 100%, $E$13) + CHOOSE(CONTROL!$C$25, 0.0263, 0)</f>
        <v>55.880800000000001</v>
      </c>
      <c r="C610" s="4">
        <f>55.542 * CHOOSE(CONTROL!$C$6, $C$13, 100%, $E$13) + CHOOSE(CONTROL!$C$25, 0.0263, 0)</f>
        <v>55.568300000000001</v>
      </c>
      <c r="D610" s="4">
        <f>55.9338 * CHOOSE(CONTROL!$C$6, $C$13, 100%, $E$13) + CHOOSE(CONTROL!$C$25, 0, 0)</f>
        <v>55.933799999999998</v>
      </c>
      <c r="E610" s="4">
        <f>318.330412380828 * CHOOSE(CONTROL!$C$6, $C$13, 100%, $E$13) + CHOOSE(CONTROL!$C$25, 0, 0)</f>
        <v>318.33041238082802</v>
      </c>
    </row>
    <row r="611" spans="1:5" ht="15">
      <c r="A611" s="13">
        <v>60479</v>
      </c>
      <c r="B611" s="4">
        <f>55.8373 * CHOOSE(CONTROL!$C$6, $C$13, 100%, $E$13) + CHOOSE(CONTROL!$C$25, 0.0263, 0)</f>
        <v>55.863599999999998</v>
      </c>
      <c r="C611" s="4">
        <f>55.5248 * CHOOSE(CONTROL!$C$6, $C$13, 100%, $E$13) + CHOOSE(CONTROL!$C$25, 0.0263, 0)</f>
        <v>55.551099999999998</v>
      </c>
      <c r="D611" s="4">
        <f>56.8397 * CHOOSE(CONTROL!$C$6, $C$13, 100%, $E$13) + CHOOSE(CONTROL!$C$25, 0, 0)</f>
        <v>56.839700000000001</v>
      </c>
      <c r="E611" s="4">
        <f>318.229162249664 * CHOOSE(CONTROL!$C$6, $C$13, 100%, $E$13) + CHOOSE(CONTROL!$C$25, 0, 0)</f>
        <v>318.229162249664</v>
      </c>
    </row>
    <row r="612" spans="1:5" ht="15">
      <c r="A612" s="13">
        <v>60510</v>
      </c>
      <c r="B612" s="4">
        <f>57.1293 * CHOOSE(CONTROL!$C$6, $C$13, 100%, $E$13) + CHOOSE(CONTROL!$C$25, 0.0263, 0)</f>
        <v>57.1556</v>
      </c>
      <c r="C612" s="4">
        <f>56.8168 * CHOOSE(CONTROL!$C$6, $C$13, 100%, $E$13) + CHOOSE(CONTROL!$C$25, 0.0263, 0)</f>
        <v>56.8431</v>
      </c>
      <c r="D612" s="4">
        <f>56.2414 * CHOOSE(CONTROL!$C$6, $C$13, 100%, $E$13) + CHOOSE(CONTROL!$C$25, 0, 0)</f>
        <v>56.241399999999999</v>
      </c>
      <c r="E612" s="4">
        <f>325.848234619784 * CHOOSE(CONTROL!$C$6, $C$13, 100%, $E$13) + CHOOSE(CONTROL!$C$25, 0, 0)</f>
        <v>325.84823461978402</v>
      </c>
    </row>
    <row r="613" spans="1:5" ht="15">
      <c r="A613" s="13">
        <v>60540</v>
      </c>
      <c r="B613" s="4">
        <f>54.9274 * CHOOSE(CONTROL!$C$6, $C$13, 100%, $E$13) + CHOOSE(CONTROL!$C$25, 0.0263, 0)</f>
        <v>54.953699999999998</v>
      </c>
      <c r="C613" s="4">
        <f>54.6149 * CHOOSE(CONTROL!$C$6, $C$13, 100%, $E$13) + CHOOSE(CONTROL!$C$25, 0.0263, 0)</f>
        <v>54.641199999999998</v>
      </c>
      <c r="D613" s="4">
        <f>55.9588 * CHOOSE(CONTROL!$C$6, $C$13, 100%, $E$13) + CHOOSE(CONTROL!$C$25, 0, 0)</f>
        <v>55.958799999999997</v>
      </c>
      <c r="E613" s="4">
        <f>312.862905297952 * CHOOSE(CONTROL!$C$6, $C$13, 100%, $E$13) + CHOOSE(CONTROL!$C$25, 0, 0)</f>
        <v>312.86290529795201</v>
      </c>
    </row>
    <row r="614" spans="1:5" ht="15">
      <c r="A614" s="13">
        <v>60571</v>
      </c>
      <c r="B614" s="4">
        <f>53.1647 * CHOOSE(CONTROL!$C$6, $C$13, 100%, $E$13) + CHOOSE(CONTROL!$C$25, 0.0003, 0)</f>
        <v>53.165000000000006</v>
      </c>
      <c r="C614" s="4">
        <f>52.8522 * CHOOSE(CONTROL!$C$6, $C$13, 100%, $E$13) + CHOOSE(CONTROL!$C$25, 0.0003, 0)</f>
        <v>52.852500000000006</v>
      </c>
      <c r="D614" s="4">
        <f>55.2019 * CHOOSE(CONTROL!$C$6, $C$13, 100%, $E$13) + CHOOSE(CONTROL!$C$25, 0, 0)</f>
        <v>55.201900000000002</v>
      </c>
      <c r="E614" s="4">
        <f>302.467891831741 * CHOOSE(CONTROL!$C$6, $C$13, 100%, $E$13) + CHOOSE(CONTROL!$C$25, 0, 0)</f>
        <v>302.46789183174099</v>
      </c>
    </row>
    <row r="615" spans="1:5" ht="15">
      <c r="A615" s="13">
        <v>60601</v>
      </c>
      <c r="B615" s="4">
        <f>52.0294 * CHOOSE(CONTROL!$C$6, $C$13, 100%, $E$13) + CHOOSE(CONTROL!$C$25, 0.0003, 0)</f>
        <v>52.029700000000005</v>
      </c>
      <c r="C615" s="4">
        <f>51.7169 * CHOOSE(CONTROL!$C$6, $C$13, 100%, $E$13) + CHOOSE(CONTROL!$C$25, 0.0003, 0)</f>
        <v>51.717200000000005</v>
      </c>
      <c r="D615" s="4">
        <f>54.9417 * CHOOSE(CONTROL!$C$6, $C$13, 100%, $E$13) + CHOOSE(CONTROL!$C$25, 0, 0)</f>
        <v>54.941699999999997</v>
      </c>
      <c r="E615" s="4">
        <f>295.772726908496 * CHOOSE(CONTROL!$C$6, $C$13, 100%, $E$13) + CHOOSE(CONTROL!$C$25, 0, 0)</f>
        <v>295.772726908496</v>
      </c>
    </row>
    <row r="616" spans="1:5" ht="15">
      <c r="A616" s="13">
        <v>60632</v>
      </c>
      <c r="B616" s="4">
        <f>51.2439 * CHOOSE(CONTROL!$C$6, $C$13, 100%, $E$13) + CHOOSE(CONTROL!$C$25, 0.0003, 0)</f>
        <v>51.244199999999999</v>
      </c>
      <c r="C616" s="4">
        <f>50.9314 * CHOOSE(CONTROL!$C$6, $C$13, 100%, $E$13) + CHOOSE(CONTROL!$C$25, 0.0003, 0)</f>
        <v>50.931699999999999</v>
      </c>
      <c r="D616" s="4">
        <f>53.026 * CHOOSE(CONTROL!$C$6, $C$13, 100%, $E$13) + CHOOSE(CONTROL!$C$25, 0, 0)</f>
        <v>53.026000000000003</v>
      </c>
      <c r="E616" s="4">
        <f>291.140533407726 * CHOOSE(CONTROL!$C$6, $C$13, 100%, $E$13) + CHOOSE(CONTROL!$C$25, 0, 0)</f>
        <v>291.14053340772602</v>
      </c>
    </row>
    <row r="617" spans="1:5" ht="15">
      <c r="A617" s="13">
        <v>60663</v>
      </c>
      <c r="B617" s="4">
        <f>49.9676 * CHOOSE(CONTROL!$C$6, $C$13, 100%, $E$13) + CHOOSE(CONTROL!$C$25, 0.0003, 0)</f>
        <v>49.9679</v>
      </c>
      <c r="C617" s="4">
        <f>49.6551 * CHOOSE(CONTROL!$C$6, $C$13, 100%, $E$13) + CHOOSE(CONTROL!$C$25, 0.0003, 0)</f>
        <v>49.6554</v>
      </c>
      <c r="D617" s="4">
        <f>51.2653 * CHOOSE(CONTROL!$C$6, $C$13, 100%, $E$13) + CHOOSE(CONTROL!$C$25, 0, 0)</f>
        <v>51.265300000000003</v>
      </c>
      <c r="E617" s="4">
        <f>282.791732357904 * CHOOSE(CONTROL!$C$6, $C$13, 100%, $E$13) + CHOOSE(CONTROL!$C$25, 0, 0)</f>
        <v>282.79173235790398</v>
      </c>
    </row>
    <row r="618" spans="1:5" ht="15">
      <c r="A618" s="13">
        <v>60691</v>
      </c>
      <c r="B618" s="4">
        <f>51.1096 * CHOOSE(CONTROL!$C$6, $C$13, 100%, $E$13) + CHOOSE(CONTROL!$C$25, 0.0003, 0)</f>
        <v>51.109900000000003</v>
      </c>
      <c r="C618" s="4">
        <f>50.7971 * CHOOSE(CONTROL!$C$6, $C$13, 100%, $E$13) + CHOOSE(CONTROL!$C$25, 0.0003, 0)</f>
        <v>50.797400000000003</v>
      </c>
      <c r="D618" s="4">
        <f>53.0383 * CHOOSE(CONTROL!$C$6, $C$13, 100%, $E$13) + CHOOSE(CONTROL!$C$25, 0, 0)</f>
        <v>53.0383</v>
      </c>
      <c r="E618" s="4">
        <f>289.506322540689 * CHOOSE(CONTROL!$C$6, $C$13, 100%, $E$13) + CHOOSE(CONTROL!$C$25, 0, 0)</f>
        <v>289.50632254068898</v>
      </c>
    </row>
    <row r="619" spans="1:5" ht="15">
      <c r="A619" s="13">
        <v>60722</v>
      </c>
      <c r="B619" s="4">
        <f>54.1083 * CHOOSE(CONTROL!$C$6, $C$13, 100%, $E$13) + CHOOSE(CONTROL!$C$25, 0.0003, 0)</f>
        <v>54.108600000000003</v>
      </c>
      <c r="C619" s="4">
        <f>53.7958 * CHOOSE(CONTROL!$C$6, $C$13, 100%, $E$13) + CHOOSE(CONTROL!$C$25, 0.0003, 0)</f>
        <v>53.796100000000003</v>
      </c>
      <c r="D619" s="4">
        <f>55.8139 * CHOOSE(CONTROL!$C$6, $C$13, 100%, $E$13) + CHOOSE(CONTROL!$C$25, 0, 0)</f>
        <v>55.813899999999997</v>
      </c>
      <c r="E619" s="4">
        <f>307.139193195674 * CHOOSE(CONTROL!$C$6, $C$13, 100%, $E$13) + CHOOSE(CONTROL!$C$25, 0, 0)</f>
        <v>307.13919319567401</v>
      </c>
    </row>
    <row r="620" spans="1:5" ht="15">
      <c r="A620" s="13">
        <v>60752</v>
      </c>
      <c r="B620" s="4">
        <f>56.2389 * CHOOSE(CONTROL!$C$6, $C$13, 100%, $E$13) + CHOOSE(CONTROL!$C$25, 0.0003, 0)</f>
        <v>56.239200000000004</v>
      </c>
      <c r="C620" s="4">
        <f>55.9264 * CHOOSE(CONTROL!$C$6, $C$13, 100%, $E$13) + CHOOSE(CONTROL!$C$25, 0.0003, 0)</f>
        <v>55.926700000000004</v>
      </c>
      <c r="D620" s="4">
        <f>57.4127 * CHOOSE(CONTROL!$C$6, $C$13, 100%, $E$13) + CHOOSE(CONTROL!$C$25, 0, 0)</f>
        <v>57.412700000000001</v>
      </c>
      <c r="E620" s="4">
        <f>319.667582784939 * CHOOSE(CONTROL!$C$6, $C$13, 100%, $E$13) + CHOOSE(CONTROL!$C$25, 0, 0)</f>
        <v>319.66758278493899</v>
      </c>
    </row>
    <row r="621" spans="1:5" ht="15">
      <c r="A621" s="13">
        <v>60783</v>
      </c>
      <c r="B621" s="4">
        <f>57.5407 * CHOOSE(CONTROL!$C$6, $C$13, 100%, $E$13) + CHOOSE(CONTROL!$C$25, 0.0263, 0)</f>
        <v>57.567</v>
      </c>
      <c r="C621" s="4">
        <f>57.2282 * CHOOSE(CONTROL!$C$6, $C$13, 100%, $E$13) + CHOOSE(CONTROL!$C$25, 0.0263, 0)</f>
        <v>57.2545</v>
      </c>
      <c r="D621" s="4">
        <f>56.7809 * CHOOSE(CONTROL!$C$6, $C$13, 100%, $E$13) + CHOOSE(CONTROL!$C$25, 0, 0)</f>
        <v>56.780900000000003</v>
      </c>
      <c r="E621" s="4">
        <f>327.322128560388 * CHOOSE(CONTROL!$C$6, $C$13, 100%, $E$13) + CHOOSE(CONTROL!$C$25, 0, 0)</f>
        <v>327.32212856038802</v>
      </c>
    </row>
    <row r="622" spans="1:5" ht="15">
      <c r="A622" s="13">
        <v>60813</v>
      </c>
      <c r="B622" s="4">
        <f>57.7168 * CHOOSE(CONTROL!$C$6, $C$13, 100%, $E$13) + CHOOSE(CONTROL!$C$25, 0.0263, 0)</f>
        <v>57.743099999999998</v>
      </c>
      <c r="C622" s="4">
        <f>57.4043 * CHOOSE(CONTROL!$C$6, $C$13, 100%, $E$13) + CHOOSE(CONTROL!$C$25, 0.0263, 0)</f>
        <v>57.430599999999998</v>
      </c>
      <c r="D622" s="4">
        <f>57.2954 * CHOOSE(CONTROL!$C$6, $C$13, 100%, $E$13) + CHOOSE(CONTROL!$C$25, 0, 0)</f>
        <v>57.295400000000001</v>
      </c>
      <c r="E622" s="4">
        <f>328.357820370824 * CHOOSE(CONTROL!$C$6, $C$13, 100%, $E$13) + CHOOSE(CONTROL!$C$25, 0, 0)</f>
        <v>328.35782037082402</v>
      </c>
    </row>
    <row r="623" spans="1:5" ht="15">
      <c r="A623" s="13">
        <v>60844</v>
      </c>
      <c r="B623" s="4">
        <f>57.699 * CHOOSE(CONTROL!$C$6, $C$13, 100%, $E$13) + CHOOSE(CONTROL!$C$25, 0.0263, 0)</f>
        <v>57.725299999999997</v>
      </c>
      <c r="C623" s="4">
        <f>57.3865 * CHOOSE(CONTROL!$C$6, $C$13, 100%, $E$13) + CHOOSE(CONTROL!$C$25, 0.0263, 0)</f>
        <v>57.412799999999997</v>
      </c>
      <c r="D623" s="4">
        <f>58.2238 * CHOOSE(CONTROL!$C$6, $C$13, 100%, $E$13) + CHOOSE(CONTROL!$C$25, 0, 0)</f>
        <v>58.223799999999997</v>
      </c>
      <c r="E623" s="4">
        <f>328.253380860528 * CHOOSE(CONTROL!$C$6, $C$13, 100%, $E$13) + CHOOSE(CONTROL!$C$25, 0, 0)</f>
        <v>328.25338086052801</v>
      </c>
    </row>
    <row r="624" spans="1:5" ht="15">
      <c r="A624" s="13">
        <v>60875</v>
      </c>
      <c r="B624" s="4">
        <f>59.0356 * CHOOSE(CONTROL!$C$6, $C$13, 100%, $E$13) + CHOOSE(CONTROL!$C$25, 0.0263, 0)</f>
        <v>59.061900000000001</v>
      </c>
      <c r="C624" s="4">
        <f>58.7231 * CHOOSE(CONTROL!$C$6, $C$13, 100%, $E$13) + CHOOSE(CONTROL!$C$25, 0.0263, 0)</f>
        <v>58.749400000000001</v>
      </c>
      <c r="D624" s="4">
        <f>57.6107 * CHOOSE(CONTROL!$C$6, $C$13, 100%, $E$13) + CHOOSE(CONTROL!$C$25, 0, 0)</f>
        <v>57.610700000000001</v>
      </c>
      <c r="E624" s="4">
        <f>336.112454010307 * CHOOSE(CONTROL!$C$6, $C$13, 100%, $E$13) + CHOOSE(CONTROL!$C$25, 0, 0)</f>
        <v>336.11245401030698</v>
      </c>
    </row>
    <row r="625" spans="1:5" ht="15">
      <c r="A625" s="13">
        <v>60905</v>
      </c>
      <c r="B625" s="4">
        <f>56.7577 * CHOOSE(CONTROL!$C$6, $C$13, 100%, $E$13) + CHOOSE(CONTROL!$C$25, 0.0263, 0)</f>
        <v>56.783999999999999</v>
      </c>
      <c r="C625" s="4">
        <f>56.4452 * CHOOSE(CONTROL!$C$6, $C$13, 100%, $E$13) + CHOOSE(CONTROL!$C$25, 0.0263, 0)</f>
        <v>56.471499999999999</v>
      </c>
      <c r="D625" s="4">
        <f>57.321 * CHOOSE(CONTROL!$C$6, $C$13, 100%, $E$13) + CHOOSE(CONTROL!$C$25, 0, 0)</f>
        <v>57.320999999999998</v>
      </c>
      <c r="E625" s="4">
        <f>322.718086814837 * CHOOSE(CONTROL!$C$6, $C$13, 100%, $E$13) + CHOOSE(CONTROL!$C$25, 0, 0)</f>
        <v>322.71808681483702</v>
      </c>
    </row>
    <row r="626" spans="1:5" ht="15">
      <c r="A626" s="13">
        <v>60936</v>
      </c>
      <c r="B626" s="4">
        <f>54.9342 * CHOOSE(CONTROL!$C$6, $C$13, 100%, $E$13) + CHOOSE(CONTROL!$C$25, 0.0003, 0)</f>
        <v>54.9345</v>
      </c>
      <c r="C626" s="4">
        <f>54.6217 * CHOOSE(CONTROL!$C$6, $C$13, 100%, $E$13) + CHOOSE(CONTROL!$C$25, 0.0003, 0)</f>
        <v>54.622</v>
      </c>
      <c r="D626" s="4">
        <f>56.5454 * CHOOSE(CONTROL!$C$6, $C$13, 100%, $E$13) + CHOOSE(CONTROL!$C$25, 0, 0)</f>
        <v>56.545400000000001</v>
      </c>
      <c r="E626" s="4">
        <f>311.995630424441 * CHOOSE(CONTROL!$C$6, $C$13, 100%, $E$13) + CHOOSE(CONTROL!$C$25, 0, 0)</f>
        <v>311.995630424441</v>
      </c>
    </row>
    <row r="627" spans="1:5" ht="15">
      <c r="A627" s="13">
        <v>60966</v>
      </c>
      <c r="B627" s="4">
        <f>53.7597 * CHOOSE(CONTROL!$C$6, $C$13, 100%, $E$13) + CHOOSE(CONTROL!$C$25, 0.0003, 0)</f>
        <v>53.760000000000005</v>
      </c>
      <c r="C627" s="4">
        <f>53.4472 * CHOOSE(CONTROL!$C$6, $C$13, 100%, $E$13) + CHOOSE(CONTROL!$C$25, 0.0003, 0)</f>
        <v>53.447500000000005</v>
      </c>
      <c r="D627" s="4">
        <f>56.2787 * CHOOSE(CONTROL!$C$6, $C$13, 100%, $E$13) + CHOOSE(CONTROL!$C$25, 0, 0)</f>
        <v>56.278700000000001</v>
      </c>
      <c r="E627" s="4">
        <f>305.089567806114 * CHOOSE(CONTROL!$C$6, $C$13, 100%, $E$13) + CHOOSE(CONTROL!$C$25, 0, 0)</f>
        <v>305.08956780611402</v>
      </c>
    </row>
    <row r="628" spans="1:5" ht="15">
      <c r="A628" s="13">
        <v>60997</v>
      </c>
      <c r="B628" s="4">
        <f>52.9471 * CHOOSE(CONTROL!$C$6, $C$13, 100%, $E$13) + CHOOSE(CONTROL!$C$25, 0.0003, 0)</f>
        <v>52.947400000000002</v>
      </c>
      <c r="C628" s="4">
        <f>52.6346 * CHOOSE(CONTROL!$C$6, $C$13, 100%, $E$13) + CHOOSE(CONTROL!$C$25, 0.0003, 0)</f>
        <v>52.634900000000002</v>
      </c>
      <c r="D628" s="4">
        <f>54.3155 * CHOOSE(CONTROL!$C$6, $C$13, 100%, $E$13) + CHOOSE(CONTROL!$C$25, 0, 0)</f>
        <v>54.3155</v>
      </c>
      <c r="E628" s="4">
        <f>300.311460210069 * CHOOSE(CONTROL!$C$6, $C$13, 100%, $E$13) + CHOOSE(CONTROL!$C$25, 0, 0)</f>
        <v>300.31146021006901</v>
      </c>
    </row>
    <row r="629" spans="1:5" ht="15">
      <c r="A629" s="13">
        <v>61028</v>
      </c>
      <c r="B629" s="4">
        <f>51.6268 * CHOOSE(CONTROL!$C$6, $C$13, 100%, $E$13) + CHOOSE(CONTROL!$C$25, 0.0003, 0)</f>
        <v>51.627100000000006</v>
      </c>
      <c r="C629" s="4">
        <f>51.3143 * CHOOSE(CONTROL!$C$6, $C$13, 100%, $E$13) + CHOOSE(CONTROL!$C$25, 0.0003, 0)</f>
        <v>51.314600000000006</v>
      </c>
      <c r="D629" s="4">
        <f>52.5112 * CHOOSE(CONTROL!$C$6, $C$13, 100%, $E$13) + CHOOSE(CONTROL!$C$25, 0, 0)</f>
        <v>52.511200000000002</v>
      </c>
      <c r="E629" s="4">
        <f>291.699671927178 * CHOOSE(CONTROL!$C$6, $C$13, 100%, $E$13) + CHOOSE(CONTROL!$C$25, 0, 0)</f>
        <v>291.69967192717797</v>
      </c>
    </row>
    <row r="630" spans="1:5" ht="15">
      <c r="A630" s="13">
        <v>61056</v>
      </c>
      <c r="B630" s="4">
        <f>52.8081 * CHOOSE(CONTROL!$C$6, $C$13, 100%, $E$13) + CHOOSE(CONTROL!$C$25, 0.0003, 0)</f>
        <v>52.808400000000006</v>
      </c>
      <c r="C630" s="4">
        <f>52.4956 * CHOOSE(CONTROL!$C$6, $C$13, 100%, $E$13) + CHOOSE(CONTROL!$C$25, 0.0003, 0)</f>
        <v>52.495900000000006</v>
      </c>
      <c r="D630" s="4">
        <f>54.3282 * CHOOSE(CONTROL!$C$6, $C$13, 100%, $E$13) + CHOOSE(CONTROL!$C$25, 0, 0)</f>
        <v>54.328200000000002</v>
      </c>
      <c r="E630" s="4">
        <f>298.62577170072 * CHOOSE(CONTROL!$C$6, $C$13, 100%, $E$13) + CHOOSE(CONTROL!$C$25, 0, 0)</f>
        <v>298.62577170072001</v>
      </c>
    </row>
    <row r="631" spans="1:5" ht="15">
      <c r="A631" s="13">
        <v>61087</v>
      </c>
      <c r="B631" s="4">
        <f>55.9103 * CHOOSE(CONTROL!$C$6, $C$13, 100%, $E$13) + CHOOSE(CONTROL!$C$25, 0.0003, 0)</f>
        <v>55.910600000000002</v>
      </c>
      <c r="C631" s="4">
        <f>55.5978 * CHOOSE(CONTROL!$C$6, $C$13, 100%, $E$13) + CHOOSE(CONTROL!$C$25, 0.0003, 0)</f>
        <v>55.598100000000002</v>
      </c>
      <c r="D631" s="4">
        <f>57.1725 * CHOOSE(CONTROL!$C$6, $C$13, 100%, $E$13) + CHOOSE(CONTROL!$C$25, 0, 0)</f>
        <v>57.172499999999999</v>
      </c>
      <c r="E631" s="4">
        <f>316.814077781338 * CHOOSE(CONTROL!$C$6, $C$13, 100%, $E$13) + CHOOSE(CONTROL!$C$25, 0, 0)</f>
        <v>316.81407778133803</v>
      </c>
    </row>
    <row r="632" spans="1:5" ht="15">
      <c r="A632" s="13">
        <v>61117</v>
      </c>
      <c r="B632" s="4">
        <f>58.1144 * CHOOSE(CONTROL!$C$6, $C$13, 100%, $E$13) + CHOOSE(CONTROL!$C$25, 0.0003, 0)</f>
        <v>58.114700000000006</v>
      </c>
      <c r="C632" s="4">
        <f>57.8019 * CHOOSE(CONTROL!$C$6, $C$13, 100%, $E$13) + CHOOSE(CONTROL!$C$25, 0.0003, 0)</f>
        <v>57.802200000000006</v>
      </c>
      <c r="D632" s="4">
        <f>58.811 * CHOOSE(CONTROL!$C$6, $C$13, 100%, $E$13) + CHOOSE(CONTROL!$C$25, 0, 0)</f>
        <v>58.811</v>
      </c>
      <c r="E632" s="4">
        <f>329.737111642665 * CHOOSE(CONTROL!$C$6, $C$13, 100%, $E$13) + CHOOSE(CONTROL!$C$25, 0, 0)</f>
        <v>329.73711164266501</v>
      </c>
    </row>
    <row r="633" spans="1:5" ht="15">
      <c r="A633" s="13">
        <v>61148</v>
      </c>
      <c r="B633" s="4">
        <f>59.4611 * CHOOSE(CONTROL!$C$6, $C$13, 100%, $E$13) + CHOOSE(CONTROL!$C$25, 0.0263, 0)</f>
        <v>59.487400000000001</v>
      </c>
      <c r="C633" s="4">
        <f>59.1486 * CHOOSE(CONTROL!$C$6, $C$13, 100%, $E$13) + CHOOSE(CONTROL!$C$25, 0.0263, 0)</f>
        <v>59.174900000000001</v>
      </c>
      <c r="D633" s="4">
        <f>58.1636 * CHOOSE(CONTROL!$C$6, $C$13, 100%, $E$13) + CHOOSE(CONTROL!$C$25, 0, 0)</f>
        <v>58.163600000000002</v>
      </c>
      <c r="E633" s="4">
        <f>337.632775610041 * CHOOSE(CONTROL!$C$6, $C$13, 100%, $E$13) + CHOOSE(CONTROL!$C$25, 0, 0)</f>
        <v>337.63277561004099</v>
      </c>
    </row>
    <row r="634" spans="1:5" ht="15">
      <c r="A634" s="13">
        <v>61178</v>
      </c>
      <c r="B634" s="4">
        <f>59.6433 * CHOOSE(CONTROL!$C$6, $C$13, 100%, $E$13) + CHOOSE(CONTROL!$C$25, 0.0263, 0)</f>
        <v>59.669600000000003</v>
      </c>
      <c r="C634" s="4">
        <f>59.3308 * CHOOSE(CONTROL!$C$6, $C$13, 100%, $E$13) + CHOOSE(CONTROL!$C$25, 0.0263, 0)</f>
        <v>59.357100000000003</v>
      </c>
      <c r="D634" s="4">
        <f>58.6908 * CHOOSE(CONTROL!$C$6, $C$13, 100%, $E$13) + CHOOSE(CONTROL!$C$25, 0, 0)</f>
        <v>58.690800000000003</v>
      </c>
      <c r="E634" s="4">
        <f>338.701091712505 * CHOOSE(CONTROL!$C$6, $C$13, 100%, $E$13) + CHOOSE(CONTROL!$C$25, 0, 0)</f>
        <v>338.70109171250499</v>
      </c>
    </row>
    <row r="635" spans="1:5" ht="15">
      <c r="A635" s="13">
        <v>61209</v>
      </c>
      <c r="B635" s="4">
        <f>59.625 * CHOOSE(CONTROL!$C$6, $C$13, 100%, $E$13) + CHOOSE(CONTROL!$C$25, 0.0263, 0)</f>
        <v>59.651299999999999</v>
      </c>
      <c r="C635" s="4">
        <f>59.3125 * CHOOSE(CONTROL!$C$6, $C$13, 100%, $E$13) + CHOOSE(CONTROL!$C$25, 0.0263, 0)</f>
        <v>59.338799999999999</v>
      </c>
      <c r="D635" s="4">
        <f>59.6423 * CHOOSE(CONTROL!$C$6, $C$13, 100%, $E$13) + CHOOSE(CONTROL!$C$25, 0, 0)</f>
        <v>59.642299999999999</v>
      </c>
      <c r="E635" s="4">
        <f>338.593362357635 * CHOOSE(CONTROL!$C$6, $C$13, 100%, $E$13) + CHOOSE(CONTROL!$C$25, 0, 0)</f>
        <v>338.59336235763499</v>
      </c>
    </row>
    <row r="636" spans="1:5" ht="15">
      <c r="A636" s="13">
        <v>61240</v>
      </c>
      <c r="B636" s="4">
        <f>61.0076 * CHOOSE(CONTROL!$C$6, $C$13, 100%, $E$13) + CHOOSE(CONTROL!$C$25, 0.0263, 0)</f>
        <v>61.033899999999996</v>
      </c>
      <c r="C636" s="4">
        <f>60.6951 * CHOOSE(CONTROL!$C$6, $C$13, 100%, $E$13) + CHOOSE(CONTROL!$C$25, 0.0263, 0)</f>
        <v>60.721399999999996</v>
      </c>
      <c r="D636" s="4">
        <f>59.0139 * CHOOSE(CONTROL!$C$6, $C$13, 100%, $E$13) + CHOOSE(CONTROL!$C$25, 0, 0)</f>
        <v>59.0139</v>
      </c>
      <c r="E636" s="4">
        <f>346.699996311632 * CHOOSE(CONTROL!$C$6, $C$13, 100%, $E$13) + CHOOSE(CONTROL!$C$25, 0, 0)</f>
        <v>346.69999631163199</v>
      </c>
    </row>
    <row r="637" spans="1:5" ht="15">
      <c r="A637" s="13">
        <v>61270</v>
      </c>
      <c r="B637" s="4">
        <f>58.6511 * CHOOSE(CONTROL!$C$6, $C$13, 100%, $E$13) + CHOOSE(CONTROL!$C$25, 0.0263, 0)</f>
        <v>58.677399999999999</v>
      </c>
      <c r="C637" s="4">
        <f>58.3386 * CHOOSE(CONTROL!$C$6, $C$13, 100%, $E$13) + CHOOSE(CONTROL!$C$25, 0.0263, 0)</f>
        <v>58.364899999999999</v>
      </c>
      <c r="D637" s="4">
        <f>58.7171 * CHOOSE(CONTROL!$C$6, $C$13, 100%, $E$13) + CHOOSE(CONTROL!$C$25, 0, 0)</f>
        <v>58.717100000000002</v>
      </c>
      <c r="E637" s="4">
        <f>332.883706549504 * CHOOSE(CONTROL!$C$6, $C$13, 100%, $E$13) + CHOOSE(CONTROL!$C$25, 0, 0)</f>
        <v>332.88370654950398</v>
      </c>
    </row>
    <row r="638" spans="1:5" ht="15">
      <c r="A638" s="13">
        <v>61301</v>
      </c>
      <c r="B638" s="4">
        <f>56.7647 * CHOOSE(CONTROL!$C$6, $C$13, 100%, $E$13) + CHOOSE(CONTROL!$C$25, 0.0003, 0)</f>
        <v>56.765000000000001</v>
      </c>
      <c r="C638" s="4">
        <f>56.4522 * CHOOSE(CONTROL!$C$6, $C$13, 100%, $E$13) + CHOOSE(CONTROL!$C$25, 0.0003, 0)</f>
        <v>56.452500000000001</v>
      </c>
      <c r="D638" s="4">
        <f>57.9222 * CHOOSE(CONTROL!$C$6, $C$13, 100%, $E$13) + CHOOSE(CONTROL!$C$25, 0, 0)</f>
        <v>57.922199999999997</v>
      </c>
      <c r="E638" s="4">
        <f>321.823492782811 * CHOOSE(CONTROL!$C$6, $C$13, 100%, $E$13) + CHOOSE(CONTROL!$C$25, 0, 0)</f>
        <v>321.823492782811</v>
      </c>
    </row>
    <row r="639" spans="1:5" ht="15">
      <c r="A639" s="13">
        <v>61331</v>
      </c>
      <c r="B639" s="4">
        <f>55.5497 * CHOOSE(CONTROL!$C$6, $C$13, 100%, $E$13) + CHOOSE(CONTROL!$C$25, 0.0003, 0)</f>
        <v>55.550000000000004</v>
      </c>
      <c r="C639" s="4">
        <f>55.2372 * CHOOSE(CONTROL!$C$6, $C$13, 100%, $E$13) + CHOOSE(CONTROL!$C$25, 0.0003, 0)</f>
        <v>55.237500000000004</v>
      </c>
      <c r="D639" s="4">
        <f>57.6489 * CHOOSE(CONTROL!$C$6, $C$13, 100%, $E$13) + CHOOSE(CONTROL!$C$25, 0, 0)</f>
        <v>57.648899999999998</v>
      </c>
      <c r="E639" s="4">
        <f>314.699889192006 * CHOOSE(CONTROL!$C$6, $C$13, 100%, $E$13) + CHOOSE(CONTROL!$C$25, 0, 0)</f>
        <v>314.69988919200603</v>
      </c>
    </row>
    <row r="640" spans="1:5" ht="15">
      <c r="A640" s="13">
        <v>61362</v>
      </c>
      <c r="B640" s="4">
        <f>54.7091 * CHOOSE(CONTROL!$C$6, $C$13, 100%, $E$13) + CHOOSE(CONTROL!$C$25, 0.0003, 0)</f>
        <v>54.709400000000002</v>
      </c>
      <c r="C640" s="4">
        <f>54.3966 * CHOOSE(CONTROL!$C$6, $C$13, 100%, $E$13) + CHOOSE(CONTROL!$C$25, 0.0003, 0)</f>
        <v>54.396900000000002</v>
      </c>
      <c r="D640" s="4">
        <f>55.637 * CHOOSE(CONTROL!$C$6, $C$13, 100%, $E$13) + CHOOSE(CONTROL!$C$25, 0, 0)</f>
        <v>55.637</v>
      </c>
      <c r="E640" s="4">
        <f>309.771271206686 * CHOOSE(CONTROL!$C$6, $C$13, 100%, $E$13) + CHOOSE(CONTROL!$C$25, 0, 0)</f>
        <v>309.77127120668598</v>
      </c>
    </row>
    <row r="641" spans="1:5" ht="15">
      <c r="A641" s="13">
        <v>61393</v>
      </c>
      <c r="B641" s="4">
        <f>53.3433 * CHOOSE(CONTROL!$C$6, $C$13, 100%, $E$13) + CHOOSE(CONTROL!$C$25, 0.0003, 0)</f>
        <v>53.343600000000002</v>
      </c>
      <c r="C641" s="4">
        <f>53.0308 * CHOOSE(CONTROL!$C$6, $C$13, 100%, $E$13) + CHOOSE(CONTROL!$C$25, 0.0003, 0)</f>
        <v>53.031100000000002</v>
      </c>
      <c r="D641" s="4">
        <f>53.7879 * CHOOSE(CONTROL!$C$6, $C$13, 100%, $E$13) + CHOOSE(CONTROL!$C$25, 0, 0)</f>
        <v>53.7879</v>
      </c>
      <c r="E641" s="4">
        <f>300.888211592884 * CHOOSE(CONTROL!$C$6, $C$13, 100%, $E$13) + CHOOSE(CONTROL!$C$25, 0, 0)</f>
        <v>300.88821159288398</v>
      </c>
    </row>
    <row r="642" spans="1:5" ht="15">
      <c r="A642" s="13">
        <v>61422</v>
      </c>
      <c r="B642" s="4">
        <f>54.5653 * CHOOSE(CONTROL!$C$6, $C$13, 100%, $E$13) + CHOOSE(CONTROL!$C$25, 0.0003, 0)</f>
        <v>54.565600000000003</v>
      </c>
      <c r="C642" s="4">
        <f>54.2528 * CHOOSE(CONTROL!$C$6, $C$13, 100%, $E$13) + CHOOSE(CONTROL!$C$25, 0.0003, 0)</f>
        <v>54.253100000000003</v>
      </c>
      <c r="D642" s="4">
        <f>55.65 * CHOOSE(CONTROL!$C$6, $C$13, 100%, $E$13) + CHOOSE(CONTROL!$C$25, 0, 0)</f>
        <v>55.65</v>
      </c>
      <c r="E642" s="4">
        <f>308.032483509293 * CHOOSE(CONTROL!$C$6, $C$13, 100%, $E$13) + CHOOSE(CONTROL!$C$25, 0, 0)</f>
        <v>308.032483509293</v>
      </c>
    </row>
    <row r="643" spans="1:5" ht="15">
      <c r="A643" s="13">
        <v>61453</v>
      </c>
      <c r="B643" s="4">
        <f>57.7745 * CHOOSE(CONTROL!$C$6, $C$13, 100%, $E$13) + CHOOSE(CONTROL!$C$25, 0.0003, 0)</f>
        <v>57.774800000000006</v>
      </c>
      <c r="C643" s="4">
        <f>57.462 * CHOOSE(CONTROL!$C$6, $C$13, 100%, $E$13) + CHOOSE(CONTROL!$C$25, 0.0003, 0)</f>
        <v>57.462300000000006</v>
      </c>
      <c r="D643" s="4">
        <f>58.5649 * CHOOSE(CONTROL!$C$6, $C$13, 100%, $E$13) + CHOOSE(CONTROL!$C$25, 0, 0)</f>
        <v>58.564900000000002</v>
      </c>
      <c r="E643" s="4">
        <f>326.79372123145 * CHOOSE(CONTROL!$C$6, $C$13, 100%, $E$13) + CHOOSE(CONTROL!$C$25, 0, 0)</f>
        <v>326.79372123144998</v>
      </c>
    </row>
    <row r="644" spans="1:5" ht="15">
      <c r="A644" s="13">
        <v>61483</v>
      </c>
      <c r="B644" s="4">
        <f>60.0547 * CHOOSE(CONTROL!$C$6, $C$13, 100%, $E$13) + CHOOSE(CONTROL!$C$25, 0.0003, 0)</f>
        <v>60.055</v>
      </c>
      <c r="C644" s="4">
        <f>59.7422 * CHOOSE(CONTROL!$C$6, $C$13, 100%, $E$13) + CHOOSE(CONTROL!$C$25, 0.0003, 0)</f>
        <v>59.7425</v>
      </c>
      <c r="D644" s="4">
        <f>60.244 * CHOOSE(CONTROL!$C$6, $C$13, 100%, $E$13) + CHOOSE(CONTROL!$C$25, 0, 0)</f>
        <v>60.244</v>
      </c>
      <c r="E644" s="4">
        <f>340.123830659409 * CHOOSE(CONTROL!$C$6, $C$13, 100%, $E$13) + CHOOSE(CONTROL!$C$25, 0, 0)</f>
        <v>340.12383065940901</v>
      </c>
    </row>
    <row r="645" spans="1:5" ht="15">
      <c r="A645" s="13">
        <v>61514</v>
      </c>
      <c r="B645" s="4">
        <f>61.4478 * CHOOSE(CONTROL!$C$6, $C$13, 100%, $E$13) + CHOOSE(CONTROL!$C$25, 0.0263, 0)</f>
        <v>61.4741</v>
      </c>
      <c r="C645" s="4">
        <f>61.1353 * CHOOSE(CONTROL!$C$6, $C$13, 100%, $E$13) + CHOOSE(CONTROL!$C$25, 0.0263, 0)</f>
        <v>61.1616</v>
      </c>
      <c r="D645" s="4">
        <f>59.5805 * CHOOSE(CONTROL!$C$6, $C$13, 100%, $E$13) + CHOOSE(CONTROL!$C$25, 0, 0)</f>
        <v>59.580500000000001</v>
      </c>
      <c r="E645" s="4">
        <f>348.268208041757 * CHOOSE(CONTROL!$C$6, $C$13, 100%, $E$13) + CHOOSE(CONTROL!$C$25, 0, 0)</f>
        <v>348.26820804175702</v>
      </c>
    </row>
    <row r="646" spans="1:5" ht="15">
      <c r="A646" s="13">
        <v>61544</v>
      </c>
      <c r="B646" s="4">
        <f>61.6363 * CHOOSE(CONTROL!$C$6, $C$13, 100%, $E$13) + CHOOSE(CONTROL!$C$25, 0.0263, 0)</f>
        <v>61.662599999999998</v>
      </c>
      <c r="C646" s="4">
        <f>61.3238 * CHOOSE(CONTROL!$C$6, $C$13, 100%, $E$13) + CHOOSE(CONTROL!$C$25, 0.0263, 0)</f>
        <v>61.350099999999998</v>
      </c>
      <c r="D646" s="4">
        <f>60.1208 * CHOOSE(CONTROL!$C$6, $C$13, 100%, $E$13) + CHOOSE(CONTROL!$C$25, 0, 0)</f>
        <v>60.120800000000003</v>
      </c>
      <c r="E646" s="4">
        <f>349.370176101449 * CHOOSE(CONTROL!$C$6, $C$13, 100%, $E$13) + CHOOSE(CONTROL!$C$25, 0, 0)</f>
        <v>349.37017610144898</v>
      </c>
    </row>
    <row r="647" spans="1:5" ht="15">
      <c r="A647" s="13">
        <v>61575</v>
      </c>
      <c r="B647" s="4">
        <f>61.6173 * CHOOSE(CONTROL!$C$6, $C$13, 100%, $E$13) + CHOOSE(CONTROL!$C$25, 0.0263, 0)</f>
        <v>61.643599999999999</v>
      </c>
      <c r="C647" s="4">
        <f>61.3048 * CHOOSE(CONTROL!$C$6, $C$13, 100%, $E$13) + CHOOSE(CONTROL!$C$25, 0.0263, 0)</f>
        <v>61.331099999999999</v>
      </c>
      <c r="D647" s="4">
        <f>61.0959 * CHOOSE(CONTROL!$C$6, $C$13, 100%, $E$13) + CHOOSE(CONTROL!$C$25, 0, 0)</f>
        <v>61.0959</v>
      </c>
      <c r="E647" s="4">
        <f>349.2590532719 * CHOOSE(CONTROL!$C$6, $C$13, 100%, $E$13) + CHOOSE(CONTROL!$C$25, 0, 0)</f>
        <v>349.25905327189997</v>
      </c>
    </row>
    <row r="648" spans="1:5" ht="15">
      <c r="A648" s="13">
        <v>61606</v>
      </c>
      <c r="B648" s="4">
        <f>63.0477 * CHOOSE(CONTROL!$C$6, $C$13, 100%, $E$13) + CHOOSE(CONTROL!$C$25, 0.0263, 0)</f>
        <v>63.073999999999998</v>
      </c>
      <c r="C648" s="4">
        <f>62.7352 * CHOOSE(CONTROL!$C$6, $C$13, 100%, $E$13) + CHOOSE(CONTROL!$C$25, 0.0263, 0)</f>
        <v>62.761499999999998</v>
      </c>
      <c r="D648" s="4">
        <f>60.452 * CHOOSE(CONTROL!$C$6, $C$13, 100%, $E$13) + CHOOSE(CONTROL!$C$25, 0, 0)</f>
        <v>60.451999999999998</v>
      </c>
      <c r="E648" s="4">
        <f>357.621046195448 * CHOOSE(CONTROL!$C$6, $C$13, 100%, $E$13) + CHOOSE(CONTROL!$C$25, 0, 0)</f>
        <v>357.621046195448</v>
      </c>
    </row>
    <row r="649" spans="1:5" ht="15">
      <c r="A649" s="13">
        <v>61636</v>
      </c>
      <c r="B649" s="4">
        <f>60.6099 * CHOOSE(CONTROL!$C$6, $C$13, 100%, $E$13) + CHOOSE(CONTROL!$C$25, 0.0263, 0)</f>
        <v>60.636200000000002</v>
      </c>
      <c r="C649" s="4">
        <f>60.2974 * CHOOSE(CONTROL!$C$6, $C$13, 100%, $E$13) + CHOOSE(CONTROL!$C$25, 0.0263, 0)</f>
        <v>60.323700000000002</v>
      </c>
      <c r="D649" s="4">
        <f>60.1477 * CHOOSE(CONTROL!$C$6, $C$13, 100%, $E$13) + CHOOSE(CONTROL!$C$25, 0, 0)</f>
        <v>60.1477</v>
      </c>
      <c r="E649" s="4">
        <f>343.369543305814 * CHOOSE(CONTROL!$C$6, $C$13, 100%, $E$13) + CHOOSE(CONTROL!$C$25, 0, 0)</f>
        <v>343.36954330581398</v>
      </c>
    </row>
    <row r="650" spans="1:5" ht="15">
      <c r="A650" s="13">
        <v>61667</v>
      </c>
      <c r="B650" s="4">
        <f>58.6584 * CHOOSE(CONTROL!$C$6, $C$13, 100%, $E$13) + CHOOSE(CONTROL!$C$25, 0.0003, 0)</f>
        <v>58.658700000000003</v>
      </c>
      <c r="C650" s="4">
        <f>58.3459 * CHOOSE(CONTROL!$C$6, $C$13, 100%, $E$13) + CHOOSE(CONTROL!$C$25, 0.0003, 0)</f>
        <v>58.346200000000003</v>
      </c>
      <c r="D650" s="4">
        <f>59.3331 * CHOOSE(CONTROL!$C$6, $C$13, 100%, $E$13) + CHOOSE(CONTROL!$C$25, 0, 0)</f>
        <v>59.333100000000002</v>
      </c>
      <c r="E650" s="4">
        <f>331.96093280547 * CHOOSE(CONTROL!$C$6, $C$13, 100%, $E$13) + CHOOSE(CONTROL!$C$25, 0, 0)</f>
        <v>331.96093280547001</v>
      </c>
    </row>
    <row r="651" spans="1:5" ht="15">
      <c r="A651" s="13">
        <v>61697</v>
      </c>
      <c r="B651" s="4">
        <f>57.4015 * CHOOSE(CONTROL!$C$6, $C$13, 100%, $E$13) + CHOOSE(CONTROL!$C$25, 0.0003, 0)</f>
        <v>57.401800000000001</v>
      </c>
      <c r="C651" s="4">
        <f>57.089 * CHOOSE(CONTROL!$C$6, $C$13, 100%, $E$13) + CHOOSE(CONTROL!$C$25, 0.0003, 0)</f>
        <v>57.089300000000001</v>
      </c>
      <c r="D651" s="4">
        <f>59.0531 * CHOOSE(CONTROL!$C$6, $C$13, 100%, $E$13) + CHOOSE(CONTROL!$C$25, 0, 0)</f>
        <v>59.053100000000001</v>
      </c>
      <c r="E651" s="4">
        <f>324.612935701555 * CHOOSE(CONTROL!$C$6, $C$13, 100%, $E$13) + CHOOSE(CONTROL!$C$25, 0, 0)</f>
        <v>324.61293570155499</v>
      </c>
    </row>
    <row r="652" spans="1:5" ht="15">
      <c r="A652" s="13">
        <v>61728</v>
      </c>
      <c r="B652" s="4">
        <f>56.5319 * CHOOSE(CONTROL!$C$6, $C$13, 100%, $E$13) + CHOOSE(CONTROL!$C$25, 0.0003, 0)</f>
        <v>56.532200000000003</v>
      </c>
      <c r="C652" s="4">
        <f>56.2194 * CHOOSE(CONTROL!$C$6, $C$13, 100%, $E$13) + CHOOSE(CONTROL!$C$25, 0.0003, 0)</f>
        <v>56.219700000000003</v>
      </c>
      <c r="D652" s="4">
        <f>56.9913 * CHOOSE(CONTROL!$C$6, $C$13, 100%, $E$13) + CHOOSE(CONTROL!$C$25, 0, 0)</f>
        <v>56.991300000000003</v>
      </c>
      <c r="E652" s="4">
        <f>319.529066249697 * CHOOSE(CONTROL!$C$6, $C$13, 100%, $E$13) + CHOOSE(CONTROL!$C$25, 0, 0)</f>
        <v>319.529066249697</v>
      </c>
    </row>
    <row r="653" spans="1:5" ht="15">
      <c r="A653" s="13">
        <v>61759</v>
      </c>
      <c r="B653" s="4">
        <f>55.1189 * CHOOSE(CONTROL!$C$6, $C$13, 100%, $E$13) + CHOOSE(CONTROL!$C$25, 0.0003, 0)</f>
        <v>55.119199999999999</v>
      </c>
      <c r="C653" s="4">
        <f>54.8064 * CHOOSE(CONTROL!$C$6, $C$13, 100%, $E$13) + CHOOSE(CONTROL!$C$25, 0.0003, 0)</f>
        <v>54.806699999999999</v>
      </c>
      <c r="D653" s="4">
        <f>55.0963 * CHOOSE(CONTROL!$C$6, $C$13, 100%, $E$13) + CHOOSE(CONTROL!$C$25, 0, 0)</f>
        <v>55.096299999999999</v>
      </c>
      <c r="E653" s="4">
        <f>310.36619025806 * CHOOSE(CONTROL!$C$6, $C$13, 100%, $E$13) + CHOOSE(CONTROL!$C$25, 0, 0)</f>
        <v>310.36619025805999</v>
      </c>
    </row>
    <row r="654" spans="1:5" ht="15">
      <c r="A654" s="13">
        <v>61787</v>
      </c>
      <c r="B654" s="4">
        <f>56.3832 * CHOOSE(CONTROL!$C$6, $C$13, 100%, $E$13) + CHOOSE(CONTROL!$C$25, 0.0003, 0)</f>
        <v>56.383500000000005</v>
      </c>
      <c r="C654" s="4">
        <f>56.0707 * CHOOSE(CONTROL!$C$6, $C$13, 100%, $E$13) + CHOOSE(CONTROL!$C$25, 0.0003, 0)</f>
        <v>56.071000000000005</v>
      </c>
      <c r="D654" s="4">
        <f>57.0046 * CHOOSE(CONTROL!$C$6, $C$13, 100%, $E$13) + CHOOSE(CONTROL!$C$25, 0, 0)</f>
        <v>57.004600000000003</v>
      </c>
      <c r="E654" s="4">
        <f>317.735506739836 * CHOOSE(CONTROL!$C$6, $C$13, 100%, $E$13) + CHOOSE(CONTROL!$C$25, 0, 0)</f>
        <v>317.73550673983601</v>
      </c>
    </row>
    <row r="655" spans="1:5" ht="15">
      <c r="A655" s="13">
        <v>61818</v>
      </c>
      <c r="B655" s="4">
        <f>59.7031 * CHOOSE(CONTROL!$C$6, $C$13, 100%, $E$13) + CHOOSE(CONTROL!$C$25, 0.0003, 0)</f>
        <v>59.703400000000002</v>
      </c>
      <c r="C655" s="4">
        <f>59.3906 * CHOOSE(CONTROL!$C$6, $C$13, 100%, $E$13) + CHOOSE(CONTROL!$C$25, 0.0003, 0)</f>
        <v>59.390900000000002</v>
      </c>
      <c r="D655" s="4">
        <f>59.9918 * CHOOSE(CONTROL!$C$6, $C$13, 100%, $E$13) + CHOOSE(CONTROL!$C$25, 0, 0)</f>
        <v>59.991799999999998</v>
      </c>
      <c r="E655" s="4">
        <f>337.087723450241 * CHOOSE(CONTROL!$C$6, $C$13, 100%, $E$13) + CHOOSE(CONTROL!$C$25, 0, 0)</f>
        <v>337.08772345024101</v>
      </c>
    </row>
    <row r="656" spans="1:5" ht="15">
      <c r="A656" s="13">
        <v>61848</v>
      </c>
      <c r="B656" s="4">
        <f>62.0619 * CHOOSE(CONTROL!$C$6, $C$13, 100%, $E$13) + CHOOSE(CONTROL!$C$25, 0.0003, 0)</f>
        <v>62.062200000000004</v>
      </c>
      <c r="C656" s="4">
        <f>61.7494 * CHOOSE(CONTROL!$C$6, $C$13, 100%, $E$13) + CHOOSE(CONTROL!$C$25, 0.0003, 0)</f>
        <v>61.749700000000004</v>
      </c>
      <c r="D656" s="4">
        <f>61.7125 * CHOOSE(CONTROL!$C$6, $C$13, 100%, $E$13) + CHOOSE(CONTROL!$C$25, 0, 0)</f>
        <v>61.712499999999999</v>
      </c>
      <c r="E656" s="4">
        <f>350.83773132518 * CHOOSE(CONTROL!$C$6, $C$13, 100%, $E$13) + CHOOSE(CONTROL!$C$25, 0, 0)</f>
        <v>350.83773132518002</v>
      </c>
    </row>
    <row r="657" spans="1:5" ht="15">
      <c r="A657" s="13">
        <v>61879</v>
      </c>
      <c r="B657" s="4">
        <f>63.5031 * CHOOSE(CONTROL!$C$6, $C$13, 100%, $E$13) + CHOOSE(CONTROL!$C$25, 0.0263, 0)</f>
        <v>63.529400000000003</v>
      </c>
      <c r="C657" s="4">
        <f>63.1906 * CHOOSE(CONTROL!$C$6, $C$13, 100%, $E$13) + CHOOSE(CONTROL!$C$25, 0.0263, 0)</f>
        <v>63.216900000000003</v>
      </c>
      <c r="D657" s="4">
        <f>61.0326 * CHOOSE(CONTROL!$C$6, $C$13, 100%, $E$13) + CHOOSE(CONTROL!$C$25, 0, 0)</f>
        <v>61.032600000000002</v>
      </c>
      <c r="E657" s="4">
        <f>359.238656595072 * CHOOSE(CONTROL!$C$6, $C$13, 100%, $E$13) + CHOOSE(CONTROL!$C$25, 0, 0)</f>
        <v>359.23865659507197</v>
      </c>
    </row>
    <row r="658" spans="1:5" ht="15">
      <c r="A658" s="13">
        <v>61909</v>
      </c>
      <c r="B658" s="4">
        <f>63.6981 * CHOOSE(CONTROL!$C$6, $C$13, 100%, $E$13) + CHOOSE(CONTROL!$C$25, 0.0263, 0)</f>
        <v>63.724399999999996</v>
      </c>
      <c r="C658" s="4">
        <f>63.3856 * CHOOSE(CONTROL!$C$6, $C$13, 100%, $E$13) + CHOOSE(CONTROL!$C$25, 0.0263, 0)</f>
        <v>63.411899999999996</v>
      </c>
      <c r="D658" s="4">
        <f>61.5863 * CHOOSE(CONTROL!$C$6, $C$13, 100%, $E$13) + CHOOSE(CONTROL!$C$25, 0, 0)</f>
        <v>61.586300000000001</v>
      </c>
      <c r="E658" s="4">
        <f>360.375336648645 * CHOOSE(CONTROL!$C$6, $C$13, 100%, $E$13) + CHOOSE(CONTROL!$C$25, 0, 0)</f>
        <v>360.37533664864497</v>
      </c>
    </row>
    <row r="659" spans="1:5" ht="15">
      <c r="A659" s="13">
        <v>61940</v>
      </c>
      <c r="B659" s="4">
        <f>63.6784 * CHOOSE(CONTROL!$C$6, $C$13, 100%, $E$13) + CHOOSE(CONTROL!$C$25, 0.0263, 0)</f>
        <v>63.704700000000003</v>
      </c>
      <c r="C659" s="4">
        <f>63.3659 * CHOOSE(CONTROL!$C$6, $C$13, 100%, $E$13) + CHOOSE(CONTROL!$C$25, 0.0263, 0)</f>
        <v>63.392200000000003</v>
      </c>
      <c r="D659" s="4">
        <f>62.5855 * CHOOSE(CONTROL!$C$6, $C$13, 100%, $E$13) + CHOOSE(CONTROL!$C$25, 0, 0)</f>
        <v>62.585500000000003</v>
      </c>
      <c r="E659" s="4">
        <f>360.260713449965 * CHOOSE(CONTROL!$C$6, $C$13, 100%, $E$13) + CHOOSE(CONTROL!$C$25, 0, 0)</f>
        <v>360.26071344996501</v>
      </c>
    </row>
    <row r="660" spans="1:5" ht="15">
      <c r="A660" s="13">
        <v>61971</v>
      </c>
      <c r="B660" s="4">
        <f>65.1581 * CHOOSE(CONTROL!$C$6, $C$13, 100%, $E$13) + CHOOSE(CONTROL!$C$25, 0.0263, 0)</f>
        <v>65.184400000000011</v>
      </c>
      <c r="C660" s="4">
        <f>64.8456 * CHOOSE(CONTROL!$C$6, $C$13, 100%, $E$13) + CHOOSE(CONTROL!$C$25, 0.0263, 0)</f>
        <v>64.871900000000011</v>
      </c>
      <c r="D660" s="4">
        <f>61.9256 * CHOOSE(CONTROL!$C$6, $C$13, 100%, $E$13) + CHOOSE(CONTROL!$C$25, 0, 0)</f>
        <v>61.925600000000003</v>
      </c>
      <c r="E660" s="4">
        <f>368.886109150605 * CHOOSE(CONTROL!$C$6, $C$13, 100%, $E$13) + CHOOSE(CONTROL!$C$25, 0, 0)</f>
        <v>368.88610915060502</v>
      </c>
    </row>
    <row r="661" spans="1:5" ht="15">
      <c r="A661" s="13">
        <v>62001</v>
      </c>
      <c r="B661" s="4">
        <f>62.6363 * CHOOSE(CONTROL!$C$6, $C$13, 100%, $E$13) + CHOOSE(CONTROL!$C$25, 0.0263, 0)</f>
        <v>62.662599999999998</v>
      </c>
      <c r="C661" s="4">
        <f>62.3238 * CHOOSE(CONTROL!$C$6, $C$13, 100%, $E$13) + CHOOSE(CONTROL!$C$25, 0.0263, 0)</f>
        <v>62.350099999999998</v>
      </c>
      <c r="D661" s="4">
        <f>61.6139 * CHOOSE(CONTROL!$C$6, $C$13, 100%, $E$13) + CHOOSE(CONTROL!$C$25, 0, 0)</f>
        <v>61.613900000000001</v>
      </c>
      <c r="E661" s="4">
        <f>354.185683919947 * CHOOSE(CONTROL!$C$6, $C$13, 100%, $E$13) + CHOOSE(CONTROL!$C$25, 0, 0)</f>
        <v>354.185683919947</v>
      </c>
    </row>
    <row r="662" spans="1:5" ht="15">
      <c r="A662" s="13">
        <v>62032</v>
      </c>
      <c r="B662" s="4">
        <f>60.6174 * CHOOSE(CONTROL!$C$6, $C$13, 100%, $E$13) + CHOOSE(CONTROL!$C$25, 0.0003, 0)</f>
        <v>60.617700000000006</v>
      </c>
      <c r="C662" s="4">
        <f>60.3049 * CHOOSE(CONTROL!$C$6, $C$13, 100%, $E$13) + CHOOSE(CONTROL!$C$25, 0.0003, 0)</f>
        <v>60.305200000000006</v>
      </c>
      <c r="D662" s="4">
        <f>60.7791 * CHOOSE(CONTROL!$C$6, $C$13, 100%, $E$13) + CHOOSE(CONTROL!$C$25, 0, 0)</f>
        <v>60.7791</v>
      </c>
      <c r="E662" s="4">
        <f>342.417702188842 * CHOOSE(CONTROL!$C$6, $C$13, 100%, $E$13) + CHOOSE(CONTROL!$C$25, 0, 0)</f>
        <v>342.41770218884199</v>
      </c>
    </row>
    <row r="663" spans="1:5" ht="15">
      <c r="A663" s="13">
        <v>62062</v>
      </c>
      <c r="B663" s="4">
        <f>59.3172 * CHOOSE(CONTROL!$C$6, $C$13, 100%, $E$13) + CHOOSE(CONTROL!$C$25, 0.0003, 0)</f>
        <v>59.317500000000003</v>
      </c>
      <c r="C663" s="4">
        <f>59.0047 * CHOOSE(CONTROL!$C$6, $C$13, 100%, $E$13) + CHOOSE(CONTROL!$C$25, 0.0003, 0)</f>
        <v>59.005000000000003</v>
      </c>
      <c r="D663" s="4">
        <f>60.4921 * CHOOSE(CONTROL!$C$6, $C$13, 100%, $E$13) + CHOOSE(CONTROL!$C$25, 0, 0)</f>
        <v>60.492100000000001</v>
      </c>
      <c r="E663" s="4">
        <f>334.838243176154 * CHOOSE(CONTROL!$C$6, $C$13, 100%, $E$13) + CHOOSE(CONTROL!$C$25, 0, 0)</f>
        <v>334.83824317615398</v>
      </c>
    </row>
    <row r="664" spans="1:5" ht="15">
      <c r="A664" s="13">
        <v>62093</v>
      </c>
      <c r="B664" s="4">
        <f>58.4175 * CHOOSE(CONTROL!$C$6, $C$13, 100%, $E$13) + CHOOSE(CONTROL!$C$25, 0.0003, 0)</f>
        <v>58.4178</v>
      </c>
      <c r="C664" s="4">
        <f>58.105 * CHOOSE(CONTROL!$C$6, $C$13, 100%, $E$13) + CHOOSE(CONTROL!$C$25, 0.0003, 0)</f>
        <v>58.1053</v>
      </c>
      <c r="D664" s="4">
        <f>58.3792 * CHOOSE(CONTROL!$C$6, $C$13, 100%, $E$13) + CHOOSE(CONTROL!$C$25, 0, 0)</f>
        <v>58.379199999999997</v>
      </c>
      <c r="E664" s="4">
        <f>329.594231836562 * CHOOSE(CONTROL!$C$6, $C$13, 100%, $E$13) + CHOOSE(CONTROL!$C$25, 0, 0)</f>
        <v>329.59423183656202</v>
      </c>
    </row>
    <row r="665" spans="1:5" ht="15">
      <c r="A665" s="13">
        <v>62124</v>
      </c>
      <c r="B665" s="4">
        <f>56.9559 * CHOOSE(CONTROL!$C$6, $C$13, 100%, $E$13) + CHOOSE(CONTROL!$C$25, 0.0003, 0)</f>
        <v>56.956200000000003</v>
      </c>
      <c r="C665" s="4">
        <f>56.6434 * CHOOSE(CONTROL!$C$6, $C$13, 100%, $E$13) + CHOOSE(CONTROL!$C$25, 0.0003, 0)</f>
        <v>56.643700000000003</v>
      </c>
      <c r="D665" s="4">
        <f>56.4372 * CHOOSE(CONTROL!$C$6, $C$13, 100%, $E$13) + CHOOSE(CONTROL!$C$25, 0, 0)</f>
        <v>56.437199999999997</v>
      </c>
      <c r="E665" s="4">
        <f>320.142725251189 * CHOOSE(CONTROL!$C$6, $C$13, 100%, $E$13) + CHOOSE(CONTROL!$C$25, 0, 0)</f>
        <v>320.14272525118901</v>
      </c>
    </row>
    <row r="666" spans="1:5" ht="15">
      <c r="A666" s="13">
        <v>62152</v>
      </c>
      <c r="B666" s="4">
        <f>58.2637 * CHOOSE(CONTROL!$C$6, $C$13, 100%, $E$13) + CHOOSE(CONTROL!$C$25, 0.0003, 0)</f>
        <v>58.264000000000003</v>
      </c>
      <c r="C666" s="4">
        <f>57.9512 * CHOOSE(CONTROL!$C$6, $C$13, 100%, $E$13) + CHOOSE(CONTROL!$C$25, 0.0003, 0)</f>
        <v>57.951500000000003</v>
      </c>
      <c r="D666" s="4">
        <f>58.3928 * CHOOSE(CONTROL!$C$6, $C$13, 100%, $E$13) + CHOOSE(CONTROL!$C$25, 0, 0)</f>
        <v>58.392800000000001</v>
      </c>
      <c r="E666" s="4">
        <f>327.744175202141 * CHOOSE(CONTROL!$C$6, $C$13, 100%, $E$13) + CHOOSE(CONTROL!$C$25, 0, 0)</f>
        <v>327.74417520214098</v>
      </c>
    </row>
    <row r="667" spans="1:5" ht="15">
      <c r="A667" s="13">
        <v>62183</v>
      </c>
      <c r="B667" s="4">
        <f>61.6981 * CHOOSE(CONTROL!$C$6, $C$13, 100%, $E$13) + CHOOSE(CONTROL!$C$25, 0.0003, 0)</f>
        <v>61.698399999999999</v>
      </c>
      <c r="C667" s="4">
        <f>61.3856 * CHOOSE(CONTROL!$C$6, $C$13, 100%, $E$13) + CHOOSE(CONTROL!$C$25, 0.0003, 0)</f>
        <v>61.385899999999999</v>
      </c>
      <c r="D667" s="4">
        <f>61.4541 * CHOOSE(CONTROL!$C$6, $C$13, 100%, $E$13) + CHOOSE(CONTROL!$C$25, 0, 0)</f>
        <v>61.454099999999997</v>
      </c>
      <c r="E667" s="4">
        <f>347.705986738923 * CHOOSE(CONTROL!$C$6, $C$13, 100%, $E$13) + CHOOSE(CONTROL!$C$25, 0, 0)</f>
        <v>347.705986738923</v>
      </c>
    </row>
    <row r="668" spans="1:5" ht="15">
      <c r="A668" s="13">
        <v>62213</v>
      </c>
      <c r="B668" s="4">
        <f>64.1384 * CHOOSE(CONTROL!$C$6, $C$13, 100%, $E$13) + CHOOSE(CONTROL!$C$25, 0.0003, 0)</f>
        <v>64.1387</v>
      </c>
      <c r="C668" s="4">
        <f>63.8259 * CHOOSE(CONTROL!$C$6, $C$13, 100%, $E$13) + CHOOSE(CONTROL!$C$25, 0.0003, 0)</f>
        <v>63.8262</v>
      </c>
      <c r="D668" s="4">
        <f>63.2175 * CHOOSE(CONTROL!$C$6, $C$13, 100%, $E$13) + CHOOSE(CONTROL!$C$25, 0, 0)</f>
        <v>63.217500000000001</v>
      </c>
      <c r="E668" s="4">
        <f>361.889119861924 * CHOOSE(CONTROL!$C$6, $C$13, 100%, $E$13) + CHOOSE(CONTROL!$C$25, 0, 0)</f>
        <v>361.88911986192397</v>
      </c>
    </row>
    <row r="669" spans="1:5" ht="15">
      <c r="A669" s="13">
        <v>62244</v>
      </c>
      <c r="B669" s="4">
        <f>65.6293 * CHOOSE(CONTROL!$C$6, $C$13, 100%, $E$13) + CHOOSE(CONTROL!$C$25, 0.0263, 0)</f>
        <v>65.655600000000007</v>
      </c>
      <c r="C669" s="4">
        <f>65.3168 * CHOOSE(CONTROL!$C$6, $C$13, 100%, $E$13) + CHOOSE(CONTROL!$C$25, 0.0263, 0)</f>
        <v>65.343100000000007</v>
      </c>
      <c r="D669" s="4">
        <f>62.5206 * CHOOSE(CONTROL!$C$6, $C$13, 100%, $E$13) + CHOOSE(CONTROL!$C$25, 0, 0)</f>
        <v>62.520600000000002</v>
      </c>
      <c r="E669" s="4">
        <f>370.554674277817 * CHOOSE(CONTROL!$C$6, $C$13, 100%, $E$13) + CHOOSE(CONTROL!$C$25, 0, 0)</f>
        <v>370.55467427781701</v>
      </c>
    </row>
    <row r="670" spans="1:5" ht="15">
      <c r="A670" s="13">
        <v>62274</v>
      </c>
      <c r="B670" s="4">
        <f>65.831 * CHOOSE(CONTROL!$C$6, $C$13, 100%, $E$13) + CHOOSE(CONTROL!$C$25, 0.0263, 0)</f>
        <v>65.857300000000009</v>
      </c>
      <c r="C670" s="4">
        <f>65.5185 * CHOOSE(CONTROL!$C$6, $C$13, 100%, $E$13) + CHOOSE(CONTROL!$C$25, 0.0263, 0)</f>
        <v>65.544800000000009</v>
      </c>
      <c r="D670" s="4">
        <f>63.0881 * CHOOSE(CONTROL!$C$6, $C$13, 100%, $E$13) + CHOOSE(CONTROL!$C$25, 0, 0)</f>
        <v>63.088099999999997</v>
      </c>
      <c r="E670" s="4">
        <f>371.727159753077 * CHOOSE(CONTROL!$C$6, $C$13, 100%, $E$13) + CHOOSE(CONTROL!$C$25, 0, 0)</f>
        <v>371.72715975307699</v>
      </c>
    </row>
    <row r="671" spans="1:5" ht="15">
      <c r="A671" s="13">
        <v>62305</v>
      </c>
      <c r="B671" s="4">
        <f>65.8107 * CHOOSE(CONTROL!$C$6, $C$13, 100%, $E$13) + CHOOSE(CONTROL!$C$25, 0.0263, 0)</f>
        <v>65.837000000000003</v>
      </c>
      <c r="C671" s="4">
        <f>65.4982 * CHOOSE(CONTROL!$C$6, $C$13, 100%, $E$13) + CHOOSE(CONTROL!$C$25, 0.0263, 0)</f>
        <v>65.524500000000003</v>
      </c>
      <c r="D671" s="4">
        <f>64.1121 * CHOOSE(CONTROL!$C$6, $C$13, 100%, $E$13) + CHOOSE(CONTROL!$C$25, 0, 0)</f>
        <v>64.112099999999998</v>
      </c>
      <c r="E671" s="4">
        <f>371.608925923639 * CHOOSE(CONTROL!$C$6, $C$13, 100%, $E$13) + CHOOSE(CONTROL!$C$25, 0, 0)</f>
        <v>371.60892592363899</v>
      </c>
    </row>
    <row r="672" spans="1:5" ht="15">
      <c r="A672" s="13">
        <v>62336</v>
      </c>
      <c r="B672" s="4">
        <f>67.3414 * CHOOSE(CONTROL!$C$6, $C$13, 100%, $E$13) + CHOOSE(CONTROL!$C$25, 0.0263, 0)</f>
        <v>67.367699999999999</v>
      </c>
      <c r="C672" s="4">
        <f>67.0289 * CHOOSE(CONTROL!$C$6, $C$13, 100%, $E$13) + CHOOSE(CONTROL!$C$25, 0.0263, 0)</f>
        <v>67.055199999999999</v>
      </c>
      <c r="D672" s="4">
        <f>63.4359 * CHOOSE(CONTROL!$C$6, $C$13, 100%, $E$13) + CHOOSE(CONTROL!$C$25, 0, 0)</f>
        <v>63.435899999999997</v>
      </c>
      <c r="E672" s="4">
        <f>380.506021588849 * CHOOSE(CONTROL!$C$6, $C$13, 100%, $E$13) + CHOOSE(CONTROL!$C$25, 0, 0)</f>
        <v>380.50602158884902</v>
      </c>
    </row>
    <row r="673" spans="1:5" ht="15">
      <c r="A673" s="13">
        <v>62366</v>
      </c>
      <c r="B673" s="4">
        <f>64.7325 * CHOOSE(CONTROL!$C$6, $C$13, 100%, $E$13) + CHOOSE(CONTROL!$C$25, 0.0263, 0)</f>
        <v>64.758800000000008</v>
      </c>
      <c r="C673" s="4">
        <f>64.42 * CHOOSE(CONTROL!$C$6, $C$13, 100%, $E$13) + CHOOSE(CONTROL!$C$25, 0.0263, 0)</f>
        <v>64.446300000000008</v>
      </c>
      <c r="D673" s="4">
        <f>63.1164 * CHOOSE(CONTROL!$C$6, $C$13, 100%, $E$13) + CHOOSE(CONTROL!$C$25, 0, 0)</f>
        <v>63.116399999999999</v>
      </c>
      <c r="E673" s="4">
        <f>365.342532963425 * CHOOSE(CONTROL!$C$6, $C$13, 100%, $E$13) + CHOOSE(CONTROL!$C$25, 0, 0)</f>
        <v>365.34253296342501</v>
      </c>
    </row>
    <row r="674" spans="1:5" ht="15">
      <c r="A674" s="13">
        <v>62397</v>
      </c>
      <c r="B674" s="4">
        <f>62.6441 * CHOOSE(CONTROL!$C$6, $C$13, 100%, $E$13) + CHOOSE(CONTROL!$C$25, 0.0003, 0)</f>
        <v>62.644400000000005</v>
      </c>
      <c r="C674" s="4">
        <f>62.3316 * CHOOSE(CONTROL!$C$6, $C$13, 100%, $E$13) + CHOOSE(CONTROL!$C$25, 0.0003, 0)</f>
        <v>62.331900000000005</v>
      </c>
      <c r="D674" s="4">
        <f>62.2609 * CHOOSE(CONTROL!$C$6, $C$13, 100%, $E$13) + CHOOSE(CONTROL!$C$25, 0, 0)</f>
        <v>62.260899999999999</v>
      </c>
      <c r="E674" s="4">
        <f>353.20385980779 * CHOOSE(CONTROL!$C$6, $C$13, 100%, $E$13) + CHOOSE(CONTROL!$C$25, 0, 0)</f>
        <v>353.20385980779002</v>
      </c>
    </row>
    <row r="675" spans="1:5" ht="15">
      <c r="A675" s="13">
        <v>62427</v>
      </c>
      <c r="B675" s="4">
        <f>61.2989 * CHOOSE(CONTROL!$C$6, $C$13, 100%, $E$13) + CHOOSE(CONTROL!$C$25, 0.0003, 0)</f>
        <v>61.299200000000006</v>
      </c>
      <c r="C675" s="4">
        <f>60.9864 * CHOOSE(CONTROL!$C$6, $C$13, 100%, $E$13) + CHOOSE(CONTROL!$C$25, 0.0003, 0)</f>
        <v>60.986700000000006</v>
      </c>
      <c r="D675" s="4">
        <f>61.9668 * CHOOSE(CONTROL!$C$6, $C$13, 100%, $E$13) + CHOOSE(CONTROL!$C$25, 0, 0)</f>
        <v>61.966799999999999</v>
      </c>
      <c r="E675" s="4">
        <f>345.385647836203 * CHOOSE(CONTROL!$C$6, $C$13, 100%, $E$13) + CHOOSE(CONTROL!$C$25, 0, 0)</f>
        <v>345.38564783620302</v>
      </c>
    </row>
    <row r="676" spans="1:5" ht="15">
      <c r="A676" s="13">
        <v>62458</v>
      </c>
      <c r="B676" s="4">
        <f>60.3683 * CHOOSE(CONTROL!$C$6, $C$13, 100%, $E$13) + CHOOSE(CONTROL!$C$25, 0.0003, 0)</f>
        <v>60.368600000000001</v>
      </c>
      <c r="C676" s="4">
        <f>60.0558 * CHOOSE(CONTROL!$C$6, $C$13, 100%, $E$13) + CHOOSE(CONTROL!$C$25, 0.0003, 0)</f>
        <v>60.056100000000001</v>
      </c>
      <c r="D676" s="4">
        <f>59.8014 * CHOOSE(CONTROL!$C$6, $C$13, 100%, $E$13) + CHOOSE(CONTROL!$C$25, 0, 0)</f>
        <v>59.801400000000001</v>
      </c>
      <c r="E676" s="4">
        <f>339.976450139414 * CHOOSE(CONTROL!$C$6, $C$13, 100%, $E$13) + CHOOSE(CONTROL!$C$25, 0, 0)</f>
        <v>339.976450139414</v>
      </c>
    </row>
    <row r="677" spans="1:5" ht="15">
      <c r="A677" s="13">
        <v>62489</v>
      </c>
      <c r="B677" s="4">
        <f>58.8561 * CHOOSE(CONTROL!$C$6, $C$13, 100%, $E$13) + CHOOSE(CONTROL!$C$25, 0.0003, 0)</f>
        <v>58.856400000000001</v>
      </c>
      <c r="C677" s="4">
        <f>58.5436 * CHOOSE(CONTROL!$C$6, $C$13, 100%, $E$13) + CHOOSE(CONTROL!$C$25, 0.0003, 0)</f>
        <v>58.543900000000001</v>
      </c>
      <c r="D677" s="4">
        <f>57.8113 * CHOOSE(CONTROL!$C$6, $C$13, 100%, $E$13) + CHOOSE(CONTROL!$C$25, 0, 0)</f>
        <v>57.811300000000003</v>
      </c>
      <c r="E677" s="4">
        <f>330.227221096602 * CHOOSE(CONTROL!$C$6, $C$13, 100%, $E$13) + CHOOSE(CONTROL!$C$25, 0, 0)</f>
        <v>330.22722109660202</v>
      </c>
    </row>
    <row r="678" spans="1:5" ht="15">
      <c r="A678" s="13">
        <v>62517</v>
      </c>
      <c r="B678" s="4">
        <f>60.2091 * CHOOSE(CONTROL!$C$6, $C$13, 100%, $E$13) + CHOOSE(CONTROL!$C$25, 0.0003, 0)</f>
        <v>60.209400000000002</v>
      </c>
      <c r="C678" s="4">
        <f>59.8966 * CHOOSE(CONTROL!$C$6, $C$13, 100%, $E$13) + CHOOSE(CONTROL!$C$25, 0.0003, 0)</f>
        <v>59.896900000000002</v>
      </c>
      <c r="D678" s="4">
        <f>59.8154 * CHOOSE(CONTROL!$C$6, $C$13, 100%, $E$13) + CHOOSE(CONTROL!$C$25, 0, 0)</f>
        <v>59.815399999999997</v>
      </c>
      <c r="E678" s="4">
        <f>338.068116721008 * CHOOSE(CONTROL!$C$6, $C$13, 100%, $E$13) + CHOOSE(CONTROL!$C$25, 0, 0)</f>
        <v>338.06811672100798</v>
      </c>
    </row>
    <row r="679" spans="1:5" ht="15">
      <c r="A679" s="13">
        <v>62548</v>
      </c>
      <c r="B679" s="4">
        <f>63.762 * CHOOSE(CONTROL!$C$6, $C$13, 100%, $E$13) + CHOOSE(CONTROL!$C$25, 0.0003, 0)</f>
        <v>63.762300000000003</v>
      </c>
      <c r="C679" s="4">
        <f>63.4495 * CHOOSE(CONTROL!$C$6, $C$13, 100%, $E$13) + CHOOSE(CONTROL!$C$25, 0.0003, 0)</f>
        <v>63.449800000000003</v>
      </c>
      <c r="D679" s="4">
        <f>62.9526 * CHOOSE(CONTROL!$C$6, $C$13, 100%, $E$13) + CHOOSE(CONTROL!$C$25, 0, 0)</f>
        <v>62.952599999999997</v>
      </c>
      <c r="E679" s="4">
        <f>358.658725321199 * CHOOSE(CONTROL!$C$6, $C$13, 100%, $E$13) + CHOOSE(CONTROL!$C$25, 0, 0)</f>
        <v>358.65872532119897</v>
      </c>
    </row>
    <row r="680" spans="1:5" ht="15">
      <c r="A680" s="13">
        <v>62578</v>
      </c>
      <c r="B680" s="4">
        <f>66.2864 * CHOOSE(CONTROL!$C$6, $C$13, 100%, $E$13) + CHOOSE(CONTROL!$C$25, 0.0003, 0)</f>
        <v>66.286699999999996</v>
      </c>
      <c r="C680" s="4">
        <f>65.9739 * CHOOSE(CONTROL!$C$6, $C$13, 100%, $E$13) + CHOOSE(CONTROL!$C$25, 0.0003, 0)</f>
        <v>65.974199999999996</v>
      </c>
      <c r="D680" s="4">
        <f>64.7597 * CHOOSE(CONTROL!$C$6, $C$13, 100%, $E$13) + CHOOSE(CONTROL!$C$25, 0, 0)</f>
        <v>64.759699999999995</v>
      </c>
      <c r="E680" s="4">
        <f>373.288627137574 * CHOOSE(CONTROL!$C$6, $C$13, 100%, $E$13) + CHOOSE(CONTROL!$C$25, 0, 0)</f>
        <v>373.288627137574</v>
      </c>
    </row>
    <row r="681" spans="1:5" ht="15">
      <c r="A681" s="13">
        <v>62609</v>
      </c>
      <c r="B681" s="4">
        <f>67.8288 * CHOOSE(CONTROL!$C$6, $C$13, 100%, $E$13) + CHOOSE(CONTROL!$C$25, 0.0263, 0)</f>
        <v>67.855100000000007</v>
      </c>
      <c r="C681" s="4">
        <f>67.5163 * CHOOSE(CONTROL!$C$6, $C$13, 100%, $E$13) + CHOOSE(CONTROL!$C$25, 0.0263, 0)</f>
        <v>67.542600000000007</v>
      </c>
      <c r="D681" s="4">
        <f>64.0456 * CHOOSE(CONTROL!$C$6, $C$13, 100%, $E$13) + CHOOSE(CONTROL!$C$25, 0, 0)</f>
        <v>64.045599999999993</v>
      </c>
      <c r="E681" s="4">
        <f>382.227146517568 * CHOOSE(CONTROL!$C$6, $C$13, 100%, $E$13) + CHOOSE(CONTROL!$C$25, 0, 0)</f>
        <v>382.22714651756797</v>
      </c>
    </row>
    <row r="682" spans="1:5" ht="15">
      <c r="A682" s="13">
        <v>62639</v>
      </c>
      <c r="B682" s="4">
        <f>68.0375 * CHOOSE(CONTROL!$C$6, $C$13, 100%, $E$13) + CHOOSE(CONTROL!$C$25, 0.0263, 0)</f>
        <v>68.063800000000001</v>
      </c>
      <c r="C682" s="4">
        <f>67.725 * CHOOSE(CONTROL!$C$6, $C$13, 100%, $E$13) + CHOOSE(CONTROL!$C$25, 0.0263, 0)</f>
        <v>67.751300000000001</v>
      </c>
      <c r="D682" s="4">
        <f>64.6272 * CHOOSE(CONTROL!$C$6, $C$13, 100%, $E$13) + CHOOSE(CONTROL!$C$25, 0, 0)</f>
        <v>64.627200000000002</v>
      </c>
      <c r="E682" s="4">
        <f>383.436565285299 * CHOOSE(CONTROL!$C$6, $C$13, 100%, $E$13) + CHOOSE(CONTROL!$C$25, 0, 0)</f>
        <v>383.43656528529903</v>
      </c>
    </row>
    <row r="683" spans="1:5" ht="15">
      <c r="A683" s="13">
        <v>62670</v>
      </c>
      <c r="B683" s="4">
        <f>68.0164 * CHOOSE(CONTROL!$C$6, $C$13, 100%, $E$13) + CHOOSE(CONTROL!$C$25, 0.0263, 0)</f>
        <v>68.042700000000011</v>
      </c>
      <c r="C683" s="4">
        <f>67.7039 * CHOOSE(CONTROL!$C$6, $C$13, 100%, $E$13) + CHOOSE(CONTROL!$C$25, 0.0263, 0)</f>
        <v>67.730200000000011</v>
      </c>
      <c r="D683" s="4">
        <f>65.6766 * CHOOSE(CONTROL!$C$6, $C$13, 100%, $E$13) + CHOOSE(CONTROL!$C$25, 0, 0)</f>
        <v>65.676599999999993</v>
      </c>
      <c r="E683" s="4">
        <f>383.314607090234 * CHOOSE(CONTROL!$C$6, $C$13, 100%, $E$13) + CHOOSE(CONTROL!$C$25, 0, 0)</f>
        <v>383.31460709023401</v>
      </c>
    </row>
    <row r="684" spans="1:5" ht="15">
      <c r="A684" s="13">
        <v>62701</v>
      </c>
      <c r="B684" s="4">
        <f>69.6 * CHOOSE(CONTROL!$C$6, $C$13, 100%, $E$13) + CHOOSE(CONTROL!$C$25, 0.0263, 0)</f>
        <v>69.626300000000001</v>
      </c>
      <c r="C684" s="4">
        <f>69.2875 * CHOOSE(CONTROL!$C$6, $C$13, 100%, $E$13) + CHOOSE(CONTROL!$C$25, 0.0263, 0)</f>
        <v>69.313800000000001</v>
      </c>
      <c r="D684" s="4">
        <f>64.9836 * CHOOSE(CONTROL!$C$6, $C$13, 100%, $E$13) + CHOOSE(CONTROL!$C$25, 0, 0)</f>
        <v>64.983599999999996</v>
      </c>
      <c r="E684" s="4">
        <f>392.491961268898 * CHOOSE(CONTROL!$C$6, $C$13, 100%, $E$13) + CHOOSE(CONTROL!$C$25, 0, 0)</f>
        <v>392.49196126889802</v>
      </c>
    </row>
    <row r="685" spans="1:5" ht="15">
      <c r="A685" s="13">
        <v>62731</v>
      </c>
      <c r="B685" s="4">
        <f>66.9011 * CHOOSE(CONTROL!$C$6, $C$13, 100%, $E$13) + CHOOSE(CONTROL!$C$25, 0.0263, 0)</f>
        <v>66.927400000000006</v>
      </c>
      <c r="C685" s="4">
        <f>66.5886 * CHOOSE(CONTROL!$C$6, $C$13, 100%, $E$13) + CHOOSE(CONTROL!$C$25, 0.0263, 0)</f>
        <v>66.614900000000006</v>
      </c>
      <c r="D685" s="4">
        <f>64.6561 * CHOOSE(CONTROL!$C$6, $C$13, 100%, $E$13) + CHOOSE(CONTROL!$C$25, 0, 0)</f>
        <v>64.656099999999995</v>
      </c>
      <c r="E685" s="4">
        <f>376.850822751773 * CHOOSE(CONTROL!$C$6, $C$13, 100%, $E$13) + CHOOSE(CONTROL!$C$25, 0, 0)</f>
        <v>376.85082275177302</v>
      </c>
    </row>
    <row r="686" spans="1:5" ht="15">
      <c r="A686" s="13">
        <v>62762</v>
      </c>
      <c r="B686" s="4">
        <f>64.7406 * CHOOSE(CONTROL!$C$6, $C$13, 100%, $E$13) + CHOOSE(CONTROL!$C$25, 0.0003, 0)</f>
        <v>64.740899999999996</v>
      </c>
      <c r="C686" s="4">
        <f>64.4281 * CHOOSE(CONTROL!$C$6, $C$13, 100%, $E$13) + CHOOSE(CONTROL!$C$25, 0.0003, 0)</f>
        <v>64.428399999999996</v>
      </c>
      <c r="D686" s="4">
        <f>63.7794 * CHOOSE(CONTROL!$C$6, $C$13, 100%, $E$13) + CHOOSE(CONTROL!$C$25, 0, 0)</f>
        <v>63.779400000000003</v>
      </c>
      <c r="E686" s="4">
        <f>364.329781391736 * CHOOSE(CONTROL!$C$6, $C$13, 100%, $E$13) + CHOOSE(CONTROL!$C$25, 0, 0)</f>
        <v>364.32978139173599</v>
      </c>
    </row>
    <row r="687" spans="1:5" ht="15">
      <c r="A687" s="13">
        <v>62792</v>
      </c>
      <c r="B687" s="4">
        <f>63.349 * CHOOSE(CONTROL!$C$6, $C$13, 100%, $E$13) + CHOOSE(CONTROL!$C$25, 0.0003, 0)</f>
        <v>63.349299999999999</v>
      </c>
      <c r="C687" s="4">
        <f>63.0365 * CHOOSE(CONTROL!$C$6, $C$13, 100%, $E$13) + CHOOSE(CONTROL!$C$25, 0.0003, 0)</f>
        <v>63.036799999999999</v>
      </c>
      <c r="D687" s="4">
        <f>63.478 * CHOOSE(CONTROL!$C$6, $C$13, 100%, $E$13) + CHOOSE(CONTROL!$C$25, 0, 0)</f>
        <v>63.478000000000002</v>
      </c>
      <c r="E687" s="4">
        <f>356.265295743043 * CHOOSE(CONTROL!$C$6, $C$13, 100%, $E$13) + CHOOSE(CONTROL!$C$25, 0, 0)</f>
        <v>356.265295743043</v>
      </c>
    </row>
    <row r="688" spans="1:5" ht="15">
      <c r="A688" s="13">
        <v>62823</v>
      </c>
      <c r="B688" s="4">
        <f>62.3863 * CHOOSE(CONTROL!$C$6, $C$13, 100%, $E$13) + CHOOSE(CONTROL!$C$25, 0.0003, 0)</f>
        <v>62.386600000000001</v>
      </c>
      <c r="C688" s="4">
        <f>62.0738 * CHOOSE(CONTROL!$C$6, $C$13, 100%, $E$13) + CHOOSE(CONTROL!$C$25, 0.0003, 0)</f>
        <v>62.074100000000001</v>
      </c>
      <c r="D688" s="4">
        <f>61.259 * CHOOSE(CONTROL!$C$6, $C$13, 100%, $E$13) + CHOOSE(CONTROL!$C$25, 0, 0)</f>
        <v>61.259</v>
      </c>
      <c r="E688" s="4">
        <f>350.685708318806 * CHOOSE(CONTROL!$C$6, $C$13, 100%, $E$13) + CHOOSE(CONTROL!$C$25, 0, 0)</f>
        <v>350.68570831880601</v>
      </c>
    </row>
    <row r="689" spans="1:5" ht="15">
      <c r="A689" s="13">
        <v>62854</v>
      </c>
      <c r="B689" s="4">
        <f>60.822 * CHOOSE(CONTROL!$C$6, $C$13, 100%, $E$13) + CHOOSE(CONTROL!$C$25, 0.0003, 0)</f>
        <v>60.822300000000006</v>
      </c>
      <c r="C689" s="4">
        <f>60.5095 * CHOOSE(CONTROL!$C$6, $C$13, 100%, $E$13) + CHOOSE(CONTROL!$C$25, 0.0003, 0)</f>
        <v>60.509800000000006</v>
      </c>
      <c r="D689" s="4">
        <f>59.2195 * CHOOSE(CONTROL!$C$6, $C$13, 100%, $E$13) + CHOOSE(CONTROL!$C$25, 0, 0)</f>
        <v>59.219499999999996</v>
      </c>
      <c r="E689" s="4">
        <f>340.629378561145 * CHOOSE(CONTROL!$C$6, $C$13, 100%, $E$13) + CHOOSE(CONTROL!$C$25, 0, 0)</f>
        <v>340.62937856114502</v>
      </c>
    </row>
    <row r="690" spans="1:5" ht="15">
      <c r="A690" s="13">
        <v>62883</v>
      </c>
      <c r="B690" s="4">
        <f>62.2216 * CHOOSE(CONTROL!$C$6, $C$13, 100%, $E$13) + CHOOSE(CONTROL!$C$25, 0.0003, 0)</f>
        <v>62.221900000000005</v>
      </c>
      <c r="C690" s="4">
        <f>61.9091 * CHOOSE(CONTROL!$C$6, $C$13, 100%, $E$13) + CHOOSE(CONTROL!$C$25, 0.0003, 0)</f>
        <v>61.909400000000005</v>
      </c>
      <c r="D690" s="4">
        <f>61.2733 * CHOOSE(CONTROL!$C$6, $C$13, 100%, $E$13) + CHOOSE(CONTROL!$C$25, 0, 0)</f>
        <v>61.273299999999999</v>
      </c>
      <c r="E690" s="4">
        <f>348.71726239772 * CHOOSE(CONTROL!$C$6, $C$13, 100%, $E$13) + CHOOSE(CONTROL!$C$25, 0, 0)</f>
        <v>348.71726239771999</v>
      </c>
    </row>
    <row r="691" spans="1:5" ht="15">
      <c r="A691" s="13">
        <v>62914</v>
      </c>
      <c r="B691" s="4">
        <f>65.8971 * CHOOSE(CONTROL!$C$6, $C$13, 100%, $E$13) + CHOOSE(CONTROL!$C$25, 0.0003, 0)</f>
        <v>65.89739999999999</v>
      </c>
      <c r="C691" s="4">
        <f>65.5846 * CHOOSE(CONTROL!$C$6, $C$13, 100%, $E$13) + CHOOSE(CONTROL!$C$25, 0.0003, 0)</f>
        <v>65.58489999999999</v>
      </c>
      <c r="D691" s="4">
        <f>64.4883 * CHOOSE(CONTROL!$C$6, $C$13, 100%, $E$13) + CHOOSE(CONTROL!$C$25, 0, 0)</f>
        <v>64.488299999999995</v>
      </c>
      <c r="E691" s="4">
        <f>369.956475168817 * CHOOSE(CONTROL!$C$6, $C$13, 100%, $E$13) + CHOOSE(CONTROL!$C$25, 0, 0)</f>
        <v>369.95647516881701</v>
      </c>
    </row>
    <row r="692" spans="1:5" ht="15">
      <c r="A692" s="13">
        <v>62944</v>
      </c>
      <c r="B692" s="4">
        <f>68.5086 * CHOOSE(CONTROL!$C$6, $C$13, 100%, $E$13) + CHOOSE(CONTROL!$C$25, 0.0003, 0)</f>
        <v>68.508899999999997</v>
      </c>
      <c r="C692" s="4">
        <f>68.1961 * CHOOSE(CONTROL!$C$6, $C$13, 100%, $E$13) + CHOOSE(CONTROL!$C$25, 0.0003, 0)</f>
        <v>68.196399999999997</v>
      </c>
      <c r="D692" s="4">
        <f>66.3402 * CHOOSE(CONTROL!$C$6, $C$13, 100%, $E$13) + CHOOSE(CONTROL!$C$25, 0, 0)</f>
        <v>66.340199999999996</v>
      </c>
      <c r="E692" s="4">
        <f>385.047218892408 * CHOOSE(CONTROL!$C$6, $C$13, 100%, $E$13) + CHOOSE(CONTROL!$C$25, 0, 0)</f>
        <v>385.04721889240801</v>
      </c>
    </row>
    <row r="693" spans="1:5" ht="15">
      <c r="A693" s="13">
        <v>62975</v>
      </c>
      <c r="B693" s="4">
        <f>70.1042 * CHOOSE(CONTROL!$C$6, $C$13, 100%, $E$13) + CHOOSE(CONTROL!$C$25, 0.0263, 0)</f>
        <v>70.130500000000012</v>
      </c>
      <c r="C693" s="4">
        <f>69.7917 * CHOOSE(CONTROL!$C$6, $C$13, 100%, $E$13) + CHOOSE(CONTROL!$C$25, 0.0263, 0)</f>
        <v>69.818000000000012</v>
      </c>
      <c r="D693" s="4">
        <f>65.6084 * CHOOSE(CONTROL!$C$6, $C$13, 100%, $E$13) + CHOOSE(CONTROL!$C$25, 0, 0)</f>
        <v>65.608400000000003</v>
      </c>
      <c r="E693" s="4">
        <f>394.267301632872 * CHOOSE(CONTROL!$C$6, $C$13, 100%, $E$13) + CHOOSE(CONTROL!$C$25, 0, 0)</f>
        <v>394.26730163287198</v>
      </c>
    </row>
    <row r="694" spans="1:5" ht="15">
      <c r="A694" s="13">
        <v>63005</v>
      </c>
      <c r="B694" s="4">
        <f>70.3201 * CHOOSE(CONTROL!$C$6, $C$13, 100%, $E$13) + CHOOSE(CONTROL!$C$25, 0.0263, 0)</f>
        <v>70.346400000000003</v>
      </c>
      <c r="C694" s="4">
        <f>70.0076 * CHOOSE(CONTROL!$C$6, $C$13, 100%, $E$13) + CHOOSE(CONTROL!$C$25, 0.0263, 0)</f>
        <v>70.033900000000003</v>
      </c>
      <c r="D694" s="4">
        <f>66.2044 * CHOOSE(CONTROL!$C$6, $C$13, 100%, $E$13) + CHOOSE(CONTROL!$C$25, 0, 0)</f>
        <v>66.204400000000007</v>
      </c>
      <c r="E694" s="4">
        <f>395.514817091786 * CHOOSE(CONTROL!$C$6, $C$13, 100%, $E$13) + CHOOSE(CONTROL!$C$25, 0, 0)</f>
        <v>395.51481709178597</v>
      </c>
    </row>
    <row r="695" spans="1:5" ht="15">
      <c r="A695" s="13">
        <v>63036</v>
      </c>
      <c r="B695" s="4">
        <f>70.2983 * CHOOSE(CONTROL!$C$6, $C$13, 100%, $E$13) + CHOOSE(CONTROL!$C$25, 0.0263, 0)</f>
        <v>70.324600000000004</v>
      </c>
      <c r="C695" s="4">
        <f>69.9858 * CHOOSE(CONTROL!$C$6, $C$13, 100%, $E$13) + CHOOSE(CONTROL!$C$25, 0.0263, 0)</f>
        <v>70.012100000000004</v>
      </c>
      <c r="D695" s="4">
        <f>67.2798 * CHOOSE(CONTROL!$C$6, $C$13, 100%, $E$13) + CHOOSE(CONTROL!$C$25, 0, 0)</f>
        <v>67.279799999999994</v>
      </c>
      <c r="E695" s="4">
        <f>395.389017213576 * CHOOSE(CONTROL!$C$6, $C$13, 100%, $E$13) + CHOOSE(CONTROL!$C$25, 0, 0)</f>
        <v>395.38901721357598</v>
      </c>
    </row>
    <row r="696" spans="1:5" ht="15">
      <c r="A696" s="13">
        <v>63067</v>
      </c>
      <c r="B696" s="4">
        <f>71.9365 * CHOOSE(CONTROL!$C$6, $C$13, 100%, $E$13) + CHOOSE(CONTROL!$C$25, 0.0263, 0)</f>
        <v>71.962800000000001</v>
      </c>
      <c r="C696" s="4">
        <f>71.624 * CHOOSE(CONTROL!$C$6, $C$13, 100%, $E$13) + CHOOSE(CONTROL!$C$25, 0.0263, 0)</f>
        <v>71.650300000000001</v>
      </c>
      <c r="D696" s="4">
        <f>66.5696 * CHOOSE(CONTROL!$C$6, $C$13, 100%, $E$13) + CHOOSE(CONTROL!$C$25, 0, 0)</f>
        <v>66.569599999999994</v>
      </c>
      <c r="E696" s="4">
        <f>404.855458048868 * CHOOSE(CONTROL!$C$6, $C$13, 100%, $E$13) + CHOOSE(CONTROL!$C$25, 0, 0)</f>
        <v>404.855458048868</v>
      </c>
    </row>
    <row r="697" spans="1:5" ht="15">
      <c r="A697" s="13">
        <v>63097</v>
      </c>
      <c r="B697" s="4">
        <f>69.1445 * CHOOSE(CONTROL!$C$6, $C$13, 100%, $E$13) + CHOOSE(CONTROL!$C$25, 0.0263, 0)</f>
        <v>69.1708</v>
      </c>
      <c r="C697" s="4">
        <f>68.832 * CHOOSE(CONTROL!$C$6, $C$13, 100%, $E$13) + CHOOSE(CONTROL!$C$25, 0.0263, 0)</f>
        <v>68.8583</v>
      </c>
      <c r="D697" s="4">
        <f>66.2341 * CHOOSE(CONTROL!$C$6, $C$13, 100%, $E$13) + CHOOSE(CONTROL!$C$25, 0, 0)</f>
        <v>66.234099999999998</v>
      </c>
      <c r="E697" s="4">
        <f>388.721623668454 * CHOOSE(CONTROL!$C$6, $C$13, 100%, $E$13) + CHOOSE(CONTROL!$C$25, 0, 0)</f>
        <v>388.72162366845401</v>
      </c>
    </row>
    <row r="698" spans="1:5" ht="15">
      <c r="A698" s="13">
        <v>63128</v>
      </c>
      <c r="B698" s="4">
        <f>66.9094 * CHOOSE(CONTROL!$C$6, $C$13, 100%, $E$13) + CHOOSE(CONTROL!$C$25, 0.0003, 0)</f>
        <v>66.909700000000001</v>
      </c>
      <c r="C698" s="4">
        <f>66.5969 * CHOOSE(CONTROL!$C$6, $C$13, 100%, $E$13) + CHOOSE(CONTROL!$C$25, 0.0003, 0)</f>
        <v>66.597200000000001</v>
      </c>
      <c r="D698" s="4">
        <f>65.3356 * CHOOSE(CONTROL!$C$6, $C$13, 100%, $E$13) + CHOOSE(CONTROL!$C$25, 0, 0)</f>
        <v>65.335599999999999</v>
      </c>
      <c r="E698" s="4">
        <f>375.806169505576 * CHOOSE(CONTROL!$C$6, $C$13, 100%, $E$13) + CHOOSE(CONTROL!$C$25, 0, 0)</f>
        <v>375.80616950557601</v>
      </c>
    </row>
    <row r="699" spans="1:5" ht="15">
      <c r="A699" s="13">
        <v>63158</v>
      </c>
      <c r="B699" s="4">
        <f>65.4699 * CHOOSE(CONTROL!$C$6, $C$13, 100%, $E$13) + CHOOSE(CONTROL!$C$25, 0.0003, 0)</f>
        <v>65.470199999999991</v>
      </c>
      <c r="C699" s="4">
        <f>65.1574 * CHOOSE(CONTROL!$C$6, $C$13, 100%, $E$13) + CHOOSE(CONTROL!$C$25, 0.0003, 0)</f>
        <v>65.157699999999991</v>
      </c>
      <c r="D699" s="4">
        <f>65.0268 * CHOOSE(CONTROL!$C$6, $C$13, 100%, $E$13) + CHOOSE(CONTROL!$C$25, 0, 0)</f>
        <v>65.026799999999994</v>
      </c>
      <c r="E699" s="4">
        <f>367.487652558949 * CHOOSE(CONTROL!$C$6, $C$13, 100%, $E$13) + CHOOSE(CONTROL!$C$25, 0, 0)</f>
        <v>367.48765255894898</v>
      </c>
    </row>
    <row r="700" spans="1:5" ht="15">
      <c r="A700" s="13">
        <v>63189</v>
      </c>
      <c r="B700" s="4">
        <f>64.4739 * CHOOSE(CONTROL!$C$6, $C$13, 100%, $E$13) + CHOOSE(CONTROL!$C$25, 0.0003, 0)</f>
        <v>64.474199999999996</v>
      </c>
      <c r="C700" s="4">
        <f>64.1614 * CHOOSE(CONTROL!$C$6, $C$13, 100%, $E$13) + CHOOSE(CONTROL!$C$25, 0.0003, 0)</f>
        <v>64.161699999999996</v>
      </c>
      <c r="D700" s="4">
        <f>62.7527 * CHOOSE(CONTROL!$C$6, $C$13, 100%, $E$13) + CHOOSE(CONTROL!$C$25, 0, 0)</f>
        <v>62.752699999999997</v>
      </c>
      <c r="E700" s="4">
        <f>361.732308130848 * CHOOSE(CONTROL!$C$6, $C$13, 100%, $E$13) + CHOOSE(CONTROL!$C$25, 0, 0)</f>
        <v>361.73230813084803</v>
      </c>
    </row>
    <row r="701" spans="1:5" ht="15">
      <c r="A701" s="13">
        <v>63220</v>
      </c>
      <c r="B701" s="4">
        <f>62.8557 * CHOOSE(CONTROL!$C$6, $C$13, 100%, $E$13) + CHOOSE(CONTROL!$C$25, 0.0003, 0)</f>
        <v>62.856000000000002</v>
      </c>
      <c r="C701" s="4">
        <f>62.5432 * CHOOSE(CONTROL!$C$6, $C$13, 100%, $E$13) + CHOOSE(CONTROL!$C$25, 0.0003, 0)</f>
        <v>62.543500000000002</v>
      </c>
      <c r="D701" s="4">
        <f>60.6626 * CHOOSE(CONTROL!$C$6, $C$13, 100%, $E$13) + CHOOSE(CONTROL!$C$25, 0, 0)</f>
        <v>60.662599999999998</v>
      </c>
      <c r="E701" s="4">
        <f>351.359203985821 * CHOOSE(CONTROL!$C$6, $C$13, 100%, $E$13) + CHOOSE(CONTROL!$C$25, 0, 0)</f>
        <v>351.35920398582101</v>
      </c>
    </row>
    <row r="702" spans="1:5" ht="15">
      <c r="A702" s="13">
        <v>63248</v>
      </c>
      <c r="B702" s="4">
        <f>64.3036 * CHOOSE(CONTROL!$C$6, $C$13, 100%, $E$13) + CHOOSE(CONTROL!$C$25, 0.0003, 0)</f>
        <v>64.303899999999999</v>
      </c>
      <c r="C702" s="4">
        <f>63.9911 * CHOOSE(CONTROL!$C$6, $C$13, 100%, $E$13) + CHOOSE(CONTROL!$C$25, 0.0003, 0)</f>
        <v>63.991400000000006</v>
      </c>
      <c r="D702" s="4">
        <f>62.7673 * CHOOSE(CONTROL!$C$6, $C$13, 100%, $E$13) + CHOOSE(CONTROL!$C$25, 0, 0)</f>
        <v>62.767299999999999</v>
      </c>
      <c r="E702" s="4">
        <f>359.701856163248 * CHOOSE(CONTROL!$C$6, $C$13, 100%, $E$13) + CHOOSE(CONTROL!$C$25, 0, 0)</f>
        <v>359.70185616324801</v>
      </c>
    </row>
    <row r="703" spans="1:5" ht="15">
      <c r="A703" s="13">
        <v>63279</v>
      </c>
      <c r="B703" s="4">
        <f>68.1059 * CHOOSE(CONTROL!$C$6, $C$13, 100%, $E$13) + CHOOSE(CONTROL!$C$25, 0.0003, 0)</f>
        <v>68.106200000000001</v>
      </c>
      <c r="C703" s="4">
        <f>67.7934 * CHOOSE(CONTROL!$C$6, $C$13, 100%, $E$13) + CHOOSE(CONTROL!$C$25, 0.0003, 0)</f>
        <v>67.793700000000001</v>
      </c>
      <c r="D703" s="4">
        <f>66.0621 * CHOOSE(CONTROL!$C$6, $C$13, 100%, $E$13) + CHOOSE(CONTROL!$C$25, 0, 0)</f>
        <v>66.062100000000001</v>
      </c>
      <c r="E703" s="4">
        <f>381.610104136635 * CHOOSE(CONTROL!$C$6, $C$13, 100%, $E$13) + CHOOSE(CONTROL!$C$25, 0, 0)</f>
        <v>381.61010413663502</v>
      </c>
    </row>
    <row r="704" spans="1:5" ht="15">
      <c r="A704" s="13">
        <v>63309</v>
      </c>
      <c r="B704" s="4">
        <f>70.8075 * CHOOSE(CONTROL!$C$6, $C$13, 100%, $E$13) + CHOOSE(CONTROL!$C$25, 0.0003, 0)</f>
        <v>70.8078</v>
      </c>
      <c r="C704" s="4">
        <f>70.495 * CHOOSE(CONTROL!$C$6, $C$13, 100%, $E$13) + CHOOSE(CONTROL!$C$25, 0.0003, 0)</f>
        <v>70.4953</v>
      </c>
      <c r="D704" s="4">
        <f>67.96 * CHOOSE(CONTROL!$C$6, $C$13, 100%, $E$13) + CHOOSE(CONTROL!$C$25, 0, 0)</f>
        <v>67.959999999999994</v>
      </c>
      <c r="E704" s="4">
        <f>397.176206287519 * CHOOSE(CONTROL!$C$6, $C$13, 100%, $E$13) + CHOOSE(CONTROL!$C$25, 0, 0)</f>
        <v>397.17620628751899</v>
      </c>
    </row>
    <row r="705" spans="1:5" ht="15">
      <c r="A705" s="13">
        <v>63340</v>
      </c>
      <c r="B705" s="4">
        <f>72.4581 * CHOOSE(CONTROL!$C$6, $C$13, 100%, $E$13) + CHOOSE(CONTROL!$C$25, 0.0263, 0)</f>
        <v>72.484400000000008</v>
      </c>
      <c r="C705" s="4">
        <f>72.1456 * CHOOSE(CONTROL!$C$6, $C$13, 100%, $E$13) + CHOOSE(CONTROL!$C$25, 0.0263, 0)</f>
        <v>72.171900000000008</v>
      </c>
      <c r="D705" s="4">
        <f>67.21 * CHOOSE(CONTROL!$C$6, $C$13, 100%, $E$13) + CHOOSE(CONTROL!$C$25, 0, 0)</f>
        <v>67.209999999999994</v>
      </c>
      <c r="E705" s="4">
        <f>406.686721634307 * CHOOSE(CONTROL!$C$6, $C$13, 100%, $E$13) + CHOOSE(CONTROL!$C$25, 0, 0)</f>
        <v>406.68672163430699</v>
      </c>
    </row>
    <row r="706" spans="1:5" ht="15">
      <c r="A706" s="13">
        <v>63370</v>
      </c>
      <c r="B706" s="4">
        <f>72.6814 * CHOOSE(CONTROL!$C$6, $C$13, 100%, $E$13) + CHOOSE(CONTROL!$C$25, 0.0263, 0)</f>
        <v>72.707700000000003</v>
      </c>
      <c r="C706" s="4">
        <f>72.3689 * CHOOSE(CONTROL!$C$6, $C$13, 100%, $E$13) + CHOOSE(CONTROL!$C$25, 0.0263, 0)</f>
        <v>72.395200000000003</v>
      </c>
      <c r="D706" s="4">
        <f>67.8208 * CHOOSE(CONTROL!$C$6, $C$13, 100%, $E$13) + CHOOSE(CONTROL!$C$25, 0, 0)</f>
        <v>67.820800000000006</v>
      </c>
      <c r="E706" s="4">
        <f>407.973533830177 * CHOOSE(CONTROL!$C$6, $C$13, 100%, $E$13) + CHOOSE(CONTROL!$C$25, 0, 0)</f>
        <v>407.97353383017702</v>
      </c>
    </row>
    <row r="707" spans="1:5" ht="15">
      <c r="A707" s="13">
        <v>63401</v>
      </c>
      <c r="B707" s="4">
        <f>72.6589 * CHOOSE(CONTROL!$C$6, $C$13, 100%, $E$13) + CHOOSE(CONTROL!$C$25, 0.0263, 0)</f>
        <v>72.685200000000009</v>
      </c>
      <c r="C707" s="4">
        <f>72.3464 * CHOOSE(CONTROL!$C$6, $C$13, 100%, $E$13) + CHOOSE(CONTROL!$C$25, 0.0263, 0)</f>
        <v>72.372700000000009</v>
      </c>
      <c r="D707" s="4">
        <f>68.9229 * CHOOSE(CONTROL!$C$6, $C$13, 100%, $E$13) + CHOOSE(CONTROL!$C$25, 0, 0)</f>
        <v>68.922899999999998</v>
      </c>
      <c r="E707" s="4">
        <f>407.843771255804 * CHOOSE(CONTROL!$C$6, $C$13, 100%, $E$13) + CHOOSE(CONTROL!$C$25, 0, 0)</f>
        <v>407.84377125580397</v>
      </c>
    </row>
    <row r="708" spans="1:5" ht="15">
      <c r="A708" s="13">
        <v>63432</v>
      </c>
      <c r="B708" s="4">
        <f>74.3536 * CHOOSE(CONTROL!$C$6, $C$13, 100%, $E$13) + CHOOSE(CONTROL!$C$25, 0.0263, 0)</f>
        <v>74.379900000000006</v>
      </c>
      <c r="C708" s="4">
        <f>74.0411 * CHOOSE(CONTROL!$C$6, $C$13, 100%, $E$13) + CHOOSE(CONTROL!$C$25, 0.0263, 0)</f>
        <v>74.067400000000006</v>
      </c>
      <c r="D708" s="4">
        <f>68.195 * CHOOSE(CONTROL!$C$6, $C$13, 100%, $E$13) + CHOOSE(CONTROL!$C$25, 0, 0)</f>
        <v>68.194999999999993</v>
      </c>
      <c r="E708" s="4">
        <f>417.608404977407 * CHOOSE(CONTROL!$C$6, $C$13, 100%, $E$13) + CHOOSE(CONTROL!$C$25, 0, 0)</f>
        <v>417.60840497740702</v>
      </c>
    </row>
    <row r="709" spans="1:5" ht="15">
      <c r="A709" s="13">
        <v>63462</v>
      </c>
      <c r="B709" s="4">
        <f>71.4653 * CHOOSE(CONTROL!$C$6, $C$13, 100%, $E$13) + CHOOSE(CONTROL!$C$25, 0.0263, 0)</f>
        <v>71.491600000000005</v>
      </c>
      <c r="C709" s="4">
        <f>71.1528 * CHOOSE(CONTROL!$C$6, $C$13, 100%, $E$13) + CHOOSE(CONTROL!$C$25, 0.0263, 0)</f>
        <v>71.179100000000005</v>
      </c>
      <c r="D709" s="4">
        <f>67.8512 * CHOOSE(CONTROL!$C$6, $C$13, 100%, $E$13) + CHOOSE(CONTROL!$C$25, 0, 0)</f>
        <v>67.851200000000006</v>
      </c>
      <c r="E709" s="4">
        <f>400.96635481401 * CHOOSE(CONTROL!$C$6, $C$13, 100%, $E$13) + CHOOSE(CONTROL!$C$25, 0, 0)</f>
        <v>400.96635481401</v>
      </c>
    </row>
    <row r="710" spans="1:5" ht="15">
      <c r="A710" s="13">
        <v>63493</v>
      </c>
      <c r="B710" s="4">
        <f>69.1531 * CHOOSE(CONTROL!$C$6, $C$13, 100%, $E$13) + CHOOSE(CONTROL!$C$25, 0.0003, 0)</f>
        <v>69.153399999999991</v>
      </c>
      <c r="C710" s="4">
        <f>68.8406 * CHOOSE(CONTROL!$C$6, $C$13, 100%, $E$13) + CHOOSE(CONTROL!$C$25, 0.0003, 0)</f>
        <v>68.840899999999991</v>
      </c>
      <c r="D710" s="4">
        <f>66.9304 * CHOOSE(CONTROL!$C$6, $C$13, 100%, $E$13) + CHOOSE(CONTROL!$C$25, 0, 0)</f>
        <v>66.930400000000006</v>
      </c>
      <c r="E710" s="4">
        <f>387.644063845001 * CHOOSE(CONTROL!$C$6, $C$13, 100%, $E$13) + CHOOSE(CONTROL!$C$25, 0, 0)</f>
        <v>387.64406384500103</v>
      </c>
    </row>
    <row r="711" spans="1:5" ht="15">
      <c r="A711" s="13">
        <v>63523</v>
      </c>
      <c r="B711" s="4">
        <f>67.6639 * CHOOSE(CONTROL!$C$6, $C$13, 100%, $E$13) + CHOOSE(CONTROL!$C$25, 0.0003, 0)</f>
        <v>67.664199999999994</v>
      </c>
      <c r="C711" s="4">
        <f>67.3514 * CHOOSE(CONTROL!$C$6, $C$13, 100%, $E$13) + CHOOSE(CONTROL!$C$25, 0.0003, 0)</f>
        <v>67.351699999999994</v>
      </c>
      <c r="D711" s="4">
        <f>66.6139 * CHOOSE(CONTROL!$C$6, $C$13, 100%, $E$13) + CHOOSE(CONTROL!$C$25, 0, 0)</f>
        <v>66.613900000000001</v>
      </c>
      <c r="E711" s="4">
        <f>379.063513614556 * CHOOSE(CONTROL!$C$6, $C$13, 100%, $E$13) + CHOOSE(CONTROL!$C$25, 0, 0)</f>
        <v>379.06351361455597</v>
      </c>
    </row>
    <row r="712" spans="1:5" ht="15">
      <c r="A712" s="13">
        <v>63554</v>
      </c>
      <c r="B712" s="4">
        <f>66.6336 * CHOOSE(CONTROL!$C$6, $C$13, 100%, $E$13) + CHOOSE(CONTROL!$C$25, 0.0003, 0)</f>
        <v>66.633899999999997</v>
      </c>
      <c r="C712" s="4">
        <f>66.3211 * CHOOSE(CONTROL!$C$6, $C$13, 100%, $E$13) + CHOOSE(CONTROL!$C$25, 0.0003, 0)</f>
        <v>66.321399999999997</v>
      </c>
      <c r="D712" s="4">
        <f>64.2834 * CHOOSE(CONTROL!$C$6, $C$13, 100%, $E$13) + CHOOSE(CONTROL!$C$25, 0, 0)</f>
        <v>64.2834</v>
      </c>
      <c r="E712" s="4">
        <f>373.12687583697 * CHOOSE(CONTROL!$C$6, $C$13, 100%, $E$13) + CHOOSE(CONTROL!$C$25, 0, 0)</f>
        <v>373.12687583696999</v>
      </c>
    </row>
    <row r="713" spans="1:5" ht="15">
      <c r="A713" s="13">
        <v>63585</v>
      </c>
      <c r="B713" s="4">
        <f>64.9595 * CHOOSE(CONTROL!$C$6, $C$13, 100%, $E$13) + CHOOSE(CONTROL!$C$25, 0.0003, 0)</f>
        <v>64.959800000000001</v>
      </c>
      <c r="C713" s="4">
        <f>64.647 * CHOOSE(CONTROL!$C$6, $C$13, 100%, $E$13) + CHOOSE(CONTROL!$C$25, 0.0003, 0)</f>
        <v>64.647300000000001</v>
      </c>
      <c r="D713" s="4">
        <f>62.1415 * CHOOSE(CONTROL!$C$6, $C$13, 100%, $E$13) + CHOOSE(CONTROL!$C$25, 0, 0)</f>
        <v>62.141500000000001</v>
      </c>
      <c r="E713" s="4">
        <f>362.427018911374 * CHOOSE(CONTROL!$C$6, $C$13, 100%, $E$13) + CHOOSE(CONTROL!$C$25, 0, 0)</f>
        <v>362.42701891137398</v>
      </c>
    </row>
    <row r="714" spans="1:5" ht="15">
      <c r="A714" s="13">
        <v>63613</v>
      </c>
      <c r="B714" s="4">
        <f>66.4574 * CHOOSE(CONTROL!$C$6, $C$13, 100%, $E$13) + CHOOSE(CONTROL!$C$25, 0.0003, 0)</f>
        <v>66.457700000000003</v>
      </c>
      <c r="C714" s="4">
        <f>66.1449 * CHOOSE(CONTROL!$C$6, $C$13, 100%, $E$13) + CHOOSE(CONTROL!$C$25, 0.0003, 0)</f>
        <v>66.145200000000003</v>
      </c>
      <c r="D714" s="4">
        <f>64.2984 * CHOOSE(CONTROL!$C$6, $C$13, 100%, $E$13) + CHOOSE(CONTROL!$C$25, 0, 0)</f>
        <v>64.298400000000001</v>
      </c>
      <c r="E714" s="4">
        <f>371.032464632391 * CHOOSE(CONTROL!$C$6, $C$13, 100%, $E$13) + CHOOSE(CONTROL!$C$25, 0, 0)</f>
        <v>371.032464632391</v>
      </c>
    </row>
    <row r="715" spans="1:5" ht="15">
      <c r="A715" s="13">
        <v>63644</v>
      </c>
      <c r="B715" s="4">
        <f>70.3909 * CHOOSE(CONTROL!$C$6, $C$13, 100%, $E$13) + CHOOSE(CONTROL!$C$25, 0.0003, 0)</f>
        <v>70.391199999999998</v>
      </c>
      <c r="C715" s="4">
        <f>70.0784 * CHOOSE(CONTROL!$C$6, $C$13, 100%, $E$13) + CHOOSE(CONTROL!$C$25, 0.0003, 0)</f>
        <v>70.078699999999998</v>
      </c>
      <c r="D715" s="4">
        <f>67.6749 * CHOOSE(CONTROL!$C$6, $C$13, 100%, $E$13) + CHOOSE(CONTROL!$C$25, 0, 0)</f>
        <v>67.674899999999994</v>
      </c>
      <c r="E715" s="4">
        <f>393.630822416939 * CHOOSE(CONTROL!$C$6, $C$13, 100%, $E$13) + CHOOSE(CONTROL!$C$25, 0, 0)</f>
        <v>393.630822416939</v>
      </c>
    </row>
    <row r="716" spans="1:5" ht="15">
      <c r="A716" s="13">
        <v>63674</v>
      </c>
      <c r="B716" s="4">
        <f>73.1857 * CHOOSE(CONTROL!$C$6, $C$13, 100%, $E$13) + CHOOSE(CONTROL!$C$25, 0.0003, 0)</f>
        <v>73.185999999999993</v>
      </c>
      <c r="C716" s="4">
        <f>72.8732 * CHOOSE(CONTROL!$C$6, $C$13, 100%, $E$13) + CHOOSE(CONTROL!$C$25, 0.0003, 0)</f>
        <v>72.873499999999993</v>
      </c>
      <c r="D716" s="4">
        <f>69.6199 * CHOOSE(CONTROL!$C$6, $C$13, 100%, $E$13) + CHOOSE(CONTROL!$C$25, 0, 0)</f>
        <v>69.619900000000001</v>
      </c>
      <c r="E716" s="4">
        <f>409.687256785576 * CHOOSE(CONTROL!$C$6, $C$13, 100%, $E$13) + CHOOSE(CONTROL!$C$25, 0, 0)</f>
        <v>409.68725678557598</v>
      </c>
    </row>
    <row r="717" spans="1:5" ht="15">
      <c r="A717" s="13">
        <v>63705</v>
      </c>
      <c r="B717" s="4">
        <f>74.8932 * CHOOSE(CONTROL!$C$6, $C$13, 100%, $E$13) + CHOOSE(CONTROL!$C$25, 0.0263, 0)</f>
        <v>74.919499999999999</v>
      </c>
      <c r="C717" s="4">
        <f>74.5807 * CHOOSE(CONTROL!$C$6, $C$13, 100%, $E$13) + CHOOSE(CONTROL!$C$25, 0.0263, 0)</f>
        <v>74.606999999999999</v>
      </c>
      <c r="D717" s="4">
        <f>68.8513 * CHOOSE(CONTROL!$C$6, $C$13, 100%, $E$13) + CHOOSE(CONTROL!$C$25, 0, 0)</f>
        <v>68.851299999999995</v>
      </c>
      <c r="E717" s="4">
        <f>419.497353365788 * CHOOSE(CONTROL!$C$6, $C$13, 100%, $E$13) + CHOOSE(CONTROL!$C$25, 0, 0)</f>
        <v>419.497353365788</v>
      </c>
    </row>
    <row r="718" spans="1:5" ht="15">
      <c r="A718" s="13">
        <v>63735</v>
      </c>
      <c r="B718" s="4">
        <f>75.1243 * CHOOSE(CONTROL!$C$6, $C$13, 100%, $E$13) + CHOOSE(CONTROL!$C$25, 0.0263, 0)</f>
        <v>75.150600000000011</v>
      </c>
      <c r="C718" s="4">
        <f>74.8118 * CHOOSE(CONTROL!$C$6, $C$13, 100%, $E$13) + CHOOSE(CONTROL!$C$25, 0.0263, 0)</f>
        <v>74.838100000000011</v>
      </c>
      <c r="D718" s="4">
        <f>69.4772 * CHOOSE(CONTROL!$C$6, $C$13, 100%, $E$13) + CHOOSE(CONTROL!$C$25, 0, 0)</f>
        <v>69.477199999999996</v>
      </c>
      <c r="E718" s="4">
        <f>420.824700145828 * CHOOSE(CONTROL!$C$6, $C$13, 100%, $E$13) + CHOOSE(CONTROL!$C$25, 0, 0)</f>
        <v>420.82470014582799</v>
      </c>
    </row>
    <row r="719" spans="1:5" ht="15">
      <c r="A719" s="13">
        <v>63766</v>
      </c>
      <c r="B719" s="4">
        <f>75.101 * CHOOSE(CONTROL!$C$6, $C$13, 100%, $E$13) + CHOOSE(CONTROL!$C$25, 0.0263, 0)</f>
        <v>75.127300000000005</v>
      </c>
      <c r="C719" s="4">
        <f>74.7885 * CHOOSE(CONTROL!$C$6, $C$13, 100%, $E$13) + CHOOSE(CONTROL!$C$25, 0.0263, 0)</f>
        <v>74.814800000000005</v>
      </c>
      <c r="D719" s="4">
        <f>70.6066 * CHOOSE(CONTROL!$C$6, $C$13, 100%, $E$13) + CHOOSE(CONTROL!$C$25, 0, 0)</f>
        <v>70.6066</v>
      </c>
      <c r="E719" s="4">
        <f>420.690850050362 * CHOOSE(CONTROL!$C$6, $C$13, 100%, $E$13) + CHOOSE(CONTROL!$C$25, 0, 0)</f>
        <v>420.69085005036197</v>
      </c>
    </row>
    <row r="720" spans="1:5" ht="15">
      <c r="A720" s="13">
        <v>63797</v>
      </c>
      <c r="B720" s="4">
        <f>76.8542 * CHOOSE(CONTROL!$C$6, $C$13, 100%, $E$13) + CHOOSE(CONTROL!$C$25, 0.0263, 0)</f>
        <v>76.880500000000012</v>
      </c>
      <c r="C720" s="4">
        <f>76.5417 * CHOOSE(CONTROL!$C$6, $C$13, 100%, $E$13) + CHOOSE(CONTROL!$C$25, 0.0263, 0)</f>
        <v>76.568000000000012</v>
      </c>
      <c r="D720" s="4">
        <f>69.8608 * CHOOSE(CONTROL!$C$6, $C$13, 100%, $E$13) + CHOOSE(CONTROL!$C$25, 0, 0)</f>
        <v>69.860799999999998</v>
      </c>
      <c r="E720" s="4">
        <f>430.763069734196 * CHOOSE(CONTROL!$C$6, $C$13, 100%, $E$13) + CHOOSE(CONTROL!$C$25, 0, 0)</f>
        <v>430.76306973419599</v>
      </c>
    </row>
    <row r="721" spans="1:5" ht="15">
      <c r="A721" s="13">
        <v>63827</v>
      </c>
      <c r="B721" s="4">
        <f>73.8662 * CHOOSE(CONTROL!$C$6, $C$13, 100%, $E$13) + CHOOSE(CONTROL!$C$25, 0.0263, 0)</f>
        <v>73.892500000000013</v>
      </c>
      <c r="C721" s="4">
        <f>73.5537 * CHOOSE(CONTROL!$C$6, $C$13, 100%, $E$13) + CHOOSE(CONTROL!$C$25, 0.0263, 0)</f>
        <v>73.580000000000013</v>
      </c>
      <c r="D721" s="4">
        <f>69.5084 * CHOOSE(CONTROL!$C$6, $C$13, 100%, $E$13) + CHOOSE(CONTROL!$C$25, 0, 0)</f>
        <v>69.508399999999995</v>
      </c>
      <c r="E721" s="4">
        <f>413.596794990652 * CHOOSE(CONTROL!$C$6, $C$13, 100%, $E$13) + CHOOSE(CONTROL!$C$25, 0, 0)</f>
        <v>413.59679499065197</v>
      </c>
    </row>
    <row r="722" spans="1:5" ht="15">
      <c r="A722" s="13">
        <v>63858</v>
      </c>
      <c r="B722" s="4">
        <f>71.4742 * CHOOSE(CONTROL!$C$6, $C$13, 100%, $E$13) + CHOOSE(CONTROL!$C$25, 0.0003, 0)</f>
        <v>71.474499999999992</v>
      </c>
      <c r="C722" s="4">
        <f>71.1617 * CHOOSE(CONTROL!$C$6, $C$13, 100%, $E$13) + CHOOSE(CONTROL!$C$25, 0.0003, 0)</f>
        <v>71.161999999999992</v>
      </c>
      <c r="D722" s="4">
        <f>68.5648 * CHOOSE(CONTROL!$C$6, $C$13, 100%, $E$13) + CHOOSE(CONTROL!$C$25, 0, 0)</f>
        <v>68.564800000000005</v>
      </c>
      <c r="E722" s="4">
        <f>399.854851856119 * CHOOSE(CONTROL!$C$6, $C$13, 100%, $E$13) + CHOOSE(CONTROL!$C$25, 0, 0)</f>
        <v>399.85485185611901</v>
      </c>
    </row>
    <row r="723" spans="1:5" ht="15">
      <c r="A723" s="13">
        <v>63888</v>
      </c>
      <c r="B723" s="4">
        <f>69.9336 * CHOOSE(CONTROL!$C$6, $C$13, 100%, $E$13) + CHOOSE(CONTROL!$C$25, 0.0003, 0)</f>
        <v>69.933899999999994</v>
      </c>
      <c r="C723" s="4">
        <f>69.6211 * CHOOSE(CONTROL!$C$6, $C$13, 100%, $E$13) + CHOOSE(CONTROL!$C$25, 0.0003, 0)</f>
        <v>69.621399999999994</v>
      </c>
      <c r="D723" s="4">
        <f>68.2404 * CHOOSE(CONTROL!$C$6, $C$13, 100%, $E$13) + CHOOSE(CONTROL!$C$25, 0, 0)</f>
        <v>68.240399999999994</v>
      </c>
      <c r="E723" s="4">
        <f>391.004014293414 * CHOOSE(CONTROL!$C$6, $C$13, 100%, $E$13) + CHOOSE(CONTROL!$C$25, 0, 0)</f>
        <v>391.004014293414</v>
      </c>
    </row>
    <row r="724" spans="1:5" ht="15">
      <c r="A724" s="13">
        <v>63919</v>
      </c>
      <c r="B724" s="4">
        <f>68.8678 * CHOOSE(CONTROL!$C$6, $C$13, 100%, $E$13) + CHOOSE(CONTROL!$C$25, 0.0003, 0)</f>
        <v>68.868099999999998</v>
      </c>
      <c r="C724" s="4">
        <f>68.5553 * CHOOSE(CONTROL!$C$6, $C$13, 100%, $E$13) + CHOOSE(CONTROL!$C$25, 0.0003, 0)</f>
        <v>68.555599999999998</v>
      </c>
      <c r="D724" s="4">
        <f>65.8521 * CHOOSE(CONTROL!$C$6, $C$13, 100%, $E$13) + CHOOSE(CONTROL!$C$25, 0, 0)</f>
        <v>65.852099999999993</v>
      </c>
      <c r="E724" s="4">
        <f>384.880372425834 * CHOOSE(CONTROL!$C$6, $C$13, 100%, $E$13) + CHOOSE(CONTROL!$C$25, 0, 0)</f>
        <v>384.88037242583403</v>
      </c>
    </row>
    <row r="725" spans="1:5" ht="15">
      <c r="A725" s="13">
        <v>63950</v>
      </c>
      <c r="B725" s="4">
        <f>67.1359 * CHOOSE(CONTROL!$C$6, $C$13, 100%, $E$13) + CHOOSE(CONTROL!$C$25, 0.0003, 0)</f>
        <v>67.136200000000002</v>
      </c>
      <c r="C725" s="4">
        <f>66.8234 * CHOOSE(CONTROL!$C$6, $C$13, 100%, $E$13) + CHOOSE(CONTROL!$C$25, 0.0003, 0)</f>
        <v>66.823700000000002</v>
      </c>
      <c r="D725" s="4">
        <f>63.6571 * CHOOSE(CONTROL!$C$6, $C$13, 100%, $E$13) + CHOOSE(CONTROL!$C$25, 0, 0)</f>
        <v>63.6571</v>
      </c>
      <c r="E725" s="4">
        <f>373.843470007082 * CHOOSE(CONTROL!$C$6, $C$13, 100%, $E$13) + CHOOSE(CONTROL!$C$25, 0, 0)</f>
        <v>373.84347000708198</v>
      </c>
    </row>
    <row r="726" spans="1:5" ht="15">
      <c r="A726" s="13">
        <v>63978</v>
      </c>
      <c r="B726" s="4">
        <f>68.6855 * CHOOSE(CONTROL!$C$6, $C$13, 100%, $E$13) + CHOOSE(CONTROL!$C$25, 0.0003, 0)</f>
        <v>68.6858</v>
      </c>
      <c r="C726" s="4">
        <f>68.373 * CHOOSE(CONTROL!$C$6, $C$13, 100%, $E$13) + CHOOSE(CONTROL!$C$25, 0.0003, 0)</f>
        <v>68.3733</v>
      </c>
      <c r="D726" s="4">
        <f>65.8675 * CHOOSE(CONTROL!$C$6, $C$13, 100%, $E$13) + CHOOSE(CONTROL!$C$25, 0, 0)</f>
        <v>65.867500000000007</v>
      </c>
      <c r="E726" s="4">
        <f>382.719987268311 * CHOOSE(CONTROL!$C$6, $C$13, 100%, $E$13) + CHOOSE(CONTROL!$C$25, 0, 0)</f>
        <v>382.719987268311</v>
      </c>
    </row>
    <row r="727" spans="1:5" ht="15">
      <c r="A727" s="13">
        <v>64009</v>
      </c>
      <c r="B727" s="4">
        <f>72.7547 * CHOOSE(CONTROL!$C$6, $C$13, 100%, $E$13) + CHOOSE(CONTROL!$C$25, 0.0003, 0)</f>
        <v>72.754999999999995</v>
      </c>
      <c r="C727" s="4">
        <f>72.4422 * CHOOSE(CONTROL!$C$6, $C$13, 100%, $E$13) + CHOOSE(CONTROL!$C$25, 0.0003, 0)</f>
        <v>72.442499999999995</v>
      </c>
      <c r="D727" s="4">
        <f>69.3277 * CHOOSE(CONTROL!$C$6, $C$13, 100%, $E$13) + CHOOSE(CONTROL!$C$25, 0, 0)</f>
        <v>69.327699999999993</v>
      </c>
      <c r="E727" s="4">
        <f>406.030193323073 * CHOOSE(CONTROL!$C$6, $C$13, 100%, $E$13) + CHOOSE(CONTROL!$C$25, 0, 0)</f>
        <v>406.03019332307298</v>
      </c>
    </row>
    <row r="728" spans="1:5" ht="15">
      <c r="A728" s="13">
        <v>64039</v>
      </c>
      <c r="B728" s="4">
        <f>75.6459 * CHOOSE(CONTROL!$C$6, $C$13, 100%, $E$13) + CHOOSE(CONTROL!$C$25, 0.0003, 0)</f>
        <v>75.646199999999993</v>
      </c>
      <c r="C728" s="4">
        <f>75.3334 * CHOOSE(CONTROL!$C$6, $C$13, 100%, $E$13) + CHOOSE(CONTROL!$C$25, 0.0003, 0)</f>
        <v>75.333699999999993</v>
      </c>
      <c r="D728" s="4">
        <f>71.3209 * CHOOSE(CONTROL!$C$6, $C$13, 100%, $E$13) + CHOOSE(CONTROL!$C$25, 0, 0)</f>
        <v>71.320899999999995</v>
      </c>
      <c r="E728" s="4">
        <f>422.592405374321 * CHOOSE(CONTROL!$C$6, $C$13, 100%, $E$13) + CHOOSE(CONTROL!$C$25, 0, 0)</f>
        <v>422.592405374321</v>
      </c>
    </row>
    <row r="729" spans="1:5" ht="15">
      <c r="A729" s="13">
        <v>64070</v>
      </c>
      <c r="B729" s="4">
        <f>77.4124 * CHOOSE(CONTROL!$C$6, $C$13, 100%, $E$13) + CHOOSE(CONTROL!$C$25, 0.0263, 0)</f>
        <v>77.438700000000011</v>
      </c>
      <c r="C729" s="4">
        <f>77.0999 * CHOOSE(CONTROL!$C$6, $C$13, 100%, $E$13) + CHOOSE(CONTROL!$C$25, 0.0263, 0)</f>
        <v>77.126200000000011</v>
      </c>
      <c r="D729" s="4">
        <f>70.5333 * CHOOSE(CONTROL!$C$6, $C$13, 100%, $E$13) + CHOOSE(CONTROL!$C$25, 0, 0)</f>
        <v>70.533299999999997</v>
      </c>
      <c r="E729" s="4">
        <f>432.71151999681 * CHOOSE(CONTROL!$C$6, $C$13, 100%, $E$13) + CHOOSE(CONTROL!$C$25, 0, 0)</f>
        <v>432.71151999681001</v>
      </c>
    </row>
    <row r="730" spans="1:5" ht="15">
      <c r="A730" s="13">
        <v>64100</v>
      </c>
      <c r="B730" s="4">
        <f>77.6514 * CHOOSE(CONTROL!$C$6, $C$13, 100%, $E$13) + CHOOSE(CONTROL!$C$25, 0.0263, 0)</f>
        <v>77.677700000000002</v>
      </c>
      <c r="C730" s="4">
        <f>77.3389 * CHOOSE(CONTROL!$C$6, $C$13, 100%, $E$13) + CHOOSE(CONTROL!$C$25, 0.0263, 0)</f>
        <v>77.365200000000002</v>
      </c>
      <c r="D730" s="4">
        <f>71.1747 * CHOOSE(CONTROL!$C$6, $C$13, 100%, $E$13) + CHOOSE(CONTROL!$C$25, 0, 0)</f>
        <v>71.174700000000001</v>
      </c>
      <c r="E730" s="4">
        <f>434.080678200422 * CHOOSE(CONTROL!$C$6, $C$13, 100%, $E$13) + CHOOSE(CONTROL!$C$25, 0, 0)</f>
        <v>434.08067820042203</v>
      </c>
    </row>
    <row r="731" spans="1:5" ht="15">
      <c r="A731" s="13">
        <v>64131</v>
      </c>
      <c r="B731" s="4">
        <f>77.6273 * CHOOSE(CONTROL!$C$6, $C$13, 100%, $E$13) + CHOOSE(CONTROL!$C$25, 0.0263, 0)</f>
        <v>77.653600000000012</v>
      </c>
      <c r="C731" s="4">
        <f>77.3148 * CHOOSE(CONTROL!$C$6, $C$13, 100%, $E$13) + CHOOSE(CONTROL!$C$25, 0.0263, 0)</f>
        <v>77.341100000000012</v>
      </c>
      <c r="D731" s="4">
        <f>72.3321 * CHOOSE(CONTROL!$C$6, $C$13, 100%, $E$13) + CHOOSE(CONTROL!$C$25, 0, 0)</f>
        <v>72.332099999999997</v>
      </c>
      <c r="E731" s="4">
        <f>433.942611826948 * CHOOSE(CONTROL!$C$6, $C$13, 100%, $E$13) + CHOOSE(CONTROL!$C$25, 0, 0)</f>
        <v>433.942611826948</v>
      </c>
    </row>
    <row r="732" spans="1:5" ht="15">
      <c r="A732" s="13">
        <v>64162</v>
      </c>
      <c r="B732" s="4">
        <f>79.4409 * CHOOSE(CONTROL!$C$6, $C$13, 100%, $E$13) + CHOOSE(CONTROL!$C$25, 0.0263, 0)</f>
        <v>79.467200000000005</v>
      </c>
      <c r="C732" s="4">
        <f>79.1284 * CHOOSE(CONTROL!$C$6, $C$13, 100%, $E$13) + CHOOSE(CONTROL!$C$25, 0.0263, 0)</f>
        <v>79.154700000000005</v>
      </c>
      <c r="D732" s="4">
        <f>71.5678 * CHOOSE(CONTROL!$C$6, $C$13, 100%, $E$13) + CHOOSE(CONTROL!$C$25, 0, 0)</f>
        <v>71.567800000000005</v>
      </c>
      <c r="E732" s="4">
        <f>444.332106430823 * CHOOSE(CONTROL!$C$6, $C$13, 100%, $E$13) + CHOOSE(CONTROL!$C$25, 0, 0)</f>
        <v>444.33210643082299</v>
      </c>
    </row>
    <row r="733" spans="1:5" ht="15">
      <c r="A733" s="13">
        <v>64192</v>
      </c>
      <c r="B733" s="4">
        <f>76.3499 * CHOOSE(CONTROL!$C$6, $C$13, 100%, $E$13) + CHOOSE(CONTROL!$C$25, 0.0263, 0)</f>
        <v>76.376200000000011</v>
      </c>
      <c r="C733" s="4">
        <f>76.0374 * CHOOSE(CONTROL!$C$6, $C$13, 100%, $E$13) + CHOOSE(CONTROL!$C$25, 0.0263, 0)</f>
        <v>76.063700000000011</v>
      </c>
      <c r="D733" s="4">
        <f>71.2066 * CHOOSE(CONTROL!$C$6, $C$13, 100%, $E$13) + CHOOSE(CONTROL!$C$25, 0, 0)</f>
        <v>71.206599999999995</v>
      </c>
      <c r="E733" s="4">
        <f>426.625094032857 * CHOOSE(CONTROL!$C$6, $C$13, 100%, $E$13) + CHOOSE(CONTROL!$C$25, 0, 0)</f>
        <v>426.62509403285702</v>
      </c>
    </row>
    <row r="734" spans="1:5" ht="15">
      <c r="A734" s="13">
        <v>64223</v>
      </c>
      <c r="B734" s="4">
        <f>73.8754 * CHOOSE(CONTROL!$C$6, $C$13, 100%, $E$13) + CHOOSE(CONTROL!$C$25, 0.0003, 0)</f>
        <v>73.875699999999995</v>
      </c>
      <c r="C734" s="4">
        <f>73.5629 * CHOOSE(CONTROL!$C$6, $C$13, 100%, $E$13) + CHOOSE(CONTROL!$C$25, 0.0003, 0)</f>
        <v>73.563199999999995</v>
      </c>
      <c r="D734" s="4">
        <f>70.2397 * CHOOSE(CONTROL!$C$6, $C$13, 100%, $E$13) + CHOOSE(CONTROL!$C$25, 0, 0)</f>
        <v>70.239699999999999</v>
      </c>
      <c r="E734" s="4">
        <f>412.450279689586 * CHOOSE(CONTROL!$C$6, $C$13, 100%, $E$13) + CHOOSE(CONTROL!$C$25, 0, 0)</f>
        <v>412.45027968958601</v>
      </c>
    </row>
    <row r="735" spans="1:5" ht="15">
      <c r="A735" s="13">
        <v>64253</v>
      </c>
      <c r="B735" s="4">
        <f>72.2817 * CHOOSE(CONTROL!$C$6, $C$13, 100%, $E$13) + CHOOSE(CONTROL!$C$25, 0.0003, 0)</f>
        <v>72.281999999999996</v>
      </c>
      <c r="C735" s="4">
        <f>71.9692 * CHOOSE(CONTROL!$C$6, $C$13, 100%, $E$13) + CHOOSE(CONTROL!$C$25, 0.0003, 0)</f>
        <v>71.969499999999996</v>
      </c>
      <c r="D735" s="4">
        <f>69.9072 * CHOOSE(CONTROL!$C$6, $C$13, 100%, $E$13) + CHOOSE(CONTROL!$C$25, 0, 0)</f>
        <v>69.907200000000003</v>
      </c>
      <c r="E735" s="4">
        <f>403.320640743657 * CHOOSE(CONTROL!$C$6, $C$13, 100%, $E$13) + CHOOSE(CONTROL!$C$25, 0, 0)</f>
        <v>403.32064074365701</v>
      </c>
    </row>
    <row r="736" spans="1:5" ht="15">
      <c r="A736" s="13">
        <v>64284</v>
      </c>
      <c r="B736" s="4">
        <f>71.179 * CHOOSE(CONTROL!$C$6, $C$13, 100%, $E$13) + CHOOSE(CONTROL!$C$25, 0.0003, 0)</f>
        <v>71.179299999999998</v>
      </c>
      <c r="C736" s="4">
        <f>70.8665 * CHOOSE(CONTROL!$C$6, $C$13, 100%, $E$13) + CHOOSE(CONTROL!$C$25, 0.0003, 0)</f>
        <v>70.866799999999998</v>
      </c>
      <c r="D736" s="4">
        <f>67.4598 * CHOOSE(CONTROL!$C$6, $C$13, 100%, $E$13) + CHOOSE(CONTROL!$C$25, 0, 0)</f>
        <v>67.459800000000001</v>
      </c>
      <c r="E736" s="4">
        <f>397.004104157248 * CHOOSE(CONTROL!$C$6, $C$13, 100%, $E$13) + CHOOSE(CONTROL!$C$25, 0, 0)</f>
        <v>397.00410415724798</v>
      </c>
    </row>
    <row r="737" spans="1:5" ht="15">
      <c r="A737" s="13">
        <v>64315</v>
      </c>
      <c r="B737" s="4">
        <f>69.3874 * CHOOSE(CONTROL!$C$6, $C$13, 100%, $E$13) + CHOOSE(CONTROL!$C$25, 0.0003, 0)</f>
        <v>69.387699999999995</v>
      </c>
      <c r="C737" s="4">
        <f>69.0749 * CHOOSE(CONTROL!$C$6, $C$13, 100%, $E$13) + CHOOSE(CONTROL!$C$25, 0.0003, 0)</f>
        <v>69.075199999999995</v>
      </c>
      <c r="D737" s="4">
        <f>65.2103 * CHOOSE(CONTROL!$C$6, $C$13, 100%, $E$13) + CHOOSE(CONTROL!$C$25, 0, 0)</f>
        <v>65.210300000000004</v>
      </c>
      <c r="E737" s="4">
        <f>385.619539312306 * CHOOSE(CONTROL!$C$6, $C$13, 100%, $E$13) + CHOOSE(CONTROL!$C$25, 0, 0)</f>
        <v>385.61953931230602</v>
      </c>
    </row>
    <row r="738" spans="1:5" ht="15">
      <c r="A738" s="13">
        <v>64344</v>
      </c>
      <c r="B738" s="4">
        <f>70.9904 * CHOOSE(CONTROL!$C$6, $C$13, 100%, $E$13) + CHOOSE(CONTROL!$C$25, 0.0003, 0)</f>
        <v>70.99069999999999</v>
      </c>
      <c r="C738" s="4">
        <f>70.6779 * CHOOSE(CONTROL!$C$6, $C$13, 100%, $E$13) + CHOOSE(CONTROL!$C$25, 0.0003, 0)</f>
        <v>70.67819999999999</v>
      </c>
      <c r="D738" s="4">
        <f>67.4755 * CHOOSE(CONTROL!$C$6, $C$13, 100%, $E$13) + CHOOSE(CONTROL!$C$25, 0, 0)</f>
        <v>67.475499999999997</v>
      </c>
      <c r="E738" s="4">
        <f>394.775666867263 * CHOOSE(CONTROL!$C$6, $C$13, 100%, $E$13) + CHOOSE(CONTROL!$C$25, 0, 0)</f>
        <v>394.775666867263</v>
      </c>
    </row>
    <row r="739" spans="1:5" ht="15">
      <c r="A739" s="13">
        <v>64375</v>
      </c>
      <c r="B739" s="4">
        <f>75.2 * CHOOSE(CONTROL!$C$6, $C$13, 100%, $E$13) + CHOOSE(CONTROL!$C$25, 0.0003, 0)</f>
        <v>75.200299999999999</v>
      </c>
      <c r="C739" s="4">
        <f>74.8875 * CHOOSE(CONTROL!$C$6, $C$13, 100%, $E$13) + CHOOSE(CONTROL!$C$25, 0.0003, 0)</f>
        <v>74.887799999999999</v>
      </c>
      <c r="D739" s="4">
        <f>71.0215 * CHOOSE(CONTROL!$C$6, $C$13, 100%, $E$13) + CHOOSE(CONTROL!$C$25, 0, 0)</f>
        <v>71.021500000000003</v>
      </c>
      <c r="E739" s="4">
        <f>418.820144412749 * CHOOSE(CONTROL!$C$6, $C$13, 100%, $E$13) + CHOOSE(CONTROL!$C$25, 0, 0)</f>
        <v>418.82014441274902</v>
      </c>
    </row>
    <row r="740" spans="1:5" ht="15">
      <c r="A740" s="13">
        <v>64405</v>
      </c>
      <c r="B740" s="4">
        <f>78.191 * CHOOSE(CONTROL!$C$6, $C$13, 100%, $E$13) + CHOOSE(CONTROL!$C$25, 0.0003, 0)</f>
        <v>78.191299999999998</v>
      </c>
      <c r="C740" s="4">
        <f>77.8785 * CHOOSE(CONTROL!$C$6, $C$13, 100%, $E$13) + CHOOSE(CONTROL!$C$25, 0.0003, 0)</f>
        <v>77.878799999999998</v>
      </c>
      <c r="D740" s="4">
        <f>73.0641 * CHOOSE(CONTROL!$C$6, $C$13, 100%, $E$13) + CHOOSE(CONTROL!$C$25, 0, 0)</f>
        <v>73.064099999999996</v>
      </c>
      <c r="E740" s="4">
        <f>435.904066143612 * CHOOSE(CONTROL!$C$6, $C$13, 100%, $E$13) + CHOOSE(CONTROL!$C$25, 0, 0)</f>
        <v>435.904066143612</v>
      </c>
    </row>
    <row r="741" spans="1:5" ht="15">
      <c r="A741" s="13">
        <v>64436</v>
      </c>
      <c r="B741" s="4">
        <f>80.0184 * CHOOSE(CONTROL!$C$6, $C$13, 100%, $E$13) + CHOOSE(CONTROL!$C$25, 0.0263, 0)</f>
        <v>80.044700000000006</v>
      </c>
      <c r="C741" s="4">
        <f>79.7059 * CHOOSE(CONTROL!$C$6, $C$13, 100%, $E$13) + CHOOSE(CONTROL!$C$25, 0.0263, 0)</f>
        <v>79.732200000000006</v>
      </c>
      <c r="D741" s="4">
        <f>72.257 * CHOOSE(CONTROL!$C$6, $C$13, 100%, $E$13) + CHOOSE(CONTROL!$C$25, 0, 0)</f>
        <v>72.257000000000005</v>
      </c>
      <c r="E741" s="4">
        <f>446.34193287671 * CHOOSE(CONTROL!$C$6, $C$13, 100%, $E$13) + CHOOSE(CONTROL!$C$25, 0, 0)</f>
        <v>446.34193287671002</v>
      </c>
    </row>
    <row r="742" spans="1:5" ht="15">
      <c r="A742" s="13">
        <v>64466</v>
      </c>
      <c r="B742" s="4">
        <f>80.2657 * CHOOSE(CONTROL!$C$6, $C$13, 100%, $E$13) + CHOOSE(CONTROL!$C$25, 0.0263, 0)</f>
        <v>80.292000000000002</v>
      </c>
      <c r="C742" s="4">
        <f>79.9532 * CHOOSE(CONTROL!$C$6, $C$13, 100%, $E$13) + CHOOSE(CONTROL!$C$25, 0.0263, 0)</f>
        <v>79.979500000000002</v>
      </c>
      <c r="D742" s="4">
        <f>72.9143 * CHOOSE(CONTROL!$C$6, $C$13, 100%, $E$13) + CHOOSE(CONTROL!$C$25, 0, 0)</f>
        <v>72.914299999999997</v>
      </c>
      <c r="E742" s="4">
        <f>447.754219563735 * CHOOSE(CONTROL!$C$6, $C$13, 100%, $E$13) + CHOOSE(CONTROL!$C$25, 0, 0)</f>
        <v>447.75421956373498</v>
      </c>
    </row>
    <row r="743" spans="1:5" ht="15">
      <c r="A743" s="13">
        <v>64497</v>
      </c>
      <c r="B743" s="4">
        <f>80.2407 * CHOOSE(CONTROL!$C$6, $C$13, 100%, $E$13) + CHOOSE(CONTROL!$C$25, 0.0263, 0)</f>
        <v>80.26700000000001</v>
      </c>
      <c r="C743" s="4">
        <f>79.9282 * CHOOSE(CONTROL!$C$6, $C$13, 100%, $E$13) + CHOOSE(CONTROL!$C$25, 0.0263, 0)</f>
        <v>79.95450000000001</v>
      </c>
      <c r="D743" s="4">
        <f>74.1005 * CHOOSE(CONTROL!$C$6, $C$13, 100%, $E$13) + CHOOSE(CONTROL!$C$25, 0, 0)</f>
        <v>74.100499999999997</v>
      </c>
      <c r="E743" s="4">
        <f>447.611804099497 * CHOOSE(CONTROL!$C$6, $C$13, 100%, $E$13) + CHOOSE(CONTROL!$C$25, 0, 0)</f>
        <v>447.61180409949702</v>
      </c>
    </row>
    <row r="744" spans="1:5" ht="15">
      <c r="A744" s="13">
        <v>64528</v>
      </c>
      <c r="B744" s="4">
        <f>82.117 * CHOOSE(CONTROL!$C$6, $C$13, 100%, $E$13) + CHOOSE(CONTROL!$C$25, 0.0263, 0)</f>
        <v>82.143300000000011</v>
      </c>
      <c r="C744" s="4">
        <f>81.8045 * CHOOSE(CONTROL!$C$6, $C$13, 100%, $E$13) + CHOOSE(CONTROL!$C$25, 0.0263, 0)</f>
        <v>81.830800000000011</v>
      </c>
      <c r="D744" s="4">
        <f>73.3171 * CHOOSE(CONTROL!$C$6, $C$13, 100%, $E$13) + CHOOSE(CONTROL!$C$25, 0, 0)</f>
        <v>73.317099999999996</v>
      </c>
      <c r="E744" s="4">
        <f>458.328567783394 * CHOOSE(CONTROL!$C$6, $C$13, 100%, $E$13) + CHOOSE(CONTROL!$C$25, 0, 0)</f>
        <v>458.32856778339402</v>
      </c>
    </row>
    <row r="745" spans="1:5" ht="15">
      <c r="A745" s="13">
        <v>64558</v>
      </c>
      <c r="B745" s="4">
        <f>78.9192 * CHOOSE(CONTROL!$C$6, $C$13, 100%, $E$13) + CHOOSE(CONTROL!$C$25, 0.0263, 0)</f>
        <v>78.94550000000001</v>
      </c>
      <c r="C745" s="4">
        <f>78.6067 * CHOOSE(CONTROL!$C$6, $C$13, 100%, $E$13) + CHOOSE(CONTROL!$C$25, 0.0263, 0)</f>
        <v>78.63300000000001</v>
      </c>
      <c r="D745" s="4">
        <f>72.947 * CHOOSE(CONTROL!$C$6, $C$13, 100%, $E$13) + CHOOSE(CONTROL!$C$25, 0, 0)</f>
        <v>72.947000000000003</v>
      </c>
      <c r="E745" s="4">
        <f>440.063784494892 * CHOOSE(CONTROL!$C$6, $C$13, 100%, $E$13) + CHOOSE(CONTROL!$C$25, 0, 0)</f>
        <v>440.06378449489199</v>
      </c>
    </row>
    <row r="746" spans="1:5" ht="15">
      <c r="A746" s="13">
        <v>64589</v>
      </c>
      <c r="B746" s="4">
        <f>76.3594 * CHOOSE(CONTROL!$C$6, $C$13, 100%, $E$13) + CHOOSE(CONTROL!$C$25, 0.0003, 0)</f>
        <v>76.359699999999989</v>
      </c>
      <c r="C746" s="4">
        <f>76.0469 * CHOOSE(CONTROL!$C$6, $C$13, 100%, $E$13) + CHOOSE(CONTROL!$C$25, 0.0003, 0)</f>
        <v>76.047199999999989</v>
      </c>
      <c r="D746" s="4">
        <f>71.9561 * CHOOSE(CONTROL!$C$6, $C$13, 100%, $E$13) + CHOOSE(CONTROL!$C$25, 0, 0)</f>
        <v>71.956100000000006</v>
      </c>
      <c r="E746" s="4">
        <f>425.442463499809 * CHOOSE(CONTROL!$C$6, $C$13, 100%, $E$13) + CHOOSE(CONTROL!$C$25, 0, 0)</f>
        <v>425.44246349980898</v>
      </c>
    </row>
    <row r="747" spans="1:5" ht="15">
      <c r="A747" s="13">
        <v>64619</v>
      </c>
      <c r="B747" s="4">
        <f>74.7107 * CHOOSE(CONTROL!$C$6, $C$13, 100%, $E$13) + CHOOSE(CONTROL!$C$25, 0.0003, 0)</f>
        <v>74.710999999999999</v>
      </c>
      <c r="C747" s="4">
        <f>74.3982 * CHOOSE(CONTROL!$C$6, $C$13, 100%, $E$13) + CHOOSE(CONTROL!$C$25, 0.0003, 0)</f>
        <v>74.398499999999999</v>
      </c>
      <c r="D747" s="4">
        <f>71.6154 * CHOOSE(CONTROL!$C$6, $C$13, 100%, $E$13) + CHOOSE(CONTROL!$C$25, 0, 0)</f>
        <v>71.615399999999994</v>
      </c>
      <c r="E747" s="4">
        <f>416.025240927082 * CHOOSE(CONTROL!$C$6, $C$13, 100%, $E$13) + CHOOSE(CONTROL!$C$25, 0, 0)</f>
        <v>416.025240927082</v>
      </c>
    </row>
    <row r="748" spans="1:5" ht="15">
      <c r="A748" s="13">
        <v>64650</v>
      </c>
      <c r="B748" s="4">
        <f>73.57 * CHOOSE(CONTROL!$C$6, $C$13, 100%, $E$13) + CHOOSE(CONTROL!$C$25, 0.0003, 0)</f>
        <v>73.570299999999989</v>
      </c>
      <c r="C748" s="4">
        <f>73.2575 * CHOOSE(CONTROL!$C$6, $C$13, 100%, $E$13) + CHOOSE(CONTROL!$C$25, 0.0003, 0)</f>
        <v>73.257799999999989</v>
      </c>
      <c r="D748" s="4">
        <f>69.1072 * CHOOSE(CONTROL!$C$6, $C$13, 100%, $E$13) + CHOOSE(CONTROL!$C$25, 0, 0)</f>
        <v>69.107200000000006</v>
      </c>
      <c r="E748" s="4">
        <f>409.509733438201 * CHOOSE(CONTROL!$C$6, $C$13, 100%, $E$13) + CHOOSE(CONTROL!$C$25, 0, 0)</f>
        <v>409.50973343820101</v>
      </c>
    </row>
    <row r="749" spans="1:5" ht="15">
      <c r="A749" s="13">
        <v>64681</v>
      </c>
      <c r="B749" s="4">
        <f>71.7166 * CHOOSE(CONTROL!$C$6, $C$13, 100%, $E$13) + CHOOSE(CONTROL!$C$25, 0.0003, 0)</f>
        <v>71.716899999999995</v>
      </c>
      <c r="C749" s="4">
        <f>71.4041 * CHOOSE(CONTROL!$C$6, $C$13, 100%, $E$13) + CHOOSE(CONTROL!$C$25, 0.0003, 0)</f>
        <v>71.404399999999995</v>
      </c>
      <c r="D749" s="4">
        <f>66.802 * CHOOSE(CONTROL!$C$6, $C$13, 100%, $E$13) + CHOOSE(CONTROL!$C$25, 0, 0)</f>
        <v>66.802000000000007</v>
      </c>
      <c r="E749" s="4">
        <f>397.766554800643 * CHOOSE(CONTROL!$C$6, $C$13, 100%, $E$13) + CHOOSE(CONTROL!$C$25, 0, 0)</f>
        <v>397.76655480064301</v>
      </c>
    </row>
    <row r="750" spans="1:5" ht="15">
      <c r="A750" s="13">
        <v>64709</v>
      </c>
      <c r="B750" s="4">
        <f>73.3749 * CHOOSE(CONTROL!$C$6, $C$13, 100%, $E$13) + CHOOSE(CONTROL!$C$25, 0.0003, 0)</f>
        <v>73.375199999999992</v>
      </c>
      <c r="C750" s="4">
        <f>73.0624 * CHOOSE(CONTROL!$C$6, $C$13, 100%, $E$13) + CHOOSE(CONTROL!$C$25, 0.0003, 0)</f>
        <v>73.062699999999992</v>
      </c>
      <c r="D750" s="4">
        <f>69.1234 * CHOOSE(CONTROL!$C$6, $C$13, 100%, $E$13) + CHOOSE(CONTROL!$C$25, 0, 0)</f>
        <v>69.123400000000004</v>
      </c>
      <c r="E750" s="4">
        <f>407.211100373582 * CHOOSE(CONTROL!$C$6, $C$13, 100%, $E$13) + CHOOSE(CONTROL!$C$25, 0, 0)</f>
        <v>407.21110037358198</v>
      </c>
    </row>
    <row r="751" spans="1:5" ht="15">
      <c r="A751" s="13">
        <v>64740</v>
      </c>
      <c r="B751" s="4">
        <f>77.7297 * CHOOSE(CONTROL!$C$6, $C$13, 100%, $E$13) + CHOOSE(CONTROL!$C$25, 0.0003, 0)</f>
        <v>77.72999999999999</v>
      </c>
      <c r="C751" s="4">
        <f>77.4172 * CHOOSE(CONTROL!$C$6, $C$13, 100%, $E$13) + CHOOSE(CONTROL!$C$25, 0.0003, 0)</f>
        <v>77.41749999999999</v>
      </c>
      <c r="D751" s="4">
        <f>72.7573 * CHOOSE(CONTROL!$C$6, $C$13, 100%, $E$13) + CHOOSE(CONTROL!$C$25, 0, 0)</f>
        <v>72.757300000000001</v>
      </c>
      <c r="E751" s="4">
        <f>432.012978961751 * CHOOSE(CONTROL!$C$6, $C$13, 100%, $E$13) + CHOOSE(CONTROL!$C$25, 0, 0)</f>
        <v>432.012978961751</v>
      </c>
    </row>
    <row r="752" spans="1:5" ht="15">
      <c r="A752" s="13">
        <v>64770</v>
      </c>
      <c r="B752" s="4">
        <f>80.8239 * CHOOSE(CONTROL!$C$6, $C$13, 100%, $E$13) + CHOOSE(CONTROL!$C$25, 0.0003, 0)</f>
        <v>80.82419999999999</v>
      </c>
      <c r="C752" s="4">
        <f>80.5114 * CHOOSE(CONTROL!$C$6, $C$13, 100%, $E$13) + CHOOSE(CONTROL!$C$25, 0.0003, 0)</f>
        <v>80.51169999999999</v>
      </c>
      <c r="D752" s="4">
        <f>74.8506 * CHOOSE(CONTROL!$C$6, $C$13, 100%, $E$13) + CHOOSE(CONTROL!$C$25, 0, 0)</f>
        <v>74.8506</v>
      </c>
      <c r="E752" s="4">
        <f>449.635044227136 * CHOOSE(CONTROL!$C$6, $C$13, 100%, $E$13) + CHOOSE(CONTROL!$C$25, 0, 0)</f>
        <v>449.63504422713601</v>
      </c>
    </row>
    <row r="753" spans="1:5" ht="15">
      <c r="A753" s="13">
        <v>64801</v>
      </c>
      <c r="B753" s="4">
        <f>82.7143 * CHOOSE(CONTROL!$C$6, $C$13, 100%, $E$13) + CHOOSE(CONTROL!$C$25, 0.0263, 0)</f>
        <v>82.740600000000001</v>
      </c>
      <c r="C753" s="4">
        <f>82.4018 * CHOOSE(CONTROL!$C$6, $C$13, 100%, $E$13) + CHOOSE(CONTROL!$C$25, 0.0263, 0)</f>
        <v>82.428100000000001</v>
      </c>
      <c r="D753" s="4">
        <f>74.0234 * CHOOSE(CONTROL!$C$6, $C$13, 100%, $E$13) + CHOOSE(CONTROL!$C$25, 0, 0)</f>
        <v>74.023399999999995</v>
      </c>
      <c r="E753" s="4">
        <f>460.401703762326 * CHOOSE(CONTROL!$C$6, $C$13, 100%, $E$13) + CHOOSE(CONTROL!$C$25, 0, 0)</f>
        <v>460.40170376232601</v>
      </c>
    </row>
    <row r="754" spans="1:5" ht="15">
      <c r="A754" s="13">
        <v>64831</v>
      </c>
      <c r="B754" s="4">
        <f>82.9701 * CHOOSE(CONTROL!$C$6, $C$13, 100%, $E$13) + CHOOSE(CONTROL!$C$25, 0.0263, 0)</f>
        <v>82.996400000000008</v>
      </c>
      <c r="C754" s="4">
        <f>82.6576 * CHOOSE(CONTROL!$C$6, $C$13, 100%, $E$13) + CHOOSE(CONTROL!$C$25, 0.0263, 0)</f>
        <v>82.683900000000008</v>
      </c>
      <c r="D754" s="4">
        <f>74.6971 * CHOOSE(CONTROL!$C$6, $C$13, 100%, $E$13) + CHOOSE(CONTROL!$C$25, 0, 0)</f>
        <v>74.697100000000006</v>
      </c>
      <c r="E754" s="4">
        <f>461.858477479993 * CHOOSE(CONTROL!$C$6, $C$13, 100%, $E$13) + CHOOSE(CONTROL!$C$25, 0, 0)</f>
        <v>461.85847747999298</v>
      </c>
    </row>
    <row r="755" spans="1:5" ht="15">
      <c r="A755" s="13">
        <v>64862</v>
      </c>
      <c r="B755" s="4">
        <f>82.9443 * CHOOSE(CONTROL!$C$6, $C$13, 100%, $E$13) + CHOOSE(CONTROL!$C$25, 0.0263, 0)</f>
        <v>82.970600000000005</v>
      </c>
      <c r="C755" s="4">
        <f>82.6318 * CHOOSE(CONTROL!$C$6, $C$13, 100%, $E$13) + CHOOSE(CONTROL!$C$25, 0.0263, 0)</f>
        <v>82.658100000000005</v>
      </c>
      <c r="D755" s="4">
        <f>75.9126 * CHOOSE(CONTROL!$C$6, $C$13, 100%, $E$13) + CHOOSE(CONTROL!$C$25, 0, 0)</f>
        <v>75.912599999999998</v>
      </c>
      <c r="E755" s="4">
        <f>461.711575928632 * CHOOSE(CONTROL!$C$6, $C$13, 100%, $E$13) + CHOOSE(CONTROL!$C$25, 0, 0)</f>
        <v>461.71157592863199</v>
      </c>
    </row>
    <row r="756" spans="1:5" ht="15">
      <c r="A756" s="13">
        <v>64893</v>
      </c>
      <c r="B756" s="4">
        <f>84.8853 * CHOOSE(CONTROL!$C$6, $C$13, 100%, $E$13) + CHOOSE(CONTROL!$C$25, 0.0263, 0)</f>
        <v>84.911600000000007</v>
      </c>
      <c r="C756" s="4">
        <f>84.5728 * CHOOSE(CONTROL!$C$6, $C$13, 100%, $E$13) + CHOOSE(CONTROL!$C$25, 0.0263, 0)</f>
        <v>84.599100000000007</v>
      </c>
      <c r="D756" s="4">
        <f>75.1099 * CHOOSE(CONTROL!$C$6, $C$13, 100%, $E$13) + CHOOSE(CONTROL!$C$25, 0, 0)</f>
        <v>75.109899999999996</v>
      </c>
      <c r="E756" s="4">
        <f>472.765917668571 * CHOOSE(CONTROL!$C$6, $C$13, 100%, $E$13) + CHOOSE(CONTROL!$C$25, 0, 0)</f>
        <v>472.76591766857098</v>
      </c>
    </row>
    <row r="757" spans="1:5" ht="15">
      <c r="A757" s="13">
        <v>64923</v>
      </c>
      <c r="B757" s="4">
        <f>81.5773 * CHOOSE(CONTROL!$C$6, $C$13, 100%, $E$13) + CHOOSE(CONTROL!$C$25, 0.0263, 0)</f>
        <v>81.6036</v>
      </c>
      <c r="C757" s="4">
        <f>81.2648 * CHOOSE(CONTROL!$C$6, $C$13, 100%, $E$13) + CHOOSE(CONTROL!$C$25, 0.0263, 0)</f>
        <v>81.2911</v>
      </c>
      <c r="D757" s="4">
        <f>74.7306 * CHOOSE(CONTROL!$C$6, $C$13, 100%, $E$13) + CHOOSE(CONTROL!$C$25, 0, 0)</f>
        <v>74.730599999999995</v>
      </c>
      <c r="E757" s="4">
        <f>453.925793706482 * CHOOSE(CONTROL!$C$6, $C$13, 100%, $E$13) + CHOOSE(CONTROL!$C$25, 0, 0)</f>
        <v>453.92579370648201</v>
      </c>
    </row>
    <row r="758" spans="1:5" ht="15">
      <c r="A758" s="13">
        <v>64954</v>
      </c>
      <c r="B758" s="4">
        <f>78.9291 * CHOOSE(CONTROL!$C$6, $C$13, 100%, $E$13) + CHOOSE(CONTROL!$C$25, 0.0003, 0)</f>
        <v>78.929400000000001</v>
      </c>
      <c r="C758" s="4">
        <f>78.6166 * CHOOSE(CONTROL!$C$6, $C$13, 100%, $E$13) + CHOOSE(CONTROL!$C$25, 0.0003, 0)</f>
        <v>78.616900000000001</v>
      </c>
      <c r="D758" s="4">
        <f>73.7151 * CHOOSE(CONTROL!$C$6, $C$13, 100%, $E$13) + CHOOSE(CONTROL!$C$25, 0, 0)</f>
        <v>73.715100000000007</v>
      </c>
      <c r="E758" s="4">
        <f>438.843901100053 * CHOOSE(CONTROL!$C$6, $C$13, 100%, $E$13) + CHOOSE(CONTROL!$C$25, 0, 0)</f>
        <v>438.84390110005302</v>
      </c>
    </row>
    <row r="759" spans="1:5" ht="15">
      <c r="A759" s="13">
        <v>64984</v>
      </c>
      <c r="B759" s="4">
        <f>77.2235 * CHOOSE(CONTROL!$C$6, $C$13, 100%, $E$13) + CHOOSE(CONTROL!$C$25, 0.0003, 0)</f>
        <v>77.223799999999997</v>
      </c>
      <c r="C759" s="4">
        <f>76.911 * CHOOSE(CONTROL!$C$6, $C$13, 100%, $E$13) + CHOOSE(CONTROL!$C$25, 0.0003, 0)</f>
        <v>76.911299999999997</v>
      </c>
      <c r="D759" s="4">
        <f>73.366 * CHOOSE(CONTROL!$C$6, $C$13, 100%, $E$13) + CHOOSE(CONTROL!$C$25, 0, 0)</f>
        <v>73.366</v>
      </c>
      <c r="E759" s="4">
        <f>429.130036016285 * CHOOSE(CONTROL!$C$6, $C$13, 100%, $E$13) + CHOOSE(CONTROL!$C$25, 0, 0)</f>
        <v>429.13003601628498</v>
      </c>
    </row>
    <row r="760" spans="1:5" ht="15">
      <c r="A760" s="13">
        <v>65015</v>
      </c>
      <c r="B760" s="4">
        <f>76.0435 * CHOOSE(CONTROL!$C$6, $C$13, 100%, $E$13) + CHOOSE(CONTROL!$C$25, 0.0003, 0)</f>
        <v>76.04379999999999</v>
      </c>
      <c r="C760" s="4">
        <f>75.731 * CHOOSE(CONTROL!$C$6, $C$13, 100%, $E$13) + CHOOSE(CONTROL!$C$25, 0.0003, 0)</f>
        <v>75.73129999999999</v>
      </c>
      <c r="D760" s="4">
        <f>70.7956 * CHOOSE(CONTROL!$C$6, $C$13, 100%, $E$13) + CHOOSE(CONTROL!$C$25, 0, 0)</f>
        <v>70.795599999999993</v>
      </c>
      <c r="E760" s="4">
        <f>422.409290041505 * CHOOSE(CONTROL!$C$6, $C$13, 100%, $E$13) + CHOOSE(CONTROL!$C$25, 0, 0)</f>
        <v>422.40929004150502</v>
      </c>
    </row>
    <row r="761" spans="1:5" ht="15">
      <c r="A761" s="13">
        <v>65046</v>
      </c>
      <c r="B761" s="4">
        <f>74.1261 * CHOOSE(CONTROL!$C$6, $C$13, 100%, $E$13) + CHOOSE(CONTROL!$C$25, 0.0003, 0)</f>
        <v>74.12639999999999</v>
      </c>
      <c r="C761" s="4">
        <f>73.8136 * CHOOSE(CONTROL!$C$6, $C$13, 100%, $E$13) + CHOOSE(CONTROL!$C$25, 0.0003, 0)</f>
        <v>73.81389999999999</v>
      </c>
      <c r="D761" s="4">
        <f>68.4332 * CHOOSE(CONTROL!$C$6, $C$13, 100%, $E$13) + CHOOSE(CONTROL!$C$25, 0, 0)</f>
        <v>68.433199999999999</v>
      </c>
      <c r="E761" s="4">
        <f>410.296201276863 * CHOOSE(CONTROL!$C$6, $C$13, 100%, $E$13) + CHOOSE(CONTROL!$C$25, 0, 0)</f>
        <v>410.29620127686297</v>
      </c>
    </row>
    <row r="762" spans="1:5" ht="15">
      <c r="A762" s="13">
        <v>65074</v>
      </c>
      <c r="B762" s="4">
        <f>75.8417 * CHOOSE(CONTROL!$C$6, $C$13, 100%, $E$13) + CHOOSE(CONTROL!$C$25, 0.0003, 0)</f>
        <v>75.841999999999999</v>
      </c>
      <c r="C762" s="4">
        <f>75.5292 * CHOOSE(CONTROL!$C$6, $C$13, 100%, $E$13) + CHOOSE(CONTROL!$C$25, 0.0003, 0)</f>
        <v>75.529499999999999</v>
      </c>
      <c r="D762" s="4">
        <f>70.8121 * CHOOSE(CONTROL!$C$6, $C$13, 100%, $E$13) + CHOOSE(CONTROL!$C$25, 0, 0)</f>
        <v>70.812100000000001</v>
      </c>
      <c r="E762" s="4">
        <f>420.038250035349 * CHOOSE(CONTROL!$C$6, $C$13, 100%, $E$13) + CHOOSE(CONTROL!$C$25, 0, 0)</f>
        <v>420.03825003534899</v>
      </c>
    </row>
    <row r="763" spans="1:5" ht="15">
      <c r="A763" s="13">
        <v>65105</v>
      </c>
      <c r="B763" s="4">
        <f>80.3467 * CHOOSE(CONTROL!$C$6, $C$13, 100%, $E$13) + CHOOSE(CONTROL!$C$25, 0.0003, 0)</f>
        <v>80.346999999999994</v>
      </c>
      <c r="C763" s="4">
        <f>80.0342 * CHOOSE(CONTROL!$C$6, $C$13, 100%, $E$13) + CHOOSE(CONTROL!$C$25, 0.0003, 0)</f>
        <v>80.034499999999994</v>
      </c>
      <c r="D763" s="4">
        <f>74.5362 * CHOOSE(CONTROL!$C$6, $C$13, 100%, $E$13) + CHOOSE(CONTROL!$C$25, 0, 0)</f>
        <v>74.536199999999994</v>
      </c>
      <c r="E763" s="4">
        <f>445.621387799046 * CHOOSE(CONTROL!$C$6, $C$13, 100%, $E$13) + CHOOSE(CONTROL!$C$25, 0, 0)</f>
        <v>445.62138779904598</v>
      </c>
    </row>
    <row r="764" spans="1:5" ht="15">
      <c r="A764" s="13">
        <v>65135</v>
      </c>
      <c r="B764" s="4">
        <f>83.5476 * CHOOSE(CONTROL!$C$6, $C$13, 100%, $E$13) + CHOOSE(CONTROL!$C$25, 0.0003, 0)</f>
        <v>83.547899999999998</v>
      </c>
      <c r="C764" s="4">
        <f>83.2351 * CHOOSE(CONTROL!$C$6, $C$13, 100%, $E$13) + CHOOSE(CONTROL!$C$25, 0.0003, 0)</f>
        <v>83.235399999999998</v>
      </c>
      <c r="D764" s="4">
        <f>76.6814 * CHOOSE(CONTROL!$C$6, $C$13, 100%, $E$13) + CHOOSE(CONTROL!$C$25, 0, 0)</f>
        <v>76.681399999999996</v>
      </c>
      <c r="E764" s="4">
        <f>463.798548120291 * CHOOSE(CONTROL!$C$6, $C$13, 100%, $E$13) + CHOOSE(CONTROL!$C$25, 0, 0)</f>
        <v>463.798548120291</v>
      </c>
    </row>
    <row r="765" spans="1:5" ht="15">
      <c r="A765" s="13">
        <v>65166</v>
      </c>
      <c r="B765" s="4">
        <f>85.5033 * CHOOSE(CONTROL!$C$6, $C$13, 100%, $E$13) + CHOOSE(CONTROL!$C$25, 0.0263, 0)</f>
        <v>85.529600000000002</v>
      </c>
      <c r="C765" s="4">
        <f>85.1908 * CHOOSE(CONTROL!$C$6, $C$13, 100%, $E$13) + CHOOSE(CONTROL!$C$25, 0.0263, 0)</f>
        <v>85.217100000000002</v>
      </c>
      <c r="D765" s="4">
        <f>75.8337 * CHOOSE(CONTROL!$C$6, $C$13, 100%, $E$13) + CHOOSE(CONTROL!$C$25, 0, 0)</f>
        <v>75.833699999999993</v>
      </c>
      <c r="E765" s="4">
        <f>474.90435743084 * CHOOSE(CONTROL!$C$6, $C$13, 100%, $E$13) + CHOOSE(CONTROL!$C$25, 0, 0)</f>
        <v>474.90435743083998</v>
      </c>
    </row>
    <row r="766" spans="1:5" ht="15">
      <c r="A766" s="13">
        <v>65196</v>
      </c>
      <c r="B766" s="4">
        <f>85.7679 * CHOOSE(CONTROL!$C$6, $C$13, 100%, $E$13) + CHOOSE(CONTROL!$C$25, 0.0263, 0)</f>
        <v>85.794200000000004</v>
      </c>
      <c r="C766" s="4">
        <f>85.4554 * CHOOSE(CONTROL!$C$6, $C$13, 100%, $E$13) + CHOOSE(CONTROL!$C$25, 0.0263, 0)</f>
        <v>85.481700000000004</v>
      </c>
      <c r="D766" s="4">
        <f>76.5241 * CHOOSE(CONTROL!$C$6, $C$13, 100%, $E$13) + CHOOSE(CONTROL!$C$25, 0, 0)</f>
        <v>76.524100000000004</v>
      </c>
      <c r="E766" s="4">
        <f>476.407019520613 * CHOOSE(CONTROL!$C$6, $C$13, 100%, $E$13) + CHOOSE(CONTROL!$C$25, 0, 0)</f>
        <v>476.40701952061301</v>
      </c>
    </row>
    <row r="767" spans="1:5" ht="15">
      <c r="A767" s="13">
        <v>65227</v>
      </c>
      <c r="B767" s="4">
        <f>85.7412 * CHOOSE(CONTROL!$C$6, $C$13, 100%, $E$13) + CHOOSE(CONTROL!$C$25, 0.0263, 0)</f>
        <v>85.767500000000013</v>
      </c>
      <c r="C767" s="4">
        <f>85.4287 * CHOOSE(CONTROL!$C$6, $C$13, 100%, $E$13) + CHOOSE(CONTROL!$C$25, 0.0263, 0)</f>
        <v>85.455000000000013</v>
      </c>
      <c r="D767" s="4">
        <f>77.7697 * CHOOSE(CONTROL!$C$6, $C$13, 100%, $E$13) + CHOOSE(CONTROL!$C$25, 0, 0)</f>
        <v>77.7697</v>
      </c>
      <c r="E767" s="4">
        <f>476.255490570383 * CHOOSE(CONTROL!$C$6, $C$13, 100%, $E$13) + CHOOSE(CONTROL!$C$25, 0, 0)</f>
        <v>476.25549057038302</v>
      </c>
    </row>
    <row r="768" spans="1:5" ht="15">
      <c r="A768" s="13">
        <v>65258</v>
      </c>
      <c r="B768" s="4">
        <f>87.7492 * CHOOSE(CONTROL!$C$6, $C$13, 100%, $E$13) + CHOOSE(CONTROL!$C$25, 0.0263, 0)</f>
        <v>87.775500000000008</v>
      </c>
      <c r="C768" s="4">
        <f>87.4367 * CHOOSE(CONTROL!$C$6, $C$13, 100%, $E$13) + CHOOSE(CONTROL!$C$25, 0.0263, 0)</f>
        <v>87.463000000000008</v>
      </c>
      <c r="D768" s="4">
        <f>76.9471 * CHOOSE(CONTROL!$C$6, $C$13, 100%, $E$13) + CHOOSE(CONTROL!$C$25, 0, 0)</f>
        <v>76.947100000000006</v>
      </c>
      <c r="E768" s="4">
        <f>487.658044075131 * CHOOSE(CONTROL!$C$6, $C$13, 100%, $E$13) + CHOOSE(CONTROL!$C$25, 0, 0)</f>
        <v>487.65804407513099</v>
      </c>
    </row>
    <row r="769" spans="1:5" ht="15">
      <c r="A769" s="13">
        <v>65288</v>
      </c>
      <c r="B769" s="4">
        <f>84.327 * CHOOSE(CONTROL!$C$6, $C$13, 100%, $E$13) + CHOOSE(CONTROL!$C$25, 0.0263, 0)</f>
        <v>84.353300000000004</v>
      </c>
      <c r="C769" s="4">
        <f>84.0145 * CHOOSE(CONTROL!$C$6, $C$13, 100%, $E$13) + CHOOSE(CONTROL!$C$25, 0.0263, 0)</f>
        <v>84.040800000000004</v>
      </c>
      <c r="D769" s="4">
        <f>76.5584 * CHOOSE(CONTROL!$C$6, $C$13, 100%, $E$13) + CHOOSE(CONTROL!$C$25, 0, 0)</f>
        <v>76.558400000000006</v>
      </c>
      <c r="E769" s="4">
        <f>468.224456208236 * CHOOSE(CONTROL!$C$6, $C$13, 100%, $E$13) + CHOOSE(CONTROL!$C$25, 0, 0)</f>
        <v>468.22445620823601</v>
      </c>
    </row>
    <row r="770" spans="1:5" ht="15">
      <c r="A770" s="13">
        <v>65319</v>
      </c>
      <c r="B770" s="4">
        <f>81.5875 * CHOOSE(CONTROL!$C$6, $C$13, 100%, $E$13) + CHOOSE(CONTROL!$C$25, 0.0003, 0)</f>
        <v>81.587800000000001</v>
      </c>
      <c r="C770" s="4">
        <f>81.275 * CHOOSE(CONTROL!$C$6, $C$13, 100%, $E$13) + CHOOSE(CONTROL!$C$25, 0.0003, 0)</f>
        <v>81.275300000000001</v>
      </c>
      <c r="D770" s="4">
        <f>75.5177 * CHOOSE(CONTROL!$C$6, $C$13, 100%, $E$13) + CHOOSE(CONTROL!$C$25, 0, 0)</f>
        <v>75.517700000000005</v>
      </c>
      <c r="E770" s="4">
        <f>452.667483984704 * CHOOSE(CONTROL!$C$6, $C$13, 100%, $E$13) + CHOOSE(CONTROL!$C$25, 0, 0)</f>
        <v>452.66748398470401</v>
      </c>
    </row>
    <row r="771" spans="1:5" ht="15">
      <c r="A771" s="13">
        <v>65349</v>
      </c>
      <c r="B771" s="4">
        <f>79.8231 * CHOOSE(CONTROL!$C$6, $C$13, 100%, $E$13) + CHOOSE(CONTROL!$C$25, 0.0003, 0)</f>
        <v>79.823399999999992</v>
      </c>
      <c r="C771" s="4">
        <f>79.5106 * CHOOSE(CONTROL!$C$6, $C$13, 100%, $E$13) + CHOOSE(CONTROL!$C$25, 0.0003, 0)</f>
        <v>79.510899999999992</v>
      </c>
      <c r="D771" s="4">
        <f>75.1599 * CHOOSE(CONTROL!$C$6, $C$13, 100%, $E$13) + CHOOSE(CONTROL!$C$25, 0, 0)</f>
        <v>75.159899999999993</v>
      </c>
      <c r="E771" s="4">
        <f>442.647632150798 * CHOOSE(CONTROL!$C$6, $C$13, 100%, $E$13) + CHOOSE(CONTROL!$C$25, 0, 0)</f>
        <v>442.64763215079802</v>
      </c>
    </row>
    <row r="772" spans="1:5" ht="15">
      <c r="A772" s="13">
        <v>65380</v>
      </c>
      <c r="B772" s="4">
        <f>78.6023 * CHOOSE(CONTROL!$C$6, $C$13, 100%, $E$13) + CHOOSE(CONTROL!$C$25, 0.0003, 0)</f>
        <v>78.602599999999995</v>
      </c>
      <c r="C772" s="4">
        <f>78.2898 * CHOOSE(CONTROL!$C$6, $C$13, 100%, $E$13) + CHOOSE(CONTROL!$C$25, 0.0003, 0)</f>
        <v>78.290099999999995</v>
      </c>
      <c r="D772" s="4">
        <f>72.5258 * CHOOSE(CONTROL!$C$6, $C$13, 100%, $E$13) + CHOOSE(CONTROL!$C$25, 0, 0)</f>
        <v>72.525800000000004</v>
      </c>
      <c r="E772" s="4">
        <f>435.715182677812 * CHOOSE(CONTROL!$C$6, $C$13, 100%, $E$13) + CHOOSE(CONTROL!$C$25, 0, 0)</f>
        <v>435.71518267781198</v>
      </c>
    </row>
    <row r="773" spans="1:5" ht="15">
      <c r="A773" s="13">
        <v>65411</v>
      </c>
      <c r="B773" s="4">
        <f>76.6188 * CHOOSE(CONTROL!$C$6, $C$13, 100%, $E$13) + CHOOSE(CONTROL!$C$25, 0.0003, 0)</f>
        <v>76.619099999999989</v>
      </c>
      <c r="C773" s="4">
        <f>76.3063 * CHOOSE(CONTROL!$C$6, $C$13, 100%, $E$13) + CHOOSE(CONTROL!$C$25, 0.0003, 0)</f>
        <v>76.306599999999989</v>
      </c>
      <c r="D773" s="4">
        <f>70.1048 * CHOOSE(CONTROL!$C$6, $C$13, 100%, $E$13) + CHOOSE(CONTROL!$C$25, 0, 0)</f>
        <v>70.104799999999997</v>
      </c>
      <c r="E773" s="4">
        <f>423.220531617085 * CHOOSE(CONTROL!$C$6, $C$13, 100%, $E$13) + CHOOSE(CONTROL!$C$25, 0, 0)</f>
        <v>423.22053161708499</v>
      </c>
    </row>
    <row r="774" spans="1:5" ht="15">
      <c r="A774" s="13">
        <v>65439</v>
      </c>
      <c r="B774" s="4">
        <f>78.3935 * CHOOSE(CONTROL!$C$6, $C$13, 100%, $E$13) + CHOOSE(CONTROL!$C$25, 0.0003, 0)</f>
        <v>78.393799999999999</v>
      </c>
      <c r="C774" s="4">
        <f>78.081 * CHOOSE(CONTROL!$C$6, $C$13, 100%, $E$13) + CHOOSE(CONTROL!$C$25, 0.0003, 0)</f>
        <v>78.081299999999999</v>
      </c>
      <c r="D774" s="4">
        <f>72.5427 * CHOOSE(CONTROL!$C$6, $C$13, 100%, $E$13) + CHOOSE(CONTROL!$C$25, 0, 0)</f>
        <v>72.542699999999996</v>
      </c>
      <c r="E774" s="4">
        <f>433.269454911463 * CHOOSE(CONTROL!$C$6, $C$13, 100%, $E$13) + CHOOSE(CONTROL!$C$25, 0, 0)</f>
        <v>433.26945491146301</v>
      </c>
    </row>
    <row r="775" spans="1:5" ht="15">
      <c r="A775" s="13">
        <v>65470</v>
      </c>
      <c r="B775" s="4">
        <f>83.054 * CHOOSE(CONTROL!$C$6, $C$13, 100%, $E$13) + CHOOSE(CONTROL!$C$25, 0.0003, 0)</f>
        <v>83.054299999999998</v>
      </c>
      <c r="C775" s="4">
        <f>82.7415 * CHOOSE(CONTROL!$C$6, $C$13, 100%, $E$13) + CHOOSE(CONTROL!$C$25, 0.0003, 0)</f>
        <v>82.741799999999998</v>
      </c>
      <c r="D775" s="4">
        <f>76.3592 * CHOOSE(CONTROL!$C$6, $C$13, 100%, $E$13) + CHOOSE(CONTROL!$C$25, 0, 0)</f>
        <v>76.359200000000001</v>
      </c>
      <c r="E775" s="4">
        <f>459.658461514716 * CHOOSE(CONTROL!$C$6, $C$13, 100%, $E$13) + CHOOSE(CONTROL!$C$25, 0, 0)</f>
        <v>459.65846151471601</v>
      </c>
    </row>
    <row r="776" spans="1:5" ht="15">
      <c r="A776" s="13">
        <v>65500</v>
      </c>
      <c r="B776" s="4">
        <f>86.3653 * CHOOSE(CONTROL!$C$6, $C$13, 100%, $E$13) + CHOOSE(CONTROL!$C$25, 0.0003, 0)</f>
        <v>86.365600000000001</v>
      </c>
      <c r="C776" s="4">
        <f>86.0528 * CHOOSE(CONTROL!$C$6, $C$13, 100%, $E$13) + CHOOSE(CONTROL!$C$25, 0.0003, 0)</f>
        <v>86.053100000000001</v>
      </c>
      <c r="D776" s="4">
        <f>78.5576 * CHOOSE(CONTROL!$C$6, $C$13, 100%, $E$13) + CHOOSE(CONTROL!$C$25, 0, 0)</f>
        <v>78.557599999999994</v>
      </c>
      <c r="E776" s="4">
        <f>478.40820238608 * CHOOSE(CONTROL!$C$6, $C$13, 100%, $E$13) + CHOOSE(CONTROL!$C$25, 0, 0)</f>
        <v>478.40820238608001</v>
      </c>
    </row>
    <row r="777" spans="1:5" ht="15">
      <c r="A777" s="13">
        <v>65531</v>
      </c>
      <c r="B777" s="4">
        <f>88.3885 * CHOOSE(CONTROL!$C$6, $C$13, 100%, $E$13) + CHOOSE(CONTROL!$C$25, 0.0263, 0)</f>
        <v>88.4148</v>
      </c>
      <c r="C777" s="4">
        <f>88.076 * CHOOSE(CONTROL!$C$6, $C$13, 100%, $E$13) + CHOOSE(CONTROL!$C$25, 0.0263, 0)</f>
        <v>88.1023</v>
      </c>
      <c r="D777" s="4">
        <f>77.6889 * CHOOSE(CONTROL!$C$6, $C$13, 100%, $E$13) + CHOOSE(CONTROL!$C$25, 0, 0)</f>
        <v>77.688900000000004</v>
      </c>
      <c r="E777" s="4">
        <f>489.863844689911 * CHOOSE(CONTROL!$C$6, $C$13, 100%, $E$13) + CHOOSE(CONTROL!$C$25, 0, 0)</f>
        <v>489.86384468991099</v>
      </c>
    </row>
    <row r="778" spans="1:5" ht="15">
      <c r="A778" s="13">
        <v>65561</v>
      </c>
      <c r="B778" s="4">
        <f>88.6622 * CHOOSE(CONTROL!$C$6, $C$13, 100%, $E$13) + CHOOSE(CONTROL!$C$25, 0.0263, 0)</f>
        <v>88.688500000000005</v>
      </c>
      <c r="C778" s="4">
        <f>88.3497 * CHOOSE(CONTROL!$C$6, $C$13, 100%, $E$13) + CHOOSE(CONTROL!$C$25, 0.0263, 0)</f>
        <v>88.376000000000005</v>
      </c>
      <c r="D778" s="4">
        <f>78.3963 * CHOOSE(CONTROL!$C$6, $C$13, 100%, $E$13) + CHOOSE(CONTROL!$C$25, 0, 0)</f>
        <v>78.396299999999997</v>
      </c>
      <c r="E778" s="4">
        <f>491.413840635512 * CHOOSE(CONTROL!$C$6, $C$13, 100%, $E$13) + CHOOSE(CONTROL!$C$25, 0, 0)</f>
        <v>491.41384063551197</v>
      </c>
    </row>
    <row r="779" spans="1:5" ht="15">
      <c r="A779" s="13">
        <v>65592</v>
      </c>
      <c r="B779" s="4">
        <f>88.6346 * CHOOSE(CONTROL!$C$6, $C$13, 100%, $E$13) + CHOOSE(CONTROL!$C$25, 0.0263, 0)</f>
        <v>88.660900000000012</v>
      </c>
      <c r="C779" s="4">
        <f>88.3221 * CHOOSE(CONTROL!$C$6, $C$13, 100%, $E$13) + CHOOSE(CONTROL!$C$25, 0.0263, 0)</f>
        <v>88.348400000000012</v>
      </c>
      <c r="D779" s="4">
        <f>79.6729 * CHOOSE(CONTROL!$C$6, $C$13, 100%, $E$13) + CHOOSE(CONTROL!$C$25, 0, 0)</f>
        <v>79.672899999999998</v>
      </c>
      <c r="E779" s="4">
        <f>491.257538523351 * CHOOSE(CONTROL!$C$6, $C$13, 100%, $E$13) + CHOOSE(CONTROL!$C$25, 0, 0)</f>
        <v>491.257538523351</v>
      </c>
    </row>
    <row r="780" spans="1:5" ht="15">
      <c r="A780" s="13">
        <v>65623</v>
      </c>
      <c r="B780" s="4">
        <f>90.7118 * CHOOSE(CONTROL!$C$6, $C$13, 100%, $E$13) + CHOOSE(CONTROL!$C$25, 0.0263, 0)</f>
        <v>90.738100000000003</v>
      </c>
      <c r="C780" s="4">
        <f>90.3993 * CHOOSE(CONTROL!$C$6, $C$13, 100%, $E$13) + CHOOSE(CONTROL!$C$25, 0.0263, 0)</f>
        <v>90.425600000000003</v>
      </c>
      <c r="D780" s="4">
        <f>78.8299 * CHOOSE(CONTROL!$C$6, $C$13, 100%, $E$13) + CHOOSE(CONTROL!$C$25, 0, 0)</f>
        <v>78.829899999999995</v>
      </c>
      <c r="E780" s="4">
        <f>503.019272463498 * CHOOSE(CONTROL!$C$6, $C$13, 100%, $E$13) + CHOOSE(CONTROL!$C$25, 0, 0)</f>
        <v>503.019272463498</v>
      </c>
    </row>
    <row r="781" spans="1:5" ht="15">
      <c r="A781" s="13">
        <v>65653</v>
      </c>
      <c r="B781" s="4">
        <f>87.1716 * CHOOSE(CONTROL!$C$6, $C$13, 100%, $E$13) + CHOOSE(CONTROL!$C$25, 0.0263, 0)</f>
        <v>87.197900000000004</v>
      </c>
      <c r="C781" s="4">
        <f>86.8591 * CHOOSE(CONTROL!$C$6, $C$13, 100%, $E$13) + CHOOSE(CONTROL!$C$25, 0.0263, 0)</f>
        <v>86.885400000000004</v>
      </c>
      <c r="D781" s="4">
        <f>78.4315 * CHOOSE(CONTROL!$C$6, $C$13, 100%, $E$13) + CHOOSE(CONTROL!$C$25, 0, 0)</f>
        <v>78.4315</v>
      </c>
      <c r="E781" s="4">
        <f>482.973526578795 * CHOOSE(CONTROL!$C$6, $C$13, 100%, $E$13) + CHOOSE(CONTROL!$C$25, 0, 0)</f>
        <v>482.97352657879497</v>
      </c>
    </row>
    <row r="782" spans="1:5" ht="15">
      <c r="A782" s="13">
        <v>65684</v>
      </c>
      <c r="B782" s="4">
        <f>84.3376 * CHOOSE(CONTROL!$C$6, $C$13, 100%, $E$13) + CHOOSE(CONTROL!$C$25, 0.0003, 0)</f>
        <v>84.337899999999991</v>
      </c>
      <c r="C782" s="4">
        <f>84.0251 * CHOOSE(CONTROL!$C$6, $C$13, 100%, $E$13) + CHOOSE(CONTROL!$C$25, 0.0003, 0)</f>
        <v>84.025399999999991</v>
      </c>
      <c r="D782" s="4">
        <f>77.365 * CHOOSE(CONTROL!$C$6, $C$13, 100%, $E$13) + CHOOSE(CONTROL!$C$25, 0, 0)</f>
        <v>77.364999999999995</v>
      </c>
      <c r="E782" s="4">
        <f>466.926509730223 * CHOOSE(CONTROL!$C$6, $C$13, 100%, $E$13) + CHOOSE(CONTROL!$C$25, 0, 0)</f>
        <v>466.92650973022302</v>
      </c>
    </row>
    <row r="783" spans="1:5" ht="15">
      <c r="A783" s="13">
        <v>65714</v>
      </c>
      <c r="B783" s="4">
        <f>82.5123 * CHOOSE(CONTROL!$C$6, $C$13, 100%, $E$13) + CHOOSE(CONTROL!$C$25, 0.0003, 0)</f>
        <v>82.512599999999992</v>
      </c>
      <c r="C783" s="4">
        <f>82.1998 * CHOOSE(CONTROL!$C$6, $C$13, 100%, $E$13) + CHOOSE(CONTROL!$C$25, 0.0003, 0)</f>
        <v>82.200099999999992</v>
      </c>
      <c r="D783" s="4">
        <f>76.9983 * CHOOSE(CONTROL!$C$6, $C$13, 100%, $E$13) + CHOOSE(CONTROL!$C$25, 0, 0)</f>
        <v>76.9983</v>
      </c>
      <c r="E783" s="4">
        <f>456.591032563548 * CHOOSE(CONTROL!$C$6, $C$13, 100%, $E$13) + CHOOSE(CONTROL!$C$25, 0, 0)</f>
        <v>456.59103256354803</v>
      </c>
    </row>
    <row r="784" spans="1:5" ht="15">
      <c r="A784" s="13">
        <v>65745</v>
      </c>
      <c r="B784" s="4">
        <f>81.2494 * CHOOSE(CONTROL!$C$6, $C$13, 100%, $E$13) + CHOOSE(CONTROL!$C$25, 0.0003, 0)</f>
        <v>81.24969999999999</v>
      </c>
      <c r="C784" s="4">
        <f>80.9369 * CHOOSE(CONTROL!$C$6, $C$13, 100%, $E$13) + CHOOSE(CONTROL!$C$25, 0.0003, 0)</f>
        <v>80.93719999999999</v>
      </c>
      <c r="D784" s="4">
        <f>74.2989 * CHOOSE(CONTROL!$C$6, $C$13, 100%, $E$13) + CHOOSE(CONTROL!$C$25, 0, 0)</f>
        <v>74.298900000000003</v>
      </c>
      <c r="E784" s="4">
        <f>449.440210932163 * CHOOSE(CONTROL!$C$6, $C$13, 100%, $E$13) + CHOOSE(CONTROL!$C$25, 0, 0)</f>
        <v>449.44021093216298</v>
      </c>
    </row>
    <row r="785" spans="1:5" ht="15">
      <c r="A785" s="13">
        <v>65776</v>
      </c>
      <c r="B785" s="4">
        <f>79.1974 * CHOOSE(CONTROL!$C$6, $C$13, 100%, $E$13) + CHOOSE(CONTROL!$C$25, 0.0003, 0)</f>
        <v>79.197699999999998</v>
      </c>
      <c r="C785" s="4">
        <f>78.8849 * CHOOSE(CONTROL!$C$6, $C$13, 100%, $E$13) + CHOOSE(CONTROL!$C$25, 0.0003, 0)</f>
        <v>78.885199999999998</v>
      </c>
      <c r="D785" s="4">
        <f>71.8179 * CHOOSE(CONTROL!$C$6, $C$13, 100%, $E$13) + CHOOSE(CONTROL!$C$25, 0, 0)</f>
        <v>71.817899999999995</v>
      </c>
      <c r="E785" s="4">
        <f>436.551978363023 * CHOOSE(CONTROL!$C$6, $C$13, 100%, $E$13) + CHOOSE(CONTROL!$C$25, 0, 0)</f>
        <v>436.55197836302301</v>
      </c>
    </row>
    <row r="786" spans="1:5" ht="15">
      <c r="A786" s="13">
        <v>65805</v>
      </c>
      <c r="B786" s="4">
        <f>81.0334 * CHOOSE(CONTROL!$C$6, $C$13, 100%, $E$13) + CHOOSE(CONTROL!$C$25, 0.0003, 0)</f>
        <v>81.033699999999996</v>
      </c>
      <c r="C786" s="4">
        <f>80.7209 * CHOOSE(CONTROL!$C$6, $C$13, 100%, $E$13) + CHOOSE(CONTROL!$C$25, 0.0003, 0)</f>
        <v>80.721199999999996</v>
      </c>
      <c r="D786" s="4">
        <f>74.3163 * CHOOSE(CONTROL!$C$6, $C$13, 100%, $E$13) + CHOOSE(CONTROL!$C$25, 0, 0)</f>
        <v>74.316299999999998</v>
      </c>
      <c r="E786" s="4">
        <f>446.917442741174 * CHOOSE(CONTROL!$C$6, $C$13, 100%, $E$13) + CHOOSE(CONTROL!$C$25, 0, 0)</f>
        <v>446.917442741174</v>
      </c>
    </row>
    <row r="787" spans="1:5" ht="15">
      <c r="A787" s="13">
        <v>65836</v>
      </c>
      <c r="B787" s="4">
        <f>85.8547 * CHOOSE(CONTROL!$C$6, $C$13, 100%, $E$13) + CHOOSE(CONTROL!$C$25, 0.0003, 0)</f>
        <v>85.85499999999999</v>
      </c>
      <c r="C787" s="4">
        <f>85.5422 * CHOOSE(CONTROL!$C$6, $C$13, 100%, $E$13) + CHOOSE(CONTROL!$C$25, 0.0003, 0)</f>
        <v>85.54249999999999</v>
      </c>
      <c r="D787" s="4">
        <f>78.2274 * CHOOSE(CONTROL!$C$6, $C$13, 100%, $E$13) + CHOOSE(CONTROL!$C$25, 0, 0)</f>
        <v>78.227400000000003</v>
      </c>
      <c r="E787" s="4">
        <f>474.13770305243 * CHOOSE(CONTROL!$C$6, $C$13, 100%, $E$13) + CHOOSE(CONTROL!$C$25, 0, 0)</f>
        <v>474.13770305243003</v>
      </c>
    </row>
    <row r="788" spans="1:5" ht="15">
      <c r="A788" s="13">
        <v>65866</v>
      </c>
      <c r="B788" s="4">
        <f>89.2802 * CHOOSE(CONTROL!$C$6, $C$13, 100%, $E$13) + CHOOSE(CONTROL!$C$25, 0.0003, 0)</f>
        <v>89.280499999999989</v>
      </c>
      <c r="C788" s="4">
        <f>88.9677 * CHOOSE(CONTROL!$C$6, $C$13, 100%, $E$13) + CHOOSE(CONTROL!$C$25, 0.0003, 0)</f>
        <v>88.967999999999989</v>
      </c>
      <c r="D788" s="4">
        <f>80.4803 * CHOOSE(CONTROL!$C$6, $C$13, 100%, $E$13) + CHOOSE(CONTROL!$C$25, 0, 0)</f>
        <v>80.4803</v>
      </c>
      <c r="E788" s="4">
        <f>493.478060761242 * CHOOSE(CONTROL!$C$6, $C$13, 100%, $E$13) + CHOOSE(CONTROL!$C$25, 0, 0)</f>
        <v>493.47806076124198</v>
      </c>
    </row>
    <row r="789" spans="1:5" ht="15">
      <c r="A789" s="13">
        <v>65897</v>
      </c>
      <c r="B789" s="4">
        <f>91.3732 * CHOOSE(CONTROL!$C$6, $C$13, 100%, $E$13) + CHOOSE(CONTROL!$C$25, 0.0263, 0)</f>
        <v>91.399500000000003</v>
      </c>
      <c r="C789" s="4">
        <f>91.0607 * CHOOSE(CONTROL!$C$6, $C$13, 100%, $E$13) + CHOOSE(CONTROL!$C$25, 0.0263, 0)</f>
        <v>91.087000000000003</v>
      </c>
      <c r="D789" s="4">
        <f>79.59 * CHOOSE(CONTROL!$C$6, $C$13, 100%, $E$13) + CHOOSE(CONTROL!$C$25, 0, 0)</f>
        <v>79.59</v>
      </c>
      <c r="E789" s="4">
        <f>505.294555797644 * CHOOSE(CONTROL!$C$6, $C$13, 100%, $E$13) + CHOOSE(CONTROL!$C$25, 0, 0)</f>
        <v>505.29455579764402</v>
      </c>
    </row>
    <row r="790" spans="1:5" ht="15">
      <c r="A790" s="13">
        <v>65927</v>
      </c>
      <c r="B790" s="4">
        <f>91.6564 * CHOOSE(CONTROL!$C$6, $C$13, 100%, $E$13) + CHOOSE(CONTROL!$C$25, 0.0263, 0)</f>
        <v>91.682700000000011</v>
      </c>
      <c r="C790" s="4">
        <f>91.3439 * CHOOSE(CONTROL!$C$6, $C$13, 100%, $E$13) + CHOOSE(CONTROL!$C$25, 0.0263, 0)</f>
        <v>91.370200000000011</v>
      </c>
      <c r="D790" s="4">
        <f>80.3151 * CHOOSE(CONTROL!$C$6, $C$13, 100%, $E$13) + CHOOSE(CONTROL!$C$25, 0, 0)</f>
        <v>80.315100000000001</v>
      </c>
      <c r="E790" s="4">
        <f>506.893376615531 * CHOOSE(CONTROL!$C$6, $C$13, 100%, $E$13) + CHOOSE(CONTROL!$C$25, 0, 0)</f>
        <v>506.893376615531</v>
      </c>
    </row>
    <row r="791" spans="1:5" ht="15">
      <c r="A791" s="13">
        <v>65958</v>
      </c>
      <c r="B791" s="4">
        <f>91.6278 * CHOOSE(CONTROL!$C$6, $C$13, 100%, $E$13) + CHOOSE(CONTROL!$C$25, 0.0263, 0)</f>
        <v>91.6541</v>
      </c>
      <c r="C791" s="4">
        <f>91.3153 * CHOOSE(CONTROL!$C$6, $C$13, 100%, $E$13) + CHOOSE(CONTROL!$C$25, 0.0263, 0)</f>
        <v>91.3416</v>
      </c>
      <c r="D791" s="4">
        <f>81.6233 * CHOOSE(CONTROL!$C$6, $C$13, 100%, $E$13) + CHOOSE(CONTROL!$C$25, 0, 0)</f>
        <v>81.6233</v>
      </c>
      <c r="E791" s="4">
        <f>506.732150986836 * CHOOSE(CONTROL!$C$6, $C$13, 100%, $E$13) + CHOOSE(CONTROL!$C$25, 0, 0)</f>
        <v>506.73215098683602</v>
      </c>
    </row>
    <row r="792" spans="1:5" ht="15">
      <c r="A792" s="13">
        <v>65989</v>
      </c>
      <c r="B792" s="4">
        <f>93.7767 * CHOOSE(CONTROL!$C$6, $C$13, 100%, $E$13) + CHOOSE(CONTROL!$C$25, 0.0263, 0)</f>
        <v>93.803000000000011</v>
      </c>
      <c r="C792" s="4">
        <f>93.4642 * CHOOSE(CONTROL!$C$6, $C$13, 100%, $E$13) + CHOOSE(CONTROL!$C$25, 0.0263, 0)</f>
        <v>93.490500000000011</v>
      </c>
      <c r="D792" s="4">
        <f>80.7593 * CHOOSE(CONTROL!$C$6, $C$13, 100%, $E$13) + CHOOSE(CONTROL!$C$25, 0, 0)</f>
        <v>80.759299999999996</v>
      </c>
      <c r="E792" s="4">
        <f>518.864379546098 * CHOOSE(CONTROL!$C$6, $C$13, 100%, $E$13) + CHOOSE(CONTROL!$C$25, 0, 0)</f>
        <v>518.86437954609801</v>
      </c>
    </row>
    <row r="793" spans="1:5" ht="15">
      <c r="A793" s="13">
        <v>66019</v>
      </c>
      <c r="B793" s="4">
        <f>90.1143 * CHOOSE(CONTROL!$C$6, $C$13, 100%, $E$13) + CHOOSE(CONTROL!$C$25, 0.0263, 0)</f>
        <v>90.140600000000006</v>
      </c>
      <c r="C793" s="4">
        <f>89.8018 * CHOOSE(CONTROL!$C$6, $C$13, 100%, $E$13) + CHOOSE(CONTROL!$C$25, 0.0263, 0)</f>
        <v>89.828100000000006</v>
      </c>
      <c r="D793" s="4">
        <f>80.3511 * CHOOSE(CONTROL!$C$6, $C$13, 100%, $E$13) + CHOOSE(CONTROL!$C$25, 0, 0)</f>
        <v>80.351100000000002</v>
      </c>
      <c r="E793" s="4">
        <f>498.187192666027 * CHOOSE(CONTROL!$C$6, $C$13, 100%, $E$13) + CHOOSE(CONTROL!$C$25, 0, 0)</f>
        <v>498.18719266602699</v>
      </c>
    </row>
    <row r="794" spans="1:5" ht="15">
      <c r="A794" s="13">
        <v>66050</v>
      </c>
      <c r="B794" s="4">
        <f>87.1825 * CHOOSE(CONTROL!$C$6, $C$13, 100%, $E$13) + CHOOSE(CONTROL!$C$25, 0.0003, 0)</f>
        <v>87.1828</v>
      </c>
      <c r="C794" s="4">
        <f>86.87 * CHOOSE(CONTROL!$C$6, $C$13, 100%, $E$13) + CHOOSE(CONTROL!$C$25, 0.0003, 0)</f>
        <v>86.8703</v>
      </c>
      <c r="D794" s="4">
        <f>79.2581 * CHOOSE(CONTROL!$C$6, $C$13, 100%, $E$13) + CHOOSE(CONTROL!$C$25, 0, 0)</f>
        <v>79.258099999999999</v>
      </c>
      <c r="E794" s="4">
        <f>481.634694786725 * CHOOSE(CONTROL!$C$6, $C$13, 100%, $E$13) + CHOOSE(CONTROL!$C$25, 0, 0)</f>
        <v>481.63469478672499</v>
      </c>
    </row>
    <row r="795" spans="1:5" ht="15">
      <c r="A795" s="13">
        <v>66080</v>
      </c>
      <c r="B795" s="4">
        <f>85.2942 * CHOOSE(CONTROL!$C$6, $C$13, 100%, $E$13) + CHOOSE(CONTROL!$C$25, 0.0003, 0)</f>
        <v>85.294499999999999</v>
      </c>
      <c r="C795" s="4">
        <f>84.9817 * CHOOSE(CONTROL!$C$6, $C$13, 100%, $E$13) + CHOOSE(CONTROL!$C$25, 0.0003, 0)</f>
        <v>84.981999999999999</v>
      </c>
      <c r="D795" s="4">
        <f>78.8824 * CHOOSE(CONTROL!$C$6, $C$13, 100%, $E$13) + CHOOSE(CONTROL!$C$25, 0, 0)</f>
        <v>78.882400000000004</v>
      </c>
      <c r="E795" s="4">
        <f>470.9736500893 * CHOOSE(CONTROL!$C$6, $C$13, 100%, $E$13) + CHOOSE(CONTROL!$C$25, 0, 0)</f>
        <v>470.97365008930001</v>
      </c>
    </row>
    <row r="796" spans="1:5" ht="15">
      <c r="A796" s="13">
        <v>66111</v>
      </c>
      <c r="B796" s="4">
        <f>83.9878 * CHOOSE(CONTROL!$C$6, $C$13, 100%, $E$13) + CHOOSE(CONTROL!$C$25, 0.0003, 0)</f>
        <v>83.988099999999989</v>
      </c>
      <c r="C796" s="4">
        <f>83.6753 * CHOOSE(CONTROL!$C$6, $C$13, 100%, $E$13) + CHOOSE(CONTROL!$C$25, 0.0003, 0)</f>
        <v>83.675599999999989</v>
      </c>
      <c r="D796" s="4">
        <f>76.116 * CHOOSE(CONTROL!$C$6, $C$13, 100%, $E$13) + CHOOSE(CONTROL!$C$25, 0, 0)</f>
        <v>76.116</v>
      </c>
      <c r="E796" s="4">
        <f>463.597577576527 * CHOOSE(CONTROL!$C$6, $C$13, 100%, $E$13) + CHOOSE(CONTROL!$C$25, 0, 0)</f>
        <v>463.59757757652699</v>
      </c>
    </row>
    <row r="797" spans="1:5" ht="15">
      <c r="A797" s="13">
        <v>66142</v>
      </c>
      <c r="B797" s="4">
        <f>81.8651 * CHOOSE(CONTROL!$C$6, $C$13, 100%, $E$13) + CHOOSE(CONTROL!$C$25, 0.0003, 0)</f>
        <v>81.865399999999994</v>
      </c>
      <c r="C797" s="4">
        <f>81.5526 * CHOOSE(CONTROL!$C$6, $C$13, 100%, $E$13) + CHOOSE(CONTROL!$C$25, 0.0003, 0)</f>
        <v>81.552899999999994</v>
      </c>
      <c r="D797" s="4">
        <f>73.5734 * CHOOSE(CONTROL!$C$6, $C$13, 100%, $E$13) + CHOOSE(CONTROL!$C$25, 0, 0)</f>
        <v>73.573400000000007</v>
      </c>
      <c r="E797" s="4">
        <f>450.303365681458 * CHOOSE(CONTROL!$C$6, $C$13, 100%, $E$13) + CHOOSE(CONTROL!$C$25, 0, 0)</f>
        <v>450.30336568145799</v>
      </c>
    </row>
    <row r="798" spans="1:5" ht="15">
      <c r="A798" s="13">
        <v>66170</v>
      </c>
      <c r="B798" s="4">
        <f>83.7644 * CHOOSE(CONTROL!$C$6, $C$13, 100%, $E$13) + CHOOSE(CONTROL!$C$25, 0.0003, 0)</f>
        <v>83.764699999999991</v>
      </c>
      <c r="C798" s="4">
        <f>83.4519 * CHOOSE(CONTROL!$C$6, $C$13, 100%, $E$13) + CHOOSE(CONTROL!$C$25, 0.0003, 0)</f>
        <v>83.452199999999991</v>
      </c>
      <c r="D798" s="4">
        <f>76.1338 * CHOOSE(CONTROL!$C$6, $C$13, 100%, $E$13) + CHOOSE(CONTROL!$C$25, 0, 0)</f>
        <v>76.133799999999994</v>
      </c>
      <c r="E798" s="4">
        <f>460.995342187521 * CHOOSE(CONTROL!$C$6, $C$13, 100%, $E$13) + CHOOSE(CONTROL!$C$25, 0, 0)</f>
        <v>460.99534218752098</v>
      </c>
    </row>
    <row r="799" spans="1:5" ht="15">
      <c r="A799" s="13">
        <v>66201</v>
      </c>
      <c r="B799" s="4">
        <f>88.752 * CHOOSE(CONTROL!$C$6, $C$13, 100%, $E$13) + CHOOSE(CONTROL!$C$25, 0.0003, 0)</f>
        <v>88.752299999999991</v>
      </c>
      <c r="C799" s="4">
        <f>88.4395 * CHOOSE(CONTROL!$C$6, $C$13, 100%, $E$13) + CHOOSE(CONTROL!$C$25, 0.0003, 0)</f>
        <v>88.439799999999991</v>
      </c>
      <c r="D799" s="4">
        <f>80.1419 * CHOOSE(CONTROL!$C$6, $C$13, 100%, $E$13) + CHOOSE(CONTROL!$C$25, 0, 0)</f>
        <v>80.141900000000007</v>
      </c>
      <c r="E799" s="4">
        <f>489.073040698582 * CHOOSE(CONTROL!$C$6, $C$13, 100%, $E$13) + CHOOSE(CONTROL!$C$25, 0, 0)</f>
        <v>489.07304069858202</v>
      </c>
    </row>
    <row r="800" spans="1:5" ht="15">
      <c r="A800" s="13">
        <v>66231</v>
      </c>
      <c r="B800" s="4">
        <f>92.2957 * CHOOSE(CONTROL!$C$6, $C$13, 100%, $E$13) + CHOOSE(CONTROL!$C$25, 0.0003, 0)</f>
        <v>92.295999999999992</v>
      </c>
      <c r="C800" s="4">
        <f>91.9832 * CHOOSE(CONTROL!$C$6, $C$13, 100%, $E$13) + CHOOSE(CONTROL!$C$25, 0.0003, 0)</f>
        <v>91.983499999999992</v>
      </c>
      <c r="D800" s="4">
        <f>82.4506 * CHOOSE(CONTROL!$C$6, $C$13, 100%, $E$13) + CHOOSE(CONTROL!$C$25, 0, 0)</f>
        <v>82.450599999999994</v>
      </c>
      <c r="E800" s="4">
        <f>509.022619675221 * CHOOSE(CONTROL!$C$6, $C$13, 100%, $E$13) + CHOOSE(CONTROL!$C$25, 0, 0)</f>
        <v>509.02261967522099</v>
      </c>
    </row>
    <row r="801" spans="1:5" ht="15">
      <c r="A801" s="13">
        <v>66262</v>
      </c>
      <c r="B801" s="4">
        <f>94.4609 * CHOOSE(CONTROL!$C$6, $C$13, 100%, $E$13) + CHOOSE(CONTROL!$C$25, 0.0263, 0)</f>
        <v>94.487200000000001</v>
      </c>
      <c r="C801" s="4">
        <f>94.1484 * CHOOSE(CONTROL!$C$6, $C$13, 100%, $E$13) + CHOOSE(CONTROL!$C$25, 0.0263, 0)</f>
        <v>94.174700000000001</v>
      </c>
      <c r="D801" s="4">
        <f>81.5383 * CHOOSE(CONTROL!$C$6, $C$13, 100%, $E$13) + CHOOSE(CONTROL!$C$25, 0, 0)</f>
        <v>81.538300000000007</v>
      </c>
      <c r="E801" s="4">
        <f>521.211334305269 * CHOOSE(CONTROL!$C$6, $C$13, 100%, $E$13) + CHOOSE(CONTROL!$C$25, 0, 0)</f>
        <v>521.21133430526902</v>
      </c>
    </row>
    <row r="802" spans="1:5" ht="15">
      <c r="A802" s="13">
        <v>66292</v>
      </c>
      <c r="B802" s="4">
        <f>94.7538 * CHOOSE(CONTROL!$C$6, $C$13, 100%, $E$13) + CHOOSE(CONTROL!$C$25, 0.0263, 0)</f>
        <v>94.780100000000004</v>
      </c>
      <c r="C802" s="4">
        <f>94.4413 * CHOOSE(CONTROL!$C$6, $C$13, 100%, $E$13) + CHOOSE(CONTROL!$C$25, 0.0263, 0)</f>
        <v>94.467600000000004</v>
      </c>
      <c r="D802" s="4">
        <f>82.2813 * CHOOSE(CONTROL!$C$6, $C$13, 100%, $E$13) + CHOOSE(CONTROL!$C$25, 0, 0)</f>
        <v>82.281300000000002</v>
      </c>
      <c r="E802" s="4">
        <f>522.86051797892 * CHOOSE(CONTROL!$C$6, $C$13, 100%, $E$13) + CHOOSE(CONTROL!$C$25, 0, 0)</f>
        <v>522.86051797892003</v>
      </c>
    </row>
    <row r="803" spans="1:5" ht="15">
      <c r="A803" s="13">
        <v>66323</v>
      </c>
      <c r="B803" s="4">
        <f>94.7243 * CHOOSE(CONTROL!$C$6, $C$13, 100%, $E$13) + CHOOSE(CONTROL!$C$25, 0.0263, 0)</f>
        <v>94.750600000000006</v>
      </c>
      <c r="C803" s="4">
        <f>94.4118 * CHOOSE(CONTROL!$C$6, $C$13, 100%, $E$13) + CHOOSE(CONTROL!$C$25, 0.0263, 0)</f>
        <v>94.438100000000006</v>
      </c>
      <c r="D803" s="4">
        <f>83.622 * CHOOSE(CONTROL!$C$6, $C$13, 100%, $E$13) + CHOOSE(CONTROL!$C$25, 0, 0)</f>
        <v>83.622</v>
      </c>
      <c r="E803" s="4">
        <f>522.694213742922 * CHOOSE(CONTROL!$C$6, $C$13, 100%, $E$13) + CHOOSE(CONTROL!$C$25, 0, 0)</f>
        <v>522.69421374292199</v>
      </c>
    </row>
    <row r="804" spans="1:5" ht="15">
      <c r="A804" s="13">
        <v>66354</v>
      </c>
      <c r="B804" s="4">
        <f>96.9473 * CHOOSE(CONTROL!$C$6, $C$13, 100%, $E$13) + CHOOSE(CONTROL!$C$25, 0.0263, 0)</f>
        <v>96.973600000000005</v>
      </c>
      <c r="C804" s="4">
        <f>96.6348 * CHOOSE(CONTROL!$C$6, $C$13, 100%, $E$13) + CHOOSE(CONTROL!$C$25, 0.0263, 0)</f>
        <v>96.661100000000005</v>
      </c>
      <c r="D804" s="4">
        <f>82.7366 * CHOOSE(CONTROL!$C$6, $C$13, 100%, $E$13) + CHOOSE(CONTROL!$C$25, 0, 0)</f>
        <v>82.736599999999996</v>
      </c>
      <c r="E804" s="4">
        <f>535.2086075018 * CHOOSE(CONTROL!$C$6, $C$13, 100%, $E$13) + CHOOSE(CONTROL!$C$25, 0, 0)</f>
        <v>535.20860750179997</v>
      </c>
    </row>
    <row r="805" spans="1:5" ht="15">
      <c r="A805" s="13">
        <v>66384</v>
      </c>
      <c r="B805" s="4">
        <f>93.1586 * CHOOSE(CONTROL!$C$6, $C$13, 100%, $E$13) + CHOOSE(CONTROL!$C$25, 0.0263, 0)</f>
        <v>93.184900000000013</v>
      </c>
      <c r="C805" s="4">
        <f>92.8461 * CHOOSE(CONTROL!$C$6, $C$13, 100%, $E$13) + CHOOSE(CONTROL!$C$25, 0.0263, 0)</f>
        <v>92.872400000000013</v>
      </c>
      <c r="D805" s="4">
        <f>82.3183 * CHOOSE(CONTROL!$C$6, $C$13, 100%, $E$13) + CHOOSE(CONTROL!$C$25, 0, 0)</f>
        <v>82.318299999999994</v>
      </c>
      <c r="E805" s="4">
        <f>513.880089235007 * CHOOSE(CONTROL!$C$6, $C$13, 100%, $E$13) + CHOOSE(CONTROL!$C$25, 0, 0)</f>
        <v>513.88008923500695</v>
      </c>
    </row>
    <row r="806" spans="1:5" ht="15">
      <c r="A806" s="13">
        <v>66415</v>
      </c>
      <c r="B806" s="4">
        <f>90.1256 * CHOOSE(CONTROL!$C$6, $C$13, 100%, $E$13) + CHOOSE(CONTROL!$C$25, 0.0003, 0)</f>
        <v>90.125900000000001</v>
      </c>
      <c r="C806" s="4">
        <f>89.8131 * CHOOSE(CONTROL!$C$6, $C$13, 100%, $E$13) + CHOOSE(CONTROL!$C$25, 0.0003, 0)</f>
        <v>89.813400000000001</v>
      </c>
      <c r="D806" s="4">
        <f>81.1982 * CHOOSE(CONTROL!$C$6, $C$13, 100%, $E$13) + CHOOSE(CONTROL!$C$25, 0, 0)</f>
        <v>81.1982</v>
      </c>
      <c r="E806" s="4">
        <f>496.806187672506 * CHOOSE(CONTROL!$C$6, $C$13, 100%, $E$13) + CHOOSE(CONTROL!$C$25, 0, 0)</f>
        <v>496.80618767250598</v>
      </c>
    </row>
    <row r="807" spans="1:5" ht="15">
      <c r="A807" s="13">
        <v>66445</v>
      </c>
      <c r="B807" s="4">
        <f>88.1722 * CHOOSE(CONTROL!$C$6, $C$13, 100%, $E$13) + CHOOSE(CONTROL!$C$25, 0.0003, 0)</f>
        <v>88.172499999999999</v>
      </c>
      <c r="C807" s="4">
        <f>87.8597 * CHOOSE(CONTROL!$C$6, $C$13, 100%, $E$13) + CHOOSE(CONTROL!$C$25, 0.0003, 0)</f>
        <v>87.86</v>
      </c>
      <c r="D807" s="4">
        <f>80.8131 * CHOOSE(CONTROL!$C$6, $C$13, 100%, $E$13) + CHOOSE(CONTROL!$C$25, 0, 0)</f>
        <v>80.813100000000006</v>
      </c>
      <c r="E807" s="4">
        <f>485.809320067113 * CHOOSE(CONTROL!$C$6, $C$13, 100%, $E$13) + CHOOSE(CONTROL!$C$25, 0, 0)</f>
        <v>485.80932006711299</v>
      </c>
    </row>
    <row r="808" spans="1:5" ht="15">
      <c r="A808" s="13">
        <v>66476</v>
      </c>
      <c r="B808" s="4">
        <f>86.8207 * CHOOSE(CONTROL!$C$6, $C$13, 100%, $E$13) + CHOOSE(CONTROL!$C$25, 0.0003, 0)</f>
        <v>86.820999999999998</v>
      </c>
      <c r="C808" s="4">
        <f>86.5082 * CHOOSE(CONTROL!$C$6, $C$13, 100%, $E$13) + CHOOSE(CONTROL!$C$25, 0.0003, 0)</f>
        <v>86.508499999999998</v>
      </c>
      <c r="D808" s="4">
        <f>77.9781 * CHOOSE(CONTROL!$C$6, $C$13, 100%, $E$13) + CHOOSE(CONTROL!$C$25, 0, 0)</f>
        <v>77.978099999999998</v>
      </c>
      <c r="E808" s="4">
        <f>478.200901270187 * CHOOSE(CONTROL!$C$6, $C$13, 100%, $E$13) + CHOOSE(CONTROL!$C$25, 0, 0)</f>
        <v>478.20090127018699</v>
      </c>
    </row>
    <row r="809" spans="1:5" ht="15">
      <c r="A809" s="13">
        <v>66507</v>
      </c>
      <c r="B809" s="4">
        <f>84.6247 * CHOOSE(CONTROL!$C$6, $C$13, 100%, $E$13) + CHOOSE(CONTROL!$C$25, 0.0003, 0)</f>
        <v>84.625</v>
      </c>
      <c r="C809" s="4">
        <f>84.3122 * CHOOSE(CONTROL!$C$6, $C$13, 100%, $E$13) + CHOOSE(CONTROL!$C$25, 0.0003, 0)</f>
        <v>84.3125</v>
      </c>
      <c r="D809" s="4">
        <f>75.3725 * CHOOSE(CONTROL!$C$6, $C$13, 100%, $E$13) + CHOOSE(CONTROL!$C$25, 0, 0)</f>
        <v>75.372500000000002</v>
      </c>
      <c r="E809" s="4">
        <f>464.487921700424 * CHOOSE(CONTROL!$C$6, $C$13, 100%, $E$13) + CHOOSE(CONTROL!$C$25, 0, 0)</f>
        <v>464.48792170042401</v>
      </c>
    </row>
    <row r="810" spans="1:5" ht="15">
      <c r="A810" s="13">
        <v>66535</v>
      </c>
      <c r="B810" s="4">
        <f>86.5895 * CHOOSE(CONTROL!$C$6, $C$13, 100%, $E$13) + CHOOSE(CONTROL!$C$25, 0.0003, 0)</f>
        <v>86.589799999999997</v>
      </c>
      <c r="C810" s="4">
        <f>86.277 * CHOOSE(CONTROL!$C$6, $C$13, 100%, $E$13) + CHOOSE(CONTROL!$C$25, 0.0003, 0)</f>
        <v>86.277299999999997</v>
      </c>
      <c r="D810" s="4">
        <f>77.9964 * CHOOSE(CONTROL!$C$6, $C$13, 100%, $E$13) + CHOOSE(CONTROL!$C$25, 0, 0)</f>
        <v>77.996399999999994</v>
      </c>
      <c r="E810" s="4">
        <f>475.516695466428 * CHOOSE(CONTROL!$C$6, $C$13, 100%, $E$13) + CHOOSE(CONTROL!$C$25, 0, 0)</f>
        <v>475.51669546642802</v>
      </c>
    </row>
    <row r="811" spans="1:5" ht="15">
      <c r="A811" s="13">
        <v>66566</v>
      </c>
      <c r="B811" s="4">
        <f>91.7492 * CHOOSE(CONTROL!$C$6, $C$13, 100%, $E$13) + CHOOSE(CONTROL!$C$25, 0.0003, 0)</f>
        <v>91.749499999999998</v>
      </c>
      <c r="C811" s="4">
        <f>91.4367 * CHOOSE(CONTROL!$C$6, $C$13, 100%, $E$13) + CHOOSE(CONTROL!$C$25, 0.0003, 0)</f>
        <v>91.436999999999998</v>
      </c>
      <c r="D811" s="4">
        <f>82.1039 * CHOOSE(CONTROL!$C$6, $C$13, 100%, $E$13) + CHOOSE(CONTROL!$C$25, 0, 0)</f>
        <v>82.103899999999996</v>
      </c>
      <c r="E811" s="4">
        <f>504.478841480587 * CHOOSE(CONTROL!$C$6, $C$13, 100%, $E$13) + CHOOSE(CONTROL!$C$25, 0, 0)</f>
        <v>504.47884148058699</v>
      </c>
    </row>
    <row r="812" spans="1:5" ht="15">
      <c r="A812" s="13">
        <v>66596</v>
      </c>
      <c r="B812" s="4">
        <f>95.4152 * CHOOSE(CONTROL!$C$6, $C$13, 100%, $E$13) + CHOOSE(CONTROL!$C$25, 0.0003, 0)</f>
        <v>95.415499999999994</v>
      </c>
      <c r="C812" s="4">
        <f>95.1027 * CHOOSE(CONTROL!$C$6, $C$13, 100%, $E$13) + CHOOSE(CONTROL!$C$25, 0.0003, 0)</f>
        <v>95.102999999999994</v>
      </c>
      <c r="D812" s="4">
        <f>84.4699 * CHOOSE(CONTROL!$C$6, $C$13, 100%, $E$13) + CHOOSE(CONTROL!$C$25, 0, 0)</f>
        <v>84.469899999999996</v>
      </c>
      <c r="E812" s="4">
        <f>525.056832194991 * CHOOSE(CONTROL!$C$6, $C$13, 100%, $E$13) + CHOOSE(CONTROL!$C$25, 0, 0)</f>
        <v>525.05683219499099</v>
      </c>
    </row>
    <row r="813" spans="1:5" ht="15">
      <c r="A813" s="13">
        <v>66627</v>
      </c>
      <c r="B813" s="4">
        <f>97.6551 * CHOOSE(CONTROL!$C$6, $C$13, 100%, $E$13) + CHOOSE(CONTROL!$C$25, 0.0263, 0)</f>
        <v>97.681400000000011</v>
      </c>
      <c r="C813" s="4">
        <f>97.3426 * CHOOSE(CONTROL!$C$6, $C$13, 100%, $E$13) + CHOOSE(CONTROL!$C$25, 0.0263, 0)</f>
        <v>97.368900000000011</v>
      </c>
      <c r="D813" s="4">
        <f>83.535 * CHOOSE(CONTROL!$C$6, $C$13, 100%, $E$13) + CHOOSE(CONTROL!$C$25, 0, 0)</f>
        <v>83.534999999999997</v>
      </c>
      <c r="E813" s="4">
        <f>537.629491335885 * CHOOSE(CONTROL!$C$6, $C$13, 100%, $E$13) + CHOOSE(CONTROL!$C$25, 0, 0)</f>
        <v>537.62949133588495</v>
      </c>
    </row>
    <row r="814" spans="1:5" ht="15">
      <c r="A814" s="13">
        <v>66657</v>
      </c>
      <c r="B814" s="4">
        <f>97.9582 * CHOOSE(CONTROL!$C$6, $C$13, 100%, $E$13) + CHOOSE(CONTROL!$C$25, 0.0263, 0)</f>
        <v>97.984500000000011</v>
      </c>
      <c r="C814" s="4">
        <f>97.6457 * CHOOSE(CONTROL!$C$6, $C$13, 100%, $E$13) + CHOOSE(CONTROL!$C$25, 0.0263, 0)</f>
        <v>97.672000000000011</v>
      </c>
      <c r="D814" s="4">
        <f>84.2964 * CHOOSE(CONTROL!$C$6, $C$13, 100%, $E$13) + CHOOSE(CONTROL!$C$25, 0, 0)</f>
        <v>84.296400000000006</v>
      </c>
      <c r="E814" s="4">
        <f>539.330624295256 * CHOOSE(CONTROL!$C$6, $C$13, 100%, $E$13) + CHOOSE(CONTROL!$C$25, 0, 0)</f>
        <v>539.33062429525603</v>
      </c>
    </row>
    <row r="815" spans="1:5" ht="15">
      <c r="A815" s="13">
        <v>66688</v>
      </c>
      <c r="B815" s="4">
        <f>97.9276 * CHOOSE(CONTROL!$C$6, $C$13, 100%, $E$13) + CHOOSE(CONTROL!$C$25, 0.0263, 0)</f>
        <v>97.953900000000004</v>
      </c>
      <c r="C815" s="4">
        <f>97.6151 * CHOOSE(CONTROL!$C$6, $C$13, 100%, $E$13) + CHOOSE(CONTROL!$C$25, 0.0263, 0)</f>
        <v>97.641400000000004</v>
      </c>
      <c r="D815" s="4">
        <f>85.6703 * CHOOSE(CONTROL!$C$6, $C$13, 100%, $E$13) + CHOOSE(CONTROL!$C$25, 0, 0)</f>
        <v>85.670299999999997</v>
      </c>
      <c r="E815" s="4">
        <f>539.159081475824 * CHOOSE(CONTROL!$C$6, $C$13, 100%, $E$13) + CHOOSE(CONTROL!$C$25, 0, 0)</f>
        <v>539.159081475824</v>
      </c>
    </row>
    <row r="816" spans="1:5" ht="15">
      <c r="A816" s="13">
        <v>66719</v>
      </c>
      <c r="B816" s="4">
        <f>100.2273 * CHOOSE(CONTROL!$C$6, $C$13, 100%, $E$13) + CHOOSE(CONTROL!$C$25, 0.0263, 0)</f>
        <v>100.25360000000001</v>
      </c>
      <c r="C816" s="4">
        <f>99.9148 * CHOOSE(CONTROL!$C$6, $C$13, 100%, $E$13) + CHOOSE(CONTROL!$C$25, 0.0263, 0)</f>
        <v>99.941100000000006</v>
      </c>
      <c r="D816" s="4">
        <f>84.763 * CHOOSE(CONTROL!$C$6, $C$13, 100%, $E$13) + CHOOSE(CONTROL!$C$25, 0, 0)</f>
        <v>84.763000000000005</v>
      </c>
      <c r="E816" s="4">
        <f>552.067678638107 * CHOOSE(CONTROL!$C$6, $C$13, 100%, $E$13) + CHOOSE(CONTROL!$C$25, 0, 0)</f>
        <v>552.06767863810705</v>
      </c>
    </row>
    <row r="817" spans="1:5" ht="15">
      <c r="A817" s="13">
        <v>66749</v>
      </c>
      <c r="B817" s="4">
        <f>96.3079 * CHOOSE(CONTROL!$C$6, $C$13, 100%, $E$13) + CHOOSE(CONTROL!$C$25, 0.0263, 0)</f>
        <v>96.33420000000001</v>
      </c>
      <c r="C817" s="4">
        <f>95.9954 * CHOOSE(CONTROL!$C$6, $C$13, 100%, $E$13) + CHOOSE(CONTROL!$C$25, 0.0263, 0)</f>
        <v>96.02170000000001</v>
      </c>
      <c r="D817" s="4">
        <f>84.3343 * CHOOSE(CONTROL!$C$6, $C$13, 100%, $E$13) + CHOOSE(CONTROL!$C$25, 0, 0)</f>
        <v>84.334299999999999</v>
      </c>
      <c r="E817" s="4">
        <f>530.06731204591 * CHOOSE(CONTROL!$C$6, $C$13, 100%, $E$13) + CHOOSE(CONTROL!$C$25, 0, 0)</f>
        <v>530.06731204590994</v>
      </c>
    </row>
    <row r="818" spans="1:5" ht="15">
      <c r="A818" s="13">
        <v>66780</v>
      </c>
      <c r="B818" s="4">
        <f>93.1703 * CHOOSE(CONTROL!$C$6, $C$13, 100%, $E$13) + CHOOSE(CONTROL!$C$25, 0.0003, 0)</f>
        <v>93.170599999999993</v>
      </c>
      <c r="C818" s="4">
        <f>92.8578 * CHOOSE(CONTROL!$C$6, $C$13, 100%, $E$13) + CHOOSE(CONTROL!$C$25, 0.0003, 0)</f>
        <v>92.858099999999993</v>
      </c>
      <c r="D818" s="4">
        <f>83.1864 * CHOOSE(CONTROL!$C$6, $C$13, 100%, $E$13) + CHOOSE(CONTROL!$C$25, 0, 0)</f>
        <v>83.186400000000006</v>
      </c>
      <c r="E818" s="4">
        <f>512.45558258419 * CHOOSE(CONTROL!$C$6, $C$13, 100%, $E$13) + CHOOSE(CONTROL!$C$25, 0, 0)</f>
        <v>512.45558258418998</v>
      </c>
    </row>
    <row r="819" spans="1:5" ht="15">
      <c r="A819" s="13">
        <v>66810</v>
      </c>
      <c r="B819" s="4">
        <f>91.1495 * CHOOSE(CONTROL!$C$6, $C$13, 100%, $E$13) + CHOOSE(CONTROL!$C$25, 0.0003, 0)</f>
        <v>91.149799999999999</v>
      </c>
      <c r="C819" s="4">
        <f>90.837 * CHOOSE(CONTROL!$C$6, $C$13, 100%, $E$13) + CHOOSE(CONTROL!$C$25, 0.0003, 0)</f>
        <v>90.837299999999999</v>
      </c>
      <c r="D819" s="4">
        <f>82.7918 * CHOOSE(CONTROL!$C$6, $C$13, 100%, $E$13) + CHOOSE(CONTROL!$C$25, 0, 0)</f>
        <v>82.791799999999995</v>
      </c>
      <c r="E819" s="4">
        <f>501.112313649227 * CHOOSE(CONTROL!$C$6, $C$13, 100%, $E$13) + CHOOSE(CONTROL!$C$25, 0, 0)</f>
        <v>501.11231364922702</v>
      </c>
    </row>
    <row r="820" spans="1:5" ht="15">
      <c r="A820" s="13">
        <v>66841</v>
      </c>
      <c r="B820" s="4">
        <f>89.7513 * CHOOSE(CONTROL!$C$6, $C$13, 100%, $E$13) + CHOOSE(CONTROL!$C$25, 0.0003, 0)</f>
        <v>89.751599999999996</v>
      </c>
      <c r="C820" s="4">
        <f>89.4388 * CHOOSE(CONTROL!$C$6, $C$13, 100%, $E$13) + CHOOSE(CONTROL!$C$25, 0.0003, 0)</f>
        <v>89.439099999999996</v>
      </c>
      <c r="D820" s="4">
        <f>79.8865 * CHOOSE(CONTROL!$C$6, $C$13, 100%, $E$13) + CHOOSE(CONTROL!$C$25, 0, 0)</f>
        <v>79.886499999999998</v>
      </c>
      <c r="E820" s="4">
        <f>493.264229660198 * CHOOSE(CONTROL!$C$6, $C$13, 100%, $E$13) + CHOOSE(CONTROL!$C$25, 0, 0)</f>
        <v>493.264229660198</v>
      </c>
    </row>
    <row r="821" spans="1:5" ht="15">
      <c r="A821" s="13">
        <v>66872</v>
      </c>
      <c r="B821" s="4">
        <f>87.4796 * CHOOSE(CONTROL!$C$6, $C$13, 100%, $E$13) + CHOOSE(CONTROL!$C$25, 0.0003, 0)</f>
        <v>87.479900000000001</v>
      </c>
      <c r="C821" s="4">
        <f>87.1671 * CHOOSE(CONTROL!$C$6, $C$13, 100%, $E$13) + CHOOSE(CONTROL!$C$25, 0.0003, 0)</f>
        <v>87.167400000000001</v>
      </c>
      <c r="D821" s="4">
        <f>77.2162 * CHOOSE(CONTROL!$C$6, $C$13, 100%, $E$13) + CHOOSE(CONTROL!$C$25, 0, 0)</f>
        <v>77.216200000000001</v>
      </c>
      <c r="E821" s="4">
        <f>479.119291233988 * CHOOSE(CONTROL!$C$6, $C$13, 100%, $E$13) + CHOOSE(CONTROL!$C$25, 0, 0)</f>
        <v>479.11929123398801</v>
      </c>
    </row>
    <row r="822" spans="1:5" ht="15">
      <c r="A822" s="13">
        <v>66900</v>
      </c>
      <c r="B822" s="4">
        <f>89.5122 * CHOOSE(CONTROL!$C$6, $C$13, 100%, $E$13) + CHOOSE(CONTROL!$C$25, 0.0003, 0)</f>
        <v>89.512500000000003</v>
      </c>
      <c r="C822" s="4">
        <f>89.1997 * CHOOSE(CONTROL!$C$6, $C$13, 100%, $E$13) + CHOOSE(CONTROL!$C$25, 0.0003, 0)</f>
        <v>89.2</v>
      </c>
      <c r="D822" s="4">
        <f>79.9052 * CHOOSE(CONTROL!$C$6, $C$13, 100%, $E$13) + CHOOSE(CONTROL!$C$25, 0, 0)</f>
        <v>79.905199999999994</v>
      </c>
      <c r="E822" s="4">
        <f>490.495471373621 * CHOOSE(CONTROL!$C$6, $C$13, 100%, $E$13) + CHOOSE(CONTROL!$C$25, 0, 0)</f>
        <v>490.495471373621</v>
      </c>
    </row>
    <row r="823" spans="1:5" ht="15">
      <c r="A823" s="13">
        <v>66931</v>
      </c>
      <c r="B823" s="4">
        <f>94.8499 * CHOOSE(CONTROL!$C$6, $C$13, 100%, $E$13) + CHOOSE(CONTROL!$C$25, 0.0003, 0)</f>
        <v>94.850200000000001</v>
      </c>
      <c r="C823" s="4">
        <f>94.5374 * CHOOSE(CONTROL!$C$6, $C$13, 100%, $E$13) + CHOOSE(CONTROL!$C$25, 0.0003, 0)</f>
        <v>94.537700000000001</v>
      </c>
      <c r="D823" s="4">
        <f>84.1145 * CHOOSE(CONTROL!$C$6, $C$13, 100%, $E$13) + CHOOSE(CONTROL!$C$25, 0, 0)</f>
        <v>84.114500000000007</v>
      </c>
      <c r="E823" s="4">
        <f>520.369924987225 * CHOOSE(CONTROL!$C$6, $C$13, 100%, $E$13) + CHOOSE(CONTROL!$C$25, 0, 0)</f>
        <v>520.36992498722498</v>
      </c>
    </row>
    <row r="824" spans="1:5" ht="15">
      <c r="A824" s="13">
        <v>66961</v>
      </c>
      <c r="B824" s="4">
        <f>98.6424 * CHOOSE(CONTROL!$C$6, $C$13, 100%, $E$13) + CHOOSE(CONTROL!$C$25, 0.0003, 0)</f>
        <v>98.642699999999991</v>
      </c>
      <c r="C824" s="4">
        <f>98.3299 * CHOOSE(CONTROL!$C$6, $C$13, 100%, $E$13) + CHOOSE(CONTROL!$C$25, 0.0003, 0)</f>
        <v>98.330199999999991</v>
      </c>
      <c r="D824" s="4">
        <f>86.5392 * CHOOSE(CONTROL!$C$6, $C$13, 100%, $E$13) + CHOOSE(CONTROL!$C$25, 0, 0)</f>
        <v>86.539199999999994</v>
      </c>
      <c r="E824" s="4">
        <f>541.596122409133 * CHOOSE(CONTROL!$C$6, $C$13, 100%, $E$13) + CHOOSE(CONTROL!$C$25, 0, 0)</f>
        <v>541.59612240913305</v>
      </c>
    </row>
    <row r="825" spans="1:5" ht="15">
      <c r="A825" s="13">
        <v>66992</v>
      </c>
      <c r="B825" s="4">
        <f>100.9595 * CHOOSE(CONTROL!$C$6, $C$13, 100%, $E$13) + CHOOSE(CONTROL!$C$25, 0.0263, 0)</f>
        <v>100.98580000000001</v>
      </c>
      <c r="C825" s="4">
        <f>100.647 * CHOOSE(CONTROL!$C$6, $C$13, 100%, $E$13) + CHOOSE(CONTROL!$C$25, 0.0263, 0)</f>
        <v>100.67330000000001</v>
      </c>
      <c r="D825" s="4">
        <f>85.5811 * CHOOSE(CONTROL!$C$6, $C$13, 100%, $E$13) + CHOOSE(CONTROL!$C$25, 0, 0)</f>
        <v>85.581100000000006</v>
      </c>
      <c r="E825" s="4">
        <f>554.564820312966 * CHOOSE(CONTROL!$C$6, $C$13, 100%, $E$13) + CHOOSE(CONTROL!$C$25, 0, 0)</f>
        <v>554.56482031296605</v>
      </c>
    </row>
    <row r="826" spans="1:5" ht="15">
      <c r="A826" s="13">
        <v>67022</v>
      </c>
      <c r="B826" s="4">
        <f>101.273 * CHOOSE(CONTROL!$C$6, $C$13, 100%, $E$13) + CHOOSE(CONTROL!$C$25, 0.0263, 0)</f>
        <v>101.2993</v>
      </c>
      <c r="C826" s="4">
        <f>100.9605 * CHOOSE(CONTROL!$C$6, $C$13, 100%, $E$13) + CHOOSE(CONTROL!$C$25, 0.0263, 0)</f>
        <v>100.9868</v>
      </c>
      <c r="D826" s="4">
        <f>86.3614 * CHOOSE(CONTROL!$C$6, $C$13, 100%, $E$13) + CHOOSE(CONTROL!$C$25, 0, 0)</f>
        <v>86.361400000000003</v>
      </c>
      <c r="E826" s="4">
        <f>556.319538960557 * CHOOSE(CONTROL!$C$6, $C$13, 100%, $E$13) + CHOOSE(CONTROL!$C$25, 0, 0)</f>
        <v>556.319538960557</v>
      </c>
    </row>
    <row r="827" spans="1:5" ht="15">
      <c r="A827" s="13">
        <v>67053</v>
      </c>
      <c r="B827" s="4">
        <f>101.2414 * CHOOSE(CONTROL!$C$6, $C$13, 100%, $E$13) + CHOOSE(CONTROL!$C$25, 0.0263, 0)</f>
        <v>101.2677</v>
      </c>
      <c r="C827" s="4">
        <f>100.9289 * CHOOSE(CONTROL!$C$6, $C$13, 100%, $E$13) + CHOOSE(CONTROL!$C$25, 0.0263, 0)</f>
        <v>100.9552</v>
      </c>
      <c r="D827" s="4">
        <f>87.7694 * CHOOSE(CONTROL!$C$6, $C$13, 100%, $E$13) + CHOOSE(CONTROL!$C$25, 0, 0)</f>
        <v>87.769400000000005</v>
      </c>
      <c r="E827" s="4">
        <f>556.142592542312 * CHOOSE(CONTROL!$C$6, $C$13, 100%, $E$13) + CHOOSE(CONTROL!$C$25, 0, 0)</f>
        <v>556.14259254231195</v>
      </c>
    </row>
    <row r="828" spans="1:5" ht="15">
      <c r="A828" s="13">
        <v>67084</v>
      </c>
      <c r="B828" s="4">
        <f>103.6204 * CHOOSE(CONTROL!$C$6, $C$13, 100%, $E$13) + CHOOSE(CONTROL!$C$25, 0.0263, 0)</f>
        <v>103.64670000000001</v>
      </c>
      <c r="C828" s="4">
        <f>103.3079 * CHOOSE(CONTROL!$C$6, $C$13, 100%, $E$13) + CHOOSE(CONTROL!$C$25, 0.0263, 0)</f>
        <v>103.33420000000001</v>
      </c>
      <c r="D828" s="4">
        <f>86.8396 * CHOOSE(CONTROL!$C$6, $C$13, 100%, $E$13) + CHOOSE(CONTROL!$C$25, 0, 0)</f>
        <v>86.839600000000004</v>
      </c>
      <c r="E828" s="4">
        <f>569.457810515207 * CHOOSE(CONTROL!$C$6, $C$13, 100%, $E$13) + CHOOSE(CONTROL!$C$25, 0, 0)</f>
        <v>569.45781051520703</v>
      </c>
    </row>
    <row r="829" spans="1:5" ht="15">
      <c r="A829" s="13">
        <v>67114</v>
      </c>
      <c r="B829" s="4">
        <f>99.5658 * CHOOSE(CONTROL!$C$6, $C$13, 100%, $E$13) + CHOOSE(CONTROL!$C$25, 0.0263, 0)</f>
        <v>99.592100000000002</v>
      </c>
      <c r="C829" s="4">
        <f>99.2533 * CHOOSE(CONTROL!$C$6, $C$13, 100%, $E$13) + CHOOSE(CONTROL!$C$25, 0.0263, 0)</f>
        <v>99.279600000000002</v>
      </c>
      <c r="D829" s="4">
        <f>86.4002 * CHOOSE(CONTROL!$C$6, $C$13, 100%, $E$13) + CHOOSE(CONTROL!$C$25, 0, 0)</f>
        <v>86.400199999999998</v>
      </c>
      <c r="E829" s="4">
        <f>546.764432375356 * CHOOSE(CONTROL!$C$6, $C$13, 100%, $E$13) + CHOOSE(CONTROL!$C$25, 0, 0)</f>
        <v>546.76443237535602</v>
      </c>
    </row>
    <row r="830" spans="1:5" ht="15">
      <c r="A830" s="13">
        <v>67145</v>
      </c>
      <c r="B830" s="4">
        <f>96.32 * CHOOSE(CONTROL!$C$6, $C$13, 100%, $E$13) + CHOOSE(CONTROL!$C$25, 0.0003, 0)</f>
        <v>96.320299999999989</v>
      </c>
      <c r="C830" s="4">
        <f>96.0075 * CHOOSE(CONTROL!$C$6, $C$13, 100%, $E$13) + CHOOSE(CONTROL!$C$25, 0.0003, 0)</f>
        <v>96.007799999999989</v>
      </c>
      <c r="D830" s="4">
        <f>85.2239 * CHOOSE(CONTROL!$C$6, $C$13, 100%, $E$13) + CHOOSE(CONTROL!$C$25, 0, 0)</f>
        <v>85.2239</v>
      </c>
      <c r="E830" s="4">
        <f>528.597933435592 * CHOOSE(CONTROL!$C$6, $C$13, 100%, $E$13) + CHOOSE(CONTROL!$C$25, 0, 0)</f>
        <v>528.59793343559204</v>
      </c>
    </row>
    <row r="831" spans="1:5" ht="15">
      <c r="A831" s="13">
        <v>67175</v>
      </c>
      <c r="B831" s="4">
        <f>94.2294 * CHOOSE(CONTROL!$C$6, $C$13, 100%, $E$13) + CHOOSE(CONTROL!$C$25, 0.0003, 0)</f>
        <v>94.229699999999994</v>
      </c>
      <c r="C831" s="4">
        <f>93.9169 * CHOOSE(CONTROL!$C$6, $C$13, 100%, $E$13) + CHOOSE(CONTROL!$C$25, 0.0003, 0)</f>
        <v>93.917199999999994</v>
      </c>
      <c r="D831" s="4">
        <f>84.8195 * CHOOSE(CONTROL!$C$6, $C$13, 100%, $E$13) + CHOOSE(CONTROL!$C$25, 0, 0)</f>
        <v>84.819500000000005</v>
      </c>
      <c r="E831" s="4">
        <f>516.897351529178 * CHOOSE(CONTROL!$C$6, $C$13, 100%, $E$13) + CHOOSE(CONTROL!$C$25, 0, 0)</f>
        <v>516.89735152917797</v>
      </c>
    </row>
    <row r="832" spans="1:5" ht="15">
      <c r="A832" s="13">
        <v>67206</v>
      </c>
      <c r="B832" s="4">
        <f>92.783 * CHOOSE(CONTROL!$C$6, $C$13, 100%, $E$13) + CHOOSE(CONTROL!$C$25, 0.0003, 0)</f>
        <v>92.783299999999997</v>
      </c>
      <c r="C832" s="4">
        <f>92.4705 * CHOOSE(CONTROL!$C$6, $C$13, 100%, $E$13) + CHOOSE(CONTROL!$C$25, 0.0003, 0)</f>
        <v>92.470799999999997</v>
      </c>
      <c r="D832" s="4">
        <f>81.8421 * CHOOSE(CONTROL!$C$6, $C$13, 100%, $E$13) + CHOOSE(CONTROL!$C$25, 0, 0)</f>
        <v>81.842100000000002</v>
      </c>
      <c r="E832" s="4">
        <f>508.802052894494 * CHOOSE(CONTROL!$C$6, $C$13, 100%, $E$13) + CHOOSE(CONTROL!$C$25, 0, 0)</f>
        <v>508.80205289449401</v>
      </c>
    </row>
    <row r="833" spans="1:5" ht="15">
      <c r="A833" s="13">
        <v>67237</v>
      </c>
      <c r="B833" s="4">
        <f>90.433 * CHOOSE(CONTROL!$C$6, $C$13, 100%, $E$13) + CHOOSE(CONTROL!$C$25, 0.0003, 0)</f>
        <v>90.433300000000003</v>
      </c>
      <c r="C833" s="4">
        <f>90.1205 * CHOOSE(CONTROL!$C$6, $C$13, 100%, $E$13) + CHOOSE(CONTROL!$C$25, 0.0003, 0)</f>
        <v>90.120800000000003</v>
      </c>
      <c r="D833" s="4">
        <f>79.1057 * CHOOSE(CONTROL!$C$6, $C$13, 100%, $E$13) + CHOOSE(CONTROL!$C$25, 0, 0)</f>
        <v>79.105699999999999</v>
      </c>
      <c r="E833" s="4">
        <f>494.211548907858 * CHOOSE(CONTROL!$C$6, $C$13, 100%, $E$13) + CHOOSE(CONTROL!$C$25, 0, 0)</f>
        <v>494.211548907858</v>
      </c>
    </row>
    <row r="834" spans="1:5" ht="15">
      <c r="A834" s="13">
        <v>67266</v>
      </c>
      <c r="B834" s="4">
        <f>92.5357 * CHOOSE(CONTROL!$C$6, $C$13, 100%, $E$13) + CHOOSE(CONTROL!$C$25, 0.0003, 0)</f>
        <v>92.536000000000001</v>
      </c>
      <c r="C834" s="4">
        <f>92.2232 * CHOOSE(CONTROL!$C$6, $C$13, 100%, $E$13) + CHOOSE(CONTROL!$C$25, 0.0003, 0)</f>
        <v>92.223500000000001</v>
      </c>
      <c r="D834" s="4">
        <f>81.8613 * CHOOSE(CONTROL!$C$6, $C$13, 100%, $E$13) + CHOOSE(CONTROL!$C$25, 0, 0)</f>
        <v>81.8613</v>
      </c>
      <c r="E834" s="4">
        <f>505.94607872189 * CHOOSE(CONTROL!$C$6, $C$13, 100%, $E$13) + CHOOSE(CONTROL!$C$25, 0, 0)</f>
        <v>505.94607872188999</v>
      </c>
    </row>
    <row r="835" spans="1:5" ht="15">
      <c r="A835" s="13">
        <v>67297</v>
      </c>
      <c r="B835" s="4">
        <f>98.0575 * CHOOSE(CONTROL!$C$6, $C$13, 100%, $E$13) + CHOOSE(CONTROL!$C$25, 0.0003, 0)</f>
        <v>98.0578</v>
      </c>
      <c r="C835" s="4">
        <f>97.745 * CHOOSE(CONTROL!$C$6, $C$13, 100%, $E$13) + CHOOSE(CONTROL!$C$25, 0.0003, 0)</f>
        <v>97.7453</v>
      </c>
      <c r="D835" s="4">
        <f>86.175 * CHOOSE(CONTROL!$C$6, $C$13, 100%, $E$13) + CHOOSE(CONTROL!$C$25, 0, 0)</f>
        <v>86.174999999999997</v>
      </c>
      <c r="E835" s="4">
        <f>536.761577624323 * CHOOSE(CONTROL!$C$6, $C$13, 100%, $E$13) + CHOOSE(CONTROL!$C$25, 0, 0)</f>
        <v>536.76157762432297</v>
      </c>
    </row>
    <row r="836" spans="1:5" ht="15">
      <c r="A836" s="13">
        <v>67327</v>
      </c>
      <c r="B836" s="4">
        <f>101.9809 * CHOOSE(CONTROL!$C$6, $C$13, 100%, $E$13) + CHOOSE(CONTROL!$C$25, 0.0003, 0)</f>
        <v>101.9812</v>
      </c>
      <c r="C836" s="4">
        <f>101.6684 * CHOOSE(CONTROL!$C$6, $C$13, 100%, $E$13) + CHOOSE(CONTROL!$C$25, 0.0003, 0)</f>
        <v>101.6687</v>
      </c>
      <c r="D836" s="4">
        <f>88.6599 * CHOOSE(CONTROL!$C$6, $C$13, 100%, $E$13) + CHOOSE(CONTROL!$C$25, 0, 0)</f>
        <v>88.659899999999993</v>
      </c>
      <c r="E836" s="4">
        <f>558.656400265021 * CHOOSE(CONTROL!$C$6, $C$13, 100%, $E$13) + CHOOSE(CONTROL!$C$25, 0, 0)</f>
        <v>558.65640026502103</v>
      </c>
    </row>
    <row r="837" spans="1:5" ht="15">
      <c r="A837" s="13">
        <v>67358</v>
      </c>
      <c r="B837" s="4">
        <f>104.3779 * CHOOSE(CONTROL!$C$6, $C$13, 100%, $E$13) + CHOOSE(CONTROL!$C$25, 0.0263, 0)</f>
        <v>104.4042</v>
      </c>
      <c r="C837" s="4">
        <f>104.0654 * CHOOSE(CONTROL!$C$6, $C$13, 100%, $E$13) + CHOOSE(CONTROL!$C$25, 0.0263, 0)</f>
        <v>104.0917</v>
      </c>
      <c r="D837" s="4">
        <f>87.678 * CHOOSE(CONTROL!$C$6, $C$13, 100%, $E$13) + CHOOSE(CONTROL!$C$25, 0, 0)</f>
        <v>87.677999999999997</v>
      </c>
      <c r="E837" s="4">
        <f>572.033612152824 * CHOOSE(CONTROL!$C$6, $C$13, 100%, $E$13) + CHOOSE(CONTROL!$C$25, 0, 0)</f>
        <v>572.03361215282405</v>
      </c>
    </row>
    <row r="838" spans="1:5" ht="15">
      <c r="A838" s="13">
        <v>67388</v>
      </c>
      <c r="B838" s="4">
        <f>104.7023 * CHOOSE(CONTROL!$C$6, $C$13, 100%, $E$13) + CHOOSE(CONTROL!$C$25, 0.0263, 0)</f>
        <v>104.7286</v>
      </c>
      <c r="C838" s="4">
        <f>104.3898 * CHOOSE(CONTROL!$C$6, $C$13, 100%, $E$13) + CHOOSE(CONTROL!$C$25, 0.0263, 0)</f>
        <v>104.4161</v>
      </c>
      <c r="D838" s="4">
        <f>88.4777 * CHOOSE(CONTROL!$C$6, $C$13, 100%, $E$13) + CHOOSE(CONTROL!$C$25, 0, 0)</f>
        <v>88.477699999999999</v>
      </c>
      <c r="E838" s="4">
        <f>573.843604437814 * CHOOSE(CONTROL!$C$6, $C$13, 100%, $E$13) + CHOOSE(CONTROL!$C$25, 0, 0)</f>
        <v>573.84360443781395</v>
      </c>
    </row>
    <row r="839" spans="1:5" ht="15">
      <c r="A839" s="13">
        <v>67419</v>
      </c>
      <c r="B839" s="4">
        <f>104.6695 * CHOOSE(CONTROL!$C$6, $C$13, 100%, $E$13) + CHOOSE(CONTROL!$C$25, 0.0263, 0)</f>
        <v>104.69580000000001</v>
      </c>
      <c r="C839" s="4">
        <f>104.357 * CHOOSE(CONTROL!$C$6, $C$13, 100%, $E$13) + CHOOSE(CONTROL!$C$25, 0.0263, 0)</f>
        <v>104.38330000000001</v>
      </c>
      <c r="D839" s="4">
        <f>89.9206 * CHOOSE(CONTROL!$C$6, $C$13, 100%, $E$13) + CHOOSE(CONTROL!$C$25, 0, 0)</f>
        <v>89.920599999999993</v>
      </c>
      <c r="E839" s="4">
        <f>573.661084207395 * CHOOSE(CONTROL!$C$6, $C$13, 100%, $E$13) + CHOOSE(CONTROL!$C$25, 0, 0)</f>
        <v>573.66108420739499</v>
      </c>
    </row>
    <row r="840" spans="1:5" ht="15">
      <c r="A840" s="13">
        <v>67450</v>
      </c>
      <c r="B840" s="4">
        <f>107.1307 * CHOOSE(CONTROL!$C$6, $C$13, 100%, $E$13) + CHOOSE(CONTROL!$C$25, 0.0263, 0)</f>
        <v>107.15700000000001</v>
      </c>
      <c r="C840" s="4">
        <f>106.8182 * CHOOSE(CONTROL!$C$6, $C$13, 100%, $E$13) + CHOOSE(CONTROL!$C$25, 0.0263, 0)</f>
        <v>106.84450000000001</v>
      </c>
      <c r="D840" s="4">
        <f>88.9677 * CHOOSE(CONTROL!$C$6, $C$13, 100%, $E$13) + CHOOSE(CONTROL!$C$25, 0, 0)</f>
        <v>88.967699999999994</v>
      </c>
      <c r="E840" s="4">
        <f>587.395731546436 * CHOOSE(CONTROL!$C$6, $C$13, 100%, $E$13) + CHOOSE(CONTROL!$C$25, 0, 0)</f>
        <v>587.39573154643597</v>
      </c>
    </row>
    <row r="841" spans="1:5" ht="15">
      <c r="A841" s="13">
        <v>67480</v>
      </c>
      <c r="B841" s="4">
        <f>102.9361 * CHOOSE(CONTROL!$C$6, $C$13, 100%, $E$13) + CHOOSE(CONTROL!$C$25, 0.0263, 0)</f>
        <v>102.9624</v>
      </c>
      <c r="C841" s="4">
        <f>102.6236 * CHOOSE(CONTROL!$C$6, $C$13, 100%, $E$13) + CHOOSE(CONTROL!$C$25, 0.0263, 0)</f>
        <v>102.6499</v>
      </c>
      <c r="D841" s="4">
        <f>88.5174 * CHOOSE(CONTROL!$C$6, $C$13, 100%, $E$13) + CHOOSE(CONTROL!$C$25, 0, 0)</f>
        <v>88.517399999999995</v>
      </c>
      <c r="E841" s="4">
        <f>563.98751199518 * CHOOSE(CONTROL!$C$6, $C$13, 100%, $E$13) + CHOOSE(CONTROL!$C$25, 0, 0)</f>
        <v>563.98751199517994</v>
      </c>
    </row>
    <row r="842" spans="1:5" ht="15">
      <c r="A842" s="13">
        <v>67511</v>
      </c>
      <c r="B842" s="4">
        <f>99.5783 * CHOOSE(CONTROL!$C$6, $C$13, 100%, $E$13) + CHOOSE(CONTROL!$C$25, 0.0003, 0)</f>
        <v>99.578599999999994</v>
      </c>
      <c r="C842" s="4">
        <f>99.2658 * CHOOSE(CONTROL!$C$6, $C$13, 100%, $E$13) + CHOOSE(CONTROL!$C$25, 0.0003, 0)</f>
        <v>99.266099999999994</v>
      </c>
      <c r="D842" s="4">
        <f>87.312 * CHOOSE(CONTROL!$C$6, $C$13, 100%, $E$13) + CHOOSE(CONTROL!$C$25, 0, 0)</f>
        <v>87.311999999999998</v>
      </c>
      <c r="E842" s="4">
        <f>545.248768338814 * CHOOSE(CONTROL!$C$6, $C$13, 100%, $E$13) + CHOOSE(CONTROL!$C$25, 0, 0)</f>
        <v>545.24876833881399</v>
      </c>
    </row>
    <row r="843" spans="1:5" ht="15">
      <c r="A843" s="13">
        <v>67541</v>
      </c>
      <c r="B843" s="4">
        <f>97.4157 * CHOOSE(CONTROL!$C$6, $C$13, 100%, $E$13) + CHOOSE(CONTROL!$C$25, 0.0003, 0)</f>
        <v>97.415999999999997</v>
      </c>
      <c r="C843" s="4">
        <f>97.1032 * CHOOSE(CONTROL!$C$6, $C$13, 100%, $E$13) + CHOOSE(CONTROL!$C$25, 0.0003, 0)</f>
        <v>97.103499999999997</v>
      </c>
      <c r="D843" s="4">
        <f>86.8975 * CHOOSE(CONTROL!$C$6, $C$13, 100%, $E$13) + CHOOSE(CONTROL!$C$25, 0, 0)</f>
        <v>86.897499999999994</v>
      </c>
      <c r="E843" s="4">
        <f>533.179618102347 * CHOOSE(CONTROL!$C$6, $C$13, 100%, $E$13) + CHOOSE(CONTROL!$C$25, 0, 0)</f>
        <v>533.17961810234704</v>
      </c>
    </row>
    <row r="844" spans="1:5" ht="15">
      <c r="A844" s="13">
        <v>67572</v>
      </c>
      <c r="B844" s="4">
        <f>95.9194 * CHOOSE(CONTROL!$C$6, $C$13, 100%, $E$13) + CHOOSE(CONTROL!$C$25, 0.0003, 0)</f>
        <v>95.919699999999992</v>
      </c>
      <c r="C844" s="4">
        <f>95.6069 * CHOOSE(CONTROL!$C$6, $C$13, 100%, $E$13) + CHOOSE(CONTROL!$C$25, 0.0003, 0)</f>
        <v>95.607199999999992</v>
      </c>
      <c r="D844" s="4">
        <f>83.8463 * CHOOSE(CONTROL!$C$6, $C$13, 100%, $E$13) + CHOOSE(CONTROL!$C$25, 0, 0)</f>
        <v>83.846299999999999</v>
      </c>
      <c r="E844" s="4">
        <f>524.829317560671 * CHOOSE(CONTROL!$C$6, $C$13, 100%, $E$13) + CHOOSE(CONTROL!$C$25, 0, 0)</f>
        <v>524.82931756067103</v>
      </c>
    </row>
    <row r="845" spans="1:5" ht="15">
      <c r="A845" s="13">
        <v>67603</v>
      </c>
      <c r="B845" s="4">
        <f>93.4882 * CHOOSE(CONTROL!$C$6, $C$13, 100%, $E$13) + CHOOSE(CONTROL!$C$25, 0.0003, 0)</f>
        <v>93.488500000000002</v>
      </c>
      <c r="C845" s="4">
        <f>93.1757 * CHOOSE(CONTROL!$C$6, $C$13, 100%, $E$13) + CHOOSE(CONTROL!$C$25, 0.0003, 0)</f>
        <v>93.176000000000002</v>
      </c>
      <c r="D845" s="4">
        <f>81.042 * CHOOSE(CONTROL!$C$6, $C$13, 100%, $E$13) + CHOOSE(CONTROL!$C$25, 0, 0)</f>
        <v>81.042000000000002</v>
      </c>
      <c r="E845" s="4">
        <f>509.779212698456 * CHOOSE(CONTROL!$C$6, $C$13, 100%, $E$13) + CHOOSE(CONTROL!$C$25, 0, 0)</f>
        <v>509.77921269845598</v>
      </c>
    </row>
    <row r="846" spans="1:5" ht="15">
      <c r="A846" s="13">
        <v>67631</v>
      </c>
      <c r="B846" s="4">
        <f>95.6635 * CHOOSE(CONTROL!$C$6, $C$13, 100%, $E$13) + CHOOSE(CONTROL!$C$25, 0.0003, 0)</f>
        <v>95.663799999999995</v>
      </c>
      <c r="C846" s="4">
        <f>95.351 * CHOOSE(CONTROL!$C$6, $C$13, 100%, $E$13) + CHOOSE(CONTROL!$C$25, 0.0003, 0)</f>
        <v>95.351299999999995</v>
      </c>
      <c r="D846" s="4">
        <f>83.866 * CHOOSE(CONTROL!$C$6, $C$13, 100%, $E$13) + CHOOSE(CONTROL!$C$25, 0, 0)</f>
        <v>83.866</v>
      </c>
      <c r="E846" s="4">
        <f>521.883380201629 * CHOOSE(CONTROL!$C$6, $C$13, 100%, $E$13) + CHOOSE(CONTROL!$C$25, 0, 0)</f>
        <v>521.88338020162905</v>
      </c>
    </row>
    <row r="847" spans="1:5" ht="15">
      <c r="A847" s="13">
        <v>67662</v>
      </c>
      <c r="B847" s="4">
        <f>101.3758 * CHOOSE(CONTROL!$C$6, $C$13, 100%, $E$13) + CHOOSE(CONTROL!$C$25, 0.0003, 0)</f>
        <v>101.37609999999999</v>
      </c>
      <c r="C847" s="4">
        <f>101.0633 * CHOOSE(CONTROL!$C$6, $C$13, 100%, $E$13) + CHOOSE(CONTROL!$C$25, 0.0003, 0)</f>
        <v>101.06359999999999</v>
      </c>
      <c r="D847" s="4">
        <f>88.2867 * CHOOSE(CONTROL!$C$6, $C$13, 100%, $E$13) + CHOOSE(CONTROL!$C$25, 0, 0)</f>
        <v>88.286699999999996</v>
      </c>
      <c r="E847" s="4">
        <f>553.669567319489 * CHOOSE(CONTROL!$C$6, $C$13, 100%, $E$13) + CHOOSE(CONTROL!$C$25, 0, 0)</f>
        <v>553.66956731948903</v>
      </c>
    </row>
    <row r="848" spans="1:5" ht="15">
      <c r="A848" s="13">
        <v>67692</v>
      </c>
      <c r="B848" s="4">
        <f>105.4345 * CHOOSE(CONTROL!$C$6, $C$13, 100%, $E$13) + CHOOSE(CONTROL!$C$25, 0.0003, 0)</f>
        <v>105.4348</v>
      </c>
      <c r="C848" s="4">
        <f>105.122 * CHOOSE(CONTROL!$C$6, $C$13, 100%, $E$13) + CHOOSE(CONTROL!$C$25, 0.0003, 0)</f>
        <v>105.1223</v>
      </c>
      <c r="D848" s="4">
        <f>90.8331 * CHOOSE(CONTROL!$C$6, $C$13, 100%, $E$13) + CHOOSE(CONTROL!$C$25, 0, 0)</f>
        <v>90.833100000000002</v>
      </c>
      <c r="E848" s="4">
        <f>576.254076873369 * CHOOSE(CONTROL!$C$6, $C$13, 100%, $E$13) + CHOOSE(CONTROL!$C$25, 0, 0)</f>
        <v>576.25407687336894</v>
      </c>
    </row>
    <row r="849" spans="1:5" ht="15">
      <c r="A849" s="13">
        <v>67723</v>
      </c>
      <c r="B849" s="4">
        <f>107.9143 * CHOOSE(CONTROL!$C$6, $C$13, 100%, $E$13) + CHOOSE(CONTROL!$C$25, 0.0263, 0)</f>
        <v>107.9406</v>
      </c>
      <c r="C849" s="4">
        <f>107.6018 * CHOOSE(CONTROL!$C$6, $C$13, 100%, $E$13) + CHOOSE(CONTROL!$C$25, 0.0263, 0)</f>
        <v>107.6281</v>
      </c>
      <c r="D849" s="4">
        <f>89.8269 * CHOOSE(CONTROL!$C$6, $C$13, 100%, $E$13) + CHOOSE(CONTROL!$C$25, 0, 0)</f>
        <v>89.826899999999995</v>
      </c>
      <c r="E849" s="4">
        <f>590.052670935638 * CHOOSE(CONTROL!$C$6, $C$13, 100%, $E$13) + CHOOSE(CONTROL!$C$25, 0, 0)</f>
        <v>590.05267093563805</v>
      </c>
    </row>
    <row r="850" spans="1:5" ht="15">
      <c r="A850" s="13">
        <v>67753</v>
      </c>
      <c r="B850" s="4">
        <f>108.2498 * CHOOSE(CONTROL!$C$6, $C$13, 100%, $E$13) + CHOOSE(CONTROL!$C$25, 0.0263, 0)</f>
        <v>108.2761</v>
      </c>
      <c r="C850" s="4">
        <f>107.9373 * CHOOSE(CONTROL!$C$6, $C$13, 100%, $E$13) + CHOOSE(CONTROL!$C$25, 0.0263, 0)</f>
        <v>107.9636</v>
      </c>
      <c r="D850" s="4">
        <f>90.6464 * CHOOSE(CONTROL!$C$6, $C$13, 100%, $E$13) + CHOOSE(CONTROL!$C$25, 0, 0)</f>
        <v>90.6464</v>
      </c>
      <c r="E850" s="4">
        <f>591.919677977605 * CHOOSE(CONTROL!$C$6, $C$13, 100%, $E$13) + CHOOSE(CONTROL!$C$25, 0, 0)</f>
        <v>591.91967797760503</v>
      </c>
    </row>
    <row r="851" spans="1:5" ht="15">
      <c r="A851" s="13">
        <v>67784</v>
      </c>
      <c r="B851" s="4">
        <f>108.216 * CHOOSE(CONTROL!$C$6, $C$13, 100%, $E$13) + CHOOSE(CONTROL!$C$25, 0.0263, 0)</f>
        <v>108.2423</v>
      </c>
      <c r="C851" s="4">
        <f>107.9035 * CHOOSE(CONTROL!$C$6, $C$13, 100%, $E$13) + CHOOSE(CONTROL!$C$25, 0.0263, 0)</f>
        <v>107.9298</v>
      </c>
      <c r="D851" s="4">
        <f>92.1251 * CHOOSE(CONTROL!$C$6, $C$13, 100%, $E$13) + CHOOSE(CONTROL!$C$25, 0, 0)</f>
        <v>92.125100000000003</v>
      </c>
      <c r="E851" s="4">
        <f>591.731408359928 * CHOOSE(CONTROL!$C$6, $C$13, 100%, $E$13) + CHOOSE(CONTROL!$C$25, 0, 0)</f>
        <v>591.73140835992797</v>
      </c>
    </row>
    <row r="852" spans="1:5" ht="15">
      <c r="A852" s="13">
        <v>67815</v>
      </c>
      <c r="B852" s="4">
        <f>110.762 * CHOOSE(CONTROL!$C$6, $C$13, 100%, $E$13) + CHOOSE(CONTROL!$C$25, 0.0263, 0)</f>
        <v>110.78830000000001</v>
      </c>
      <c r="C852" s="4">
        <f>110.4495 * CHOOSE(CONTROL!$C$6, $C$13, 100%, $E$13) + CHOOSE(CONTROL!$C$25, 0.0263, 0)</f>
        <v>110.47580000000001</v>
      </c>
      <c r="D852" s="4">
        <f>91.1485 * CHOOSE(CONTROL!$C$6, $C$13, 100%, $E$13) + CHOOSE(CONTROL!$C$25, 0, 0)</f>
        <v>91.148499999999999</v>
      </c>
      <c r="E852" s="4">
        <f>605.898697090149 * CHOOSE(CONTROL!$C$6, $C$13, 100%, $E$13) + CHOOSE(CONTROL!$C$25, 0, 0)</f>
        <v>605.89869709014897</v>
      </c>
    </row>
    <row r="853" spans="1:5" ht="15">
      <c r="A853" s="13">
        <v>67845</v>
      </c>
      <c r="B853" s="4">
        <f>106.4227 * CHOOSE(CONTROL!$C$6, $C$13, 100%, $E$13) + CHOOSE(CONTROL!$C$25, 0.0263, 0)</f>
        <v>106.44900000000001</v>
      </c>
      <c r="C853" s="4">
        <f>106.1102 * CHOOSE(CONTROL!$C$6, $C$13, 100%, $E$13) + CHOOSE(CONTROL!$C$25, 0.0263, 0)</f>
        <v>106.13650000000001</v>
      </c>
      <c r="D853" s="4">
        <f>90.6872 * CHOOSE(CONTROL!$C$6, $C$13, 100%, $E$13) + CHOOSE(CONTROL!$C$25, 0, 0)</f>
        <v>90.687200000000004</v>
      </c>
      <c r="E853" s="4">
        <f>581.753118623028 * CHOOSE(CONTROL!$C$6, $C$13, 100%, $E$13) + CHOOSE(CONTROL!$C$25, 0, 0)</f>
        <v>581.75311862302794</v>
      </c>
    </row>
    <row r="854" spans="1:5" ht="15">
      <c r="A854" s="13">
        <v>67876</v>
      </c>
      <c r="B854" s="4">
        <f>102.9491 * CHOOSE(CONTROL!$C$6, $C$13, 100%, $E$13) + CHOOSE(CONTROL!$C$25, 0.0003, 0)</f>
        <v>102.9494</v>
      </c>
      <c r="C854" s="4">
        <f>102.6366 * CHOOSE(CONTROL!$C$6, $C$13, 100%, $E$13) + CHOOSE(CONTROL!$C$25, 0.0003, 0)</f>
        <v>102.6369</v>
      </c>
      <c r="D854" s="4">
        <f>89.4518 * CHOOSE(CONTROL!$C$6, $C$13, 100%, $E$13) + CHOOSE(CONTROL!$C$25, 0, 0)</f>
        <v>89.451800000000006</v>
      </c>
      <c r="E854" s="4">
        <f>562.424104541486 * CHOOSE(CONTROL!$C$6, $C$13, 100%, $E$13) + CHOOSE(CONTROL!$C$25, 0, 0)</f>
        <v>562.42410454148603</v>
      </c>
    </row>
    <row r="855" spans="1:5" ht="15">
      <c r="A855" s="13">
        <v>67906</v>
      </c>
      <c r="B855" s="4">
        <f>100.7118 * CHOOSE(CONTROL!$C$6, $C$13, 100%, $E$13) + CHOOSE(CONTROL!$C$25, 0.0003, 0)</f>
        <v>100.71209999999999</v>
      </c>
      <c r="C855" s="4">
        <f>100.3993 * CHOOSE(CONTROL!$C$6, $C$13, 100%, $E$13) + CHOOSE(CONTROL!$C$25, 0.0003, 0)</f>
        <v>100.39959999999999</v>
      </c>
      <c r="D855" s="4">
        <f>89.027 * CHOOSE(CONTROL!$C$6, $C$13, 100%, $E$13) + CHOOSE(CONTROL!$C$25, 0, 0)</f>
        <v>89.027000000000001</v>
      </c>
      <c r="E855" s="4">
        <f>549.974776072571 * CHOOSE(CONTROL!$C$6, $C$13, 100%, $E$13) + CHOOSE(CONTROL!$C$25, 0, 0)</f>
        <v>549.97477607257099</v>
      </c>
    </row>
    <row r="856" spans="1:5" ht="15">
      <c r="A856" s="13">
        <v>67937</v>
      </c>
      <c r="B856" s="4">
        <f>99.1639 * CHOOSE(CONTROL!$C$6, $C$13, 100%, $E$13) + CHOOSE(CONTROL!$C$25, 0.0003, 0)</f>
        <v>99.164199999999994</v>
      </c>
      <c r="C856" s="4">
        <f>98.8514 * CHOOSE(CONTROL!$C$6, $C$13, 100%, $E$13) + CHOOSE(CONTROL!$C$25, 0.0003, 0)</f>
        <v>98.851699999999994</v>
      </c>
      <c r="D856" s="4">
        <f>85.9002 * CHOOSE(CONTROL!$C$6, $C$13, 100%, $E$13) + CHOOSE(CONTROL!$C$25, 0, 0)</f>
        <v>85.900199999999998</v>
      </c>
      <c r="E856" s="4">
        <f>541.361441063832 * CHOOSE(CONTROL!$C$6, $C$13, 100%, $E$13) + CHOOSE(CONTROL!$C$25, 0, 0)</f>
        <v>541.36144106383199</v>
      </c>
    </row>
    <row r="857" spans="1:5" ht="15">
      <c r="A857" s="13">
        <v>67968</v>
      </c>
      <c r="B857" s="4">
        <f>96.6489 * CHOOSE(CONTROL!$C$6, $C$13, 100%, $E$13) + CHOOSE(CONTROL!$C$25, 0.0003, 0)</f>
        <v>96.649199999999993</v>
      </c>
      <c r="C857" s="4">
        <f>96.3364 * CHOOSE(CONTROL!$C$6, $C$13, 100%, $E$13) + CHOOSE(CONTROL!$C$25, 0.0003, 0)</f>
        <v>96.336699999999993</v>
      </c>
      <c r="D857" s="4">
        <f>83.0263 * CHOOSE(CONTROL!$C$6, $C$13, 100%, $E$13) + CHOOSE(CONTROL!$C$25, 0, 0)</f>
        <v>83.026300000000006</v>
      </c>
      <c r="E857" s="4">
        <f>525.837257898457 * CHOOSE(CONTROL!$C$6, $C$13, 100%, $E$13) + CHOOSE(CONTROL!$C$25, 0, 0)</f>
        <v>525.83725789845698</v>
      </c>
    </row>
    <row r="858" spans="1:5" ht="15">
      <c r="A858" s="13">
        <v>67996</v>
      </c>
      <c r="B858" s="4">
        <f>98.8992 * CHOOSE(CONTROL!$C$6, $C$13, 100%, $E$13) + CHOOSE(CONTROL!$C$25, 0.0003, 0)</f>
        <v>98.899499999999989</v>
      </c>
      <c r="C858" s="4">
        <f>98.5867 * CHOOSE(CONTROL!$C$6, $C$13, 100%, $E$13) + CHOOSE(CONTROL!$C$25, 0.0003, 0)</f>
        <v>98.586999999999989</v>
      </c>
      <c r="D858" s="4">
        <f>85.9203 * CHOOSE(CONTROL!$C$6, $C$13, 100%, $E$13) + CHOOSE(CONTROL!$C$25, 0, 0)</f>
        <v>85.920299999999997</v>
      </c>
      <c r="E858" s="4">
        <f>538.322706677981 * CHOOSE(CONTROL!$C$6, $C$13, 100%, $E$13) + CHOOSE(CONTROL!$C$25, 0, 0)</f>
        <v>538.32270667798105</v>
      </c>
    </row>
    <row r="859" spans="1:5" ht="15">
      <c r="A859" s="13">
        <v>68027</v>
      </c>
      <c r="B859" s="4">
        <f>104.8086 * CHOOSE(CONTROL!$C$6, $C$13, 100%, $E$13) + CHOOSE(CONTROL!$C$25, 0.0003, 0)</f>
        <v>104.80889999999999</v>
      </c>
      <c r="C859" s="4">
        <f>104.4961 * CHOOSE(CONTROL!$C$6, $C$13, 100%, $E$13) + CHOOSE(CONTROL!$C$25, 0.0003, 0)</f>
        <v>104.49639999999999</v>
      </c>
      <c r="D859" s="4">
        <f>90.4506 * CHOOSE(CONTROL!$C$6, $C$13, 100%, $E$13) + CHOOSE(CONTROL!$C$25, 0, 0)</f>
        <v>90.450599999999994</v>
      </c>
      <c r="E859" s="4">
        <f>571.110158690053 * CHOOSE(CONTROL!$C$6, $C$13, 100%, $E$13) + CHOOSE(CONTROL!$C$25, 0, 0)</f>
        <v>571.11015869005303</v>
      </c>
    </row>
    <row r="860" spans="1:5" ht="15">
      <c r="A860" s="13">
        <v>68057</v>
      </c>
      <c r="B860" s="4">
        <f>109.0073 * CHOOSE(CONTROL!$C$6, $C$13, 100%, $E$13) + CHOOSE(CONTROL!$C$25, 0.0003, 0)</f>
        <v>109.0076</v>
      </c>
      <c r="C860" s="4">
        <f>108.6948 * CHOOSE(CONTROL!$C$6, $C$13, 100%, $E$13) + CHOOSE(CONTROL!$C$25, 0.0003, 0)</f>
        <v>108.6951</v>
      </c>
      <c r="D860" s="4">
        <f>93.0603 * CHOOSE(CONTROL!$C$6, $C$13, 100%, $E$13) + CHOOSE(CONTROL!$C$25, 0, 0)</f>
        <v>93.060299999999998</v>
      </c>
      <c r="E860" s="4">
        <f>594.40608029488 * CHOOSE(CONTROL!$C$6, $C$13, 100%, $E$13) + CHOOSE(CONTROL!$C$25, 0, 0)</f>
        <v>594.40608029487998</v>
      </c>
    </row>
    <row r="861" spans="1:5" ht="15">
      <c r="A861" s="13">
        <v>68088</v>
      </c>
      <c r="B861" s="4">
        <f>111.5726 * CHOOSE(CONTROL!$C$6, $C$13, 100%, $E$13) + CHOOSE(CONTROL!$C$25, 0.0263, 0)</f>
        <v>111.5989</v>
      </c>
      <c r="C861" s="4">
        <f>111.2601 * CHOOSE(CONTROL!$C$6, $C$13, 100%, $E$13) + CHOOSE(CONTROL!$C$25, 0.0263, 0)</f>
        <v>111.2864</v>
      </c>
      <c r="D861" s="4">
        <f>92.0291 * CHOOSE(CONTROL!$C$6, $C$13, 100%, $E$13) + CHOOSE(CONTROL!$C$25, 0, 0)</f>
        <v>92.0291</v>
      </c>
      <c r="E861" s="4">
        <f>608.639330070111 * CHOOSE(CONTROL!$C$6, $C$13, 100%, $E$13) + CHOOSE(CONTROL!$C$25, 0, 0)</f>
        <v>608.63933007011099</v>
      </c>
    </row>
    <row r="862" spans="1:5" ht="15">
      <c r="A862" s="13">
        <v>68118</v>
      </c>
      <c r="B862" s="4">
        <f>111.9197 * CHOOSE(CONTROL!$C$6, $C$13, 100%, $E$13) + CHOOSE(CONTROL!$C$25, 0.0263, 0)</f>
        <v>111.94600000000001</v>
      </c>
      <c r="C862" s="4">
        <f>111.6072 * CHOOSE(CONTROL!$C$6, $C$13, 100%, $E$13) + CHOOSE(CONTROL!$C$25, 0.0263, 0)</f>
        <v>111.63350000000001</v>
      </c>
      <c r="D862" s="4">
        <f>92.8689 * CHOOSE(CONTROL!$C$6, $C$13, 100%, $E$13) + CHOOSE(CONTROL!$C$25, 0, 0)</f>
        <v>92.868899999999996</v>
      </c>
      <c r="E862" s="4">
        <f>610.5651478339 * CHOOSE(CONTROL!$C$6, $C$13, 100%, $E$13) + CHOOSE(CONTROL!$C$25, 0, 0)</f>
        <v>610.56514783390003</v>
      </c>
    </row>
    <row r="863" spans="1:5" ht="15">
      <c r="A863" s="13">
        <v>68149</v>
      </c>
      <c r="B863" s="4">
        <f>111.8847 * CHOOSE(CONTROL!$C$6, $C$13, 100%, $E$13) + CHOOSE(CONTROL!$C$25, 0.0263, 0)</f>
        <v>111.911</v>
      </c>
      <c r="C863" s="4">
        <f>111.5722 * CHOOSE(CONTROL!$C$6, $C$13, 100%, $E$13) + CHOOSE(CONTROL!$C$25, 0.0263, 0)</f>
        <v>111.5985</v>
      </c>
      <c r="D863" s="4">
        <f>94.3843 * CHOOSE(CONTROL!$C$6, $C$13, 100%, $E$13) + CHOOSE(CONTROL!$C$25, 0, 0)</f>
        <v>94.384299999999996</v>
      </c>
      <c r="E863" s="4">
        <f>610.370947723266 * CHOOSE(CONTROL!$C$6, $C$13, 100%, $E$13) + CHOOSE(CONTROL!$C$25, 0, 0)</f>
        <v>610.370947723266</v>
      </c>
    </row>
    <row r="864" spans="1:5" ht="15">
      <c r="A864" s="13">
        <v>68180</v>
      </c>
      <c r="B864" s="4">
        <f>114.5186 * CHOOSE(CONTROL!$C$6, $C$13, 100%, $E$13) + CHOOSE(CONTROL!$C$25, 0.0263, 0)</f>
        <v>114.54490000000001</v>
      </c>
      <c r="C864" s="4">
        <f>114.2061 * CHOOSE(CONTROL!$C$6, $C$13, 100%, $E$13) + CHOOSE(CONTROL!$C$25, 0.0263, 0)</f>
        <v>114.23240000000001</v>
      </c>
      <c r="D864" s="4">
        <f>93.3835 * CHOOSE(CONTROL!$C$6, $C$13, 100%, $E$13) + CHOOSE(CONTROL!$C$25, 0, 0)</f>
        <v>93.383499999999998</v>
      </c>
      <c r="E864" s="4">
        <f>624.984506048489 * CHOOSE(CONTROL!$C$6, $C$13, 100%, $E$13) + CHOOSE(CONTROL!$C$25, 0, 0)</f>
        <v>624.98450604848904</v>
      </c>
    </row>
    <row r="865" spans="1:5" ht="15">
      <c r="A865" s="13">
        <v>68210</v>
      </c>
      <c r="B865" s="4">
        <f>110.0296 * CHOOSE(CONTROL!$C$6, $C$13, 100%, $E$13) + CHOOSE(CONTROL!$C$25, 0.0263, 0)</f>
        <v>110.05590000000001</v>
      </c>
      <c r="C865" s="4">
        <f>109.7171 * CHOOSE(CONTROL!$C$6, $C$13, 100%, $E$13) + CHOOSE(CONTROL!$C$25, 0.0263, 0)</f>
        <v>109.74340000000001</v>
      </c>
      <c r="D865" s="4">
        <f>92.9107 * CHOOSE(CONTROL!$C$6, $C$13, 100%, $E$13) + CHOOSE(CONTROL!$C$25, 0, 0)</f>
        <v>92.910700000000006</v>
      </c>
      <c r="E865" s="4">
        <f>600.078341859654 * CHOOSE(CONTROL!$C$6, $C$13, 100%, $E$13) + CHOOSE(CONTROL!$C$25, 0, 0)</f>
        <v>600.07834185965396</v>
      </c>
    </row>
    <row r="866" spans="1:5" ht="15">
      <c r="A866" s="13">
        <v>68241</v>
      </c>
      <c r="B866" s="4">
        <f>106.4362 * CHOOSE(CONTROL!$C$6, $C$13, 100%, $E$13) + CHOOSE(CONTROL!$C$25, 0.0003, 0)</f>
        <v>106.4365</v>
      </c>
      <c r="C866" s="4">
        <f>106.1237 * CHOOSE(CONTROL!$C$6, $C$13, 100%, $E$13) + CHOOSE(CONTROL!$C$25, 0.0003, 0)</f>
        <v>106.124</v>
      </c>
      <c r="D866" s="4">
        <f>91.6447 * CHOOSE(CONTROL!$C$6, $C$13, 100%, $E$13) + CHOOSE(CONTROL!$C$25, 0, 0)</f>
        <v>91.6447</v>
      </c>
      <c r="E866" s="4">
        <f>580.140463834543 * CHOOSE(CONTROL!$C$6, $C$13, 100%, $E$13) + CHOOSE(CONTROL!$C$25, 0, 0)</f>
        <v>580.14046383454297</v>
      </c>
    </row>
    <row r="867" spans="1:5" ht="15">
      <c r="A867" s="13">
        <v>68271</v>
      </c>
      <c r="B867" s="4">
        <f>104.1217 * CHOOSE(CONTROL!$C$6, $C$13, 100%, $E$13) + CHOOSE(CONTROL!$C$25, 0.0003, 0)</f>
        <v>104.122</v>
      </c>
      <c r="C867" s="4">
        <f>103.8092 * CHOOSE(CONTROL!$C$6, $C$13, 100%, $E$13) + CHOOSE(CONTROL!$C$25, 0.0003, 0)</f>
        <v>103.8095</v>
      </c>
      <c r="D867" s="4">
        <f>91.2094 * CHOOSE(CONTROL!$C$6, $C$13, 100%, $E$13) + CHOOSE(CONTROL!$C$25, 0, 0)</f>
        <v>91.209400000000002</v>
      </c>
      <c r="E867" s="4">
        <f>567.298981518857 * CHOOSE(CONTROL!$C$6, $C$13, 100%, $E$13) + CHOOSE(CONTROL!$C$25, 0, 0)</f>
        <v>567.29898151885698</v>
      </c>
    </row>
    <row r="868" spans="1:5" ht="15">
      <c r="A868" s="13">
        <v>68302</v>
      </c>
      <c r="B868" s="4">
        <f>102.5204 * CHOOSE(CONTROL!$C$6, $C$13, 100%, $E$13) + CHOOSE(CONTROL!$C$25, 0.0003, 0)</f>
        <v>102.52069999999999</v>
      </c>
      <c r="C868" s="4">
        <f>102.2079 * CHOOSE(CONTROL!$C$6, $C$13, 100%, $E$13) + CHOOSE(CONTROL!$C$25, 0.0003, 0)</f>
        <v>102.20819999999999</v>
      </c>
      <c r="D868" s="4">
        <f>88.005 * CHOOSE(CONTROL!$C$6, $C$13, 100%, $E$13) + CHOOSE(CONTROL!$C$25, 0, 0)</f>
        <v>88.004999999999995</v>
      </c>
      <c r="E868" s="4">
        <f>558.414326457343 * CHOOSE(CONTROL!$C$6, $C$13, 100%, $E$13) + CHOOSE(CONTROL!$C$25, 0, 0)</f>
        <v>558.41432645734301</v>
      </c>
    </row>
    <row r="869" spans="1:5" ht="15">
      <c r="A869" s="13">
        <v>68333</v>
      </c>
      <c r="B869" s="4">
        <f>99.9186 * CHOOSE(CONTROL!$C$6, $C$13, 100%, $E$13) + CHOOSE(CONTROL!$C$25, 0.0003, 0)</f>
        <v>99.918899999999994</v>
      </c>
      <c r="C869" s="4">
        <f>99.6061 * CHOOSE(CONTROL!$C$6, $C$13, 100%, $E$13) + CHOOSE(CONTROL!$C$25, 0.0003, 0)</f>
        <v>99.606399999999994</v>
      </c>
      <c r="D869" s="4">
        <f>85.0598 * CHOOSE(CONTROL!$C$6, $C$13, 100%, $E$13) + CHOOSE(CONTROL!$C$25, 0, 0)</f>
        <v>85.059799999999996</v>
      </c>
      <c r="E869" s="4">
        <f>542.401131522259 * CHOOSE(CONTROL!$C$6, $C$13, 100%, $E$13) + CHOOSE(CONTROL!$C$25, 0, 0)</f>
        <v>542.40113152225899</v>
      </c>
    </row>
    <row r="870" spans="1:5" ht="15">
      <c r="A870" s="13">
        <v>68361</v>
      </c>
      <c r="B870" s="4">
        <f>102.2465 * CHOOSE(CONTROL!$C$6, $C$13, 100%, $E$13) + CHOOSE(CONTROL!$C$25, 0.0003, 0)</f>
        <v>102.24679999999999</v>
      </c>
      <c r="C870" s="4">
        <f>101.934 * CHOOSE(CONTROL!$C$6, $C$13, 100%, $E$13) + CHOOSE(CONTROL!$C$25, 0.0003, 0)</f>
        <v>101.93429999999999</v>
      </c>
      <c r="D870" s="4">
        <f>88.0256 * CHOOSE(CONTROL!$C$6, $C$13, 100%, $E$13) + CHOOSE(CONTROL!$C$25, 0, 0)</f>
        <v>88.025599999999997</v>
      </c>
      <c r="E870" s="4">
        <f>555.279871938337 * CHOOSE(CONTROL!$C$6, $C$13, 100%, $E$13) + CHOOSE(CONTROL!$C$25, 0, 0)</f>
        <v>555.27987193833701</v>
      </c>
    </row>
    <row r="871" spans="1:5" ht="15">
      <c r="A871" s="13">
        <v>68392</v>
      </c>
      <c r="B871" s="4">
        <f>108.3598 * CHOOSE(CONTROL!$C$6, $C$13, 100%, $E$13) + CHOOSE(CONTROL!$C$25, 0.0003, 0)</f>
        <v>108.3601</v>
      </c>
      <c r="C871" s="4">
        <f>108.0473 * CHOOSE(CONTROL!$C$6, $C$13, 100%, $E$13) + CHOOSE(CONTROL!$C$25, 0.0003, 0)</f>
        <v>108.0476</v>
      </c>
      <c r="D871" s="4">
        <f>92.6683 * CHOOSE(CONTROL!$C$6, $C$13, 100%, $E$13) + CHOOSE(CONTROL!$C$25, 0, 0)</f>
        <v>92.668300000000002</v>
      </c>
      <c r="E871" s="4">
        <f>589.10012868879 * CHOOSE(CONTROL!$C$6, $C$13, 100%, $E$13) + CHOOSE(CONTROL!$C$25, 0, 0)</f>
        <v>589.10012868879005</v>
      </c>
    </row>
    <row r="872" spans="1:5" ht="15">
      <c r="A872" s="13">
        <v>68422</v>
      </c>
      <c r="B872" s="4">
        <f>112.7034 * CHOOSE(CONTROL!$C$6, $C$13, 100%, $E$13) + CHOOSE(CONTROL!$C$25, 0.0003, 0)</f>
        <v>112.7037</v>
      </c>
      <c r="C872" s="4">
        <f>112.3909 * CHOOSE(CONTROL!$C$6, $C$13, 100%, $E$13) + CHOOSE(CONTROL!$C$25, 0.0003, 0)</f>
        <v>112.3912</v>
      </c>
      <c r="D872" s="4">
        <f>95.3426 * CHOOSE(CONTROL!$C$6, $C$13, 100%, $E$13) + CHOOSE(CONTROL!$C$25, 0, 0)</f>
        <v>95.342600000000004</v>
      </c>
      <c r="E872" s="4">
        <f>613.129871824169 * CHOOSE(CONTROL!$C$6, $C$13, 100%, $E$13) + CHOOSE(CONTROL!$C$25, 0, 0)</f>
        <v>613.12987182416896</v>
      </c>
    </row>
    <row r="873" spans="1:5" ht="15">
      <c r="A873" s="13">
        <v>68453</v>
      </c>
      <c r="B873" s="4">
        <f>115.3572 * CHOOSE(CONTROL!$C$6, $C$13, 100%, $E$13) + CHOOSE(CONTROL!$C$25, 0.0263, 0)</f>
        <v>115.38350000000001</v>
      </c>
      <c r="C873" s="4">
        <f>115.0447 * CHOOSE(CONTROL!$C$6, $C$13, 100%, $E$13) + CHOOSE(CONTROL!$C$25, 0.0263, 0)</f>
        <v>115.07100000000001</v>
      </c>
      <c r="D873" s="4">
        <f>94.2859 * CHOOSE(CONTROL!$C$6, $C$13, 100%, $E$13) + CHOOSE(CONTROL!$C$25, 0, 0)</f>
        <v>94.285899999999998</v>
      </c>
      <c r="E873" s="4">
        <f>627.811468967319 * CHOOSE(CONTROL!$C$6, $C$13, 100%, $E$13) + CHOOSE(CONTROL!$C$25, 0, 0)</f>
        <v>627.811468967319</v>
      </c>
    </row>
    <row r="874" spans="1:5" ht="15">
      <c r="A874" s="13">
        <v>68483</v>
      </c>
      <c r="B874" s="4">
        <f>115.7163 * CHOOSE(CONTROL!$C$6, $C$13, 100%, $E$13) + CHOOSE(CONTROL!$C$25, 0.0263, 0)</f>
        <v>115.74260000000001</v>
      </c>
      <c r="C874" s="4">
        <f>115.4038 * CHOOSE(CONTROL!$C$6, $C$13, 100%, $E$13) + CHOOSE(CONTROL!$C$25, 0.0263, 0)</f>
        <v>115.43010000000001</v>
      </c>
      <c r="D874" s="4">
        <f>95.1465 * CHOOSE(CONTROL!$C$6, $C$13, 100%, $E$13) + CHOOSE(CONTROL!$C$25, 0, 0)</f>
        <v>95.146500000000003</v>
      </c>
      <c r="E874" s="4">
        <f>629.797949990668 * CHOOSE(CONTROL!$C$6, $C$13, 100%, $E$13) + CHOOSE(CONTROL!$C$25, 0, 0)</f>
        <v>629.79794999066803</v>
      </c>
    </row>
    <row r="875" spans="1:5" ht="15">
      <c r="A875" s="13">
        <v>68514</v>
      </c>
      <c r="B875" s="4">
        <f>115.6801 * CHOOSE(CONTROL!$C$6, $C$13, 100%, $E$13) + CHOOSE(CONTROL!$C$25, 0.0263, 0)</f>
        <v>115.7064</v>
      </c>
      <c r="C875" s="4">
        <f>115.3676 * CHOOSE(CONTROL!$C$6, $C$13, 100%, $E$13) + CHOOSE(CONTROL!$C$25, 0.0263, 0)</f>
        <v>115.3939</v>
      </c>
      <c r="D875" s="4">
        <f>96.6995 * CHOOSE(CONTROL!$C$6, $C$13, 100%, $E$13) + CHOOSE(CONTROL!$C$25, 0, 0)</f>
        <v>96.6995</v>
      </c>
      <c r="E875" s="4">
        <f>629.597632576549 * CHOOSE(CONTROL!$C$6, $C$13, 100%, $E$13) + CHOOSE(CONTROL!$C$25, 0, 0)</f>
        <v>629.59763257654902</v>
      </c>
    </row>
    <row r="876" spans="1:5" ht="15">
      <c r="A876" s="13">
        <v>68545</v>
      </c>
      <c r="B876" s="4">
        <f>118.4048 * CHOOSE(CONTROL!$C$6, $C$13, 100%, $E$13) + CHOOSE(CONTROL!$C$25, 0.0263, 0)</f>
        <v>118.4311</v>
      </c>
      <c r="C876" s="4">
        <f>118.0923 * CHOOSE(CONTROL!$C$6, $C$13, 100%, $E$13) + CHOOSE(CONTROL!$C$25, 0.0263, 0)</f>
        <v>118.1186</v>
      </c>
      <c r="D876" s="4">
        <f>95.6739 * CHOOSE(CONTROL!$C$6, $C$13, 100%, $E$13) + CHOOSE(CONTROL!$C$25, 0, 0)</f>
        <v>95.673900000000003</v>
      </c>
      <c r="E876" s="4">
        <f>644.671517989016 * CHOOSE(CONTROL!$C$6, $C$13, 100%, $E$13) + CHOOSE(CONTROL!$C$25, 0, 0)</f>
        <v>644.67151798901602</v>
      </c>
    </row>
    <row r="877" spans="1:5" ht="15">
      <c r="A877" s="13">
        <v>68575</v>
      </c>
      <c r="B877" s="4">
        <f>113.761 * CHOOSE(CONTROL!$C$6, $C$13, 100%, $E$13) + CHOOSE(CONTROL!$C$25, 0.0263, 0)</f>
        <v>113.7873</v>
      </c>
      <c r="C877" s="4">
        <f>113.4485 * CHOOSE(CONTROL!$C$6, $C$13, 100%, $E$13) + CHOOSE(CONTROL!$C$25, 0.0263, 0)</f>
        <v>113.4748</v>
      </c>
      <c r="D877" s="4">
        <f>95.1893 * CHOOSE(CONTROL!$C$6, $C$13, 100%, $E$13) + CHOOSE(CONTROL!$C$25, 0, 0)</f>
        <v>95.189300000000003</v>
      </c>
      <c r="E877" s="4">
        <f>618.980809628233 * CHOOSE(CONTROL!$C$6, $C$13, 100%, $E$13) + CHOOSE(CONTROL!$C$25, 0, 0)</f>
        <v>618.98080962823303</v>
      </c>
    </row>
    <row r="878" spans="1:5" ht="15">
      <c r="A878" s="13">
        <v>68606</v>
      </c>
      <c r="B878" s="4">
        <f>110.0435 * CHOOSE(CONTROL!$C$6, $C$13, 100%, $E$13) + CHOOSE(CONTROL!$C$25, 0.0003, 0)</f>
        <v>110.04379999999999</v>
      </c>
      <c r="C878" s="4">
        <f>109.731 * CHOOSE(CONTROL!$C$6, $C$13, 100%, $E$13) + CHOOSE(CONTROL!$C$25, 0.0003, 0)</f>
        <v>109.73129999999999</v>
      </c>
      <c r="D878" s="4">
        <f>93.8919 * CHOOSE(CONTROL!$C$6, $C$13, 100%, $E$13) + CHOOSE(CONTROL!$C$25, 0, 0)</f>
        <v>93.891900000000007</v>
      </c>
      <c r="E878" s="4">
        <f>598.414888445331 * CHOOSE(CONTROL!$C$6, $C$13, 100%, $E$13) + CHOOSE(CONTROL!$C$25, 0, 0)</f>
        <v>598.41488844533103</v>
      </c>
    </row>
    <row r="879" spans="1:5" ht="15">
      <c r="A879" s="13">
        <v>68636</v>
      </c>
      <c r="B879" s="4">
        <f>107.6492 * CHOOSE(CONTROL!$C$6, $C$13, 100%, $E$13) + CHOOSE(CONTROL!$C$25, 0.0003, 0)</f>
        <v>107.64949999999999</v>
      </c>
      <c r="C879" s="4">
        <f>107.3367 * CHOOSE(CONTROL!$C$6, $C$13, 100%, $E$13) + CHOOSE(CONTROL!$C$25, 0.0003, 0)</f>
        <v>107.33699999999999</v>
      </c>
      <c r="D879" s="4">
        <f>93.4459 * CHOOSE(CONTROL!$C$6, $C$13, 100%, $E$13) + CHOOSE(CONTROL!$C$25, 0, 0)</f>
        <v>93.445899999999995</v>
      </c>
      <c r="E879" s="4">
        <f>585.168899436701 * CHOOSE(CONTROL!$C$6, $C$13, 100%, $E$13) + CHOOSE(CONTROL!$C$25, 0, 0)</f>
        <v>585.16889943670105</v>
      </c>
    </row>
    <row r="880" spans="1:5" ht="15">
      <c r="A880" s="13">
        <v>68667</v>
      </c>
      <c r="B880" s="4">
        <f>105.9926 * CHOOSE(CONTROL!$C$6, $C$13, 100%, $E$13) + CHOOSE(CONTROL!$C$25, 0.0003, 0)</f>
        <v>105.99289999999999</v>
      </c>
      <c r="C880" s="4">
        <f>105.6801 * CHOOSE(CONTROL!$C$6, $C$13, 100%, $E$13) + CHOOSE(CONTROL!$C$25, 0.0003, 0)</f>
        <v>105.68039999999999</v>
      </c>
      <c r="D880" s="4">
        <f>90.162 * CHOOSE(CONTROL!$C$6, $C$13, 100%, $E$13) + CHOOSE(CONTROL!$C$25, 0, 0)</f>
        <v>90.162000000000006</v>
      </c>
      <c r="E880" s="4">
        <f>576.004377740749 * CHOOSE(CONTROL!$C$6, $C$13, 100%, $E$13) + CHOOSE(CONTROL!$C$25, 0, 0)</f>
        <v>576.00437774074896</v>
      </c>
    </row>
    <row r="881" spans="1:5" ht="15">
      <c r="A881" s="13">
        <v>68698</v>
      </c>
      <c r="B881" s="4">
        <f>103.3011 * CHOOSE(CONTROL!$C$6, $C$13, 100%, $E$13) + CHOOSE(CONTROL!$C$25, 0.0003, 0)</f>
        <v>103.3014</v>
      </c>
      <c r="C881" s="4">
        <f>102.9886 * CHOOSE(CONTROL!$C$6, $C$13, 100%, $E$13) + CHOOSE(CONTROL!$C$25, 0.0003, 0)</f>
        <v>102.9889</v>
      </c>
      <c r="D881" s="4">
        <f>87.1438 * CHOOSE(CONTROL!$C$6, $C$13, 100%, $E$13) + CHOOSE(CONTROL!$C$25, 0, 0)</f>
        <v>87.143799999999999</v>
      </c>
      <c r="E881" s="4">
        <f>559.48676716521 * CHOOSE(CONTROL!$C$6, $C$13, 100%, $E$13) + CHOOSE(CONTROL!$C$25, 0, 0)</f>
        <v>559.48676716521004</v>
      </c>
    </row>
    <row r="882" spans="1:5" ht="15">
      <c r="A882" s="13">
        <v>68727</v>
      </c>
      <c r="B882" s="4">
        <f>105.7093 * CHOOSE(CONTROL!$C$6, $C$13, 100%, $E$13) + CHOOSE(CONTROL!$C$25, 0.0003, 0)</f>
        <v>105.70959999999999</v>
      </c>
      <c r="C882" s="4">
        <f>105.3968 * CHOOSE(CONTROL!$C$6, $C$13, 100%, $E$13) + CHOOSE(CONTROL!$C$25, 0.0003, 0)</f>
        <v>105.39709999999999</v>
      </c>
      <c r="D882" s="4">
        <f>90.1831 * CHOOSE(CONTROL!$C$6, $C$13, 100%, $E$13) + CHOOSE(CONTROL!$C$25, 0, 0)</f>
        <v>90.183099999999996</v>
      </c>
      <c r="E882" s="4">
        <f>572.771187904395 * CHOOSE(CONTROL!$C$6, $C$13, 100%, $E$13) + CHOOSE(CONTROL!$C$25, 0, 0)</f>
        <v>572.77118790439499</v>
      </c>
    </row>
    <row r="883" spans="1:5" ht="15">
      <c r="A883" s="13">
        <v>68758</v>
      </c>
      <c r="B883" s="4">
        <f>112.0335 * CHOOSE(CONTROL!$C$6, $C$13, 100%, $E$13) + CHOOSE(CONTROL!$C$25, 0.0003, 0)</f>
        <v>112.0338</v>
      </c>
      <c r="C883" s="4">
        <f>111.721 * CHOOSE(CONTROL!$C$6, $C$13, 100%, $E$13) + CHOOSE(CONTROL!$C$25, 0.0003, 0)</f>
        <v>111.7213</v>
      </c>
      <c r="D883" s="4">
        <f>94.941 * CHOOSE(CONTROL!$C$6, $C$13, 100%, $E$13) + CHOOSE(CONTROL!$C$25, 0, 0)</f>
        <v>94.941000000000003</v>
      </c>
      <c r="E883" s="4">
        <f>607.656782742487 * CHOOSE(CONTROL!$C$6, $C$13, 100%, $E$13) + CHOOSE(CONTROL!$C$25, 0, 0)</f>
        <v>607.65678274248705</v>
      </c>
    </row>
    <row r="884" spans="1:5" ht="15">
      <c r="A884" s="13">
        <v>68788</v>
      </c>
      <c r="B884" s="4">
        <f>116.527 * CHOOSE(CONTROL!$C$6, $C$13, 100%, $E$13) + CHOOSE(CONTROL!$C$25, 0.0003, 0)</f>
        <v>116.5273</v>
      </c>
      <c r="C884" s="4">
        <f>116.2145 * CHOOSE(CONTROL!$C$6, $C$13, 100%, $E$13) + CHOOSE(CONTROL!$C$25, 0.0003, 0)</f>
        <v>116.2148</v>
      </c>
      <c r="D884" s="4">
        <f>97.6816 * CHOOSE(CONTROL!$C$6, $C$13, 100%, $E$13) + CHOOSE(CONTROL!$C$25, 0, 0)</f>
        <v>97.681600000000003</v>
      </c>
      <c r="E884" s="4">
        <f>632.44346278663 * CHOOSE(CONTROL!$C$6, $C$13, 100%, $E$13) + CHOOSE(CONTROL!$C$25, 0, 0)</f>
        <v>632.44346278662999</v>
      </c>
    </row>
    <row r="885" spans="1:5" ht="15">
      <c r="A885" s="13">
        <v>68819</v>
      </c>
      <c r="B885" s="4">
        <f>119.2723 * CHOOSE(CONTROL!$C$6, $C$13, 100%, $E$13) + CHOOSE(CONTROL!$C$25, 0.0263, 0)</f>
        <v>119.29860000000001</v>
      </c>
      <c r="C885" s="4">
        <f>118.9598 * CHOOSE(CONTROL!$C$6, $C$13, 100%, $E$13) + CHOOSE(CONTROL!$C$25, 0.0263, 0)</f>
        <v>118.98610000000001</v>
      </c>
      <c r="D885" s="4">
        <f>96.5986 * CHOOSE(CONTROL!$C$6, $C$13, 100%, $E$13) + CHOOSE(CONTROL!$C$25, 0, 0)</f>
        <v>96.598600000000005</v>
      </c>
      <c r="E885" s="4">
        <f>647.58753023979 * CHOOSE(CONTROL!$C$6, $C$13, 100%, $E$13) + CHOOSE(CONTROL!$C$25, 0, 0)</f>
        <v>647.58753023979</v>
      </c>
    </row>
    <row r="886" spans="1:5" ht="15">
      <c r="A886" s="13">
        <v>68849</v>
      </c>
      <c r="B886" s="4">
        <f>119.6438 * CHOOSE(CONTROL!$C$6, $C$13, 100%, $E$13) + CHOOSE(CONTROL!$C$25, 0.0263, 0)</f>
        <v>119.67010000000001</v>
      </c>
      <c r="C886" s="4">
        <f>119.3313 * CHOOSE(CONTROL!$C$6, $C$13, 100%, $E$13) + CHOOSE(CONTROL!$C$25, 0.0263, 0)</f>
        <v>119.35760000000001</v>
      </c>
      <c r="D886" s="4">
        <f>97.4806 * CHOOSE(CONTROL!$C$6, $C$13, 100%, $E$13) + CHOOSE(CONTROL!$C$25, 0, 0)</f>
        <v>97.480599999999995</v>
      </c>
      <c r="E886" s="4">
        <f>649.636585415374 * CHOOSE(CONTROL!$C$6, $C$13, 100%, $E$13) + CHOOSE(CONTROL!$C$25, 0, 0)</f>
        <v>649.63658541537404</v>
      </c>
    </row>
    <row r="887" spans="1:5" ht="15">
      <c r="A887" s="13">
        <v>68880</v>
      </c>
      <c r="B887" s="4">
        <f>119.6063 * CHOOSE(CONTROL!$C$6, $C$13, 100%, $E$13) + CHOOSE(CONTROL!$C$25, 0.0263, 0)</f>
        <v>119.63260000000001</v>
      </c>
      <c r="C887" s="4">
        <f>119.2938 * CHOOSE(CONTROL!$C$6, $C$13, 100%, $E$13) + CHOOSE(CONTROL!$C$25, 0.0263, 0)</f>
        <v>119.32010000000001</v>
      </c>
      <c r="D887" s="4">
        <f>99.0721 * CHOOSE(CONTROL!$C$6, $C$13, 100%, $E$13) + CHOOSE(CONTROL!$C$25, 0, 0)</f>
        <v>99.072100000000006</v>
      </c>
      <c r="E887" s="4">
        <f>649.42995800271 * CHOOSE(CONTROL!$C$6, $C$13, 100%, $E$13) + CHOOSE(CONTROL!$C$25, 0, 0)</f>
        <v>649.42995800271001</v>
      </c>
    </row>
    <row r="888" spans="1:5" ht="15">
      <c r="A888" s="13">
        <v>68911</v>
      </c>
      <c r="B888" s="4">
        <f>122.4251 * CHOOSE(CONTROL!$C$6, $C$13, 100%, $E$13) + CHOOSE(CONTROL!$C$25, 0.0263, 0)</f>
        <v>122.45140000000001</v>
      </c>
      <c r="C888" s="4">
        <f>122.1126 * CHOOSE(CONTROL!$C$6, $C$13, 100%, $E$13) + CHOOSE(CONTROL!$C$25, 0.0263, 0)</f>
        <v>122.13890000000001</v>
      </c>
      <c r="D888" s="4">
        <f>98.0211 * CHOOSE(CONTROL!$C$6, $C$13, 100%, $E$13) + CHOOSE(CONTROL!$C$25, 0, 0)</f>
        <v>98.021100000000004</v>
      </c>
      <c r="E888" s="4">
        <f>664.97867080567 * CHOOSE(CONTROL!$C$6, $C$13, 100%, $E$13) + CHOOSE(CONTROL!$C$25, 0, 0)</f>
        <v>664.97867080567005</v>
      </c>
    </row>
    <row r="889" spans="1:5" ht="15">
      <c r="A889" s="13">
        <v>68941</v>
      </c>
      <c r="B889" s="4">
        <f>117.621 * CHOOSE(CONTROL!$C$6, $C$13, 100%, $E$13) + CHOOSE(CONTROL!$C$25, 0.0263, 0)</f>
        <v>117.6473</v>
      </c>
      <c r="C889" s="4">
        <f>117.3085 * CHOOSE(CONTROL!$C$6, $C$13, 100%, $E$13) + CHOOSE(CONTROL!$C$25, 0.0263, 0)</f>
        <v>117.3348</v>
      </c>
      <c r="D889" s="4">
        <f>97.5245 * CHOOSE(CONTROL!$C$6, $C$13, 100%, $E$13) + CHOOSE(CONTROL!$C$25, 0, 0)</f>
        <v>97.524500000000003</v>
      </c>
      <c r="E889" s="4">
        <f>638.478705131522 * CHOOSE(CONTROL!$C$6, $C$13, 100%, $E$13) + CHOOSE(CONTROL!$C$25, 0, 0)</f>
        <v>638.47870513152202</v>
      </c>
    </row>
    <row r="890" spans="1:5" ht="15">
      <c r="A890" s="13">
        <v>68972</v>
      </c>
      <c r="B890" s="4">
        <f>113.7753 * CHOOSE(CONTROL!$C$6, $C$13, 100%, $E$13) + CHOOSE(CONTROL!$C$25, 0.0003, 0)</f>
        <v>113.7756</v>
      </c>
      <c r="C890" s="4">
        <f>113.4628 * CHOOSE(CONTROL!$C$6, $C$13, 100%, $E$13) + CHOOSE(CONTROL!$C$25, 0.0003, 0)</f>
        <v>113.4631</v>
      </c>
      <c r="D890" s="4">
        <f>96.1949 * CHOOSE(CONTROL!$C$6, $C$13, 100%, $E$13) + CHOOSE(CONTROL!$C$25, 0, 0)</f>
        <v>96.194900000000004</v>
      </c>
      <c r="E890" s="4">
        <f>617.264957431359 * CHOOSE(CONTROL!$C$6, $C$13, 100%, $E$13) + CHOOSE(CONTROL!$C$25, 0, 0)</f>
        <v>617.26495743135899</v>
      </c>
    </row>
    <row r="891" spans="1:5" ht="15">
      <c r="A891" s="13">
        <v>69002</v>
      </c>
      <c r="B891" s="4">
        <f>111.2984 * CHOOSE(CONTROL!$C$6, $C$13, 100%, $E$13) + CHOOSE(CONTROL!$C$25, 0.0003, 0)</f>
        <v>111.2987</v>
      </c>
      <c r="C891" s="4">
        <f>110.9859 * CHOOSE(CONTROL!$C$6, $C$13, 100%, $E$13) + CHOOSE(CONTROL!$C$25, 0.0003, 0)</f>
        <v>110.9862</v>
      </c>
      <c r="D891" s="4">
        <f>95.7378 * CHOOSE(CONTROL!$C$6, $C$13, 100%, $E$13) + CHOOSE(CONTROL!$C$25, 0, 0)</f>
        <v>95.737799999999993</v>
      </c>
      <c r="E891" s="4">
        <f>603.601719768957 * CHOOSE(CONTROL!$C$6, $C$13, 100%, $E$13) + CHOOSE(CONTROL!$C$25, 0, 0)</f>
        <v>603.60171976895697</v>
      </c>
    </row>
    <row r="892" spans="1:5" ht="15">
      <c r="A892" s="13">
        <v>69033</v>
      </c>
      <c r="B892" s="4">
        <f>109.5847 * CHOOSE(CONTROL!$C$6, $C$13, 100%, $E$13) + CHOOSE(CONTROL!$C$25, 0.0003, 0)</f>
        <v>109.58499999999999</v>
      </c>
      <c r="C892" s="4">
        <f>109.2722 * CHOOSE(CONTROL!$C$6, $C$13, 100%, $E$13) + CHOOSE(CONTROL!$C$25, 0.0003, 0)</f>
        <v>109.27249999999999</v>
      </c>
      <c r="D892" s="4">
        <f>92.3725 * CHOOSE(CONTROL!$C$6, $C$13, 100%, $E$13) + CHOOSE(CONTROL!$C$25, 0, 0)</f>
        <v>92.372500000000002</v>
      </c>
      <c r="E892" s="4">
        <f>594.148515639583 * CHOOSE(CONTROL!$C$6, $C$13, 100%, $E$13) + CHOOSE(CONTROL!$C$25, 0, 0)</f>
        <v>594.14851563958302</v>
      </c>
    </row>
    <row r="893" spans="1:5" ht="15">
      <c r="A893" s="13">
        <v>69064</v>
      </c>
      <c r="B893" s="4">
        <f>106.8003 * CHOOSE(CONTROL!$C$6, $C$13, 100%, $E$13) + CHOOSE(CONTROL!$C$25, 0.0003, 0)</f>
        <v>106.80059999999999</v>
      </c>
      <c r="C893" s="4">
        <f>106.4878 * CHOOSE(CONTROL!$C$6, $C$13, 100%, $E$13) + CHOOSE(CONTROL!$C$25, 0.0003, 0)</f>
        <v>106.48809999999999</v>
      </c>
      <c r="D893" s="4">
        <f>89.2794 * CHOOSE(CONTROL!$C$6, $C$13, 100%, $E$13) + CHOOSE(CONTROL!$C$25, 0, 0)</f>
        <v>89.279399999999995</v>
      </c>
      <c r="E893" s="4">
        <f>577.110600330914 * CHOOSE(CONTROL!$C$6, $C$13, 100%, $E$13) + CHOOSE(CONTROL!$C$25, 0, 0)</f>
        <v>577.11060033091405</v>
      </c>
    </row>
    <row r="894" spans="1:5" ht="15">
      <c r="A894" s="13">
        <v>69092</v>
      </c>
      <c r="B894" s="4">
        <f>109.2916 * CHOOSE(CONTROL!$C$6, $C$13, 100%, $E$13) + CHOOSE(CONTROL!$C$25, 0.0003, 0)</f>
        <v>109.2919</v>
      </c>
      <c r="C894" s="4">
        <f>108.9791 * CHOOSE(CONTROL!$C$6, $C$13, 100%, $E$13) + CHOOSE(CONTROL!$C$25, 0.0003, 0)</f>
        <v>108.9794</v>
      </c>
      <c r="D894" s="4">
        <f>92.3941 * CHOOSE(CONTROL!$C$6, $C$13, 100%, $E$13) + CHOOSE(CONTROL!$C$25, 0, 0)</f>
        <v>92.394099999999995</v>
      </c>
      <c r="E894" s="4">
        <f>590.813480323383 * CHOOSE(CONTROL!$C$6, $C$13, 100%, $E$13) + CHOOSE(CONTROL!$C$25, 0, 0)</f>
        <v>590.81348032338303</v>
      </c>
    </row>
    <row r="895" spans="1:5" ht="15">
      <c r="A895" s="13">
        <v>69123</v>
      </c>
      <c r="B895" s="4">
        <f>115.834 * CHOOSE(CONTROL!$C$6, $C$13, 100%, $E$13) + CHOOSE(CONTROL!$C$25, 0.0003, 0)</f>
        <v>115.8343</v>
      </c>
      <c r="C895" s="4">
        <f>115.5215 * CHOOSE(CONTROL!$C$6, $C$13, 100%, $E$13) + CHOOSE(CONTROL!$C$25, 0.0003, 0)</f>
        <v>115.5218</v>
      </c>
      <c r="D895" s="4">
        <f>97.27 * CHOOSE(CONTROL!$C$6, $C$13, 100%, $E$13) + CHOOSE(CONTROL!$C$25, 0, 0)</f>
        <v>97.27</v>
      </c>
      <c r="E895" s="4">
        <f>626.797971398875 * CHOOSE(CONTROL!$C$6, $C$13, 100%, $E$13) + CHOOSE(CONTROL!$C$25, 0, 0)</f>
        <v>626.79797139887501</v>
      </c>
    </row>
    <row r="896" spans="1:5" ht="15">
      <c r="A896" s="13">
        <v>69153</v>
      </c>
      <c r="B896" s="4">
        <f>120.4824 * CHOOSE(CONTROL!$C$6, $C$13, 100%, $E$13) + CHOOSE(CONTROL!$C$25, 0.0003, 0)</f>
        <v>120.48269999999999</v>
      </c>
      <c r="C896" s="4">
        <f>120.1699 * CHOOSE(CONTROL!$C$6, $C$13, 100%, $E$13) + CHOOSE(CONTROL!$C$25, 0.0003, 0)</f>
        <v>120.17019999999999</v>
      </c>
      <c r="D896" s="4">
        <f>100.0786 * CHOOSE(CONTROL!$C$6, $C$13, 100%, $E$13) + CHOOSE(CONTROL!$C$25, 0, 0)</f>
        <v>100.07859999999999</v>
      </c>
      <c r="E896" s="4">
        <f>652.365431864409 * CHOOSE(CONTROL!$C$6, $C$13, 100%, $E$13) + CHOOSE(CONTROL!$C$25, 0, 0)</f>
        <v>652.36543186440895</v>
      </c>
    </row>
    <row r="897" spans="1:5" ht="15">
      <c r="A897" s="13">
        <v>69184</v>
      </c>
      <c r="B897" s="4">
        <f>123.3225 * CHOOSE(CONTROL!$C$6, $C$13, 100%, $E$13) + CHOOSE(CONTROL!$C$25, 0.0263, 0)</f>
        <v>123.34880000000001</v>
      </c>
      <c r="C897" s="4">
        <f>123.01 * CHOOSE(CONTROL!$C$6, $C$13, 100%, $E$13) + CHOOSE(CONTROL!$C$25, 0.0263, 0)</f>
        <v>123.03630000000001</v>
      </c>
      <c r="D897" s="4">
        <f>98.9688 * CHOOSE(CONTROL!$C$6, $C$13, 100%, $E$13) + CHOOSE(CONTROL!$C$25, 0, 0)</f>
        <v>98.968800000000002</v>
      </c>
      <c r="E897" s="4">
        <f>667.986537442344 * CHOOSE(CONTROL!$C$6, $C$13, 100%, $E$13) + CHOOSE(CONTROL!$C$25, 0, 0)</f>
        <v>667.986537442344</v>
      </c>
    </row>
    <row r="898" spans="1:5" ht="15">
      <c r="A898" s="13">
        <v>69214</v>
      </c>
      <c r="B898" s="4">
        <f>123.7068 * CHOOSE(CONTROL!$C$6, $C$13, 100%, $E$13) + CHOOSE(CONTROL!$C$25, 0.0263, 0)</f>
        <v>123.73310000000001</v>
      </c>
      <c r="C898" s="4">
        <f>123.3943 * CHOOSE(CONTROL!$C$6, $C$13, 100%, $E$13) + CHOOSE(CONTROL!$C$25, 0.0263, 0)</f>
        <v>123.42060000000001</v>
      </c>
      <c r="D898" s="4">
        <f>99.8726 * CHOOSE(CONTROL!$C$6, $C$13, 100%, $E$13) + CHOOSE(CONTROL!$C$25, 0, 0)</f>
        <v>99.872600000000006</v>
      </c>
      <c r="E898" s="4">
        <f>670.100137855958 * CHOOSE(CONTROL!$C$6, $C$13, 100%, $E$13) + CHOOSE(CONTROL!$C$25, 0, 0)</f>
        <v>670.100137855958</v>
      </c>
    </row>
    <row r="899" spans="1:5" ht="15">
      <c r="A899" s="13">
        <v>69245</v>
      </c>
      <c r="B899" s="4">
        <f>123.6681 * CHOOSE(CONTROL!$C$6, $C$13, 100%, $E$13) + CHOOSE(CONTROL!$C$25, 0.0263, 0)</f>
        <v>123.6944</v>
      </c>
      <c r="C899" s="4">
        <f>123.3556 * CHOOSE(CONTROL!$C$6, $C$13, 100%, $E$13) + CHOOSE(CONTROL!$C$25, 0.0263, 0)</f>
        <v>123.3819</v>
      </c>
      <c r="D899" s="4">
        <f>101.5036 * CHOOSE(CONTROL!$C$6, $C$13, 100%, $E$13) + CHOOSE(CONTROL!$C$25, 0, 0)</f>
        <v>101.50360000000001</v>
      </c>
      <c r="E899" s="4">
        <f>669.887001679796 * CHOOSE(CONTROL!$C$6, $C$13, 100%, $E$13) + CHOOSE(CONTROL!$C$25, 0, 0)</f>
        <v>669.88700167979596</v>
      </c>
    </row>
    <row r="900" spans="1:5" ht="15">
      <c r="A900" s="13">
        <v>69276</v>
      </c>
      <c r="B900" s="4">
        <f>126.584 * CHOOSE(CONTROL!$C$6, $C$13, 100%, $E$13) + CHOOSE(CONTROL!$C$25, 0.0263, 0)</f>
        <v>126.61030000000001</v>
      </c>
      <c r="C900" s="4">
        <f>126.2715 * CHOOSE(CONTROL!$C$6, $C$13, 100%, $E$13) + CHOOSE(CONTROL!$C$25, 0.0263, 0)</f>
        <v>126.29780000000001</v>
      </c>
      <c r="D900" s="4">
        <f>100.4265 * CHOOSE(CONTROL!$C$6, $C$13, 100%, $E$13) + CHOOSE(CONTROL!$C$25, 0, 0)</f>
        <v>100.4265</v>
      </c>
      <c r="E900" s="4">
        <f>685.925498936049 * CHOOSE(CONTROL!$C$6, $C$13, 100%, $E$13) + CHOOSE(CONTROL!$C$25, 0, 0)</f>
        <v>685.92549893604905</v>
      </c>
    </row>
    <row r="901" spans="1:5" ht="15">
      <c r="A901" s="13">
        <v>69306</v>
      </c>
      <c r="B901" s="4">
        <f>121.6143 * CHOOSE(CONTROL!$C$6, $C$13, 100%, $E$13) + CHOOSE(CONTROL!$C$25, 0.0263, 0)</f>
        <v>121.64060000000001</v>
      </c>
      <c r="C901" s="4">
        <f>121.3018 * CHOOSE(CONTROL!$C$6, $C$13, 100%, $E$13) + CHOOSE(CONTROL!$C$25, 0.0263, 0)</f>
        <v>121.32810000000001</v>
      </c>
      <c r="D901" s="4">
        <f>99.9176 * CHOOSE(CONTROL!$C$6, $C$13, 100%, $E$13) + CHOOSE(CONTROL!$C$25, 0, 0)</f>
        <v>99.917599999999993</v>
      </c>
      <c r="E901" s="4">
        <f>658.590784343165 * CHOOSE(CONTROL!$C$6, $C$13, 100%, $E$13) + CHOOSE(CONTROL!$C$25, 0, 0)</f>
        <v>658.59078434316496</v>
      </c>
    </row>
    <row r="902" spans="1:5" ht="15">
      <c r="A902" s="13">
        <v>69337</v>
      </c>
      <c r="B902" s="4">
        <f>117.6359 * CHOOSE(CONTROL!$C$6, $C$13, 100%, $E$13) + CHOOSE(CONTROL!$C$25, 0.0003, 0)</f>
        <v>117.6362</v>
      </c>
      <c r="C902" s="4">
        <f>117.3234 * CHOOSE(CONTROL!$C$6, $C$13, 100%, $E$13) + CHOOSE(CONTROL!$C$25, 0.0003, 0)</f>
        <v>117.3237</v>
      </c>
      <c r="D902" s="4">
        <f>98.555 * CHOOSE(CONTROL!$C$6, $C$13, 100%, $E$13) + CHOOSE(CONTROL!$C$25, 0, 0)</f>
        <v>98.555000000000007</v>
      </c>
      <c r="E902" s="4">
        <f>636.708803590447 * CHOOSE(CONTROL!$C$6, $C$13, 100%, $E$13) + CHOOSE(CONTROL!$C$25, 0, 0)</f>
        <v>636.70880359044702</v>
      </c>
    </row>
    <row r="903" spans="1:5" ht="15">
      <c r="A903" s="13">
        <v>69367</v>
      </c>
      <c r="B903" s="4">
        <f>115.0735 * CHOOSE(CONTROL!$C$6, $C$13, 100%, $E$13) + CHOOSE(CONTROL!$C$25, 0.0003, 0)</f>
        <v>115.07379999999999</v>
      </c>
      <c r="C903" s="4">
        <f>114.761 * CHOOSE(CONTROL!$C$6, $C$13, 100%, $E$13) + CHOOSE(CONTROL!$C$25, 0.0003, 0)</f>
        <v>114.76129999999999</v>
      </c>
      <c r="D903" s="4">
        <f>98.0866 * CHOOSE(CONTROL!$C$6, $C$13, 100%, $E$13) + CHOOSE(CONTROL!$C$25, 0, 0)</f>
        <v>98.086600000000004</v>
      </c>
      <c r="E903" s="4">
        <f>622.61517394168 * CHOOSE(CONTROL!$C$6, $C$13, 100%, $E$13) + CHOOSE(CONTROL!$C$25, 0, 0)</f>
        <v>622.61517394168004</v>
      </c>
    </row>
    <row r="904" spans="1:5" ht="15">
      <c r="A904" s="13">
        <v>69398</v>
      </c>
      <c r="B904" s="4">
        <f>113.3007 * CHOOSE(CONTROL!$C$6, $C$13, 100%, $E$13) + CHOOSE(CONTROL!$C$25, 0.0003, 0)</f>
        <v>113.301</v>
      </c>
      <c r="C904" s="4">
        <f>112.9882 * CHOOSE(CONTROL!$C$6, $C$13, 100%, $E$13) + CHOOSE(CONTROL!$C$25, 0.0003, 0)</f>
        <v>112.9885</v>
      </c>
      <c r="D904" s="4">
        <f>94.6378 * CHOOSE(CONTROL!$C$6, $C$13, 100%, $E$13) + CHOOSE(CONTROL!$C$25, 0, 0)</f>
        <v>94.637799999999999</v>
      </c>
      <c r="E904" s="4">
        <f>612.86419388223 * CHOOSE(CONTROL!$C$6, $C$13, 100%, $E$13) + CHOOSE(CONTROL!$C$25, 0, 0)</f>
        <v>612.86419388222998</v>
      </c>
    </row>
    <row r="905" spans="1:5" ht="15">
      <c r="A905" s="13">
        <v>69429</v>
      </c>
      <c r="B905" s="4">
        <f>110.4202 * CHOOSE(CONTROL!$C$6, $C$13, 100%, $E$13) + CHOOSE(CONTROL!$C$25, 0.0003, 0)</f>
        <v>110.42049999999999</v>
      </c>
      <c r="C905" s="4">
        <f>110.1077 * CHOOSE(CONTROL!$C$6, $C$13, 100%, $E$13) + CHOOSE(CONTROL!$C$25, 0.0003, 0)</f>
        <v>110.10799999999999</v>
      </c>
      <c r="D905" s="4">
        <f>91.4681 * CHOOSE(CONTROL!$C$6, $C$13, 100%, $E$13) + CHOOSE(CONTROL!$C$25, 0, 0)</f>
        <v>91.468100000000007</v>
      </c>
      <c r="E905" s="4">
        <f>595.289584241338 * CHOOSE(CONTROL!$C$6, $C$13, 100%, $E$13) + CHOOSE(CONTROL!$C$25, 0, 0)</f>
        <v>595.28958424133805</v>
      </c>
    </row>
    <row r="906" spans="1:5" ht="15">
      <c r="A906" s="13">
        <v>69457</v>
      </c>
      <c r="B906" s="4">
        <f>112.9975 * CHOOSE(CONTROL!$C$6, $C$13, 100%, $E$13) + CHOOSE(CONTROL!$C$25, 0.0003, 0)</f>
        <v>112.9978</v>
      </c>
      <c r="C906" s="4">
        <f>112.685 * CHOOSE(CONTROL!$C$6, $C$13, 100%, $E$13) + CHOOSE(CONTROL!$C$25, 0.0003, 0)</f>
        <v>112.6853</v>
      </c>
      <c r="D906" s="4">
        <f>94.66 * CHOOSE(CONTROL!$C$6, $C$13, 100%, $E$13) + CHOOSE(CONTROL!$C$25, 0, 0)</f>
        <v>94.66</v>
      </c>
      <c r="E906" s="4">
        <f>609.42410495357 * CHOOSE(CONTROL!$C$6, $C$13, 100%, $E$13) + CHOOSE(CONTROL!$C$25, 0, 0)</f>
        <v>609.42410495357001</v>
      </c>
    </row>
    <row r="907" spans="1:5" ht="15">
      <c r="A907" s="13">
        <v>69488</v>
      </c>
      <c r="B907" s="4">
        <f>119.7656 * CHOOSE(CONTROL!$C$6, $C$13, 100%, $E$13) + CHOOSE(CONTROL!$C$25, 0.0003, 0)</f>
        <v>119.7659</v>
      </c>
      <c r="C907" s="4">
        <f>119.4531 * CHOOSE(CONTROL!$C$6, $C$13, 100%, $E$13) + CHOOSE(CONTROL!$C$25, 0.0003, 0)</f>
        <v>119.4534</v>
      </c>
      <c r="D907" s="4">
        <f>99.6567 * CHOOSE(CONTROL!$C$6, $C$13, 100%, $E$13) + CHOOSE(CONTROL!$C$25, 0, 0)</f>
        <v>99.656700000000001</v>
      </c>
      <c r="E907" s="4">
        <f>646.54210749794 * CHOOSE(CONTROL!$C$6, $C$13, 100%, $E$13) + CHOOSE(CONTROL!$C$25, 0, 0)</f>
        <v>646.54210749794004</v>
      </c>
    </row>
    <row r="908" spans="1:5" ht="15">
      <c r="A908" s="13">
        <v>69518</v>
      </c>
      <c r="B908" s="4">
        <f>124.5744 * CHOOSE(CONTROL!$C$6, $C$13, 100%, $E$13) + CHOOSE(CONTROL!$C$25, 0.0003, 0)</f>
        <v>124.57469999999999</v>
      </c>
      <c r="C908" s="4">
        <f>124.2619 * CHOOSE(CONTROL!$C$6, $C$13, 100%, $E$13) + CHOOSE(CONTROL!$C$25, 0.0003, 0)</f>
        <v>124.26219999999999</v>
      </c>
      <c r="D908" s="4">
        <f>102.535 * CHOOSE(CONTROL!$C$6, $C$13, 100%, $E$13) + CHOOSE(CONTROL!$C$25, 0, 0)</f>
        <v>102.535</v>
      </c>
      <c r="E908" s="4">
        <f>672.914942968138 * CHOOSE(CONTROL!$C$6, $C$13, 100%, $E$13) + CHOOSE(CONTROL!$C$25, 0, 0)</f>
        <v>672.91494296813801</v>
      </c>
    </row>
    <row r="909" spans="1:5" ht="15">
      <c r="A909" s="13">
        <v>69549</v>
      </c>
      <c r="B909" s="4">
        <f>127.5125 * CHOOSE(CONTROL!$C$6, $C$13, 100%, $E$13) + CHOOSE(CONTROL!$C$25, 0.0263, 0)</f>
        <v>127.53880000000001</v>
      </c>
      <c r="C909" s="4">
        <f>127.2 * CHOOSE(CONTROL!$C$6, $C$13, 100%, $E$13) + CHOOSE(CONTROL!$C$25, 0.0263, 0)</f>
        <v>127.22630000000001</v>
      </c>
      <c r="D909" s="4">
        <f>101.3977 * CHOOSE(CONTROL!$C$6, $C$13, 100%, $E$13) + CHOOSE(CONTROL!$C$25, 0, 0)</f>
        <v>101.3977</v>
      </c>
      <c r="E909" s="4">
        <f>689.028113371778 * CHOOSE(CONTROL!$C$6, $C$13, 100%, $E$13) + CHOOSE(CONTROL!$C$25, 0, 0)</f>
        <v>689.02811337177798</v>
      </c>
    </row>
    <row r="910" spans="1:5" ht="15">
      <c r="A910" s="13">
        <v>69579</v>
      </c>
      <c r="B910" s="4">
        <f>127.91 * CHOOSE(CONTROL!$C$6, $C$13, 100%, $E$13) + CHOOSE(CONTROL!$C$25, 0.0263, 0)</f>
        <v>127.9363</v>
      </c>
      <c r="C910" s="4">
        <f>127.5975 * CHOOSE(CONTROL!$C$6, $C$13, 100%, $E$13) + CHOOSE(CONTROL!$C$25, 0.0263, 0)</f>
        <v>127.6238</v>
      </c>
      <c r="D910" s="4">
        <f>102.324 * CHOOSE(CONTROL!$C$6, $C$13, 100%, $E$13) + CHOOSE(CONTROL!$C$25, 0, 0)</f>
        <v>102.324</v>
      </c>
      <c r="E910" s="4">
        <f>691.208292198421 * CHOOSE(CONTROL!$C$6, $C$13, 100%, $E$13) + CHOOSE(CONTROL!$C$25, 0, 0)</f>
        <v>691.20829219842096</v>
      </c>
    </row>
    <row r="911" spans="1:5" ht="15">
      <c r="A911" s="13">
        <v>69610</v>
      </c>
      <c r="B911" s="4">
        <f>127.8699 * CHOOSE(CONTROL!$C$6, $C$13, 100%, $E$13) + CHOOSE(CONTROL!$C$25, 0.0263, 0)</f>
        <v>127.89620000000001</v>
      </c>
      <c r="C911" s="4">
        <f>127.5574 * CHOOSE(CONTROL!$C$6, $C$13, 100%, $E$13) + CHOOSE(CONTROL!$C$25, 0.0263, 0)</f>
        <v>127.58370000000001</v>
      </c>
      <c r="D911" s="4">
        <f>103.9953 * CHOOSE(CONTROL!$C$6, $C$13, 100%, $E$13) + CHOOSE(CONTROL!$C$25, 0, 0)</f>
        <v>103.9953</v>
      </c>
      <c r="E911" s="4">
        <f>690.988442232709 * CHOOSE(CONTROL!$C$6, $C$13, 100%, $E$13) + CHOOSE(CONTROL!$C$25, 0, 0)</f>
        <v>690.98844223270896</v>
      </c>
    </row>
    <row r="912" spans="1:5" ht="15">
      <c r="A912" s="13">
        <v>69641</v>
      </c>
      <c r="B912" s="4">
        <f>130.8865 * CHOOSE(CONTROL!$C$6, $C$13, 100%, $E$13) + CHOOSE(CONTROL!$C$25, 0.0263, 0)</f>
        <v>130.9128</v>
      </c>
      <c r="C912" s="4">
        <f>130.574 * CHOOSE(CONTROL!$C$6, $C$13, 100%, $E$13) + CHOOSE(CONTROL!$C$25, 0.0263, 0)</f>
        <v>130.6003</v>
      </c>
      <c r="D912" s="4">
        <f>102.8915 * CHOOSE(CONTROL!$C$6, $C$13, 100%, $E$13) + CHOOSE(CONTROL!$C$25, 0, 0)</f>
        <v>102.89149999999999</v>
      </c>
      <c r="E912" s="4">
        <f>707.532152152535 * CHOOSE(CONTROL!$C$6, $C$13, 100%, $E$13) + CHOOSE(CONTROL!$C$25, 0, 0)</f>
        <v>707.53215215253499</v>
      </c>
    </row>
    <row r="913" spans="1:5" ht="15">
      <c r="A913" s="13">
        <v>69671</v>
      </c>
      <c r="B913" s="4">
        <f>125.7453 * CHOOSE(CONTROL!$C$6, $C$13, 100%, $E$13) + CHOOSE(CONTROL!$C$25, 0.0263, 0)</f>
        <v>125.77160000000001</v>
      </c>
      <c r="C913" s="4">
        <f>125.4328 * CHOOSE(CONTROL!$C$6, $C$13, 100%, $E$13) + CHOOSE(CONTROL!$C$25, 0.0263, 0)</f>
        <v>125.45910000000001</v>
      </c>
      <c r="D913" s="4">
        <f>102.37 * CHOOSE(CONTROL!$C$6, $C$13, 100%, $E$13) + CHOOSE(CONTROL!$C$25, 0, 0)</f>
        <v>102.37</v>
      </c>
      <c r="E913" s="4">
        <f>679.336394049975 * CHOOSE(CONTROL!$C$6, $C$13, 100%, $E$13) + CHOOSE(CONTROL!$C$25, 0, 0)</f>
        <v>679.33639404997496</v>
      </c>
    </row>
    <row r="914" spans="1:5" ht="15">
      <c r="A914" s="13">
        <v>69702</v>
      </c>
      <c r="B914" s="4">
        <f>121.6296 * CHOOSE(CONTROL!$C$6, $C$13, 100%, $E$13) + CHOOSE(CONTROL!$C$25, 0.0003, 0)</f>
        <v>121.62989999999999</v>
      </c>
      <c r="C914" s="4">
        <f>121.3171 * CHOOSE(CONTROL!$C$6, $C$13, 100%, $E$13) + CHOOSE(CONTROL!$C$25, 0.0003, 0)</f>
        <v>121.31739999999999</v>
      </c>
      <c r="D914" s="4">
        <f>100.9737 * CHOOSE(CONTROL!$C$6, $C$13, 100%, $E$13) + CHOOSE(CONTROL!$C$25, 0, 0)</f>
        <v>100.97369999999999</v>
      </c>
      <c r="E914" s="4">
        <f>656.765130903546 * CHOOSE(CONTROL!$C$6, $C$13, 100%, $E$13) + CHOOSE(CONTROL!$C$25, 0, 0)</f>
        <v>656.76513090354604</v>
      </c>
    </row>
    <row r="915" spans="1:5" ht="15">
      <c r="A915" s="13">
        <v>69732</v>
      </c>
      <c r="B915" s="4">
        <f>118.9789 * CHOOSE(CONTROL!$C$6, $C$13, 100%, $E$13) + CHOOSE(CONTROL!$C$25, 0.0003, 0)</f>
        <v>118.97919999999999</v>
      </c>
      <c r="C915" s="4">
        <f>118.6664 * CHOOSE(CONTROL!$C$6, $C$13, 100%, $E$13) + CHOOSE(CONTROL!$C$25, 0.0003, 0)</f>
        <v>118.66669999999999</v>
      </c>
      <c r="D915" s="4">
        <f>100.4936 * CHOOSE(CONTROL!$C$6, $C$13, 100%, $E$13) + CHOOSE(CONTROL!$C$25, 0, 0)</f>
        <v>100.4936</v>
      </c>
      <c r="E915" s="4">
        <f>642.227551920843 * CHOOSE(CONTROL!$C$6, $C$13, 100%, $E$13) + CHOOSE(CONTROL!$C$25, 0, 0)</f>
        <v>642.22755192084298</v>
      </c>
    </row>
    <row r="916" spans="1:5" ht="15">
      <c r="A916" s="13">
        <v>69763</v>
      </c>
      <c r="B916" s="4">
        <f>117.1449 * CHOOSE(CONTROL!$C$6, $C$13, 100%, $E$13) + CHOOSE(CONTROL!$C$25, 0.0003, 0)</f>
        <v>117.1452</v>
      </c>
      <c r="C916" s="4">
        <f>116.8324 * CHOOSE(CONTROL!$C$6, $C$13, 100%, $E$13) + CHOOSE(CONTROL!$C$25, 0.0003, 0)</f>
        <v>116.8327</v>
      </c>
      <c r="D916" s="4">
        <f>96.9593 * CHOOSE(CONTROL!$C$6, $C$13, 100%, $E$13) + CHOOSE(CONTROL!$C$25, 0, 0)</f>
        <v>96.959299999999999</v>
      </c>
      <c r="E916" s="4">
        <f>632.16941598952 * CHOOSE(CONTROL!$C$6, $C$13, 100%, $E$13) + CHOOSE(CONTROL!$C$25, 0, 0)</f>
        <v>632.16941598951996</v>
      </c>
    </row>
    <row r="917" spans="1:5" ht="15">
      <c r="A917" s="13">
        <v>69794</v>
      </c>
      <c r="B917" s="4">
        <f>114.165 * CHOOSE(CONTROL!$C$6, $C$13, 100%, $E$13) + CHOOSE(CONTROL!$C$25, 0.0003, 0)</f>
        <v>114.1653</v>
      </c>
      <c r="C917" s="4">
        <f>113.8525 * CHOOSE(CONTROL!$C$6, $C$13, 100%, $E$13) + CHOOSE(CONTROL!$C$25, 0.0003, 0)</f>
        <v>113.8528</v>
      </c>
      <c r="D917" s="4">
        <f>93.7109 * CHOOSE(CONTROL!$C$6, $C$13, 100%, $E$13) + CHOOSE(CONTROL!$C$25, 0, 0)</f>
        <v>93.710899999999995</v>
      </c>
      <c r="E917" s="4">
        <f>614.04120614494 * CHOOSE(CONTROL!$C$6, $C$13, 100%, $E$13) + CHOOSE(CONTROL!$C$25, 0, 0)</f>
        <v>614.04120614494002</v>
      </c>
    </row>
    <row r="918" spans="1:5" ht="15">
      <c r="A918" s="13">
        <v>69822</v>
      </c>
      <c r="B918" s="4">
        <f>116.8312 * CHOOSE(CONTROL!$C$6, $C$13, 100%, $E$13) + CHOOSE(CONTROL!$C$25, 0.0003, 0)</f>
        <v>116.83149999999999</v>
      </c>
      <c r="C918" s="4">
        <f>116.5187 * CHOOSE(CONTROL!$C$6, $C$13, 100%, $E$13) + CHOOSE(CONTROL!$C$25, 0.0003, 0)</f>
        <v>116.51899999999999</v>
      </c>
      <c r="D918" s="4">
        <f>96.982 * CHOOSE(CONTROL!$C$6, $C$13, 100%, $E$13) + CHOOSE(CONTROL!$C$25, 0, 0)</f>
        <v>96.981999999999999</v>
      </c>
      <c r="E918" s="4">
        <f>628.620964259607 * CHOOSE(CONTROL!$C$6, $C$13, 100%, $E$13) + CHOOSE(CONTROL!$C$25, 0, 0)</f>
        <v>628.62096425960704</v>
      </c>
    </row>
    <row r="919" spans="1:5" ht="15">
      <c r="A919" s="13">
        <v>69853</v>
      </c>
      <c r="B919" s="4">
        <f>123.8328 * CHOOSE(CONTROL!$C$6, $C$13, 100%, $E$13) + CHOOSE(CONTROL!$C$25, 0.0003, 0)</f>
        <v>123.8331</v>
      </c>
      <c r="C919" s="4">
        <f>123.5203 * CHOOSE(CONTROL!$C$6, $C$13, 100%, $E$13) + CHOOSE(CONTROL!$C$25, 0.0003, 0)</f>
        <v>123.5206</v>
      </c>
      <c r="D919" s="4">
        <f>102.1027 * CHOOSE(CONTROL!$C$6, $C$13, 100%, $E$13) + CHOOSE(CONTROL!$C$25, 0, 0)</f>
        <v>102.1027</v>
      </c>
      <c r="E919" s="4">
        <f>666.908183884125 * CHOOSE(CONTROL!$C$6, $C$13, 100%, $E$13) + CHOOSE(CONTROL!$C$25, 0, 0)</f>
        <v>666.90818388412504</v>
      </c>
    </row>
    <row r="920" spans="1:5" ht="15">
      <c r="A920" s="13">
        <v>69883</v>
      </c>
      <c r="B920" s="4">
        <f>128.8075 * CHOOSE(CONTROL!$C$6, $C$13, 100%, $E$13) + CHOOSE(CONTROL!$C$25, 0.0003, 0)</f>
        <v>128.80780000000001</v>
      </c>
      <c r="C920" s="4">
        <f>128.495 * CHOOSE(CONTROL!$C$6, $C$13, 100%, $E$13) + CHOOSE(CONTROL!$C$25, 0.0003, 0)</f>
        <v>128.49530000000001</v>
      </c>
      <c r="D920" s="4">
        <f>105.0524 * CHOOSE(CONTROL!$C$6, $C$13, 100%, $E$13) + CHOOSE(CONTROL!$C$25, 0, 0)</f>
        <v>105.05240000000001</v>
      </c>
      <c r="E920" s="4">
        <f>694.111763671635 * CHOOSE(CONTROL!$C$6, $C$13, 100%, $E$13) + CHOOSE(CONTROL!$C$25, 0, 0)</f>
        <v>694.111763671635</v>
      </c>
    </row>
    <row r="921" spans="1:5" ht="15">
      <c r="A921" s="13">
        <v>69914</v>
      </c>
      <c r="B921" s="4">
        <f>131.847 * CHOOSE(CONTROL!$C$6, $C$13, 100%, $E$13) + CHOOSE(CONTROL!$C$25, 0.0263, 0)</f>
        <v>131.8733</v>
      </c>
      <c r="C921" s="4">
        <f>131.5345 * CHOOSE(CONTROL!$C$6, $C$13, 100%, $E$13) + CHOOSE(CONTROL!$C$25, 0.0263, 0)</f>
        <v>131.5608</v>
      </c>
      <c r="D921" s="4">
        <f>103.8868 * CHOOSE(CONTROL!$C$6, $C$13, 100%, $E$13) + CHOOSE(CONTROL!$C$25, 0, 0)</f>
        <v>103.88679999999999</v>
      </c>
      <c r="E921" s="4">
        <f>710.732498942989 * CHOOSE(CONTROL!$C$6, $C$13, 100%, $E$13) + CHOOSE(CONTROL!$C$25, 0, 0)</f>
        <v>710.73249894298897</v>
      </c>
    </row>
    <row r="922" spans="1:5" ht="15">
      <c r="A922" s="13">
        <v>69944</v>
      </c>
      <c r="B922" s="4">
        <f>132.2582 * CHOOSE(CONTROL!$C$6, $C$13, 100%, $E$13) + CHOOSE(CONTROL!$C$25, 0.0263, 0)</f>
        <v>132.28449999999998</v>
      </c>
      <c r="C922" s="4">
        <f>131.9457 * CHOOSE(CONTROL!$C$6, $C$13, 100%, $E$13) + CHOOSE(CONTROL!$C$25, 0.0263, 0)</f>
        <v>131.97199999999998</v>
      </c>
      <c r="D922" s="4">
        <f>104.8361 * CHOOSE(CONTROL!$C$6, $C$13, 100%, $E$13) + CHOOSE(CONTROL!$C$25, 0, 0)</f>
        <v>104.8361</v>
      </c>
      <c r="E922" s="4">
        <f>712.981353402671 * CHOOSE(CONTROL!$C$6, $C$13, 100%, $E$13) + CHOOSE(CONTROL!$C$25, 0, 0)</f>
        <v>712.98135340267095</v>
      </c>
    </row>
    <row r="923" spans="1:5" ht="15">
      <c r="A923" s="13">
        <v>69975</v>
      </c>
      <c r="B923" s="4">
        <f>132.2167 * CHOOSE(CONTROL!$C$6, $C$13, 100%, $E$13) + CHOOSE(CONTROL!$C$25, 0.0263, 0)</f>
        <v>132.24299999999999</v>
      </c>
      <c r="C923" s="4">
        <f>131.9042 * CHOOSE(CONTROL!$C$6, $C$13, 100%, $E$13) + CHOOSE(CONTROL!$C$25, 0.0263, 0)</f>
        <v>131.93049999999999</v>
      </c>
      <c r="D923" s="4">
        <f>106.5489 * CHOOSE(CONTROL!$C$6, $C$13, 100%, $E$13) + CHOOSE(CONTROL!$C$25, 0, 0)</f>
        <v>106.5489</v>
      </c>
      <c r="E923" s="4">
        <f>712.75457816304 * CHOOSE(CONTROL!$C$6, $C$13, 100%, $E$13) + CHOOSE(CONTROL!$C$25, 0, 0)</f>
        <v>712.75457816304004</v>
      </c>
    </row>
    <row r="924" spans="1:5" ht="15">
      <c r="A924" s="13">
        <v>70006</v>
      </c>
      <c r="B924" s="4">
        <f>135.3374 * CHOOSE(CONTROL!$C$6, $C$13, 100%, $E$13) + CHOOSE(CONTROL!$C$25, 0.0263, 0)</f>
        <v>135.36369999999999</v>
      </c>
      <c r="C924" s="4">
        <f>135.0249 * CHOOSE(CONTROL!$C$6, $C$13, 100%, $E$13) + CHOOSE(CONTROL!$C$25, 0.0263, 0)</f>
        <v>135.05119999999999</v>
      </c>
      <c r="D924" s="4">
        <f>105.4177 * CHOOSE(CONTROL!$C$6, $C$13, 100%, $E$13) + CHOOSE(CONTROL!$C$25, 0, 0)</f>
        <v>105.4177</v>
      </c>
      <c r="E924" s="4">
        <f>729.81941494534 * CHOOSE(CONTROL!$C$6, $C$13, 100%, $E$13) + CHOOSE(CONTROL!$C$25, 0, 0)</f>
        <v>729.81941494533999</v>
      </c>
    </row>
    <row r="925" spans="1:5" ht="15">
      <c r="A925" s="13">
        <v>70036</v>
      </c>
      <c r="B925" s="4">
        <f>130.0188 * CHOOSE(CONTROL!$C$6, $C$13, 100%, $E$13) + CHOOSE(CONTROL!$C$25, 0.0263, 0)</f>
        <v>130.04509999999999</v>
      </c>
      <c r="C925" s="4">
        <f>129.7063 * CHOOSE(CONTROL!$C$6, $C$13, 100%, $E$13) + CHOOSE(CONTROL!$C$25, 0.0263, 0)</f>
        <v>129.73259999999999</v>
      </c>
      <c r="D925" s="4">
        <f>104.8833 * CHOOSE(CONTROL!$C$6, $C$13, 100%, $E$13) + CHOOSE(CONTROL!$C$25, 0, 0)</f>
        <v>104.88330000000001</v>
      </c>
      <c r="E925" s="4">
        <f>700.735490462549 * CHOOSE(CONTROL!$C$6, $C$13, 100%, $E$13) + CHOOSE(CONTROL!$C$25, 0, 0)</f>
        <v>700.73549046254902</v>
      </c>
    </row>
    <row r="926" spans="1:5" ht="15">
      <c r="A926" s="13">
        <v>70067</v>
      </c>
      <c r="B926" s="4">
        <f>125.7612 * CHOOSE(CONTROL!$C$6, $C$13, 100%, $E$13) + CHOOSE(CONTROL!$C$25, 0.0003, 0)</f>
        <v>125.7615</v>
      </c>
      <c r="C926" s="4">
        <f>125.4487 * CHOOSE(CONTROL!$C$6, $C$13, 100%, $E$13) + CHOOSE(CONTROL!$C$25, 0.0003, 0)</f>
        <v>125.449</v>
      </c>
      <c r="D926" s="4">
        <f>103.4523 * CHOOSE(CONTROL!$C$6, $C$13, 100%, $E$13) + CHOOSE(CONTROL!$C$25, 0, 0)</f>
        <v>103.45229999999999</v>
      </c>
      <c r="E926" s="4">
        <f>677.453232527008 * CHOOSE(CONTROL!$C$6, $C$13, 100%, $E$13) + CHOOSE(CONTROL!$C$25, 0, 0)</f>
        <v>677.45323252700803</v>
      </c>
    </row>
    <row r="927" spans="1:5" ht="15">
      <c r="A927" s="13">
        <v>70097</v>
      </c>
      <c r="B927" s="4">
        <f>123.0189 * CHOOSE(CONTROL!$C$6, $C$13, 100%, $E$13) + CHOOSE(CONTROL!$C$25, 0.0003, 0)</f>
        <v>123.0192</v>
      </c>
      <c r="C927" s="4">
        <f>122.7064 * CHOOSE(CONTROL!$C$6, $C$13, 100%, $E$13) + CHOOSE(CONTROL!$C$25, 0.0003, 0)</f>
        <v>122.7067</v>
      </c>
      <c r="D927" s="4">
        <f>102.9603 * CHOOSE(CONTROL!$C$6, $C$13, 100%, $E$13) + CHOOSE(CONTROL!$C$25, 0, 0)</f>
        <v>102.9603</v>
      </c>
      <c r="E927" s="4">
        <f>662.457719806349 * CHOOSE(CONTROL!$C$6, $C$13, 100%, $E$13) + CHOOSE(CONTROL!$C$25, 0, 0)</f>
        <v>662.45771980634902</v>
      </c>
    </row>
    <row r="928" spans="1:5" ht="15">
      <c r="A928" s="13">
        <v>70128</v>
      </c>
      <c r="B928" s="4">
        <f>121.1217 * CHOOSE(CONTROL!$C$6, $C$13, 100%, $E$13) + CHOOSE(CONTROL!$C$25, 0.0003, 0)</f>
        <v>121.122</v>
      </c>
      <c r="C928" s="4">
        <f>120.8092 * CHOOSE(CONTROL!$C$6, $C$13, 100%, $E$13) + CHOOSE(CONTROL!$C$25, 0.0003, 0)</f>
        <v>120.8095</v>
      </c>
      <c r="D928" s="4">
        <f>99.3383 * CHOOSE(CONTROL!$C$6, $C$13, 100%, $E$13) + CHOOSE(CONTROL!$C$25, 0, 0)</f>
        <v>99.338300000000004</v>
      </c>
      <c r="E928" s="4">
        <f>652.08275259319 * CHOOSE(CONTROL!$C$6, $C$13, 100%, $E$13) + CHOOSE(CONTROL!$C$25, 0, 0)</f>
        <v>652.08275259318998</v>
      </c>
    </row>
    <row r="929" spans="1:5" ht="15">
      <c r="A929" s="13">
        <v>70159</v>
      </c>
      <c r="B929" s="4">
        <f>118.039 * CHOOSE(CONTROL!$C$6, $C$13, 100%, $E$13) + CHOOSE(CONTROL!$C$25, 0.0003, 0)</f>
        <v>118.0393</v>
      </c>
      <c r="C929" s="4">
        <f>117.7265 * CHOOSE(CONTROL!$C$6, $C$13, 100%, $E$13) + CHOOSE(CONTROL!$C$25, 0.0003, 0)</f>
        <v>117.7268</v>
      </c>
      <c r="D929" s="4">
        <f>96.0094 * CHOOSE(CONTROL!$C$6, $C$13, 100%, $E$13) + CHOOSE(CONTROL!$C$25, 0, 0)</f>
        <v>96.009399999999999</v>
      </c>
      <c r="E929" s="4">
        <f>633.383504138506 * CHOOSE(CONTROL!$C$6, $C$13, 100%, $E$13) + CHOOSE(CONTROL!$C$25, 0, 0)</f>
        <v>633.38350413850605</v>
      </c>
    </row>
    <row r="930" spans="1:5" ht="15">
      <c r="A930" s="13">
        <v>70188</v>
      </c>
      <c r="B930" s="4">
        <f>120.7972 * CHOOSE(CONTROL!$C$6, $C$13, 100%, $E$13) + CHOOSE(CONTROL!$C$25, 0.0003, 0)</f>
        <v>120.7975</v>
      </c>
      <c r="C930" s="4">
        <f>120.4847 * CHOOSE(CONTROL!$C$6, $C$13, 100%, $E$13) + CHOOSE(CONTROL!$C$25, 0.0003, 0)</f>
        <v>120.485</v>
      </c>
      <c r="D930" s="4">
        <f>99.3617 * CHOOSE(CONTROL!$C$6, $C$13, 100%, $E$13) + CHOOSE(CONTROL!$C$25, 0, 0)</f>
        <v>99.361699999999999</v>
      </c>
      <c r="E930" s="4">
        <f>648.422524633785 * CHOOSE(CONTROL!$C$6, $C$13, 100%, $E$13) + CHOOSE(CONTROL!$C$25, 0, 0)</f>
        <v>648.42252463378497</v>
      </c>
    </row>
    <row r="931" spans="1:5" ht="15">
      <c r="A931" s="13">
        <v>70219</v>
      </c>
      <c r="B931" s="4">
        <f>128.0403 * CHOOSE(CONTROL!$C$6, $C$13, 100%, $E$13) + CHOOSE(CONTROL!$C$25, 0.0003, 0)</f>
        <v>128.04060000000001</v>
      </c>
      <c r="C931" s="4">
        <f>127.7278 * CHOOSE(CONTROL!$C$6, $C$13, 100%, $E$13) + CHOOSE(CONTROL!$C$25, 0.0003, 0)</f>
        <v>127.7281</v>
      </c>
      <c r="D931" s="4">
        <f>104.6093 * CHOOSE(CONTROL!$C$6, $C$13, 100%, $E$13) + CHOOSE(CONTROL!$C$25, 0, 0)</f>
        <v>104.6093</v>
      </c>
      <c r="E931" s="4">
        <f>687.915791676475 * CHOOSE(CONTROL!$C$6, $C$13, 100%, $E$13) + CHOOSE(CONTROL!$C$25, 0, 0)</f>
        <v>687.91579167647501</v>
      </c>
    </row>
    <row r="932" spans="1:5" ht="15">
      <c r="A932" s="13">
        <v>70249</v>
      </c>
      <c r="B932" s="4">
        <f>133.1867 * CHOOSE(CONTROL!$C$6, $C$13, 100%, $E$13) + CHOOSE(CONTROL!$C$25, 0.0003, 0)</f>
        <v>133.18700000000001</v>
      </c>
      <c r="C932" s="4">
        <f>132.8742 * CHOOSE(CONTROL!$C$6, $C$13, 100%, $E$13) + CHOOSE(CONTROL!$C$25, 0.0003, 0)</f>
        <v>132.87450000000001</v>
      </c>
      <c r="D932" s="4">
        <f>107.6322 * CHOOSE(CONTROL!$C$6, $C$13, 100%, $E$13) + CHOOSE(CONTROL!$C$25, 0, 0)</f>
        <v>107.6322</v>
      </c>
      <c r="E932" s="4">
        <f>715.976284227291 * CHOOSE(CONTROL!$C$6, $C$13, 100%, $E$13) + CHOOSE(CONTROL!$C$25, 0, 0)</f>
        <v>715.97628422729099</v>
      </c>
    </row>
    <row r="933" spans="1:5" ht="15">
      <c r="A933" s="13">
        <v>70280</v>
      </c>
      <c r="B933" s="4">
        <f>136.331 * CHOOSE(CONTROL!$C$6, $C$13, 100%, $E$13) + CHOOSE(CONTROL!$C$25, 0.0263, 0)</f>
        <v>136.35729999999998</v>
      </c>
      <c r="C933" s="4">
        <f>136.0185 * CHOOSE(CONTROL!$C$6, $C$13, 100%, $E$13) + CHOOSE(CONTROL!$C$25, 0.0263, 0)</f>
        <v>136.04479999999998</v>
      </c>
      <c r="D933" s="4">
        <f>106.4377 * CHOOSE(CONTROL!$C$6, $C$13, 100%, $E$13) + CHOOSE(CONTROL!$C$25, 0, 0)</f>
        <v>106.43770000000001</v>
      </c>
      <c r="E933" s="4">
        <f>733.120572659693 * CHOOSE(CONTROL!$C$6, $C$13, 100%, $E$13) + CHOOSE(CONTROL!$C$25, 0, 0)</f>
        <v>733.12057265969304</v>
      </c>
    </row>
    <row r="934" spans="1:5" ht="15">
      <c r="A934" s="13">
        <v>70310</v>
      </c>
      <c r="B934" s="4">
        <f>136.7564 * CHOOSE(CONTROL!$C$6, $C$13, 100%, $E$13) + CHOOSE(CONTROL!$C$25, 0.0263, 0)</f>
        <v>136.78270000000001</v>
      </c>
      <c r="C934" s="4">
        <f>136.4439 * CHOOSE(CONTROL!$C$6, $C$13, 100%, $E$13) + CHOOSE(CONTROL!$C$25, 0.0263, 0)</f>
        <v>136.47020000000001</v>
      </c>
      <c r="D934" s="4">
        <f>107.4105 * CHOOSE(CONTROL!$C$6, $C$13, 100%, $E$13) + CHOOSE(CONTROL!$C$25, 0, 0)</f>
        <v>107.4105</v>
      </c>
      <c r="E934" s="4">
        <f>735.440266034856 * CHOOSE(CONTROL!$C$6, $C$13, 100%, $E$13) + CHOOSE(CONTROL!$C$25, 0, 0)</f>
        <v>735.44026603485599</v>
      </c>
    </row>
    <row r="935" spans="1:5" ht="15">
      <c r="A935" s="13">
        <v>70341</v>
      </c>
      <c r="B935" s="4">
        <f>136.7135 * CHOOSE(CONTROL!$C$6, $C$13, 100%, $E$13) + CHOOSE(CONTROL!$C$25, 0.0263, 0)</f>
        <v>136.7398</v>
      </c>
      <c r="C935" s="4">
        <f>136.401 * CHOOSE(CONTROL!$C$6, $C$13, 100%, $E$13) + CHOOSE(CONTROL!$C$25, 0.0263, 0)</f>
        <v>136.4273</v>
      </c>
      <c r="D935" s="4">
        <f>109.1658 * CHOOSE(CONTROL!$C$6, $C$13, 100%, $E$13) + CHOOSE(CONTROL!$C$25, 0, 0)</f>
        <v>109.1658</v>
      </c>
      <c r="E935" s="4">
        <f>735.206347375175 * CHOOSE(CONTROL!$C$6, $C$13, 100%, $E$13) + CHOOSE(CONTROL!$C$25, 0, 0)</f>
        <v>735.20634737517503</v>
      </c>
    </row>
    <row r="936" spans="1:5" ht="15">
      <c r="A936" s="13">
        <v>70372</v>
      </c>
      <c r="B936" s="4">
        <f>139.9419 * CHOOSE(CONTROL!$C$6, $C$13, 100%, $E$13) + CHOOSE(CONTROL!$C$25, 0.0263, 0)</f>
        <v>139.9682</v>
      </c>
      <c r="C936" s="4">
        <f>139.6294 * CHOOSE(CONTROL!$C$6, $C$13, 100%, $E$13) + CHOOSE(CONTROL!$C$25, 0.0263, 0)</f>
        <v>139.6557</v>
      </c>
      <c r="D936" s="4">
        <f>108.0066 * CHOOSE(CONTROL!$C$6, $C$13, 100%, $E$13) + CHOOSE(CONTROL!$C$25, 0, 0)</f>
        <v>108.00660000000001</v>
      </c>
      <c r="E936" s="4">
        <f>752.808726516118 * CHOOSE(CONTROL!$C$6, $C$13, 100%, $E$13) + CHOOSE(CONTROL!$C$25, 0, 0)</f>
        <v>752.80872651611799</v>
      </c>
    </row>
    <row r="937" spans="1:5" ht="15">
      <c r="A937" s="13">
        <v>70402</v>
      </c>
      <c r="B937" s="4">
        <f>134.4398 * CHOOSE(CONTROL!$C$6, $C$13, 100%, $E$13) + CHOOSE(CONTROL!$C$25, 0.0263, 0)</f>
        <v>134.46609999999998</v>
      </c>
      <c r="C937" s="4">
        <f>134.1273 * CHOOSE(CONTROL!$C$6, $C$13, 100%, $E$13) + CHOOSE(CONTROL!$C$25, 0.0263, 0)</f>
        <v>134.15359999999998</v>
      </c>
      <c r="D937" s="4">
        <f>107.4589 * CHOOSE(CONTROL!$C$6, $C$13, 100%, $E$13) + CHOOSE(CONTROL!$C$25, 0, 0)</f>
        <v>107.4589</v>
      </c>
      <c r="E937" s="4">
        <f>722.80865841212 * CHOOSE(CONTROL!$C$6, $C$13, 100%, $E$13) + CHOOSE(CONTROL!$C$25, 0, 0)</f>
        <v>722.80865841212005</v>
      </c>
    </row>
    <row r="938" spans="1:5" ht="15">
      <c r="A938" s="13">
        <v>70433</v>
      </c>
      <c r="B938" s="4">
        <f>130.0352 * CHOOSE(CONTROL!$C$6, $C$13, 100%, $E$13) + CHOOSE(CONTROL!$C$25, 0.0003, 0)</f>
        <v>130.03550000000001</v>
      </c>
      <c r="C938" s="4">
        <f>129.7227 * CHOOSE(CONTROL!$C$6, $C$13, 100%, $E$13) + CHOOSE(CONTROL!$C$25, 0.0003, 0)</f>
        <v>129.72300000000001</v>
      </c>
      <c r="D938" s="4">
        <f>105.9924 * CHOOSE(CONTROL!$C$6, $C$13, 100%, $E$13) + CHOOSE(CONTROL!$C$25, 0, 0)</f>
        <v>105.9924</v>
      </c>
      <c r="E938" s="4">
        <f>698.793009351609 * CHOOSE(CONTROL!$C$6, $C$13, 100%, $E$13) + CHOOSE(CONTROL!$C$25, 0, 0)</f>
        <v>698.79300935160904</v>
      </c>
    </row>
    <row r="939" spans="1:5" ht="15">
      <c r="A939" s="13">
        <v>70463</v>
      </c>
      <c r="B939" s="4">
        <f>127.1984 * CHOOSE(CONTROL!$C$6, $C$13, 100%, $E$13) + CHOOSE(CONTROL!$C$25, 0.0003, 0)</f>
        <v>127.1987</v>
      </c>
      <c r="C939" s="4">
        <f>126.8859 * CHOOSE(CONTROL!$C$6, $C$13, 100%, $E$13) + CHOOSE(CONTROL!$C$25, 0.0003, 0)</f>
        <v>126.8862</v>
      </c>
      <c r="D939" s="4">
        <f>105.4882 * CHOOSE(CONTROL!$C$6, $C$13, 100%, $E$13) + CHOOSE(CONTROL!$C$25, 0, 0)</f>
        <v>105.48820000000001</v>
      </c>
      <c r="E939" s="4">
        <f>683.325137980249 * CHOOSE(CONTROL!$C$6, $C$13, 100%, $E$13) + CHOOSE(CONTROL!$C$25, 0, 0)</f>
        <v>683.325137980249</v>
      </c>
    </row>
    <row r="940" spans="1:5" ht="15">
      <c r="A940" s="13">
        <v>70494</v>
      </c>
      <c r="B940" s="4">
        <f>125.2357 * CHOOSE(CONTROL!$C$6, $C$13, 100%, $E$13) + CHOOSE(CONTROL!$C$25, 0.0003, 0)</f>
        <v>125.23599999999999</v>
      </c>
      <c r="C940" s="4">
        <f>124.9232 * CHOOSE(CONTROL!$C$6, $C$13, 100%, $E$13) + CHOOSE(CONTROL!$C$25, 0.0003, 0)</f>
        <v>124.92349999999999</v>
      </c>
      <c r="D940" s="4">
        <f>101.7764 * CHOOSE(CONTROL!$C$6, $C$13, 100%, $E$13) + CHOOSE(CONTROL!$C$25, 0, 0)</f>
        <v>101.7764</v>
      </c>
      <c r="E940" s="4">
        <f>672.623359299876 * CHOOSE(CONTROL!$C$6, $C$13, 100%, $E$13) + CHOOSE(CONTROL!$C$25, 0, 0)</f>
        <v>672.62335929987603</v>
      </c>
    </row>
    <row r="941" spans="1:5" ht="15">
      <c r="A941" s="13">
        <v>70525</v>
      </c>
      <c r="B941" s="4">
        <f>122.0467 * CHOOSE(CONTROL!$C$6, $C$13, 100%, $E$13) + CHOOSE(CONTROL!$C$25, 0.0003, 0)</f>
        <v>122.047</v>
      </c>
      <c r="C941" s="4">
        <f>121.7342 * CHOOSE(CONTROL!$C$6, $C$13, 100%, $E$13) + CHOOSE(CONTROL!$C$25, 0.0003, 0)</f>
        <v>121.7345</v>
      </c>
      <c r="D941" s="4">
        <f>98.365 * CHOOSE(CONTROL!$C$6, $C$13, 100%, $E$13) + CHOOSE(CONTROL!$C$25, 0, 0)</f>
        <v>98.364999999999995</v>
      </c>
      <c r="E941" s="4">
        <f>653.335084518869 * CHOOSE(CONTROL!$C$6, $C$13, 100%, $E$13) + CHOOSE(CONTROL!$C$25, 0, 0)</f>
        <v>653.33508451886905</v>
      </c>
    </row>
    <row r="942" spans="1:5" ht="15">
      <c r="A942" s="13">
        <v>70553</v>
      </c>
      <c r="B942" s="4">
        <f>124.9 * CHOOSE(CONTROL!$C$6, $C$13, 100%, $E$13) + CHOOSE(CONTROL!$C$25, 0.0003, 0)</f>
        <v>124.9003</v>
      </c>
      <c r="C942" s="4">
        <f>124.5875 * CHOOSE(CONTROL!$C$6, $C$13, 100%, $E$13) + CHOOSE(CONTROL!$C$25, 0.0003, 0)</f>
        <v>124.5878</v>
      </c>
      <c r="D942" s="4">
        <f>101.8003 * CHOOSE(CONTROL!$C$6, $C$13, 100%, $E$13) + CHOOSE(CONTROL!$C$25, 0, 0)</f>
        <v>101.80029999999999</v>
      </c>
      <c r="E942" s="4">
        <f>668.847834159749 * CHOOSE(CONTROL!$C$6, $C$13, 100%, $E$13) + CHOOSE(CONTROL!$C$25, 0, 0)</f>
        <v>668.84783415974903</v>
      </c>
    </row>
    <row r="943" spans="1:5" ht="15">
      <c r="A943" s="13">
        <v>70584</v>
      </c>
      <c r="B943" s="4">
        <f>132.393 * CHOOSE(CONTROL!$C$6, $C$13, 100%, $E$13) + CHOOSE(CONTROL!$C$25, 0.0003, 0)</f>
        <v>132.39330000000001</v>
      </c>
      <c r="C943" s="4">
        <f>132.0805 * CHOOSE(CONTROL!$C$6, $C$13, 100%, $E$13) + CHOOSE(CONTROL!$C$25, 0.0003, 0)</f>
        <v>132.08080000000001</v>
      </c>
      <c r="D943" s="4">
        <f>107.1781 * CHOOSE(CONTROL!$C$6, $C$13, 100%, $E$13) + CHOOSE(CONTROL!$C$25, 0, 0)</f>
        <v>107.1781</v>
      </c>
      <c r="E943" s="4">
        <f>709.585139114284 * CHOOSE(CONTROL!$C$6, $C$13, 100%, $E$13) + CHOOSE(CONTROL!$C$25, 0, 0)</f>
        <v>709.58513911428395</v>
      </c>
    </row>
    <row r="944" spans="1:5" ht="15">
      <c r="A944" s="13">
        <v>70614</v>
      </c>
      <c r="B944" s="4">
        <f>137.717 * CHOOSE(CONTROL!$C$6, $C$13, 100%, $E$13) + CHOOSE(CONTROL!$C$25, 0.0003, 0)</f>
        <v>137.71730000000002</v>
      </c>
      <c r="C944" s="4">
        <f>137.4045 * CHOOSE(CONTROL!$C$6, $C$13, 100%, $E$13) + CHOOSE(CONTROL!$C$25, 0.0003, 0)</f>
        <v>137.40480000000002</v>
      </c>
      <c r="D944" s="4">
        <f>110.2759 * CHOOSE(CONTROL!$C$6, $C$13, 100%, $E$13) + CHOOSE(CONTROL!$C$25, 0, 0)</f>
        <v>110.27589999999999</v>
      </c>
      <c r="E944" s="4">
        <f>738.529537180451 * CHOOSE(CONTROL!$C$6, $C$13, 100%, $E$13) + CHOOSE(CONTROL!$C$25, 0, 0)</f>
        <v>738.52953718045103</v>
      </c>
    </row>
    <row r="945" spans="1:5" ht="15">
      <c r="A945" s="13">
        <v>70645</v>
      </c>
      <c r="B945" s="4">
        <f>140.9697 * CHOOSE(CONTROL!$C$6, $C$13, 100%, $E$13) + CHOOSE(CONTROL!$C$25, 0.0263, 0)</f>
        <v>140.99599999999998</v>
      </c>
      <c r="C945" s="4">
        <f>140.6572 * CHOOSE(CONTROL!$C$6, $C$13, 100%, $E$13) + CHOOSE(CONTROL!$C$25, 0.0263, 0)</f>
        <v>140.68349999999998</v>
      </c>
      <c r="D945" s="4">
        <f>109.0518 * CHOOSE(CONTROL!$C$6, $C$13, 100%, $E$13) + CHOOSE(CONTROL!$C$25, 0, 0)</f>
        <v>109.0518</v>
      </c>
      <c r="E945" s="4">
        <f>756.213870698473 * CHOOSE(CONTROL!$C$6, $C$13, 100%, $E$13) + CHOOSE(CONTROL!$C$25, 0, 0)</f>
        <v>756.21387069847299</v>
      </c>
    </row>
    <row r="946" spans="1:5" ht="15">
      <c r="A946" s="13">
        <v>70675</v>
      </c>
      <c r="B946" s="4">
        <f>141.4099 * CHOOSE(CONTROL!$C$6, $C$13, 100%, $E$13) + CHOOSE(CONTROL!$C$25, 0.0263, 0)</f>
        <v>141.43619999999999</v>
      </c>
      <c r="C946" s="4">
        <f>141.0974 * CHOOSE(CONTROL!$C$6, $C$13, 100%, $E$13) + CHOOSE(CONTROL!$C$25, 0.0263, 0)</f>
        <v>141.12369999999999</v>
      </c>
      <c r="D946" s="4">
        <f>110.0487 * CHOOSE(CONTROL!$C$6, $C$13, 100%, $E$13) + CHOOSE(CONTROL!$C$25, 0, 0)</f>
        <v>110.0487</v>
      </c>
      <c r="E946" s="4">
        <f>758.606634414954 * CHOOSE(CONTROL!$C$6, $C$13, 100%, $E$13) + CHOOSE(CONTROL!$C$25, 0, 0)</f>
        <v>758.60663441495399</v>
      </c>
    </row>
    <row r="947" spans="1:5" ht="15">
      <c r="A947" s="13">
        <v>70706</v>
      </c>
      <c r="B947" s="4">
        <f>141.3655 * CHOOSE(CONTROL!$C$6, $C$13, 100%, $E$13) + CHOOSE(CONTROL!$C$25, 0.0263, 0)</f>
        <v>141.39179999999999</v>
      </c>
      <c r="C947" s="4">
        <f>141.053 * CHOOSE(CONTROL!$C$6, $C$13, 100%, $E$13) + CHOOSE(CONTROL!$C$25, 0.0263, 0)</f>
        <v>141.07929999999999</v>
      </c>
      <c r="D947" s="4">
        <f>111.8476 * CHOOSE(CONTROL!$C$6, $C$13, 100%, $E$13) + CHOOSE(CONTROL!$C$25, 0, 0)</f>
        <v>111.8476</v>
      </c>
      <c r="E947" s="4">
        <f>758.365347317494 * CHOOSE(CONTROL!$C$6, $C$13, 100%, $E$13) + CHOOSE(CONTROL!$C$25, 0, 0)</f>
        <v>758.36534731749396</v>
      </c>
    </row>
    <row r="948" spans="1:5" ht="15">
      <c r="A948" s="13">
        <v>70737</v>
      </c>
      <c r="B948" s="4">
        <f>144.7052 * CHOOSE(CONTROL!$C$6, $C$13, 100%, $E$13) + CHOOSE(CONTROL!$C$25, 0.0263, 0)</f>
        <v>144.73149999999998</v>
      </c>
      <c r="C948" s="4">
        <f>144.3927 * CHOOSE(CONTROL!$C$6, $C$13, 100%, $E$13) + CHOOSE(CONTROL!$C$25, 0.0263, 0)</f>
        <v>144.41899999999998</v>
      </c>
      <c r="D948" s="4">
        <f>110.6596 * CHOOSE(CONTROL!$C$6, $C$13, 100%, $E$13) + CHOOSE(CONTROL!$C$25, 0, 0)</f>
        <v>110.6596</v>
      </c>
      <c r="E948" s="4">
        <f>776.522201401375 * CHOOSE(CONTROL!$C$6, $C$13, 100%, $E$13) + CHOOSE(CONTROL!$C$25, 0, 0)</f>
        <v>776.52220140137501</v>
      </c>
    </row>
    <row r="949" spans="1:5" ht="15">
      <c r="A949" s="13">
        <v>70767</v>
      </c>
      <c r="B949" s="4">
        <f>139.0133 * CHOOSE(CONTROL!$C$6, $C$13, 100%, $E$13) + CHOOSE(CONTROL!$C$25, 0.0263, 0)</f>
        <v>139.03959999999998</v>
      </c>
      <c r="C949" s="4">
        <f>138.7008 * CHOOSE(CONTROL!$C$6, $C$13, 100%, $E$13) + CHOOSE(CONTROL!$C$25, 0.0263, 0)</f>
        <v>138.72709999999998</v>
      </c>
      <c r="D949" s="4">
        <f>110.0983 * CHOOSE(CONTROL!$C$6, $C$13, 100%, $E$13) + CHOOSE(CONTROL!$C$25, 0, 0)</f>
        <v>110.09829999999999</v>
      </c>
      <c r="E949" s="4">
        <f>745.577131152102 * CHOOSE(CONTROL!$C$6, $C$13, 100%, $E$13) + CHOOSE(CONTROL!$C$25, 0, 0)</f>
        <v>745.57713115210197</v>
      </c>
    </row>
    <row r="950" spans="1:5" ht="15">
      <c r="A950" s="13">
        <v>70798</v>
      </c>
      <c r="B950" s="4">
        <f>134.4568 * CHOOSE(CONTROL!$C$6, $C$13, 100%, $E$13) + CHOOSE(CONTROL!$C$25, 0.0003, 0)</f>
        <v>134.4571</v>
      </c>
      <c r="C950" s="4">
        <f>134.1443 * CHOOSE(CONTROL!$C$6, $C$13, 100%, $E$13) + CHOOSE(CONTROL!$C$25, 0.0003, 0)</f>
        <v>134.1446</v>
      </c>
      <c r="D950" s="4">
        <f>108.5955 * CHOOSE(CONTROL!$C$6, $C$13, 100%, $E$13) + CHOOSE(CONTROL!$C$25, 0, 0)</f>
        <v>108.5955</v>
      </c>
      <c r="E950" s="4">
        <f>720.804989146185 * CHOOSE(CONTROL!$C$6, $C$13, 100%, $E$13) + CHOOSE(CONTROL!$C$25, 0, 0)</f>
        <v>720.80498914618499</v>
      </c>
    </row>
    <row r="951" spans="1:5" ht="15">
      <c r="A951" s="13">
        <v>70828</v>
      </c>
      <c r="B951" s="4">
        <f>131.5221 * CHOOSE(CONTROL!$C$6, $C$13, 100%, $E$13) + CHOOSE(CONTROL!$C$25, 0.0003, 0)</f>
        <v>131.5224</v>
      </c>
      <c r="C951" s="4">
        <f>131.2096 * CHOOSE(CONTROL!$C$6, $C$13, 100%, $E$13) + CHOOSE(CONTROL!$C$25, 0.0003, 0)</f>
        <v>131.2099</v>
      </c>
      <c r="D951" s="4">
        <f>108.0788 * CHOOSE(CONTROL!$C$6, $C$13, 100%, $E$13) + CHOOSE(CONTROL!$C$25, 0, 0)</f>
        <v>108.0788</v>
      </c>
      <c r="E951" s="4">
        <f>704.849879826627 * CHOOSE(CONTROL!$C$6, $C$13, 100%, $E$13) + CHOOSE(CONTROL!$C$25, 0, 0)</f>
        <v>704.84987982662699</v>
      </c>
    </row>
    <row r="952" spans="1:5" ht="15">
      <c r="A952" s="13">
        <v>70859</v>
      </c>
      <c r="B952" s="4">
        <f>129.4916 * CHOOSE(CONTROL!$C$6, $C$13, 100%, $E$13) + CHOOSE(CONTROL!$C$25, 0.0003, 0)</f>
        <v>129.49190000000002</v>
      </c>
      <c r="C952" s="4">
        <f>129.1791 * CHOOSE(CONTROL!$C$6, $C$13, 100%, $E$13) + CHOOSE(CONTROL!$C$25, 0.0003, 0)</f>
        <v>129.17940000000002</v>
      </c>
      <c r="D952" s="4">
        <f>104.275 * CHOOSE(CONTROL!$C$6, $C$13, 100%, $E$13) + CHOOSE(CONTROL!$C$25, 0, 0)</f>
        <v>104.27500000000001</v>
      </c>
      <c r="E952" s="4">
        <f>693.810995117822 * CHOOSE(CONTROL!$C$6, $C$13, 100%, $E$13) + CHOOSE(CONTROL!$C$25, 0, 0)</f>
        <v>693.81099511782202</v>
      </c>
    </row>
    <row r="953" spans="1:5" ht="15">
      <c r="A953" s="13">
        <v>70890</v>
      </c>
      <c r="B953" s="4">
        <f>126.1926 * CHOOSE(CONTROL!$C$6, $C$13, 100%, $E$13) + CHOOSE(CONTROL!$C$25, 0.0003, 0)</f>
        <v>126.19289999999999</v>
      </c>
      <c r="C953" s="4">
        <f>125.8801 * CHOOSE(CONTROL!$C$6, $C$13, 100%, $E$13) + CHOOSE(CONTROL!$C$25, 0.0003, 0)</f>
        <v>125.88039999999999</v>
      </c>
      <c r="D953" s="4">
        <f>100.7789 * CHOOSE(CONTROL!$C$6, $C$13, 100%, $E$13) + CHOOSE(CONTROL!$C$25, 0, 0)</f>
        <v>100.77889999999999</v>
      </c>
      <c r="E953" s="4">
        <f>673.915139681213 * CHOOSE(CONTROL!$C$6, $C$13, 100%, $E$13) + CHOOSE(CONTROL!$C$25, 0, 0)</f>
        <v>673.91513968121296</v>
      </c>
    </row>
    <row r="954" spans="1:5" ht="15">
      <c r="A954" s="13">
        <v>70918</v>
      </c>
      <c r="B954" s="4">
        <f>129.1444 * CHOOSE(CONTROL!$C$6, $C$13, 100%, $E$13) + CHOOSE(CONTROL!$C$25, 0.0003, 0)</f>
        <v>129.1447</v>
      </c>
      <c r="C954" s="4">
        <f>128.8319 * CHOOSE(CONTROL!$C$6, $C$13, 100%, $E$13) + CHOOSE(CONTROL!$C$25, 0.0003, 0)</f>
        <v>128.8322</v>
      </c>
      <c r="D954" s="4">
        <f>104.2994 * CHOOSE(CONTROL!$C$6, $C$13, 100%, $E$13) + CHOOSE(CONTROL!$C$25, 0, 0)</f>
        <v>104.29940000000001</v>
      </c>
      <c r="E954" s="4">
        <f>689.916540935782 * CHOOSE(CONTROL!$C$6, $C$13, 100%, $E$13) + CHOOSE(CONTROL!$C$25, 0, 0)</f>
        <v>689.916540935782</v>
      </c>
    </row>
    <row r="955" spans="1:5" ht="15">
      <c r="A955" s="13">
        <v>70949</v>
      </c>
      <c r="B955" s="4">
        <f>136.8959 * CHOOSE(CONTROL!$C$6, $C$13, 100%, $E$13) + CHOOSE(CONTROL!$C$25, 0.0003, 0)</f>
        <v>136.89620000000002</v>
      </c>
      <c r="C955" s="4">
        <f>136.5834 * CHOOSE(CONTROL!$C$6, $C$13, 100%, $E$13) + CHOOSE(CONTROL!$C$25, 0.0003, 0)</f>
        <v>136.58370000000002</v>
      </c>
      <c r="D955" s="4">
        <f>109.8106 * CHOOSE(CONTROL!$C$6, $C$13, 100%, $E$13) + CHOOSE(CONTROL!$C$25, 0, 0)</f>
        <v>109.81059999999999</v>
      </c>
      <c r="E955" s="4">
        <f>731.937070996384 * CHOOSE(CONTROL!$C$6, $C$13, 100%, $E$13) + CHOOSE(CONTROL!$C$25, 0, 0)</f>
        <v>731.93707099638402</v>
      </c>
    </row>
    <row r="956" spans="1:5" ht="15">
      <c r="A956" s="13">
        <v>70979</v>
      </c>
      <c r="B956" s="4">
        <f>142.4035 * CHOOSE(CONTROL!$C$6, $C$13, 100%, $E$13) + CHOOSE(CONTROL!$C$25, 0.0003, 0)</f>
        <v>142.40380000000002</v>
      </c>
      <c r="C956" s="4">
        <f>142.091 * CHOOSE(CONTROL!$C$6, $C$13, 100%, $E$13) + CHOOSE(CONTROL!$C$25, 0.0003, 0)</f>
        <v>142.09130000000002</v>
      </c>
      <c r="D956" s="4">
        <f>112.9852 * CHOOSE(CONTROL!$C$6, $C$13, 100%, $E$13) + CHOOSE(CONTROL!$C$25, 0, 0)</f>
        <v>112.98520000000001</v>
      </c>
      <c r="E956" s="4">
        <f>761.793217601635 * CHOOSE(CONTROL!$C$6, $C$13, 100%, $E$13) + CHOOSE(CONTROL!$C$25, 0, 0)</f>
        <v>761.79321760163498</v>
      </c>
    </row>
    <row r="957" spans="1:5" ht="15">
      <c r="A957" s="13">
        <v>71010</v>
      </c>
      <c r="B957" s="4">
        <f>145.7685 * CHOOSE(CONTROL!$C$6, $C$13, 100%, $E$13) + CHOOSE(CONTROL!$C$25, 0.0263, 0)</f>
        <v>145.79479999999998</v>
      </c>
      <c r="C957" s="4">
        <f>145.456 * CHOOSE(CONTROL!$C$6, $C$13, 100%, $E$13) + CHOOSE(CONTROL!$C$25, 0.0263, 0)</f>
        <v>145.48229999999998</v>
      </c>
      <c r="D957" s="4">
        <f>111.7308 * CHOOSE(CONTROL!$C$6, $C$13, 100%, $E$13) + CHOOSE(CONTROL!$C$25, 0, 0)</f>
        <v>111.7308</v>
      </c>
      <c r="E957" s="4">
        <f>780.034607625475 * CHOOSE(CONTROL!$C$6, $C$13, 100%, $E$13) + CHOOSE(CONTROL!$C$25, 0, 0)</f>
        <v>780.03460762547502</v>
      </c>
    </row>
    <row r="958" spans="1:5" ht="15">
      <c r="A958" s="13">
        <v>71040</v>
      </c>
      <c r="B958" s="4">
        <f>146.2238 * CHOOSE(CONTROL!$C$6, $C$13, 100%, $E$13) + CHOOSE(CONTROL!$C$25, 0.0263, 0)</f>
        <v>146.2501</v>
      </c>
      <c r="C958" s="4">
        <f>145.9113 * CHOOSE(CONTROL!$C$6, $C$13, 100%, $E$13) + CHOOSE(CONTROL!$C$25, 0.0263, 0)</f>
        <v>145.9376</v>
      </c>
      <c r="D958" s="4">
        <f>112.7524 * CHOOSE(CONTROL!$C$6, $C$13, 100%, $E$13) + CHOOSE(CONTROL!$C$25, 0, 0)</f>
        <v>112.75239999999999</v>
      </c>
      <c r="E958" s="4">
        <f>782.502743399025 * CHOOSE(CONTROL!$C$6, $C$13, 100%, $E$13) + CHOOSE(CONTROL!$C$25, 0, 0)</f>
        <v>782.50274339902501</v>
      </c>
    </row>
    <row r="959" spans="1:5" ht="15">
      <c r="A959" s="13">
        <v>71071</v>
      </c>
      <c r="B959" s="4">
        <f>146.1779 * CHOOSE(CONTROL!$C$6, $C$13, 100%, $E$13) + CHOOSE(CONTROL!$C$25, 0.0263, 0)</f>
        <v>146.20419999999999</v>
      </c>
      <c r="C959" s="4">
        <f>145.8654 * CHOOSE(CONTROL!$C$6, $C$13, 100%, $E$13) + CHOOSE(CONTROL!$C$25, 0.0263, 0)</f>
        <v>145.89169999999999</v>
      </c>
      <c r="D959" s="4">
        <f>114.5959 * CHOOSE(CONTROL!$C$6, $C$13, 100%, $E$13) + CHOOSE(CONTROL!$C$25, 0, 0)</f>
        <v>114.5959</v>
      </c>
      <c r="E959" s="4">
        <f>782.253855757995 * CHOOSE(CONTROL!$C$6, $C$13, 100%, $E$13) + CHOOSE(CONTROL!$C$25, 0, 0)</f>
        <v>782.25385575799498</v>
      </c>
    </row>
    <row r="960" spans="1:5" ht="15">
      <c r="A960" s="13">
        <v>71102</v>
      </c>
      <c r="B960" s="4">
        <f>149.6328 * CHOOSE(CONTROL!$C$6, $C$13, 100%, $E$13) + CHOOSE(CONTROL!$C$25, 0.0263, 0)</f>
        <v>149.6591</v>
      </c>
      <c r="C960" s="4">
        <f>149.3203 * CHOOSE(CONTROL!$C$6, $C$13, 100%, $E$13) + CHOOSE(CONTROL!$C$25, 0.0263, 0)</f>
        <v>149.3466</v>
      </c>
      <c r="D960" s="4">
        <f>113.3784 * CHOOSE(CONTROL!$C$6, $C$13, 100%, $E$13) + CHOOSE(CONTROL!$C$25, 0, 0)</f>
        <v>113.3784</v>
      </c>
      <c r="E960" s="4">
        <f>800.982650745519 * CHOOSE(CONTROL!$C$6, $C$13, 100%, $E$13) + CHOOSE(CONTROL!$C$25, 0, 0)</f>
        <v>800.98265074551898</v>
      </c>
    </row>
    <row r="961" spans="1:5" ht="15">
      <c r="A961" s="13">
        <v>71132</v>
      </c>
      <c r="B961" s="4">
        <f>143.7445 * CHOOSE(CONTROL!$C$6, $C$13, 100%, $E$13) + CHOOSE(CONTROL!$C$25, 0.0263, 0)</f>
        <v>143.77079999999998</v>
      </c>
      <c r="C961" s="4">
        <f>143.432 * CHOOSE(CONTROL!$C$6, $C$13, 100%, $E$13) + CHOOSE(CONTROL!$C$25, 0.0263, 0)</f>
        <v>143.45829999999998</v>
      </c>
      <c r="D961" s="4">
        <f>112.8033 * CHOOSE(CONTROL!$C$6, $C$13, 100%, $E$13) + CHOOSE(CONTROL!$C$25, 0, 0)</f>
        <v>112.80329999999999</v>
      </c>
      <c r="E961" s="4">
        <f>769.062810783393 * CHOOSE(CONTROL!$C$6, $C$13, 100%, $E$13) + CHOOSE(CONTROL!$C$25, 0, 0)</f>
        <v>769.06281078339305</v>
      </c>
    </row>
    <row r="962" spans="1:5" ht="15">
      <c r="A962" s="13">
        <v>71163</v>
      </c>
      <c r="B962" s="4">
        <f>139.0308 * CHOOSE(CONTROL!$C$6, $C$13, 100%, $E$13) + CHOOSE(CONTROL!$C$25, 0.0003, 0)</f>
        <v>139.03110000000001</v>
      </c>
      <c r="C962" s="4">
        <f>138.7183 * CHOOSE(CONTROL!$C$6, $C$13, 100%, $E$13) + CHOOSE(CONTROL!$C$25, 0.0003, 0)</f>
        <v>138.71860000000001</v>
      </c>
      <c r="D962" s="4">
        <f>111.2631 * CHOOSE(CONTROL!$C$6, $C$13, 100%, $E$13) + CHOOSE(CONTROL!$C$25, 0, 0)</f>
        <v>111.26309999999999</v>
      </c>
      <c r="E962" s="4">
        <f>743.51034630429 * CHOOSE(CONTROL!$C$6, $C$13, 100%, $E$13) + CHOOSE(CONTROL!$C$25, 0, 0)</f>
        <v>743.51034630429001</v>
      </c>
    </row>
    <row r="963" spans="1:5" ht="15">
      <c r="A963" s="13">
        <v>71193</v>
      </c>
      <c r="B963" s="4">
        <f>135.9949 * CHOOSE(CONTROL!$C$6, $C$13, 100%, $E$13) + CHOOSE(CONTROL!$C$25, 0.0003, 0)</f>
        <v>135.99520000000001</v>
      </c>
      <c r="C963" s="4">
        <f>135.6824 * CHOOSE(CONTROL!$C$6, $C$13, 100%, $E$13) + CHOOSE(CONTROL!$C$25, 0.0003, 0)</f>
        <v>135.68270000000001</v>
      </c>
      <c r="D963" s="4">
        <f>110.7336 * CHOOSE(CONTROL!$C$6, $C$13, 100%, $E$13) + CHOOSE(CONTROL!$C$25, 0, 0)</f>
        <v>110.7336</v>
      </c>
      <c r="E963" s="4">
        <f>727.052651041166 * CHOOSE(CONTROL!$C$6, $C$13, 100%, $E$13) + CHOOSE(CONTROL!$C$25, 0, 0)</f>
        <v>727.05265104116597</v>
      </c>
    </row>
    <row r="964" spans="1:5" ht="15">
      <c r="A964" s="13">
        <v>71224</v>
      </c>
      <c r="B964" s="4">
        <f>133.8944 * CHOOSE(CONTROL!$C$6, $C$13, 100%, $E$13) + CHOOSE(CONTROL!$C$25, 0.0003, 0)</f>
        <v>133.8947</v>
      </c>
      <c r="C964" s="4">
        <f>133.5819 * CHOOSE(CONTROL!$C$6, $C$13, 100%, $E$13) + CHOOSE(CONTROL!$C$25, 0.0003, 0)</f>
        <v>133.5822</v>
      </c>
      <c r="D964" s="4">
        <f>106.8354 * CHOOSE(CONTROL!$C$6, $C$13, 100%, $E$13) + CHOOSE(CONTROL!$C$25, 0, 0)</f>
        <v>106.83540000000001</v>
      </c>
      <c r="E964" s="4">
        <f>715.666041464033 * CHOOSE(CONTROL!$C$6, $C$13, 100%, $E$13) + CHOOSE(CONTROL!$C$25, 0, 0)</f>
        <v>715.66604146403301</v>
      </c>
    </row>
    <row r="965" spans="1:5" ht="15">
      <c r="A965" s="13">
        <v>71255</v>
      </c>
      <c r="B965" s="4">
        <f>130.4815 * CHOOSE(CONTROL!$C$6, $C$13, 100%, $E$13) + CHOOSE(CONTROL!$C$25, 0.0003, 0)</f>
        <v>130.48180000000002</v>
      </c>
      <c r="C965" s="4">
        <f>130.169 * CHOOSE(CONTROL!$C$6, $C$13, 100%, $E$13) + CHOOSE(CONTROL!$C$25, 0.0003, 0)</f>
        <v>130.16930000000002</v>
      </c>
      <c r="D965" s="4">
        <f>103.2527 * CHOOSE(CONTROL!$C$6, $C$13, 100%, $E$13) + CHOOSE(CONTROL!$C$25, 0, 0)</f>
        <v>103.2527</v>
      </c>
      <c r="E965" s="4">
        <f>695.143466581171 * CHOOSE(CONTROL!$C$6, $C$13, 100%, $E$13) + CHOOSE(CONTROL!$C$25, 0, 0)</f>
        <v>695.14346658117097</v>
      </c>
    </row>
    <row r="966" spans="1:5" ht="15">
      <c r="A966" s="13">
        <v>71283</v>
      </c>
      <c r="B966" s="4">
        <f>133.5352 * CHOOSE(CONTROL!$C$6, $C$13, 100%, $E$13) + CHOOSE(CONTROL!$C$25, 0.0003, 0)</f>
        <v>133.53550000000001</v>
      </c>
      <c r="C966" s="4">
        <f>133.2227 * CHOOSE(CONTROL!$C$6, $C$13, 100%, $E$13) + CHOOSE(CONTROL!$C$25, 0.0003, 0)</f>
        <v>133.22300000000001</v>
      </c>
      <c r="D966" s="4">
        <f>106.8606 * CHOOSE(CONTROL!$C$6, $C$13, 100%, $E$13) + CHOOSE(CONTROL!$C$25, 0, 0)</f>
        <v>106.86060000000001</v>
      </c>
      <c r="E966" s="4">
        <f>711.648911975259 * CHOOSE(CONTROL!$C$6, $C$13, 100%, $E$13) + CHOOSE(CONTROL!$C$25, 0, 0)</f>
        <v>711.64891197525901</v>
      </c>
    </row>
    <row r="967" spans="1:5" ht="15">
      <c r="A967" s="13">
        <v>71314</v>
      </c>
      <c r="B967" s="4">
        <f>141.5541 * CHOOSE(CONTROL!$C$6, $C$13, 100%, $E$13) + CHOOSE(CONTROL!$C$25, 0.0003, 0)</f>
        <v>141.55440000000002</v>
      </c>
      <c r="C967" s="4">
        <f>141.2416 * CHOOSE(CONTROL!$C$6, $C$13, 100%, $E$13) + CHOOSE(CONTROL!$C$25, 0.0003, 0)</f>
        <v>141.24190000000002</v>
      </c>
      <c r="D967" s="4">
        <f>112.5084 * CHOOSE(CONTROL!$C$6, $C$13, 100%, $E$13) + CHOOSE(CONTROL!$C$25, 0, 0)</f>
        <v>112.50839999999999</v>
      </c>
      <c r="E967" s="4">
        <f>754.99308873277 * CHOOSE(CONTROL!$C$6, $C$13, 100%, $E$13) + CHOOSE(CONTROL!$C$25, 0, 0)</f>
        <v>754.99308873277005</v>
      </c>
    </row>
    <row r="968" spans="1:5" ht="15">
      <c r="A968" s="13">
        <v>71344</v>
      </c>
      <c r="B968" s="4">
        <f>147.2517 * CHOOSE(CONTROL!$C$6, $C$13, 100%, $E$13) + CHOOSE(CONTROL!$C$25, 0.0003, 0)</f>
        <v>147.25200000000001</v>
      </c>
      <c r="C968" s="4">
        <f>146.9392 * CHOOSE(CONTROL!$C$6, $C$13, 100%, $E$13) + CHOOSE(CONTROL!$C$25, 0.0003, 0)</f>
        <v>146.93950000000001</v>
      </c>
      <c r="D968" s="4">
        <f>115.7617 * CHOOSE(CONTROL!$C$6, $C$13, 100%, $E$13) + CHOOSE(CONTROL!$C$25, 0, 0)</f>
        <v>115.7617</v>
      </c>
      <c r="E968" s="4">
        <f>785.789703956087 * CHOOSE(CONTROL!$C$6, $C$13, 100%, $E$13) + CHOOSE(CONTROL!$C$25, 0, 0)</f>
        <v>785.78970395608701</v>
      </c>
    </row>
    <row r="969" spans="1:5" ht="15">
      <c r="A969" s="13">
        <v>71375</v>
      </c>
      <c r="B969" s="4">
        <f>150.7328 * CHOOSE(CONTROL!$C$6, $C$13, 100%, $E$13) + CHOOSE(CONTROL!$C$25, 0.0263, 0)</f>
        <v>150.75909999999999</v>
      </c>
      <c r="C969" s="4">
        <f>150.4203 * CHOOSE(CONTROL!$C$6, $C$13, 100%, $E$13) + CHOOSE(CONTROL!$C$25, 0.0263, 0)</f>
        <v>150.44659999999999</v>
      </c>
      <c r="D969" s="4">
        <f>114.4762 * CHOOSE(CONTROL!$C$6, $C$13, 100%, $E$13) + CHOOSE(CONTROL!$C$25, 0, 0)</f>
        <v>114.47620000000001</v>
      </c>
      <c r="E969" s="4">
        <f>804.605697765678 * CHOOSE(CONTROL!$C$6, $C$13, 100%, $E$13) + CHOOSE(CONTROL!$C$25, 0, 0)</f>
        <v>804.60569776567797</v>
      </c>
    </row>
    <row r="970" spans="1:5" ht="15">
      <c r="A970" s="13">
        <v>71405</v>
      </c>
      <c r="B970" s="4">
        <f>151.2038 * CHOOSE(CONTROL!$C$6, $C$13, 100%, $E$13) + CHOOSE(CONTROL!$C$25, 0.0263, 0)</f>
        <v>151.23009999999999</v>
      </c>
      <c r="C970" s="4">
        <f>150.8913 * CHOOSE(CONTROL!$C$6, $C$13, 100%, $E$13) + CHOOSE(CONTROL!$C$25, 0.0263, 0)</f>
        <v>150.91759999999999</v>
      </c>
      <c r="D970" s="4">
        <f>115.5232 * CHOOSE(CONTROL!$C$6, $C$13, 100%, $E$13) + CHOOSE(CONTROL!$C$25, 0, 0)</f>
        <v>115.5232</v>
      </c>
      <c r="E970" s="4">
        <f>807.151579816094 * CHOOSE(CONTROL!$C$6, $C$13, 100%, $E$13) + CHOOSE(CONTROL!$C$25, 0, 0)</f>
        <v>807.151579816094</v>
      </c>
    </row>
    <row r="971" spans="1:5" ht="15">
      <c r="A971" s="13">
        <v>71436</v>
      </c>
      <c r="B971" s="4">
        <f>151.1563 * CHOOSE(CONTROL!$C$6, $C$13, 100%, $E$13) + CHOOSE(CONTROL!$C$25, 0.0263, 0)</f>
        <v>151.18259999999998</v>
      </c>
      <c r="C971" s="4">
        <f>150.8438 * CHOOSE(CONTROL!$C$6, $C$13, 100%, $E$13) + CHOOSE(CONTROL!$C$25, 0.0263, 0)</f>
        <v>150.87009999999998</v>
      </c>
      <c r="D971" s="4">
        <f>117.4123 * CHOOSE(CONTROL!$C$6, $C$13, 100%, $E$13) + CHOOSE(CONTROL!$C$25, 0, 0)</f>
        <v>117.4123</v>
      </c>
      <c r="E971" s="4">
        <f>806.894852214372 * CHOOSE(CONTROL!$C$6, $C$13, 100%, $E$13) + CHOOSE(CONTROL!$C$25, 0, 0)</f>
        <v>806.89485221437201</v>
      </c>
    </row>
    <row r="972" spans="1:5" ht="15">
      <c r="A972" s="13">
        <v>71467</v>
      </c>
      <c r="B972" s="4">
        <f>154.7304 * CHOOSE(CONTROL!$C$6, $C$13, 100%, $E$13) + CHOOSE(CONTROL!$C$25, 0.0263, 0)</f>
        <v>154.7567</v>
      </c>
      <c r="C972" s="4">
        <f>154.4179 * CHOOSE(CONTROL!$C$6, $C$13, 100%, $E$13) + CHOOSE(CONTROL!$C$25, 0.0263, 0)</f>
        <v>154.4442</v>
      </c>
      <c r="D972" s="4">
        <f>116.1647 * CHOOSE(CONTROL!$C$6, $C$13, 100%, $E$13) + CHOOSE(CONTROL!$C$25, 0, 0)</f>
        <v>116.1647</v>
      </c>
      <c r="E972" s="4">
        <f>826.213604244003 * CHOOSE(CONTROL!$C$6, $C$13, 100%, $E$13) + CHOOSE(CONTROL!$C$25, 0, 0)</f>
        <v>826.21360424400302</v>
      </c>
    </row>
    <row r="973" spans="1:5" ht="15">
      <c r="A973" s="13">
        <v>71497</v>
      </c>
      <c r="B973" s="4">
        <f>148.639 * CHOOSE(CONTROL!$C$6, $C$13, 100%, $E$13) + CHOOSE(CONTROL!$C$25, 0.0263, 0)</f>
        <v>148.6653</v>
      </c>
      <c r="C973" s="4">
        <f>148.3265 * CHOOSE(CONTROL!$C$6, $C$13, 100%, $E$13) + CHOOSE(CONTROL!$C$25, 0.0263, 0)</f>
        <v>148.3528</v>
      </c>
      <c r="D973" s="4">
        <f>115.5752 * CHOOSE(CONTROL!$C$6, $C$13, 100%, $E$13) + CHOOSE(CONTROL!$C$25, 0, 0)</f>
        <v>115.5752</v>
      </c>
      <c r="E973" s="4">
        <f>793.28828932307 * CHOOSE(CONTROL!$C$6, $C$13, 100%, $E$13) + CHOOSE(CONTROL!$C$25, 0, 0)</f>
        <v>793.28828932306999</v>
      </c>
    </row>
    <row r="974" spans="1:5" ht="15">
      <c r="A974" s="13">
        <v>71528</v>
      </c>
      <c r="B974" s="4">
        <f>143.7627 * CHOOSE(CONTROL!$C$6, $C$13, 100%, $E$13) + CHOOSE(CONTROL!$C$25, 0.0003, 0)</f>
        <v>143.76300000000001</v>
      </c>
      <c r="C974" s="4">
        <f>143.4502 * CHOOSE(CONTROL!$C$6, $C$13, 100%, $E$13) + CHOOSE(CONTROL!$C$25, 0.0003, 0)</f>
        <v>143.45050000000001</v>
      </c>
      <c r="D974" s="4">
        <f>113.9969 * CHOOSE(CONTROL!$C$6, $C$13, 100%, $E$13) + CHOOSE(CONTROL!$C$25, 0, 0)</f>
        <v>113.9969</v>
      </c>
      <c r="E974" s="4">
        <f>766.930922212875 * CHOOSE(CONTROL!$C$6, $C$13, 100%, $E$13) + CHOOSE(CONTROL!$C$25, 0, 0)</f>
        <v>766.93092221287498</v>
      </c>
    </row>
    <row r="975" spans="1:5" ht="15">
      <c r="A975" s="13">
        <v>71558</v>
      </c>
      <c r="B975" s="4">
        <f>140.622 * CHOOSE(CONTROL!$C$6, $C$13, 100%, $E$13) + CHOOSE(CONTROL!$C$25, 0.0003, 0)</f>
        <v>140.62230000000002</v>
      </c>
      <c r="C975" s="4">
        <f>140.3095 * CHOOSE(CONTROL!$C$6, $C$13, 100%, $E$13) + CHOOSE(CONTROL!$C$25, 0.0003, 0)</f>
        <v>140.30980000000002</v>
      </c>
      <c r="D975" s="4">
        <f>113.4543 * CHOOSE(CONTROL!$C$6, $C$13, 100%, $E$13) + CHOOSE(CONTROL!$C$25, 0, 0)</f>
        <v>113.4543</v>
      </c>
      <c r="E975" s="4">
        <f>749.954809548963 * CHOOSE(CONTROL!$C$6, $C$13, 100%, $E$13) + CHOOSE(CONTROL!$C$25, 0, 0)</f>
        <v>749.954809548963</v>
      </c>
    </row>
    <row r="976" spans="1:5" ht="15">
      <c r="A976" s="13">
        <v>71589</v>
      </c>
      <c r="B976" s="4">
        <f>138.4491 * CHOOSE(CONTROL!$C$6, $C$13, 100%, $E$13) + CHOOSE(CONTROL!$C$25, 0.0003, 0)</f>
        <v>138.4494</v>
      </c>
      <c r="C976" s="4">
        <f>138.1366 * CHOOSE(CONTROL!$C$6, $C$13, 100%, $E$13) + CHOOSE(CONTROL!$C$25, 0.0003, 0)</f>
        <v>138.1369</v>
      </c>
      <c r="D976" s="4">
        <f>109.4594 * CHOOSE(CONTROL!$C$6, $C$13, 100%, $E$13) + CHOOSE(CONTROL!$C$25, 0, 0)</f>
        <v>109.4594</v>
      </c>
      <c r="E976" s="4">
        <f>738.209521770151 * CHOOSE(CONTROL!$C$6, $C$13, 100%, $E$13) + CHOOSE(CONTROL!$C$25, 0, 0)</f>
        <v>738.20952177015101</v>
      </c>
    </row>
    <row r="977" spans="1:5" ht="15">
      <c r="A977" s="13">
        <v>71620</v>
      </c>
      <c r="B977" s="4">
        <f>134.9185 * CHOOSE(CONTROL!$C$6, $C$13, 100%, $E$13) + CHOOSE(CONTROL!$C$25, 0.0003, 0)</f>
        <v>134.9188</v>
      </c>
      <c r="C977" s="4">
        <f>134.606 * CHOOSE(CONTROL!$C$6, $C$13, 100%, $E$13) + CHOOSE(CONTROL!$C$25, 0.0003, 0)</f>
        <v>134.6063</v>
      </c>
      <c r="D977" s="4">
        <f>105.7878 * CHOOSE(CONTROL!$C$6, $C$13, 100%, $E$13) + CHOOSE(CONTROL!$C$25, 0, 0)</f>
        <v>105.7878</v>
      </c>
      <c r="E977" s="4">
        <f>717.040485778478 * CHOOSE(CONTROL!$C$6, $C$13, 100%, $E$13) + CHOOSE(CONTROL!$C$25, 0, 0)</f>
        <v>717.040485778478</v>
      </c>
    </row>
    <row r="978" spans="1:5" ht="15">
      <c r="A978" s="13">
        <v>71649</v>
      </c>
      <c r="B978" s="4">
        <f>138.0774 * CHOOSE(CONTROL!$C$6, $C$13, 100%, $E$13) + CHOOSE(CONTROL!$C$25, 0.0003, 0)</f>
        <v>138.07770000000002</v>
      </c>
      <c r="C978" s="4">
        <f>137.7649 * CHOOSE(CONTROL!$C$6, $C$13, 100%, $E$13) + CHOOSE(CONTROL!$C$25, 0.0003, 0)</f>
        <v>137.76520000000002</v>
      </c>
      <c r="D978" s="4">
        <f>109.4852 * CHOOSE(CONTROL!$C$6, $C$13, 100%, $E$13) + CHOOSE(CONTROL!$C$25, 0, 0)</f>
        <v>109.48520000000001</v>
      </c>
      <c r="E978" s="4">
        <f>734.065852702479 * CHOOSE(CONTROL!$C$6, $C$13, 100%, $E$13) + CHOOSE(CONTROL!$C$25, 0, 0)</f>
        <v>734.06585270247899</v>
      </c>
    </row>
    <row r="979" spans="1:5" ht="15">
      <c r="A979" s="13">
        <v>71680</v>
      </c>
      <c r="B979" s="4">
        <f>146.3731 * CHOOSE(CONTROL!$C$6, $C$13, 100%, $E$13) + CHOOSE(CONTROL!$C$25, 0.0003, 0)</f>
        <v>146.3734</v>
      </c>
      <c r="C979" s="4">
        <f>146.0606 * CHOOSE(CONTROL!$C$6, $C$13, 100%, $E$13) + CHOOSE(CONTROL!$C$25, 0.0003, 0)</f>
        <v>146.0609</v>
      </c>
      <c r="D979" s="4">
        <f>115.2731 * CHOOSE(CONTROL!$C$6, $C$13, 100%, $E$13) + CHOOSE(CONTROL!$C$25, 0, 0)</f>
        <v>115.2731</v>
      </c>
      <c r="E979" s="4">
        <f>778.775371027853 * CHOOSE(CONTROL!$C$6, $C$13, 100%, $E$13) + CHOOSE(CONTROL!$C$25, 0, 0)</f>
        <v>778.775371027853</v>
      </c>
    </row>
    <row r="980" spans="1:5" ht="15">
      <c r="A980" s="13">
        <v>71710</v>
      </c>
      <c r="B980" s="4">
        <f>152.2672 * CHOOSE(CONTROL!$C$6, $C$13, 100%, $E$13) + CHOOSE(CONTROL!$C$25, 0.0003, 0)</f>
        <v>152.26750000000001</v>
      </c>
      <c r="C980" s="4">
        <f>151.9547 * CHOOSE(CONTROL!$C$6, $C$13, 100%, $E$13) + CHOOSE(CONTROL!$C$25, 0.0003, 0)</f>
        <v>151.95500000000001</v>
      </c>
      <c r="D980" s="4">
        <f>118.6071 * CHOOSE(CONTROL!$C$6, $C$13, 100%, $E$13) + CHOOSE(CONTROL!$C$25, 0, 0)</f>
        <v>118.6071</v>
      </c>
      <c r="E980" s="4">
        <f>810.542079630703 * CHOOSE(CONTROL!$C$6, $C$13, 100%, $E$13) + CHOOSE(CONTROL!$C$25, 0, 0)</f>
        <v>810.54207963070303</v>
      </c>
    </row>
    <row r="981" spans="1:5" ht="15">
      <c r="A981" s="13">
        <v>71741</v>
      </c>
      <c r="B981" s="4">
        <f>155.8684 * CHOOSE(CONTROL!$C$6, $C$13, 100%, $E$13) + CHOOSE(CONTROL!$C$25, 0.0263, 0)</f>
        <v>155.8947</v>
      </c>
      <c r="C981" s="4">
        <f>155.5559 * CHOOSE(CONTROL!$C$6, $C$13, 100%, $E$13) + CHOOSE(CONTROL!$C$25, 0.0263, 0)</f>
        <v>155.5822</v>
      </c>
      <c r="D981" s="4">
        <f>117.2897 * CHOOSE(CONTROL!$C$6, $C$13, 100%, $E$13) + CHOOSE(CONTROL!$C$25, 0, 0)</f>
        <v>117.2897</v>
      </c>
      <c r="E981" s="4">
        <f>829.950777245297 * CHOOSE(CONTROL!$C$6, $C$13, 100%, $E$13) + CHOOSE(CONTROL!$C$25, 0, 0)</f>
        <v>829.95077724529699</v>
      </c>
    </row>
    <row r="982" spans="1:5" ht="15">
      <c r="A982" s="13">
        <v>71771</v>
      </c>
      <c r="B982" s="4">
        <f>156.3557 * CHOOSE(CONTROL!$C$6, $C$13, 100%, $E$13) + CHOOSE(CONTROL!$C$25, 0.0263, 0)</f>
        <v>156.38200000000001</v>
      </c>
      <c r="C982" s="4">
        <f>156.0432 * CHOOSE(CONTROL!$C$6, $C$13, 100%, $E$13) + CHOOSE(CONTROL!$C$25, 0.0263, 0)</f>
        <v>156.06950000000001</v>
      </c>
      <c r="D982" s="4">
        <f>118.3626 * CHOOSE(CONTROL!$C$6, $C$13, 100%, $E$13) + CHOOSE(CONTROL!$C$25, 0, 0)</f>
        <v>118.3626</v>
      </c>
      <c r="E982" s="4">
        <f>832.576854580301 * CHOOSE(CONTROL!$C$6, $C$13, 100%, $E$13) + CHOOSE(CONTROL!$C$25, 0, 0)</f>
        <v>832.57685458030096</v>
      </c>
    </row>
    <row r="983" spans="1:5" ht="15">
      <c r="A983" s="13">
        <v>71802</v>
      </c>
      <c r="B983" s="4">
        <f>156.3065 * CHOOSE(CONTROL!$C$6, $C$13, 100%, $E$13) + CHOOSE(CONTROL!$C$25, 0.0263, 0)</f>
        <v>156.33279999999999</v>
      </c>
      <c r="C983" s="4">
        <f>155.994 * CHOOSE(CONTROL!$C$6, $C$13, 100%, $E$13) + CHOOSE(CONTROL!$C$25, 0.0263, 0)</f>
        <v>156.02029999999999</v>
      </c>
      <c r="D983" s="4">
        <f>120.2986 * CHOOSE(CONTROL!$C$6, $C$13, 100%, $E$13) + CHOOSE(CONTROL!$C$25, 0, 0)</f>
        <v>120.29859999999999</v>
      </c>
      <c r="E983" s="4">
        <f>832.312040059124 * CHOOSE(CONTROL!$C$6, $C$13, 100%, $E$13) + CHOOSE(CONTROL!$C$25, 0, 0)</f>
        <v>832.312040059124</v>
      </c>
    </row>
    <row r="984" spans="1:5" ht="15">
      <c r="A984" s="13">
        <v>71833</v>
      </c>
      <c r="B984" s="4">
        <f>160.004 * CHOOSE(CONTROL!$C$6, $C$13, 100%, $E$13) + CHOOSE(CONTROL!$C$25, 0.0263, 0)</f>
        <v>160.03029999999998</v>
      </c>
      <c r="C984" s="4">
        <f>159.6915 * CHOOSE(CONTROL!$C$6, $C$13, 100%, $E$13) + CHOOSE(CONTROL!$C$25, 0.0263, 0)</f>
        <v>159.71779999999998</v>
      </c>
      <c r="D984" s="4">
        <f>119.0201 * CHOOSE(CONTROL!$C$6, $C$13, 100%, $E$13) + CHOOSE(CONTROL!$C$25, 0, 0)</f>
        <v>119.0201</v>
      </c>
      <c r="E984" s="4">
        <f>852.239332777689 * CHOOSE(CONTROL!$C$6, $C$13, 100%, $E$13) + CHOOSE(CONTROL!$C$25, 0, 0)</f>
        <v>852.23933277768901</v>
      </c>
    </row>
    <row r="985" spans="1:5" ht="15">
      <c r="A985" s="13">
        <v>71863</v>
      </c>
      <c r="B985" s="4">
        <f>153.7024 * CHOOSE(CONTROL!$C$6, $C$13, 100%, $E$13) + CHOOSE(CONTROL!$C$25, 0.0263, 0)</f>
        <v>153.7287</v>
      </c>
      <c r="C985" s="4">
        <f>153.3899 * CHOOSE(CONTROL!$C$6, $C$13, 100%, $E$13) + CHOOSE(CONTROL!$C$25, 0.0263, 0)</f>
        <v>153.4162</v>
      </c>
      <c r="D985" s="4">
        <f>118.416 * CHOOSE(CONTROL!$C$6, $C$13, 100%, $E$13) + CHOOSE(CONTROL!$C$25, 0, 0)</f>
        <v>118.416</v>
      </c>
      <c r="E985" s="4">
        <f>818.276870436747 * CHOOSE(CONTROL!$C$6, $C$13, 100%, $E$13) + CHOOSE(CONTROL!$C$25, 0, 0)</f>
        <v>818.276870436747</v>
      </c>
    </row>
    <row r="986" spans="1:5" ht="15">
      <c r="A986" s="13">
        <v>71894</v>
      </c>
      <c r="B986" s="4">
        <f>148.6579 * CHOOSE(CONTROL!$C$6, $C$13, 100%, $E$13) + CHOOSE(CONTROL!$C$25, 0.0003, 0)</f>
        <v>148.65820000000002</v>
      </c>
      <c r="C986" s="4">
        <f>148.3454 * CHOOSE(CONTROL!$C$6, $C$13, 100%, $E$13) + CHOOSE(CONTROL!$C$25, 0.0003, 0)</f>
        <v>148.34570000000002</v>
      </c>
      <c r="D986" s="4">
        <f>116.7985 * CHOOSE(CONTROL!$C$6, $C$13, 100%, $E$13) + CHOOSE(CONTROL!$C$25, 0, 0)</f>
        <v>116.7985</v>
      </c>
      <c r="E986" s="4">
        <f>791.08924626258 * CHOOSE(CONTROL!$C$6, $C$13, 100%, $E$13) + CHOOSE(CONTROL!$C$25, 0, 0)</f>
        <v>791.08924626257999</v>
      </c>
    </row>
    <row r="987" spans="1:5" ht="15">
      <c r="A987" s="13">
        <v>71924</v>
      </c>
      <c r="B987" s="4">
        <f>145.4088 * CHOOSE(CONTROL!$C$6, $C$13, 100%, $E$13) + CHOOSE(CONTROL!$C$25, 0.0003, 0)</f>
        <v>145.40910000000002</v>
      </c>
      <c r="C987" s="4">
        <f>145.0963 * CHOOSE(CONTROL!$C$6, $C$13, 100%, $E$13) + CHOOSE(CONTROL!$C$25, 0.0003, 0)</f>
        <v>145.09660000000002</v>
      </c>
      <c r="D987" s="4">
        <f>116.2425 * CHOOSE(CONTROL!$C$6, $C$13, 100%, $E$13) + CHOOSE(CONTROL!$C$25, 0, 0)</f>
        <v>116.24250000000001</v>
      </c>
      <c r="E987" s="4">
        <f>773.578386049755 * CHOOSE(CONTROL!$C$6, $C$13, 100%, $E$13) + CHOOSE(CONTROL!$C$25, 0, 0)</f>
        <v>773.57838604975495</v>
      </c>
    </row>
    <row r="988" spans="1:5" ht="15">
      <c r="A988" s="13">
        <v>71955</v>
      </c>
      <c r="B988" s="4">
        <f>143.1609 * CHOOSE(CONTROL!$C$6, $C$13, 100%, $E$13) + CHOOSE(CONTROL!$C$25, 0.0003, 0)</f>
        <v>143.16120000000001</v>
      </c>
      <c r="C988" s="4">
        <f>142.8484 * CHOOSE(CONTROL!$C$6, $C$13, 100%, $E$13) + CHOOSE(CONTROL!$C$25, 0.0003, 0)</f>
        <v>142.84870000000001</v>
      </c>
      <c r="D988" s="4">
        <f>112.1485 * CHOOSE(CONTROL!$C$6, $C$13, 100%, $E$13) + CHOOSE(CONTROL!$C$25, 0, 0)</f>
        <v>112.1485</v>
      </c>
      <c r="E988" s="4">
        <f>761.46312170591 * CHOOSE(CONTROL!$C$6, $C$13, 100%, $E$13) + CHOOSE(CONTROL!$C$25, 0, 0)</f>
        <v>761.46312170591</v>
      </c>
    </row>
    <row r="989" spans="1:5" ht="15">
      <c r="A989" s="13">
        <v>71986</v>
      </c>
      <c r="B989" s="4">
        <f>139.5085 * CHOOSE(CONTROL!$C$6, $C$13, 100%, $E$13) + CHOOSE(CONTROL!$C$25, 0.0003, 0)</f>
        <v>139.50880000000001</v>
      </c>
      <c r="C989" s="4">
        <f>139.196 * CHOOSE(CONTROL!$C$6, $C$13, 100%, $E$13) + CHOOSE(CONTROL!$C$25, 0.0003, 0)</f>
        <v>139.19630000000001</v>
      </c>
      <c r="D989" s="4">
        <f>108.3858 * CHOOSE(CONTROL!$C$6, $C$13, 100%, $E$13) + CHOOSE(CONTROL!$C$25, 0, 0)</f>
        <v>108.3858</v>
      </c>
      <c r="E989" s="4">
        <f>739.627261080501 * CHOOSE(CONTROL!$C$6, $C$13, 100%, $E$13) + CHOOSE(CONTROL!$C$25, 0, 0)</f>
        <v>739.62726108050094</v>
      </c>
    </row>
    <row r="990" spans="1:5" ht="15">
      <c r="A990" s="13">
        <v>72014</v>
      </c>
      <c r="B990" s="4">
        <f>142.7764 * CHOOSE(CONTROL!$C$6, $C$13, 100%, $E$13) + CHOOSE(CONTROL!$C$25, 0.0003, 0)</f>
        <v>142.77670000000001</v>
      </c>
      <c r="C990" s="4">
        <f>142.4639 * CHOOSE(CONTROL!$C$6, $C$13, 100%, $E$13) + CHOOSE(CONTROL!$C$25, 0.0003, 0)</f>
        <v>142.46420000000001</v>
      </c>
      <c r="D990" s="4">
        <f>112.1749 * CHOOSE(CONTROL!$C$6, $C$13, 100%, $E$13) + CHOOSE(CONTROL!$C$25, 0, 0)</f>
        <v>112.17489999999999</v>
      </c>
      <c r="E990" s="4">
        <f>757.188927062608 * CHOOSE(CONTROL!$C$6, $C$13, 100%, $E$13) + CHOOSE(CONTROL!$C$25, 0, 0)</f>
        <v>757.18892706260795</v>
      </c>
    </row>
    <row r="991" spans="1:5" ht="15">
      <c r="A991" s="13">
        <v>72045</v>
      </c>
      <c r="B991" s="4">
        <f>151.3583 * CHOOSE(CONTROL!$C$6, $C$13, 100%, $E$13) + CHOOSE(CONTROL!$C$25, 0.0003, 0)</f>
        <v>151.35860000000002</v>
      </c>
      <c r="C991" s="4">
        <f>151.0458 * CHOOSE(CONTROL!$C$6, $C$13, 100%, $E$13) + CHOOSE(CONTROL!$C$25, 0.0003, 0)</f>
        <v>151.04610000000002</v>
      </c>
      <c r="D991" s="4">
        <f>118.1063 * CHOOSE(CONTROL!$C$6, $C$13, 100%, $E$13) + CHOOSE(CONTROL!$C$25, 0, 0)</f>
        <v>118.1063</v>
      </c>
      <c r="E991" s="4">
        <f>803.30679521523 * CHOOSE(CONTROL!$C$6, $C$13, 100%, $E$13) + CHOOSE(CONTROL!$C$25, 0, 0)</f>
        <v>803.30679521522995</v>
      </c>
    </row>
    <row r="992" spans="1:5" ht="15">
      <c r="A992" s="13">
        <v>72075</v>
      </c>
      <c r="B992" s="4">
        <f>157.4558 * CHOOSE(CONTROL!$C$6, $C$13, 100%, $E$13) + CHOOSE(CONTROL!$C$25, 0.0003, 0)</f>
        <v>157.45610000000002</v>
      </c>
      <c r="C992" s="4">
        <f>157.1433 * CHOOSE(CONTROL!$C$6, $C$13, 100%, $E$13) + CHOOSE(CONTROL!$C$25, 0.0003, 0)</f>
        <v>157.14360000000002</v>
      </c>
      <c r="D992" s="4">
        <f>121.523 * CHOOSE(CONTROL!$C$6, $C$13, 100%, $E$13) + CHOOSE(CONTROL!$C$25, 0, 0)</f>
        <v>121.523</v>
      </c>
      <c r="E992" s="4">
        <f>836.074155139071 * CHOOSE(CONTROL!$C$6, $C$13, 100%, $E$13) + CHOOSE(CONTROL!$C$25, 0, 0)</f>
        <v>836.07415513907097</v>
      </c>
    </row>
    <row r="993" spans="1:5" ht="15">
      <c r="A993" s="13">
        <v>72106</v>
      </c>
      <c r="B993" s="4">
        <f>161.1812 * CHOOSE(CONTROL!$C$6, $C$13, 100%, $E$13) + CHOOSE(CONTROL!$C$25, 0.0263, 0)</f>
        <v>161.20749999999998</v>
      </c>
      <c r="C993" s="4">
        <f>160.8687 * CHOOSE(CONTROL!$C$6, $C$13, 100%, $E$13) + CHOOSE(CONTROL!$C$25, 0.0263, 0)</f>
        <v>160.89499999999998</v>
      </c>
      <c r="D993" s="4">
        <f>120.1729 * CHOOSE(CONTROL!$C$6, $C$13, 100%, $E$13) + CHOOSE(CONTROL!$C$25, 0, 0)</f>
        <v>120.1729</v>
      </c>
      <c r="E993" s="4">
        <f>856.094226728523 * CHOOSE(CONTROL!$C$6, $C$13, 100%, $E$13) + CHOOSE(CONTROL!$C$25, 0, 0)</f>
        <v>856.09422672852304</v>
      </c>
    </row>
    <row r="994" spans="1:5" ht="15">
      <c r="A994" s="13">
        <v>72136</v>
      </c>
      <c r="B994" s="4">
        <f>161.6853 * CHOOSE(CONTROL!$C$6, $C$13, 100%, $E$13) + CHOOSE(CONTROL!$C$25, 0.0263, 0)</f>
        <v>161.7116</v>
      </c>
      <c r="C994" s="4">
        <f>161.3728 * CHOOSE(CONTROL!$C$6, $C$13, 100%, $E$13) + CHOOSE(CONTROL!$C$25, 0.0263, 0)</f>
        <v>161.3991</v>
      </c>
      <c r="D994" s="4">
        <f>121.2725 * CHOOSE(CONTROL!$C$6, $C$13, 100%, $E$13) + CHOOSE(CONTROL!$C$25, 0, 0)</f>
        <v>121.27249999999999</v>
      </c>
      <c r="E994" s="4">
        <f>858.803025499581 * CHOOSE(CONTROL!$C$6, $C$13, 100%, $E$13) + CHOOSE(CONTROL!$C$25, 0, 0)</f>
        <v>858.80302549958105</v>
      </c>
    </row>
    <row r="995" spans="1:5" ht="15">
      <c r="A995" s="13">
        <v>72167</v>
      </c>
      <c r="B995" s="4">
        <f>161.6344 * CHOOSE(CONTROL!$C$6, $C$13, 100%, $E$13) + CHOOSE(CONTROL!$C$25, 0.0263, 0)</f>
        <v>161.66069999999999</v>
      </c>
      <c r="C995" s="4">
        <f>161.3219 * CHOOSE(CONTROL!$C$6, $C$13, 100%, $E$13) + CHOOSE(CONTROL!$C$25, 0.0263, 0)</f>
        <v>161.34819999999999</v>
      </c>
      <c r="D995" s="4">
        <f>123.2565 * CHOOSE(CONTROL!$C$6, $C$13, 100%, $E$13) + CHOOSE(CONTROL!$C$25, 0, 0)</f>
        <v>123.2565</v>
      </c>
      <c r="E995" s="4">
        <f>858.529869320987 * CHOOSE(CONTROL!$C$6, $C$13, 100%, $E$13) + CHOOSE(CONTROL!$C$25, 0, 0)</f>
        <v>858.52986932098702</v>
      </c>
    </row>
    <row r="996" spans="1:5" ht="15">
      <c r="A996" s="13">
        <v>72198</v>
      </c>
      <c r="B996" s="4">
        <f>165.4594 * CHOOSE(CONTROL!$C$6, $C$13, 100%, $E$13) + CHOOSE(CONTROL!$C$25, 0.0263, 0)</f>
        <v>165.48569999999998</v>
      </c>
      <c r="C996" s="4">
        <f>165.1469 * CHOOSE(CONTROL!$C$6, $C$13, 100%, $E$13) + CHOOSE(CONTROL!$C$25, 0.0263, 0)</f>
        <v>165.17319999999998</v>
      </c>
      <c r="D996" s="4">
        <f>121.9463 * CHOOSE(CONTROL!$C$6, $C$13, 100%, $E$13) + CHOOSE(CONTROL!$C$25, 0, 0)</f>
        <v>121.94629999999999</v>
      </c>
      <c r="E996" s="4">
        <f>879.084871760186 * CHOOSE(CONTROL!$C$6, $C$13, 100%, $E$13) + CHOOSE(CONTROL!$C$25, 0, 0)</f>
        <v>879.08487176018605</v>
      </c>
    </row>
    <row r="997" spans="1:5" ht="15">
      <c r="A997" s="13">
        <v>72228</v>
      </c>
      <c r="B997" s="4">
        <f>158.9404 * CHOOSE(CONTROL!$C$6, $C$13, 100%, $E$13) + CHOOSE(CONTROL!$C$25, 0.0263, 0)</f>
        <v>158.9667</v>
      </c>
      <c r="C997" s="4">
        <f>158.6279 * CHOOSE(CONTROL!$C$6, $C$13, 100%, $E$13) + CHOOSE(CONTROL!$C$25, 0.0263, 0)</f>
        <v>158.6542</v>
      </c>
      <c r="D997" s="4">
        <f>121.3272 * CHOOSE(CONTROL!$C$6, $C$13, 100%, $E$13) + CHOOSE(CONTROL!$C$25, 0, 0)</f>
        <v>121.3272</v>
      </c>
      <c r="E997" s="4">
        <f>844.052591855504 * CHOOSE(CONTROL!$C$6, $C$13, 100%, $E$13) + CHOOSE(CONTROL!$C$25, 0, 0)</f>
        <v>844.05259185550403</v>
      </c>
    </row>
    <row r="998" spans="1:5" ht="15">
      <c r="A998" s="13">
        <v>72259</v>
      </c>
      <c r="B998" s="4">
        <f>153.7219 * CHOOSE(CONTROL!$C$6, $C$13, 100%, $E$13) + CHOOSE(CONTROL!$C$25, 0.0003, 0)</f>
        <v>153.72220000000002</v>
      </c>
      <c r="C998" s="4">
        <f>153.4094 * CHOOSE(CONTROL!$C$6, $C$13, 100%, $E$13) + CHOOSE(CONTROL!$C$25, 0.0003, 0)</f>
        <v>153.40970000000002</v>
      </c>
      <c r="D998" s="4">
        <f>119.6696 * CHOOSE(CONTROL!$C$6, $C$13, 100%, $E$13) + CHOOSE(CONTROL!$C$25, 0, 0)</f>
        <v>119.6696</v>
      </c>
      <c r="E998" s="4">
        <f>816.008557519852 * CHOOSE(CONTROL!$C$6, $C$13, 100%, $E$13) + CHOOSE(CONTROL!$C$25, 0, 0)</f>
        <v>816.00855751985205</v>
      </c>
    </row>
    <row r="999" spans="1:5" ht="15">
      <c r="A999" s="13">
        <v>72289</v>
      </c>
      <c r="B999" s="4">
        <f>150.3607 * CHOOSE(CONTROL!$C$6, $C$13, 100%, $E$13) + CHOOSE(CONTROL!$C$25, 0.0003, 0)</f>
        <v>150.36100000000002</v>
      </c>
      <c r="C999" s="4">
        <f>150.0482 * CHOOSE(CONTROL!$C$6, $C$13, 100%, $E$13) + CHOOSE(CONTROL!$C$25, 0.0003, 0)</f>
        <v>150.04850000000002</v>
      </c>
      <c r="D999" s="4">
        <f>119.0997 * CHOOSE(CONTROL!$C$6, $C$13, 100%, $E$13) + CHOOSE(CONTROL!$C$25, 0, 0)</f>
        <v>119.0997</v>
      </c>
      <c r="E999" s="4">
        <f>797.946105210323 * CHOOSE(CONTROL!$C$6, $C$13, 100%, $E$13) + CHOOSE(CONTROL!$C$25, 0, 0)</f>
        <v>797.94610521032303</v>
      </c>
    </row>
    <row r="1000" spans="1:5" ht="15">
      <c r="A1000" s="13">
        <v>72320</v>
      </c>
      <c r="B1000" s="4">
        <f>148.0352 * CHOOSE(CONTROL!$C$6, $C$13, 100%, $E$13) + CHOOSE(CONTROL!$C$25, 0.0003, 0)</f>
        <v>148.03550000000001</v>
      </c>
      <c r="C1000" s="4">
        <f>147.7227 * CHOOSE(CONTROL!$C$6, $C$13, 100%, $E$13) + CHOOSE(CONTROL!$C$25, 0.0003, 0)</f>
        <v>147.72300000000001</v>
      </c>
      <c r="D1000" s="4">
        <f>114.9043 * CHOOSE(CONTROL!$C$6, $C$13, 100%, $E$13) + CHOOSE(CONTROL!$C$25, 0, 0)</f>
        <v>114.90430000000001</v>
      </c>
      <c r="E1000" s="4">
        <f>785.449210039647 * CHOOSE(CONTROL!$C$6, $C$13, 100%, $E$13) + CHOOSE(CONTROL!$C$25, 0, 0)</f>
        <v>785.44921003964703</v>
      </c>
    </row>
    <row r="1001" spans="1:5" ht="15">
      <c r="A1001" s="13">
        <v>72351</v>
      </c>
      <c r="B1001" s="4">
        <f>144.2568 * CHOOSE(CONTROL!$C$6, $C$13, 100%, $E$13) + CHOOSE(CONTROL!$C$25, 0.0003, 0)</f>
        <v>144.25710000000001</v>
      </c>
      <c r="C1001" s="4">
        <f>143.9443 * CHOOSE(CONTROL!$C$6, $C$13, 100%, $E$13) + CHOOSE(CONTROL!$C$25, 0.0003, 0)</f>
        <v>143.94460000000001</v>
      </c>
      <c r="D1001" s="4">
        <f>111.0483 * CHOOSE(CONTROL!$C$6, $C$13, 100%, $E$13) + CHOOSE(CONTROL!$C$25, 0, 0)</f>
        <v>111.0483</v>
      </c>
      <c r="E1001" s="4">
        <f>762.925519804536 * CHOOSE(CONTROL!$C$6, $C$13, 100%, $E$13) + CHOOSE(CONTROL!$C$25, 0, 0)</f>
        <v>762.92551980453595</v>
      </c>
    </row>
    <row r="1002" spans="1:5" ht="15">
      <c r="A1002" s="13">
        <v>72379</v>
      </c>
      <c r="B1002" s="4">
        <f>147.6375 * CHOOSE(CONTROL!$C$6, $C$13, 100%, $E$13) + CHOOSE(CONTROL!$C$25, 0.0003, 0)</f>
        <v>147.6378</v>
      </c>
      <c r="C1002" s="4">
        <f>147.325 * CHOOSE(CONTROL!$C$6, $C$13, 100%, $E$13) + CHOOSE(CONTROL!$C$25, 0.0003, 0)</f>
        <v>147.3253</v>
      </c>
      <c r="D1002" s="4">
        <f>114.9313 * CHOOSE(CONTROL!$C$6, $C$13, 100%, $E$13) + CHOOSE(CONTROL!$C$25, 0, 0)</f>
        <v>114.93129999999999</v>
      </c>
      <c r="E1002" s="4">
        <f>781.04037826508 * CHOOSE(CONTROL!$C$6, $C$13, 100%, $E$13) + CHOOSE(CONTROL!$C$25, 0, 0)</f>
        <v>781.04037826507999</v>
      </c>
    </row>
    <row r="1003" spans="1:5" ht="15">
      <c r="A1003" s="13">
        <v>72410</v>
      </c>
      <c r="B1003" s="4">
        <f>156.5154 * CHOOSE(CONTROL!$C$6, $C$13, 100%, $E$13) + CHOOSE(CONTROL!$C$25, 0.0003, 0)</f>
        <v>156.51570000000001</v>
      </c>
      <c r="C1003" s="4">
        <f>156.2029 * CHOOSE(CONTROL!$C$6, $C$13, 100%, $E$13) + CHOOSE(CONTROL!$C$25, 0.0003, 0)</f>
        <v>156.20320000000001</v>
      </c>
      <c r="D1003" s="4">
        <f>121.0099 * CHOOSE(CONTROL!$C$6, $C$13, 100%, $E$13) + CHOOSE(CONTROL!$C$25, 0, 0)</f>
        <v>121.0099</v>
      </c>
      <c r="E1003" s="4">
        <f>828.61095926451 * CHOOSE(CONTROL!$C$6, $C$13, 100%, $E$13) + CHOOSE(CONTROL!$C$25, 0, 0)</f>
        <v>828.61095926451003</v>
      </c>
    </row>
    <row r="1004" spans="1:5" ht="15">
      <c r="A1004" s="13">
        <v>72440</v>
      </c>
      <c r="B1004" s="4">
        <f>162.8233 * CHOOSE(CONTROL!$C$6, $C$13, 100%, $E$13) + CHOOSE(CONTROL!$C$25, 0.0003, 0)</f>
        <v>162.8236</v>
      </c>
      <c r="C1004" s="4">
        <f>162.5108 * CHOOSE(CONTROL!$C$6, $C$13, 100%, $E$13) + CHOOSE(CONTROL!$C$25, 0.0003, 0)</f>
        <v>162.5111</v>
      </c>
      <c r="D1004" s="4">
        <f>124.5113 * CHOOSE(CONTROL!$C$6, $C$13, 100%, $E$13) + CHOOSE(CONTROL!$C$25, 0, 0)</f>
        <v>124.51130000000001</v>
      </c>
      <c r="E1004" s="4">
        <f>862.410491025952 * CHOOSE(CONTROL!$C$6, $C$13, 100%, $E$13) + CHOOSE(CONTROL!$C$25, 0, 0)</f>
        <v>862.41049102595196</v>
      </c>
    </row>
    <row r="1005" spans="1:5" ht="15">
      <c r="A1005" s="13">
        <v>72471</v>
      </c>
      <c r="B1005" s="4">
        <f>166.6773 * CHOOSE(CONTROL!$C$6, $C$13, 100%, $E$13) + CHOOSE(CONTROL!$C$25, 0.0263, 0)</f>
        <v>166.70359999999999</v>
      </c>
      <c r="C1005" s="4">
        <f>166.3648 * CHOOSE(CONTROL!$C$6, $C$13, 100%, $E$13) + CHOOSE(CONTROL!$C$25, 0.0263, 0)</f>
        <v>166.39109999999999</v>
      </c>
      <c r="D1005" s="4">
        <f>123.1277 * CHOOSE(CONTROL!$C$6, $C$13, 100%, $E$13) + CHOOSE(CONTROL!$C$25, 0, 0)</f>
        <v>123.1277</v>
      </c>
      <c r="E1005" s="4">
        <f>883.061194870472 * CHOOSE(CONTROL!$C$6, $C$13, 100%, $E$13) + CHOOSE(CONTROL!$C$25, 0, 0)</f>
        <v>883.06119487047204</v>
      </c>
    </row>
    <row r="1006" spans="1:5" ht="15">
      <c r="A1006" s="13">
        <v>72501</v>
      </c>
      <c r="B1006" s="4">
        <f>167.1987 * CHOOSE(CONTROL!$C$6, $C$13, 100%, $E$13) + CHOOSE(CONTROL!$C$25, 0.0263, 0)</f>
        <v>167.22499999999999</v>
      </c>
      <c r="C1006" s="4">
        <f>166.8862 * CHOOSE(CONTROL!$C$6, $C$13, 100%, $E$13) + CHOOSE(CONTROL!$C$25, 0.0263, 0)</f>
        <v>166.91249999999999</v>
      </c>
      <c r="D1006" s="4">
        <f>124.2545 * CHOOSE(CONTROL!$C$6, $C$13, 100%, $E$13) + CHOOSE(CONTROL!$C$25, 0, 0)</f>
        <v>124.25449999999999</v>
      </c>
      <c r="E1006" s="4">
        <f>885.855320802818 * CHOOSE(CONTROL!$C$6, $C$13, 100%, $E$13) + CHOOSE(CONTROL!$C$25, 0, 0)</f>
        <v>885.85532080281803</v>
      </c>
    </row>
    <row r="1007" spans="1:5" ht="15">
      <c r="A1007" s="13">
        <v>72532</v>
      </c>
      <c r="B1007" s="4">
        <f>167.1461 * CHOOSE(CONTROL!$C$6, $C$13, 100%, $E$13) + CHOOSE(CONTROL!$C$25, 0.0263, 0)</f>
        <v>167.17239999999998</v>
      </c>
      <c r="C1007" s="4">
        <f>166.8336 * CHOOSE(CONTROL!$C$6, $C$13, 100%, $E$13) + CHOOSE(CONTROL!$C$25, 0.0263, 0)</f>
        <v>166.85989999999998</v>
      </c>
      <c r="D1007" s="4">
        <f>126.2877 * CHOOSE(CONTROL!$C$6, $C$13, 100%, $E$13) + CHOOSE(CONTROL!$C$25, 0, 0)</f>
        <v>126.2877</v>
      </c>
      <c r="E1007" s="4">
        <f>885.573560204598 * CHOOSE(CONTROL!$C$6, $C$13, 100%, $E$13) + CHOOSE(CONTROL!$C$25, 0, 0)</f>
        <v>885.57356020459804</v>
      </c>
    </row>
    <row r="1008" spans="1:5" ht="15">
      <c r="A1008" s="13">
        <v>72563</v>
      </c>
      <c r="B1008" s="4">
        <f>171.1031 * CHOOSE(CONTROL!$C$6, $C$13, 100%, $E$13) + CHOOSE(CONTROL!$C$25, 0.0263, 0)</f>
        <v>171.1294</v>
      </c>
      <c r="C1008" s="4">
        <f>170.7906 * CHOOSE(CONTROL!$C$6, $C$13, 100%, $E$13) + CHOOSE(CONTROL!$C$25, 0.0263, 0)</f>
        <v>170.8169</v>
      </c>
      <c r="D1008" s="4">
        <f>124.945 * CHOOSE(CONTROL!$C$6, $C$13, 100%, $E$13) + CHOOSE(CONTROL!$C$25, 0, 0)</f>
        <v>124.94499999999999</v>
      </c>
      <c r="E1008" s="4">
        <f>906.776045220632 * CHOOSE(CONTROL!$C$6, $C$13, 100%, $E$13) + CHOOSE(CONTROL!$C$25, 0, 0)</f>
        <v>906.776045220632</v>
      </c>
    </row>
    <row r="1009" spans="1:5" ht="15">
      <c r="A1009" s="13">
        <v>72593</v>
      </c>
      <c r="B1009" s="4">
        <f>164.3592 * CHOOSE(CONTROL!$C$6, $C$13, 100%, $E$13) + CHOOSE(CONTROL!$C$25, 0.0263, 0)</f>
        <v>164.38549999999998</v>
      </c>
      <c r="C1009" s="4">
        <f>164.0467 * CHOOSE(CONTROL!$C$6, $C$13, 100%, $E$13) + CHOOSE(CONTROL!$C$25, 0.0263, 0)</f>
        <v>164.07299999999998</v>
      </c>
      <c r="D1009" s="4">
        <f>124.3106 * CHOOSE(CONTROL!$C$6, $C$13, 100%, $E$13) + CHOOSE(CONTROL!$C$25, 0, 0)</f>
        <v>124.31059999999999</v>
      </c>
      <c r="E1009" s="4">
        <f>870.640248498953 * CHOOSE(CONTROL!$C$6, $C$13, 100%, $E$13) + CHOOSE(CONTROL!$C$25, 0, 0)</f>
        <v>870.64024849895304</v>
      </c>
    </row>
    <row r="1010" spans="1:5" ht="15">
      <c r="A1010" s="13">
        <v>72624</v>
      </c>
      <c r="B1010" s="4">
        <f>158.9606 * CHOOSE(CONTROL!$C$6, $C$13, 100%, $E$13) + CHOOSE(CONTROL!$C$25, 0.0003, 0)</f>
        <v>158.96090000000001</v>
      </c>
      <c r="C1010" s="4">
        <f>158.6481 * CHOOSE(CONTROL!$C$6, $C$13, 100%, $E$13) + CHOOSE(CONTROL!$C$25, 0.0003, 0)</f>
        <v>158.64840000000001</v>
      </c>
      <c r="D1010" s="4">
        <f>122.6119 * CHOOSE(CONTROL!$C$6, $C$13, 100%, $E$13) + CHOOSE(CONTROL!$C$25, 0, 0)</f>
        <v>122.61190000000001</v>
      </c>
      <c r="E1010" s="4">
        <f>841.712827081727 * CHOOSE(CONTROL!$C$6, $C$13, 100%, $E$13) + CHOOSE(CONTROL!$C$25, 0, 0)</f>
        <v>841.71282708172703</v>
      </c>
    </row>
    <row r="1011" spans="1:5" ht="15">
      <c r="A1011" s="13">
        <v>72654</v>
      </c>
      <c r="B1011" s="4">
        <f>155.4835 * CHOOSE(CONTROL!$C$6, $C$13, 100%, $E$13) + CHOOSE(CONTROL!$C$25, 0.0003, 0)</f>
        <v>155.4838</v>
      </c>
      <c r="C1011" s="4">
        <f>155.171 * CHOOSE(CONTROL!$C$6, $C$13, 100%, $E$13) + CHOOSE(CONTROL!$C$25, 0.0003, 0)</f>
        <v>155.1713</v>
      </c>
      <c r="D1011" s="4">
        <f>122.0279 * CHOOSE(CONTROL!$C$6, $C$13, 100%, $E$13) + CHOOSE(CONTROL!$C$25, 0, 0)</f>
        <v>122.0279</v>
      </c>
      <c r="E1011" s="4">
        <f>823.081407524448 * CHOOSE(CONTROL!$C$6, $C$13, 100%, $E$13) + CHOOSE(CONTROL!$C$25, 0, 0)</f>
        <v>823.08140752444797</v>
      </c>
    </row>
    <row r="1012" spans="1:5" ht="15">
      <c r="A1012" s="13">
        <v>72685</v>
      </c>
      <c r="B1012" s="4">
        <f>153.0778 * CHOOSE(CONTROL!$C$6, $C$13, 100%, $E$13) + CHOOSE(CONTROL!$C$25, 0.0003, 0)</f>
        <v>153.07810000000001</v>
      </c>
      <c r="C1012" s="4">
        <f>152.7653 * CHOOSE(CONTROL!$C$6, $C$13, 100%, $E$13) + CHOOSE(CONTROL!$C$25, 0.0003, 0)</f>
        <v>152.76560000000001</v>
      </c>
      <c r="D1012" s="4">
        <f>117.7284 * CHOOSE(CONTROL!$C$6, $C$13, 100%, $E$13) + CHOOSE(CONTROL!$C$25, 0, 0)</f>
        <v>117.72839999999999</v>
      </c>
      <c r="E1012" s="4">
        <f>810.190860155896 * CHOOSE(CONTROL!$C$6, $C$13, 100%, $E$13) + CHOOSE(CONTROL!$C$25, 0, 0)</f>
        <v>810.19086015589596</v>
      </c>
    </row>
    <row r="1013" spans="1:5" ht="15">
      <c r="A1013" s="13">
        <v>72716</v>
      </c>
      <c r="B1013" s="4">
        <f>149.169 * CHOOSE(CONTROL!$C$6, $C$13, 100%, $E$13) + CHOOSE(CONTROL!$C$25, 0.0003, 0)</f>
        <v>149.16930000000002</v>
      </c>
      <c r="C1013" s="4">
        <f>148.8565 * CHOOSE(CONTROL!$C$6, $C$13, 100%, $E$13) + CHOOSE(CONTROL!$C$25, 0.0003, 0)</f>
        <v>148.85680000000002</v>
      </c>
      <c r="D1013" s="4">
        <f>113.7768 * CHOOSE(CONTROL!$C$6, $C$13, 100%, $E$13) + CHOOSE(CONTROL!$C$25, 0, 0)</f>
        <v>113.77679999999999</v>
      </c>
      <c r="E1013" s="4">
        <f>786.957673678379 * CHOOSE(CONTROL!$C$6, $C$13, 100%, $E$13) + CHOOSE(CONTROL!$C$25, 0, 0)</f>
        <v>786.95767367837902</v>
      </c>
    </row>
    <row r="1014" spans="1:5" ht="15">
      <c r="A1014" s="13">
        <v>72744</v>
      </c>
      <c r="B1014" s="4">
        <f>152.6663 * CHOOSE(CONTROL!$C$6, $C$13, 100%, $E$13) + CHOOSE(CONTROL!$C$25, 0.0003, 0)</f>
        <v>152.66660000000002</v>
      </c>
      <c r="C1014" s="4">
        <f>152.3538 * CHOOSE(CONTROL!$C$6, $C$13, 100%, $E$13) + CHOOSE(CONTROL!$C$25, 0.0003, 0)</f>
        <v>152.35410000000002</v>
      </c>
      <c r="D1014" s="4">
        <f>117.7561 * CHOOSE(CONTROL!$C$6, $C$13, 100%, $E$13) + CHOOSE(CONTROL!$C$25, 0, 0)</f>
        <v>117.7561</v>
      </c>
      <c r="E1014" s="4">
        <f>805.64315018043 * CHOOSE(CONTROL!$C$6, $C$13, 100%, $E$13) + CHOOSE(CONTROL!$C$25, 0, 0)</f>
        <v>805.64315018042998</v>
      </c>
    </row>
    <row r="1015" spans="1:5" ht="15">
      <c r="A1015" s="13">
        <v>72775</v>
      </c>
      <c r="B1015" s="4">
        <f>161.8505 * CHOOSE(CONTROL!$C$6, $C$13, 100%, $E$13) + CHOOSE(CONTROL!$C$25, 0.0003, 0)</f>
        <v>161.85080000000002</v>
      </c>
      <c r="C1015" s="4">
        <f>161.538 * CHOOSE(CONTROL!$C$6, $C$13, 100%, $E$13) + CHOOSE(CONTROL!$C$25, 0.0003, 0)</f>
        <v>161.53830000000002</v>
      </c>
      <c r="D1015" s="4">
        <f>123.9854 * CHOOSE(CONTROL!$C$6, $C$13, 100%, $E$13) + CHOOSE(CONTROL!$C$25, 0, 0)</f>
        <v>123.9854</v>
      </c>
      <c r="E1015" s="4">
        <f>854.712204481342 * CHOOSE(CONTROL!$C$6, $C$13, 100%, $E$13) + CHOOSE(CONTROL!$C$25, 0, 0)</f>
        <v>854.71220448134204</v>
      </c>
    </row>
    <row r="1016" spans="1:5" ht="15">
      <c r="A1016" s="13">
        <v>72805</v>
      </c>
      <c r="B1016" s="4">
        <f>168.376 * CHOOSE(CONTROL!$C$6, $C$13, 100%, $E$13) + CHOOSE(CONTROL!$C$25, 0.0003, 0)</f>
        <v>168.37630000000001</v>
      </c>
      <c r="C1016" s="4">
        <f>168.0635 * CHOOSE(CONTROL!$C$6, $C$13, 100%, $E$13) + CHOOSE(CONTROL!$C$25, 0.0003, 0)</f>
        <v>168.06380000000001</v>
      </c>
      <c r="D1016" s="4">
        <f>127.5737 * CHOOSE(CONTROL!$C$6, $C$13, 100%, $E$13) + CHOOSE(CONTROL!$C$25, 0, 0)</f>
        <v>127.5737</v>
      </c>
      <c r="E1016" s="4">
        <f>889.576421493269 * CHOOSE(CONTROL!$C$6, $C$13, 100%, $E$13) + CHOOSE(CONTROL!$C$25, 0, 0)</f>
        <v>889.57642149326898</v>
      </c>
    </row>
    <row r="1017" spans="1:5" ht="15">
      <c r="A1017" s="13">
        <v>72836</v>
      </c>
      <c r="B1017" s="4">
        <f>172.3629 * CHOOSE(CONTROL!$C$6, $C$13, 100%, $E$13) + CHOOSE(CONTROL!$C$25, 0.0263, 0)</f>
        <v>172.38919999999999</v>
      </c>
      <c r="C1017" s="4">
        <f>172.0504 * CHOOSE(CONTROL!$C$6, $C$13, 100%, $E$13) + CHOOSE(CONTROL!$C$25, 0.0263, 0)</f>
        <v>172.07669999999999</v>
      </c>
      <c r="D1017" s="4">
        <f>126.1557 * CHOOSE(CONTROL!$C$6, $C$13, 100%, $E$13) + CHOOSE(CONTROL!$C$25, 0, 0)</f>
        <v>126.1557</v>
      </c>
      <c r="E1017" s="4">
        <f>910.877622508892 * CHOOSE(CONTROL!$C$6, $C$13, 100%, $E$13) + CHOOSE(CONTROL!$C$25, 0, 0)</f>
        <v>910.87762250889205</v>
      </c>
    </row>
    <row r="1018" spans="1:5" ht="15">
      <c r="A1018" s="13">
        <v>72866</v>
      </c>
      <c r="B1018" s="4">
        <f>172.9024 * CHOOSE(CONTROL!$C$6, $C$13, 100%, $E$13) + CHOOSE(CONTROL!$C$25, 0.0263, 0)</f>
        <v>172.92869999999999</v>
      </c>
      <c r="C1018" s="4">
        <f>172.5899 * CHOOSE(CONTROL!$C$6, $C$13, 100%, $E$13) + CHOOSE(CONTROL!$C$25, 0.0263, 0)</f>
        <v>172.61619999999999</v>
      </c>
      <c r="D1018" s="4">
        <f>127.3105 * CHOOSE(CONTROL!$C$6, $C$13, 100%, $E$13) + CHOOSE(CONTROL!$C$25, 0, 0)</f>
        <v>127.3105</v>
      </c>
      <c r="E1018" s="4">
        <f>913.759763408106 * CHOOSE(CONTROL!$C$6, $C$13, 100%, $E$13) + CHOOSE(CONTROL!$C$25, 0, 0)</f>
        <v>913.75976340810598</v>
      </c>
    </row>
    <row r="1019" spans="1:5" ht="15">
      <c r="A1019" s="13">
        <v>72897</v>
      </c>
      <c r="B1019" s="4">
        <f>172.848 * CHOOSE(CONTROL!$C$6, $C$13, 100%, $E$13) + CHOOSE(CONTROL!$C$25, 0.0263, 0)</f>
        <v>172.87430000000001</v>
      </c>
      <c r="C1019" s="4">
        <f>172.5355 * CHOOSE(CONTROL!$C$6, $C$13, 100%, $E$13) + CHOOSE(CONTROL!$C$25, 0.0263, 0)</f>
        <v>172.56180000000001</v>
      </c>
      <c r="D1019" s="4">
        <f>129.3942 * CHOOSE(CONTROL!$C$6, $C$13, 100%, $E$13) + CHOOSE(CONTROL!$C$25, 0, 0)</f>
        <v>129.39420000000001</v>
      </c>
      <c r="E1019" s="4">
        <f>913.469127351043 * CHOOSE(CONTROL!$C$6, $C$13, 100%, $E$13) + CHOOSE(CONTROL!$C$25, 0, 0)</f>
        <v>913.46912735104297</v>
      </c>
    </row>
    <row r="1020" spans="1:5" ht="15">
      <c r="A1020" s="13">
        <v>72928</v>
      </c>
      <c r="B1020" s="4">
        <f>176.9414 * CHOOSE(CONTROL!$C$6, $C$13, 100%, $E$13) + CHOOSE(CONTROL!$C$25, 0.0263, 0)</f>
        <v>176.96769999999998</v>
      </c>
      <c r="C1020" s="4">
        <f>176.6289 * CHOOSE(CONTROL!$C$6, $C$13, 100%, $E$13) + CHOOSE(CONTROL!$C$25, 0.0263, 0)</f>
        <v>176.65519999999998</v>
      </c>
      <c r="D1020" s="4">
        <f>128.0181 * CHOOSE(CONTROL!$C$6, $C$13, 100%, $E$13) + CHOOSE(CONTROL!$C$25, 0, 0)</f>
        <v>128.0181</v>
      </c>
      <c r="E1020" s="4">
        <f>935.339490645082 * CHOOSE(CONTROL!$C$6, $C$13, 100%, $E$13) + CHOOSE(CONTROL!$C$25, 0, 0)</f>
        <v>935.33949064508204</v>
      </c>
    </row>
    <row r="1021" spans="1:5" ht="15">
      <c r="A1021" s="13">
        <v>72958</v>
      </c>
      <c r="B1021" s="4">
        <f>169.9649 * CHOOSE(CONTROL!$C$6, $C$13, 100%, $E$13) + CHOOSE(CONTROL!$C$25, 0.0263, 0)</f>
        <v>169.99119999999999</v>
      </c>
      <c r="C1021" s="4">
        <f>169.6524 * CHOOSE(CONTROL!$C$6, $C$13, 100%, $E$13) + CHOOSE(CONTROL!$C$25, 0.0263, 0)</f>
        <v>169.67869999999999</v>
      </c>
      <c r="D1021" s="4">
        <f>127.368 * CHOOSE(CONTROL!$C$6, $C$13, 100%, $E$13) + CHOOSE(CONTROL!$C$25, 0, 0)</f>
        <v>127.36799999999999</v>
      </c>
      <c r="E1021" s="4">
        <f>898.06541632667 * CHOOSE(CONTROL!$C$6, $C$13, 100%, $E$13) + CHOOSE(CONTROL!$C$25, 0, 0)</f>
        <v>898.06541632666995</v>
      </c>
    </row>
    <row r="1022" spans="1:5" ht="15">
      <c r="A1022" s="13">
        <v>72989</v>
      </c>
      <c r="B1022" s="4">
        <f>164.38 * CHOOSE(CONTROL!$C$6, $C$13, 100%, $E$13) + CHOOSE(CONTROL!$C$25, 0.0003, 0)</f>
        <v>164.38030000000001</v>
      </c>
      <c r="C1022" s="4">
        <f>164.0675 * CHOOSE(CONTROL!$C$6, $C$13, 100%, $E$13) + CHOOSE(CONTROL!$C$25, 0.0003, 0)</f>
        <v>164.06780000000001</v>
      </c>
      <c r="D1022" s="4">
        <f>125.6272 * CHOOSE(CONTROL!$C$6, $C$13, 100%, $E$13) + CHOOSE(CONTROL!$C$25, 0, 0)</f>
        <v>125.6272</v>
      </c>
      <c r="E1022" s="4">
        <f>868.226781134802 * CHOOSE(CONTROL!$C$6, $C$13, 100%, $E$13) + CHOOSE(CONTROL!$C$25, 0, 0)</f>
        <v>868.22678113480197</v>
      </c>
    </row>
    <row r="1023" spans="1:5" ht="15">
      <c r="A1023" s="13">
        <v>73019</v>
      </c>
      <c r="B1023" s="4">
        <f>160.783 * CHOOSE(CONTROL!$C$6, $C$13, 100%, $E$13) + CHOOSE(CONTROL!$C$25, 0.0003, 0)</f>
        <v>160.7833</v>
      </c>
      <c r="C1023" s="4">
        <f>160.4705 * CHOOSE(CONTROL!$C$6, $C$13, 100%, $E$13) + CHOOSE(CONTROL!$C$25, 0.0003, 0)</f>
        <v>160.4708</v>
      </c>
      <c r="D1023" s="4">
        <f>125.0287 * CHOOSE(CONTROL!$C$6, $C$13, 100%, $E$13) + CHOOSE(CONTROL!$C$25, 0, 0)</f>
        <v>125.0287</v>
      </c>
      <c r="E1023" s="4">
        <f>849.008471861468 * CHOOSE(CONTROL!$C$6, $C$13, 100%, $E$13) + CHOOSE(CONTROL!$C$25, 0, 0)</f>
        <v>849.00847186146802</v>
      </c>
    </row>
    <row r="1024" spans="1:5" ht="15">
      <c r="A1024" s="13">
        <v>73050</v>
      </c>
      <c r="B1024" s="4">
        <f>158.2943 * CHOOSE(CONTROL!$C$6, $C$13, 100%, $E$13) + CHOOSE(CONTROL!$C$25, 0.0003, 0)</f>
        <v>158.2946</v>
      </c>
      <c r="C1024" s="4">
        <f>157.9818 * CHOOSE(CONTROL!$C$6, $C$13, 100%, $E$13) + CHOOSE(CONTROL!$C$25, 0.0003, 0)</f>
        <v>157.9821</v>
      </c>
      <c r="D1024" s="4">
        <f>120.6225 * CHOOSE(CONTROL!$C$6, $C$13, 100%, $E$13) + CHOOSE(CONTROL!$C$25, 0, 0)</f>
        <v>120.6225</v>
      </c>
      <c r="E1024" s="4">
        <f>835.711872250806 * CHOOSE(CONTROL!$C$6, $C$13, 100%, $E$13) + CHOOSE(CONTROL!$C$25, 0, 0)</f>
        <v>835.71187225080598</v>
      </c>
    </row>
    <row r="1025" spans="1:5" ht="15">
      <c r="A1025" s="13">
        <v>73081</v>
      </c>
      <c r="B1025" s="4">
        <f>154.2506 * CHOOSE(CONTROL!$C$6, $C$13, 100%, $E$13) + CHOOSE(CONTROL!$C$25, 0.0003, 0)</f>
        <v>154.2509</v>
      </c>
      <c r="C1025" s="4">
        <f>153.9381 * CHOOSE(CONTROL!$C$6, $C$13, 100%, $E$13) + CHOOSE(CONTROL!$C$25, 0.0003, 0)</f>
        <v>153.9384</v>
      </c>
      <c r="D1025" s="4">
        <f>116.5729 * CHOOSE(CONTROL!$C$6, $C$13, 100%, $E$13) + CHOOSE(CONTROL!$C$25, 0, 0)</f>
        <v>116.5729</v>
      </c>
      <c r="E1025" s="4">
        <f>811.746840399248 * CHOOSE(CONTROL!$C$6, $C$13, 100%, $E$13) + CHOOSE(CONTROL!$C$25, 0, 0)</f>
        <v>811.74684039924796</v>
      </c>
    </row>
    <row r="1026" spans="1:5" ht="15">
      <c r="A1026" s="13">
        <v>73109</v>
      </c>
      <c r="B1026" s="4">
        <f>157.8686 * CHOOSE(CONTROL!$C$6, $C$13, 100%, $E$13) + CHOOSE(CONTROL!$C$25, 0.0003, 0)</f>
        <v>157.8689</v>
      </c>
      <c r="C1026" s="4">
        <f>157.5561 * CHOOSE(CONTROL!$C$6, $C$13, 100%, $E$13) + CHOOSE(CONTROL!$C$25, 0.0003, 0)</f>
        <v>157.5564</v>
      </c>
      <c r="D1026" s="4">
        <f>120.6509 * CHOOSE(CONTROL!$C$6, $C$13, 100%, $E$13) + CHOOSE(CONTROL!$C$25, 0, 0)</f>
        <v>120.65089999999999</v>
      </c>
      <c r="E1026" s="4">
        <f>831.020909411114 * CHOOSE(CONTROL!$C$6, $C$13, 100%, $E$13) + CHOOSE(CONTROL!$C$25, 0, 0)</f>
        <v>831.02090941111396</v>
      </c>
    </row>
    <row r="1027" spans="1:5" ht="15">
      <c r="A1027" s="13">
        <v>73140</v>
      </c>
      <c r="B1027" s="4">
        <f>167.3697 * CHOOSE(CONTROL!$C$6, $C$13, 100%, $E$13) + CHOOSE(CONTROL!$C$25, 0.0003, 0)</f>
        <v>167.37</v>
      </c>
      <c r="C1027" s="4">
        <f>167.0572 * CHOOSE(CONTROL!$C$6, $C$13, 100%, $E$13) + CHOOSE(CONTROL!$C$25, 0.0003, 0)</f>
        <v>167.0575</v>
      </c>
      <c r="D1027" s="4">
        <f>127.0347 * CHOOSE(CONTROL!$C$6, $C$13, 100%, $E$13) + CHOOSE(CONTROL!$C$25, 0, 0)</f>
        <v>127.0347</v>
      </c>
      <c r="E1027" s="4">
        <f>881.635638922505 * CHOOSE(CONTROL!$C$6, $C$13, 100%, $E$13) + CHOOSE(CONTROL!$C$25, 0, 0)</f>
        <v>881.635638922505</v>
      </c>
    </row>
    <row r="1028" spans="1:5" ht="15">
      <c r="A1028" s="13">
        <v>73170</v>
      </c>
      <c r="B1028" s="4">
        <f>174.1203 * CHOOSE(CONTROL!$C$6, $C$13, 100%, $E$13) + CHOOSE(CONTROL!$C$25, 0.0003, 0)</f>
        <v>174.1206</v>
      </c>
      <c r="C1028" s="4">
        <f>173.8078 * CHOOSE(CONTROL!$C$6, $C$13, 100%, $E$13) + CHOOSE(CONTROL!$C$25, 0.0003, 0)</f>
        <v>173.8081</v>
      </c>
      <c r="D1028" s="4">
        <f>130.712 * CHOOSE(CONTROL!$C$6, $C$13, 100%, $E$13) + CHOOSE(CONTROL!$C$25, 0, 0)</f>
        <v>130.71199999999999</v>
      </c>
      <c r="E1028" s="4">
        <f>917.598078770307 * CHOOSE(CONTROL!$C$6, $C$13, 100%, $E$13) + CHOOSE(CONTROL!$C$25, 0, 0)</f>
        <v>917.59807877030698</v>
      </c>
    </row>
    <row r="1029" spans="1:5" ht="15">
      <c r="A1029" s="13">
        <v>73201</v>
      </c>
      <c r="B1029" s="4">
        <f>178.2448 * CHOOSE(CONTROL!$C$6, $C$13, 100%, $E$13) + CHOOSE(CONTROL!$C$25, 0.0263, 0)</f>
        <v>178.27109999999999</v>
      </c>
      <c r="C1029" s="4">
        <f>177.9323 * CHOOSE(CONTROL!$C$6, $C$13, 100%, $E$13) + CHOOSE(CONTROL!$C$25, 0.0263, 0)</f>
        <v>177.95859999999999</v>
      </c>
      <c r="D1029" s="4">
        <f>129.2589 * CHOOSE(CONTROL!$C$6, $C$13, 100%, $E$13) + CHOOSE(CONTROL!$C$25, 0, 0)</f>
        <v>129.25890000000001</v>
      </c>
      <c r="E1029" s="4">
        <f>939.570267617922 * CHOOSE(CONTROL!$C$6, $C$13, 100%, $E$13) + CHOOSE(CONTROL!$C$25, 0, 0)</f>
        <v>939.57026761792201</v>
      </c>
    </row>
    <row r="1030" spans="1:5" ht="15">
      <c r="A1030" s="13">
        <v>73231</v>
      </c>
      <c r="B1030" s="4">
        <f>178.8028 * CHOOSE(CONTROL!$C$6, $C$13, 100%, $E$13) + CHOOSE(CONTROL!$C$25, 0.0263, 0)</f>
        <v>178.82909999999998</v>
      </c>
      <c r="C1030" s="4">
        <f>178.4903 * CHOOSE(CONTROL!$C$6, $C$13, 100%, $E$13) + CHOOSE(CONTROL!$C$25, 0.0263, 0)</f>
        <v>178.51659999999998</v>
      </c>
      <c r="D1030" s="4">
        <f>130.4423 * CHOOSE(CONTROL!$C$6, $C$13, 100%, $E$13) + CHOOSE(CONTROL!$C$25, 0, 0)</f>
        <v>130.44229999999999</v>
      </c>
      <c r="E1030" s="4">
        <f>942.543195955462 * CHOOSE(CONTROL!$C$6, $C$13, 100%, $E$13) + CHOOSE(CONTROL!$C$25, 0, 0)</f>
        <v>942.54319595546201</v>
      </c>
    </row>
    <row r="1031" spans="1:5" ht="15">
      <c r="A1031" s="13">
        <v>73262</v>
      </c>
      <c r="B1031" s="4">
        <f>178.7466 * CHOOSE(CONTROL!$C$6, $C$13, 100%, $E$13) + CHOOSE(CONTROL!$C$25, 0.0263, 0)</f>
        <v>178.77289999999999</v>
      </c>
      <c r="C1031" s="4">
        <f>178.4341 * CHOOSE(CONTROL!$C$6, $C$13, 100%, $E$13) + CHOOSE(CONTROL!$C$25, 0.0263, 0)</f>
        <v>178.46039999999999</v>
      </c>
      <c r="D1031" s="4">
        <f>132.5776 * CHOOSE(CONTROL!$C$6, $C$13, 100%, $E$13) + CHOOSE(CONTROL!$C$25, 0, 0)</f>
        <v>132.57759999999999</v>
      </c>
      <c r="E1031" s="4">
        <f>942.243404862601 * CHOOSE(CONTROL!$C$6, $C$13, 100%, $E$13) + CHOOSE(CONTROL!$C$25, 0, 0)</f>
        <v>942.24340486260098</v>
      </c>
    </row>
    <row r="1032" spans="1:5" ht="15">
      <c r="A1032" s="13">
        <v>73293</v>
      </c>
      <c r="B1032" s="4">
        <f>182.9812 * CHOOSE(CONTROL!$C$6, $C$13, 100%, $E$13) + CHOOSE(CONTROL!$C$25, 0.0263, 0)</f>
        <v>183.00749999999999</v>
      </c>
      <c r="C1032" s="4">
        <f>182.6687 * CHOOSE(CONTROL!$C$6, $C$13, 100%, $E$13) + CHOOSE(CONTROL!$C$25, 0.0263, 0)</f>
        <v>182.69499999999999</v>
      </c>
      <c r="D1032" s="4">
        <f>131.1674 * CHOOSE(CONTROL!$C$6, $C$13, 100%, $E$13) + CHOOSE(CONTROL!$C$25, 0, 0)</f>
        <v>131.16739999999999</v>
      </c>
      <c r="E1032" s="4">
        <f>964.802684600402 * CHOOSE(CONTROL!$C$6, $C$13, 100%, $E$13) + CHOOSE(CONTROL!$C$25, 0, 0)</f>
        <v>964.80268460040202</v>
      </c>
    </row>
    <row r="1033" spans="1:5" ht="15">
      <c r="A1033" s="13">
        <v>73323</v>
      </c>
      <c r="B1033" s="4">
        <f>175.764 * CHOOSE(CONTROL!$C$6, $C$13, 100%, $E$13) + CHOOSE(CONTROL!$C$25, 0.0263, 0)</f>
        <v>175.7903</v>
      </c>
      <c r="C1033" s="4">
        <f>175.4515 * CHOOSE(CONTROL!$C$6, $C$13, 100%, $E$13) + CHOOSE(CONTROL!$C$25, 0.0263, 0)</f>
        <v>175.4778</v>
      </c>
      <c r="D1033" s="4">
        <f>130.5012 * CHOOSE(CONTROL!$C$6, $C$13, 100%, $E$13) + CHOOSE(CONTROL!$C$25, 0, 0)</f>
        <v>130.50120000000001</v>
      </c>
      <c r="E1033" s="4">
        <f>926.35447694096 * CHOOSE(CONTROL!$C$6, $C$13, 100%, $E$13) + CHOOSE(CONTROL!$C$25, 0, 0)</f>
        <v>926.35447694096001</v>
      </c>
    </row>
    <row r="1034" spans="1:5" ht="15">
      <c r="A1034" s="13">
        <v>73354</v>
      </c>
      <c r="B1034" s="4">
        <f>169.9865 * CHOOSE(CONTROL!$C$6, $C$13, 100%, $E$13) + CHOOSE(CONTROL!$C$25, 0.0003, 0)</f>
        <v>169.98680000000002</v>
      </c>
      <c r="C1034" s="4">
        <f>169.674 * CHOOSE(CONTROL!$C$6, $C$13, 100%, $E$13) + CHOOSE(CONTROL!$C$25, 0.0003, 0)</f>
        <v>169.67430000000002</v>
      </c>
      <c r="D1034" s="4">
        <f>128.7172 * CHOOSE(CONTROL!$C$6, $C$13, 100%, $E$13) + CHOOSE(CONTROL!$C$25, 0, 0)</f>
        <v>128.71719999999999</v>
      </c>
      <c r="E1034" s="4">
        <f>895.575924740548 * CHOOSE(CONTROL!$C$6, $C$13, 100%, $E$13) + CHOOSE(CONTROL!$C$25, 0, 0)</f>
        <v>895.57592474054798</v>
      </c>
    </row>
    <row r="1035" spans="1:5" ht="15">
      <c r="A1035" s="13">
        <v>73384</v>
      </c>
      <c r="B1035" s="4">
        <f>166.2653 * CHOOSE(CONTROL!$C$6, $C$13, 100%, $E$13) + CHOOSE(CONTROL!$C$25, 0.0003, 0)</f>
        <v>166.26560000000001</v>
      </c>
      <c r="C1035" s="4">
        <f>165.9528 * CHOOSE(CONTROL!$C$6, $C$13, 100%, $E$13) + CHOOSE(CONTROL!$C$25, 0.0003, 0)</f>
        <v>165.95310000000001</v>
      </c>
      <c r="D1035" s="4">
        <f>128.1039 * CHOOSE(CONTROL!$C$6, $C$13, 100%, $E$13) + CHOOSE(CONTROL!$C$25, 0, 0)</f>
        <v>128.10390000000001</v>
      </c>
      <c r="E1035" s="4">
        <f>875.752238725104 * CHOOSE(CONTROL!$C$6, $C$13, 100%, $E$13) + CHOOSE(CONTROL!$C$25, 0, 0)</f>
        <v>875.75223872510401</v>
      </c>
    </row>
    <row r="1036" spans="1:5" ht="15">
      <c r="A1036" s="13">
        <v>73415</v>
      </c>
      <c r="B1036" s="4">
        <f>163.6907 * CHOOSE(CONTROL!$C$6, $C$13, 100%, $E$13) + CHOOSE(CONTROL!$C$25, 0.0003, 0)</f>
        <v>163.691</v>
      </c>
      <c r="C1036" s="4">
        <f>163.3782 * CHOOSE(CONTROL!$C$6, $C$13, 100%, $E$13) + CHOOSE(CONTROL!$C$25, 0.0003, 0)</f>
        <v>163.3785</v>
      </c>
      <c r="D1036" s="4">
        <f>123.5884 * CHOOSE(CONTROL!$C$6, $C$13, 100%, $E$13) + CHOOSE(CONTROL!$C$25, 0, 0)</f>
        <v>123.58839999999999</v>
      </c>
      <c r="E1036" s="4">
        <f>862.036796226707 * CHOOSE(CONTROL!$C$6, $C$13, 100%, $E$13) + CHOOSE(CONTROL!$C$25, 0, 0)</f>
        <v>862.036796226707</v>
      </c>
    </row>
    <row r="1037" spans="1:5" ht="15">
      <c r="A1037" s="10"/>
      <c r="B1037" s="4"/>
      <c r="C1037" s="4"/>
      <c r="D1037" s="4"/>
      <c r="E1037" s="4"/>
    </row>
    <row r="1038" spans="1:5" ht="15">
      <c r="A1038" s="3">
        <v>2016</v>
      </c>
      <c r="B1038" s="4">
        <f>AVERAGE(B17:B28)</f>
        <v>7.3942000000000005</v>
      </c>
      <c r="C1038" s="4">
        <f>AVERAGE(C17:C28)</f>
        <v>7.0817083333333342</v>
      </c>
      <c r="D1038" s="4">
        <f>AVERAGE(D17:D28)</f>
        <v>10.926066666666665</v>
      </c>
      <c r="E1038" s="4">
        <f>AVERAGE(E17:E28)</f>
        <v>43.9375</v>
      </c>
    </row>
    <row r="1039" spans="1:5" ht="15">
      <c r="A1039" s="3">
        <v>2017</v>
      </c>
      <c r="B1039" s="4">
        <f>AVERAGE(B29:B40)</f>
        <v>8.7839166666666681</v>
      </c>
      <c r="C1039" s="4">
        <f>AVERAGE(C29:C40)</f>
        <v>8.4714166666666681</v>
      </c>
      <c r="D1039" s="4">
        <f>AVERAGE(D29:D40)</f>
        <v>12.497999999999999</v>
      </c>
      <c r="E1039" s="4">
        <f>AVERAGE(E29:E40)</f>
        <v>52.144999999999989</v>
      </c>
    </row>
    <row r="1040" spans="1:5" ht="15">
      <c r="A1040" s="3">
        <v>2018</v>
      </c>
      <c r="B1040" s="4">
        <f>AVERAGE(B41:B52)</f>
        <v>8.9096916666666655</v>
      </c>
      <c r="C1040" s="4">
        <f>AVERAGE(C41:C52)</f>
        <v>8.5971916666666655</v>
      </c>
      <c r="D1040" s="4">
        <f>AVERAGE(D41:D52)</f>
        <v>12.903408333333333</v>
      </c>
      <c r="E1040" s="4">
        <f>AVERAGE(E41:E52)</f>
        <v>52.949999999999996</v>
      </c>
    </row>
    <row r="1041" spans="1:5" ht="15">
      <c r="A1041" s="3">
        <v>2019</v>
      </c>
      <c r="B1041" s="4">
        <f>AVERAGE(B53:B64)</f>
        <v>10.628449999999999</v>
      </c>
      <c r="C1041" s="4">
        <f>AVERAGE(C53:C64)</f>
        <v>10.315949999999999</v>
      </c>
      <c r="D1041" s="4">
        <f>AVERAGE(D53:D64)</f>
        <v>15.065458333333334</v>
      </c>
      <c r="E1041" s="4">
        <f>AVERAGE(E53:E64)</f>
        <v>62.345387624104831</v>
      </c>
    </row>
    <row r="1042" spans="1:5" ht="15">
      <c r="A1042" s="3">
        <v>2020</v>
      </c>
      <c r="B1042" s="4">
        <f>AVERAGE(B65:B76)</f>
        <v>11.149958333333332</v>
      </c>
      <c r="C1042" s="4">
        <f>AVERAGE(C65:C76)</f>
        <v>10.837458333333332</v>
      </c>
      <c r="D1042" s="4">
        <f>AVERAGE(D65:D76)</f>
        <v>15.718474999999998</v>
      </c>
      <c r="E1042" s="4">
        <f>AVERAGE(E65:E76)</f>
        <v>65.357555999755874</v>
      </c>
    </row>
    <row r="1043" spans="1:5" ht="15">
      <c r="A1043" s="3">
        <v>2021</v>
      </c>
      <c r="B1043" s="4">
        <f>AVERAGE(B77:B88)</f>
        <v>13.852091666666665</v>
      </c>
      <c r="C1043" s="4">
        <f>AVERAGE(C77:C88)</f>
        <v>13.539591666666665</v>
      </c>
      <c r="D1043" s="4">
        <f>AVERAGE(D77:D88)</f>
        <v>18.370799999999999</v>
      </c>
      <c r="E1043" s="4">
        <f>AVERAGE(E77:E88)</f>
        <v>79.410041809082017</v>
      </c>
    </row>
    <row r="1044" spans="1:5" ht="15">
      <c r="A1044" s="3">
        <v>2022</v>
      </c>
      <c r="B1044" s="4">
        <f>AVERAGE(B89:B100)</f>
        <v>14.462508333333332</v>
      </c>
      <c r="C1044" s="4">
        <f>AVERAGE(C89:C100)</f>
        <v>14.150008333333332</v>
      </c>
      <c r="D1044" s="4">
        <f>AVERAGE(D89:D100)</f>
        <v>19.193783333333336</v>
      </c>
      <c r="E1044" s="4">
        <f>AVERAGE(E89:E100)</f>
        <v>83.235992431640611</v>
      </c>
    </row>
    <row r="1045" spans="1:5" ht="15">
      <c r="A1045" s="3">
        <v>2023</v>
      </c>
      <c r="B1045" s="4">
        <f>AVERAGE(B101:B112)</f>
        <v>15.164375</v>
      </c>
      <c r="C1045" s="4">
        <f>AVERAGE(C101:C112)</f>
        <v>14.851875</v>
      </c>
      <c r="D1045" s="4">
        <f>AVERAGE(D101:D112)</f>
        <v>20.114408333333333</v>
      </c>
      <c r="E1045" s="4">
        <f>AVERAGE(E101:E112)</f>
        <v>87.234474182128906</v>
      </c>
    </row>
    <row r="1046" spans="1:5" ht="15">
      <c r="A1046" s="3">
        <v>2024</v>
      </c>
      <c r="B1046" s="4">
        <f>AVERAGE(B113:B124)</f>
        <v>15.843999999999999</v>
      </c>
      <c r="C1046" s="4">
        <f>AVERAGE(C113:C124)</f>
        <v>15.531499999999999</v>
      </c>
      <c r="D1046" s="4">
        <f>AVERAGE(D113:D124)</f>
        <v>21.399600000000003</v>
      </c>
      <c r="E1046" s="4">
        <f>AVERAGE(E113:E124)</f>
        <v>91.353088378906236</v>
      </c>
    </row>
    <row r="1047" spans="1:5" ht="15">
      <c r="A1047" s="3">
        <v>2025</v>
      </c>
      <c r="B1047" s="4">
        <f>AVERAGE(B125:B136)</f>
        <v>16.618433333333332</v>
      </c>
      <c r="C1047" s="4">
        <f>AVERAGE(C125:C136)</f>
        <v>16.305933333333332</v>
      </c>
      <c r="D1047" s="4">
        <f>AVERAGE(D125:D136)</f>
        <v>22.271941666666663</v>
      </c>
      <c r="E1047" s="4">
        <f>AVERAGE(E125:E136)</f>
        <v>94.339698791503906</v>
      </c>
    </row>
    <row r="1048" spans="1:5" ht="15">
      <c r="A1048" s="3">
        <v>2026</v>
      </c>
      <c r="B1048" s="4">
        <f>AVERAGE(B137:B148)</f>
        <v>17.070483333333332</v>
      </c>
      <c r="C1048" s="4">
        <f>AVERAGE(C137:C148)</f>
        <v>16.757983333333332</v>
      </c>
      <c r="D1048" s="4">
        <f>AVERAGE(D137:D148)</f>
        <v>22.917058333333333</v>
      </c>
      <c r="E1048" s="4">
        <f>AVERAGE(E137:E148)</f>
        <v>97.593208312988267</v>
      </c>
    </row>
    <row r="1049" spans="1:5" ht="15">
      <c r="A1049" s="3">
        <v>2027</v>
      </c>
      <c r="B1049" s="4">
        <f>AVERAGE(B149:B160)</f>
        <v>17.472991666666665</v>
      </c>
      <c r="C1049" s="4">
        <f>AVERAGE(C149:C160)</f>
        <v>17.160491666666665</v>
      </c>
      <c r="D1049" s="4">
        <f>AVERAGE(D149:D160)</f>
        <v>23.455641666666668</v>
      </c>
      <c r="E1049" s="4">
        <f>AVERAGE(E149:E160)</f>
        <v>100.23445129394527</v>
      </c>
    </row>
    <row r="1050" spans="1:5" ht="15">
      <c r="A1050" s="3">
        <v>2028</v>
      </c>
      <c r="B1050" s="4">
        <f>AVERAGE(B161:B172)</f>
        <v>17.851658333333329</v>
      </c>
      <c r="C1050" s="4">
        <f>AVERAGE(C161:C172)</f>
        <v>17.539158333333329</v>
      </c>
      <c r="D1050" s="4">
        <f>AVERAGE(D161:D172)</f>
        <v>23.917591666666667</v>
      </c>
      <c r="E1050" s="4">
        <f>AVERAGE(E161:E172)</f>
        <v>102.7779159545899</v>
      </c>
    </row>
    <row r="1051" spans="1:5" ht="15">
      <c r="A1051" s="3">
        <v>2029</v>
      </c>
      <c r="B1051" s="4">
        <f>AVERAGE(B173:B184)</f>
        <v>18.297116666666664</v>
      </c>
      <c r="C1051" s="4">
        <f>AVERAGE(C173:C184)</f>
        <v>17.984616666666664</v>
      </c>
      <c r="D1051" s="4">
        <f>AVERAGE(D173:D184)</f>
        <v>24.385216666666668</v>
      </c>
      <c r="E1051" s="4">
        <f>AVERAGE(E173:E184)</f>
        <v>105.64903259277338</v>
      </c>
    </row>
    <row r="1052" spans="1:5" ht="15">
      <c r="A1052" s="3">
        <v>2030</v>
      </c>
      <c r="B1052" s="4">
        <f>AVERAGE(B185:B196)</f>
        <v>18.743849999999998</v>
      </c>
      <c r="C1052" s="4">
        <f>AVERAGE(C185:C196)</f>
        <v>18.431349999999998</v>
      </c>
      <c r="D1052" s="4">
        <f>AVERAGE(D185:D196)</f>
        <v>24.861933333333337</v>
      </c>
      <c r="E1052" s="4">
        <f>AVERAGE(E185:E196)</f>
        <v>108.54174041748045</v>
      </c>
    </row>
    <row r="1053" spans="1:5" ht="15">
      <c r="A1053" s="3">
        <v>2031</v>
      </c>
      <c r="B1053" s="4">
        <f>AVERAGE(B197:B208)</f>
        <v>19.079216666666667</v>
      </c>
      <c r="C1053" s="4">
        <f>AVERAGE(C197:C208)</f>
        <v>18.766716666666667</v>
      </c>
      <c r="D1053" s="4">
        <f>AVERAGE(D197:D208)</f>
        <v>25.229524999999995</v>
      </c>
      <c r="E1053" s="4">
        <f>AVERAGE(E197:E208)</f>
        <v>110.76666259765625</v>
      </c>
    </row>
    <row r="1054" spans="1:5" ht="15">
      <c r="A1054" s="3">
        <v>2032</v>
      </c>
      <c r="B1054" s="4">
        <f>AVERAGE(B209:B220)</f>
        <v>19.433183333333332</v>
      </c>
      <c r="C1054" s="4">
        <f>AVERAGE(C209:C220)</f>
        <v>19.120683333333332</v>
      </c>
      <c r="D1054" s="4">
        <f>AVERAGE(D209:D220)</f>
        <v>25.600375000000003</v>
      </c>
      <c r="E1054" s="4">
        <f>AVERAGE(E209:E220)</f>
        <v>112.99793243408202</v>
      </c>
    </row>
    <row r="1055" spans="1:5" ht="15">
      <c r="A1055" s="3">
        <v>2033</v>
      </c>
      <c r="B1055" s="4">
        <f>AVERAGE(B221:B232)</f>
        <v>19.782974999999997</v>
      </c>
      <c r="C1055" s="4">
        <f>AVERAGE(C221:C232)</f>
        <v>19.470474999999997</v>
      </c>
      <c r="D1055" s="4">
        <f>AVERAGE(D221:D232)</f>
        <v>25.966633333333334</v>
      </c>
      <c r="E1055" s="4">
        <f>AVERAGE(E221:E232)</f>
        <v>115.21363830566411</v>
      </c>
    </row>
    <row r="1056" spans="1:5" ht="15">
      <c r="A1056" s="3">
        <v>2034</v>
      </c>
      <c r="B1056" s="4">
        <f>AVERAGE(B233:B244)</f>
        <v>20.138683333333333</v>
      </c>
      <c r="C1056" s="4">
        <f>AVERAGE(C233:C244)</f>
        <v>19.826183333333333</v>
      </c>
      <c r="D1056" s="4">
        <f>AVERAGE(D233:D244)</f>
        <v>26.339391666666668</v>
      </c>
      <c r="E1056" s="4">
        <f>AVERAGE(E233:E244)</f>
        <v>117.47233581542969</v>
      </c>
    </row>
    <row r="1057" spans="1:5" ht="15">
      <c r="A1057" s="3">
        <v>2035</v>
      </c>
      <c r="B1057" s="4">
        <f>AVERAGE(B245:B256)</f>
        <v>20.502199999999998</v>
      </c>
      <c r="C1057" s="4">
        <f>AVERAGE(C245:C256)</f>
        <v>20.189699999999998</v>
      </c>
      <c r="D1057" s="4">
        <f>AVERAGE(D245:D256)</f>
        <v>26.748175</v>
      </c>
      <c r="E1057" s="4">
        <f>AVERAGE(E245:E256)</f>
        <v>119.77758026123041</v>
      </c>
    </row>
    <row r="1058" spans="1:5" ht="15">
      <c r="A1058" s="3">
        <v>2036</v>
      </c>
      <c r="B1058" s="4">
        <f>AVERAGE(B257:B268)</f>
        <v>21.144466666666663</v>
      </c>
      <c r="C1058" s="4">
        <f>AVERAGE(C257:C268)</f>
        <v>20.831966666666663</v>
      </c>
      <c r="D1058" s="4">
        <f>AVERAGE(D257:D268)</f>
        <v>27.386033333333334</v>
      </c>
      <c r="E1058" s="4">
        <f>AVERAGE(E257:E268)</f>
        <v>123.55057403945916</v>
      </c>
    </row>
    <row r="1059" spans="1:5" ht="15">
      <c r="A1059" s="3">
        <v>2037</v>
      </c>
      <c r="B1059" s="4">
        <f>AVERAGE(B269:B280)</f>
        <v>21.808891666666668</v>
      </c>
      <c r="C1059" s="4">
        <f>AVERAGE(C269:C280)</f>
        <v>21.496391666666668</v>
      </c>
      <c r="D1059" s="4">
        <f>AVERAGE(D269:D280)</f>
        <v>28.039674999999999</v>
      </c>
      <c r="E1059" s="4">
        <f>AVERAGE(E269:E280)</f>
        <v>127.44241712170223</v>
      </c>
    </row>
    <row r="1060" spans="1:5" ht="15">
      <c r="A1060" s="3">
        <f t="shared" ref="A1060:A1091" si="0">A1059+1</f>
        <v>2038</v>
      </c>
      <c r="B1060" s="4">
        <f>AVERAGE(B281:B292)</f>
        <v>22.496208333333339</v>
      </c>
      <c r="C1060" s="4">
        <f>AVERAGE(C281:C292)</f>
        <v>22.183708333333339</v>
      </c>
      <c r="D1060" s="4">
        <f>AVERAGE(D281:D292)</f>
        <v>28.709533333333329</v>
      </c>
      <c r="E1060" s="4">
        <f>AVERAGE(E281:E292)</f>
        <v>131.45685326103583</v>
      </c>
    </row>
    <row r="1061" spans="1:5" ht="15">
      <c r="A1061" s="3">
        <f t="shared" si="0"/>
        <v>2039</v>
      </c>
      <c r="B1061" s="4">
        <f>AVERAGE(B293:B304)</f>
        <v>23.207266666666666</v>
      </c>
      <c r="C1061" s="4">
        <f>AVERAGE(C293:C304)</f>
        <v>22.894766666666666</v>
      </c>
      <c r="D1061" s="4">
        <f>AVERAGE(D293:D304)</f>
        <v>29.396008333333331</v>
      </c>
      <c r="E1061" s="4">
        <f>AVERAGE(E293:E304)</f>
        <v>135.5977441387584</v>
      </c>
    </row>
    <row r="1062" spans="1:5" ht="15">
      <c r="A1062" s="3">
        <f t="shared" si="0"/>
        <v>2040</v>
      </c>
      <c r="B1062" s="4">
        <f>AVERAGE(B305:B316)</f>
        <v>23.942841666666666</v>
      </c>
      <c r="C1062" s="4">
        <f>AVERAGE(C305:C316)</f>
        <v>23.630341666666666</v>
      </c>
      <c r="D1062" s="4">
        <f>AVERAGE(D305:D316)</f>
        <v>30.09951666666667</v>
      </c>
      <c r="E1062" s="4">
        <f>AVERAGE(E305:E316)</f>
        <v>139.86907307912915</v>
      </c>
    </row>
    <row r="1063" spans="1:5" ht="15">
      <c r="A1063" s="3">
        <f t="shared" si="0"/>
        <v>2041</v>
      </c>
      <c r="B1063" s="4">
        <f>AVERAGE(B317:B328)</f>
        <v>24.703824999999998</v>
      </c>
      <c r="C1063" s="4">
        <f>AVERAGE(C317:C328)</f>
        <v>24.391324999999998</v>
      </c>
      <c r="D1063" s="4">
        <f>AVERAGE(D317:D328)</f>
        <v>30.820466666666665</v>
      </c>
      <c r="E1063" s="4">
        <f>AVERAGE(E317:E328)</f>
        <v>144.2749488811219</v>
      </c>
    </row>
    <row r="1064" spans="1:5" ht="15">
      <c r="A1064" s="3">
        <f t="shared" si="0"/>
        <v>2042</v>
      </c>
      <c r="B1064" s="4">
        <f>AVERAGE(B329:B340)</f>
        <v>25.491008333333337</v>
      </c>
      <c r="C1064" s="4">
        <f>AVERAGE(C329:C340)</f>
        <v>25.178508333333337</v>
      </c>
      <c r="D1064" s="4">
        <f>AVERAGE(D329:D340)</f>
        <v>31.559266666666673</v>
      </c>
      <c r="E1064" s="4">
        <f>AVERAGE(E329:E340)</f>
        <v>148.81960977087732</v>
      </c>
    </row>
    <row r="1065" spans="1:5" ht="15">
      <c r="A1065" s="3">
        <f t="shared" si="0"/>
        <v>2043</v>
      </c>
      <c r="B1065" s="4">
        <f>AVERAGE(B341:B352)</f>
        <v>26.305374999999998</v>
      </c>
      <c r="C1065" s="4">
        <f>AVERAGE(C341:C352)</f>
        <v>25.992874999999998</v>
      </c>
      <c r="D1065" s="4">
        <f>AVERAGE(D341:D352)</f>
        <v>32.31644166666667</v>
      </c>
      <c r="E1065" s="4">
        <f>AVERAGE(E341:E352)</f>
        <v>153.50742747866002</v>
      </c>
    </row>
    <row r="1066" spans="1:5" ht="15">
      <c r="A1066" s="3">
        <f t="shared" si="0"/>
        <v>2044</v>
      </c>
      <c r="B1066" s="4">
        <f>AVERAGE(B353:B364)</f>
        <v>27.147849999999995</v>
      </c>
      <c r="C1066" s="4">
        <f>AVERAGE(C353:C364)</f>
        <v>26.835349999999995</v>
      </c>
      <c r="D1066" s="4">
        <f>AVERAGE(D353:D364)</f>
        <v>33.09235833333333</v>
      </c>
      <c r="E1066" s="4">
        <f>AVERAGE(E353:E364)</f>
        <v>158.34291144423784</v>
      </c>
    </row>
    <row r="1067" spans="1:5" ht="15">
      <c r="A1067" s="3">
        <f t="shared" si="0"/>
        <v>2045</v>
      </c>
      <c r="B1067" s="4">
        <f>AVERAGE(B365:B376)</f>
        <v>28.019391666666667</v>
      </c>
      <c r="C1067" s="4">
        <f>AVERAGE(C365:C376)</f>
        <v>27.706891666666667</v>
      </c>
      <c r="D1067" s="4">
        <f>AVERAGE(D365:D376)</f>
        <v>33.887541666666671</v>
      </c>
      <c r="E1067" s="4">
        <f>AVERAGE(E365:E376)</f>
        <v>163.33071315473114</v>
      </c>
    </row>
    <row r="1068" spans="1:5" ht="15">
      <c r="A1068" s="3">
        <f t="shared" si="0"/>
        <v>2046</v>
      </c>
      <c r="B1068" s="4">
        <f>AVERAGE(B377:B388)</f>
        <v>28.920974999999999</v>
      </c>
      <c r="C1068" s="4">
        <f>AVERAGE(C377:C388)</f>
        <v>28.608474999999999</v>
      </c>
      <c r="D1068" s="4">
        <f>AVERAGE(D377:D388)</f>
        <v>34.702416666666672</v>
      </c>
      <c r="E1068" s="4">
        <f>AVERAGE(E377:E388)</f>
        <v>168.47563061910515</v>
      </c>
    </row>
    <row r="1069" spans="1:5" ht="15">
      <c r="A1069" s="3">
        <f t="shared" si="0"/>
        <v>2047</v>
      </c>
      <c r="B1069" s="4">
        <f>AVERAGE(B389:B400)</f>
        <v>29.853666666666669</v>
      </c>
      <c r="C1069" s="4">
        <f>AVERAGE(C389:C400)</f>
        <v>29.541166666666669</v>
      </c>
      <c r="D1069" s="4">
        <f>AVERAGE(D389:D400)</f>
        <v>35.537516666666669</v>
      </c>
      <c r="E1069" s="4">
        <f>AVERAGE(E389:E400)</f>
        <v>173.78261298360724</v>
      </c>
    </row>
    <row r="1070" spans="1:5" ht="15">
      <c r="A1070" s="3">
        <f t="shared" si="0"/>
        <v>2048</v>
      </c>
      <c r="B1070" s="4">
        <f>AVERAGE(B401:B412)</f>
        <v>30.818550000000002</v>
      </c>
      <c r="C1070" s="4">
        <f>AVERAGE(C401:C412)</f>
        <v>30.506050000000002</v>
      </c>
      <c r="D1070" s="4">
        <f>AVERAGE(D401:D412)</f>
        <v>36.393325000000004</v>
      </c>
      <c r="E1070" s="4">
        <f>AVERAGE(E401:E412)</f>
        <v>179.25676529259064</v>
      </c>
    </row>
    <row r="1071" spans="1:5" ht="15">
      <c r="A1071" s="3">
        <f t="shared" si="0"/>
        <v>2049</v>
      </c>
      <c r="B1071" s="4">
        <f>AVERAGE(B413:B424)</f>
        <v>31.816716666666661</v>
      </c>
      <c r="C1071" s="4">
        <f>AVERAGE(C413:C424)</f>
        <v>31.504216666666661</v>
      </c>
      <c r="D1071" s="4">
        <f>AVERAGE(D413:D424)</f>
        <v>37.270341666666667</v>
      </c>
      <c r="E1071" s="4">
        <f>AVERAGE(E413:E424)</f>
        <v>184.90335339930741</v>
      </c>
    </row>
    <row r="1072" spans="1:5" ht="15">
      <c r="A1072" s="3">
        <f t="shared" si="0"/>
        <v>2050</v>
      </c>
      <c r="B1072" s="4">
        <f>AVERAGE(B425:B436)</f>
        <v>32.849316666666667</v>
      </c>
      <c r="C1072" s="4">
        <f>AVERAGE(C425:C436)</f>
        <v>32.536816666666667</v>
      </c>
      <c r="D1072" s="4">
        <f>AVERAGE(D425:D436)</f>
        <v>38.169141666666668</v>
      </c>
      <c r="E1072" s="4">
        <f>AVERAGE(E425:E436)</f>
        <v>190.72780903138553</v>
      </c>
    </row>
    <row r="1073" spans="1:5" ht="15">
      <c r="A1073" s="3">
        <f t="shared" si="0"/>
        <v>2051</v>
      </c>
      <c r="B1073" s="4">
        <f>AVERAGE(B437:B448)</f>
        <v>33.917550000000006</v>
      </c>
      <c r="C1073" s="4">
        <f>AVERAGE(C437:C448)</f>
        <v>33.605050000000006</v>
      </c>
      <c r="D1073" s="4">
        <f>AVERAGE(D437:D448)</f>
        <v>39.090216666666663</v>
      </c>
      <c r="E1073" s="4">
        <f>AVERAGE(E437:E448)</f>
        <v>196.73573501587427</v>
      </c>
    </row>
    <row r="1074" spans="1:5" ht="15">
      <c r="A1074" s="3">
        <f t="shared" si="0"/>
        <v>2052</v>
      </c>
      <c r="B1074" s="4">
        <f>AVERAGE(B449:B460)</f>
        <v>35.022658333333332</v>
      </c>
      <c r="C1074" s="4">
        <f>AVERAGE(C449:C460)</f>
        <v>34.710158333333332</v>
      </c>
      <c r="D1074" s="4">
        <f>AVERAGE(D449:D460)</f>
        <v>40.034116666666662</v>
      </c>
      <c r="E1074" s="4">
        <f>AVERAGE(E449:E460)</f>
        <v>202.93291066887423</v>
      </c>
    </row>
    <row r="1075" spans="1:5" ht="15">
      <c r="A1075" s="3">
        <f t="shared" si="0"/>
        <v>2053</v>
      </c>
      <c r="B1075" s="4">
        <f>AVERAGE(B461:B472)</f>
        <v>36.165833333333346</v>
      </c>
      <c r="C1075" s="4">
        <f>AVERAGE(C461:C472)</f>
        <v>35.853333333333346</v>
      </c>
      <c r="D1075" s="4">
        <f>AVERAGE(D461:D472)</f>
        <v>41.001425000000005</v>
      </c>
      <c r="E1075" s="4">
        <f>AVERAGE(E461:E472)</f>
        <v>209.32529735494381</v>
      </c>
    </row>
    <row r="1076" spans="1:5" ht="15">
      <c r="A1076" s="3">
        <f t="shared" si="0"/>
        <v>2054</v>
      </c>
      <c r="B1076" s="4">
        <f>AVERAGE(B473:B484)</f>
        <v>37.348500000000001</v>
      </c>
      <c r="C1076" s="4">
        <f>AVERAGE(C473:C484)</f>
        <v>37.036000000000001</v>
      </c>
      <c r="D1076" s="4">
        <f>AVERAGE(D473:D484)</f>
        <v>41.992750000000001</v>
      </c>
      <c r="E1076" s="4">
        <f>AVERAGE(E473:E484)</f>
        <v>215.91904422162452</v>
      </c>
    </row>
    <row r="1077" spans="1:5" ht="15">
      <c r="A1077" s="3">
        <f t="shared" si="0"/>
        <v>2055</v>
      </c>
      <c r="B1077" s="4">
        <f>AVERAGE(B485:B496)</f>
        <v>38.571950000000008</v>
      </c>
      <c r="C1077" s="4">
        <f>AVERAGE(C485:C496)</f>
        <v>38.259450000000008</v>
      </c>
      <c r="D1077" s="4">
        <f>AVERAGE(D485:D496)</f>
        <v>43.008649999999996</v>
      </c>
      <c r="E1077" s="4">
        <f>AVERAGE(E485:E496)</f>
        <v>222.72049411460583</v>
      </c>
    </row>
    <row r="1078" spans="1:5" ht="15">
      <c r="A1078" s="3">
        <f t="shared" si="0"/>
        <v>2056</v>
      </c>
      <c r="B1078" s="4">
        <f>AVERAGE(B497:B508)</f>
        <v>39.837616666666669</v>
      </c>
      <c r="C1078" s="4">
        <f>AVERAGE(C497:C508)</f>
        <v>39.525116666666669</v>
      </c>
      <c r="D1078" s="4">
        <f>AVERAGE(D497:D508)</f>
        <v>44.04975833333333</v>
      </c>
      <c r="E1078" s="4">
        <f>AVERAGE(E497:E508)</f>
        <v>229.73618967921576</v>
      </c>
    </row>
    <row r="1079" spans="1:5" ht="15">
      <c r="A1079" s="3">
        <f t="shared" si="0"/>
        <v>2057</v>
      </c>
      <c r="B1079" s="4">
        <f>AVERAGE(B509:B520)</f>
        <v>41.14693333333333</v>
      </c>
      <c r="C1079" s="4">
        <f>AVERAGE(C509:C520)</f>
        <v>40.83443333333333</v>
      </c>
      <c r="D1079" s="4">
        <f>AVERAGE(D509:D520)</f>
        <v>45.11665</v>
      </c>
      <c r="E1079" s="4">
        <f>AVERAGE(E509:E520)</f>
        <v>236.97287965411113</v>
      </c>
    </row>
    <row r="1080" spans="1:5" ht="15">
      <c r="A1080" s="3">
        <f t="shared" si="0"/>
        <v>2058</v>
      </c>
      <c r="B1080" s="4">
        <f>AVERAGE(B521:B532)</f>
        <v>42.501450000000006</v>
      </c>
      <c r="C1080" s="4">
        <f>AVERAGE(C521:C532)</f>
        <v>42.188950000000006</v>
      </c>
      <c r="D1080" s="4">
        <f>AVERAGE(D521:D532)</f>
        <v>46.210041666666662</v>
      </c>
      <c r="E1080" s="4">
        <f>AVERAGE(E521:E532)</f>
        <v>244.43752536321594</v>
      </c>
    </row>
    <row r="1081" spans="1:5" ht="15">
      <c r="A1081" s="3">
        <f t="shared" si="0"/>
        <v>2059</v>
      </c>
      <c r="B1081" s="4">
        <f>AVERAGE(B533:B544)</f>
        <v>43.902658333333335</v>
      </c>
      <c r="C1081" s="4">
        <f>AVERAGE(C533:C544)</f>
        <v>43.590158333333335</v>
      </c>
      <c r="D1081" s="4">
        <f>AVERAGE(D533:D544)</f>
        <v>47.330525000000002</v>
      </c>
      <c r="E1081" s="4">
        <f>AVERAGE(E533:E544)</f>
        <v>252.13730741215693</v>
      </c>
    </row>
    <row r="1082" spans="1:5" ht="15">
      <c r="A1082" s="3">
        <f t="shared" si="0"/>
        <v>2060</v>
      </c>
      <c r="B1082" s="4">
        <f>AVERAGE(B545:B556)</f>
        <v>45.352233333333338</v>
      </c>
      <c r="C1082" s="4">
        <f>AVERAGE(C545:C556)</f>
        <v>45.039733333333338</v>
      </c>
      <c r="D1082" s="4">
        <f>AVERAGE(D545:D556)</f>
        <v>48.478783333333347</v>
      </c>
      <c r="E1082" s="4">
        <f>AVERAGE(E545:E556)</f>
        <v>260.07963259564002</v>
      </c>
    </row>
    <row r="1083" spans="1:5" ht="15">
      <c r="A1083" s="3">
        <f t="shared" si="0"/>
        <v>2061</v>
      </c>
      <c r="B1083" s="4">
        <f>AVERAGE(B557:B568)</f>
        <v>46.851833333333332</v>
      </c>
      <c r="C1083" s="4">
        <f>AVERAGE(C557:C568)</f>
        <v>46.539333333333332</v>
      </c>
      <c r="D1083" s="4">
        <f>AVERAGE(D557:D568)</f>
        <v>49.655550000000005</v>
      </c>
      <c r="E1083" s="4">
        <f>AVERAGE(E557:E568)</f>
        <v>268.27214102240265</v>
      </c>
    </row>
    <row r="1084" spans="1:5" ht="15">
      <c r="A1084" s="3">
        <f t="shared" si="0"/>
        <v>2062</v>
      </c>
      <c r="B1084" s="4">
        <f t="shared" ref="B1084:E1103" ca="1" si="1">AVERAGE(OFFSET(B$569,($A1084-$A$1084)*12,0,12,1))</f>
        <v>48.403124999999996</v>
      </c>
      <c r="C1084" s="4">
        <f t="shared" ca="1" si="1"/>
        <v>48.090624999999996</v>
      </c>
      <c r="D1084" s="4">
        <f t="shared" ca="1" si="1"/>
        <v>50.861491666666666</v>
      </c>
      <c r="E1084" s="4">
        <f t="shared" ca="1" si="1"/>
        <v>276.72271346460849</v>
      </c>
    </row>
    <row r="1085" spans="1:5" ht="15">
      <c r="A1085" s="3">
        <f t="shared" si="0"/>
        <v>2063</v>
      </c>
      <c r="B1085" s="4">
        <f t="shared" ca="1" si="1"/>
        <v>50.007975000000009</v>
      </c>
      <c r="C1085" s="4">
        <f t="shared" ca="1" si="1"/>
        <v>49.695475000000009</v>
      </c>
      <c r="D1085" s="4">
        <f t="shared" ca="1" si="1"/>
        <v>52.097324999999991</v>
      </c>
      <c r="E1085" s="4">
        <f t="shared" ca="1" si="1"/>
        <v>285.43947893874349</v>
      </c>
    </row>
    <row r="1086" spans="1:5" ht="15">
      <c r="A1086" s="3">
        <f t="shared" si="0"/>
        <v>2064</v>
      </c>
      <c r="B1086" s="4">
        <f t="shared" ca="1" si="1"/>
        <v>51.668174999999998</v>
      </c>
      <c r="C1086" s="4">
        <f t="shared" ca="1" si="1"/>
        <v>51.355674999999998</v>
      </c>
      <c r="D1086" s="4">
        <f t="shared" ca="1" si="1"/>
        <v>53.363825000000013</v>
      </c>
      <c r="E1086" s="4">
        <f t="shared" ca="1" si="1"/>
        <v>294.43082252531411</v>
      </c>
    </row>
    <row r="1087" spans="1:5" ht="15">
      <c r="A1087" s="3">
        <f t="shared" si="0"/>
        <v>2065</v>
      </c>
      <c r="B1087" s="4">
        <f t="shared" ca="1" si="1"/>
        <v>53.385658333333332</v>
      </c>
      <c r="C1087" s="4">
        <f t="shared" ca="1" si="1"/>
        <v>53.073158333333332</v>
      </c>
      <c r="D1087" s="4">
        <f t="shared" ca="1" si="1"/>
        <v>54.661716666666656</v>
      </c>
      <c r="E1087" s="4">
        <f t="shared" ca="1" si="1"/>
        <v>303.70539343486149</v>
      </c>
    </row>
    <row r="1088" spans="1:5" ht="15">
      <c r="A1088" s="3">
        <f t="shared" si="0"/>
        <v>2066</v>
      </c>
      <c r="B1088" s="4">
        <f t="shared" ca="1" si="1"/>
        <v>55.162399999999991</v>
      </c>
      <c r="C1088" s="4">
        <f t="shared" ca="1" si="1"/>
        <v>54.849899999999991</v>
      </c>
      <c r="D1088" s="4">
        <f t="shared" ca="1" si="1"/>
        <v>55.991799999999991</v>
      </c>
      <c r="E1088" s="4">
        <f t="shared" ca="1" si="1"/>
        <v>313.27211332805956</v>
      </c>
    </row>
    <row r="1089" spans="1:5" ht="15">
      <c r="A1089" s="3">
        <f t="shared" si="0"/>
        <v>2067</v>
      </c>
      <c r="B1089" s="4">
        <f t="shared" ca="1" si="1"/>
        <v>57.000399999999992</v>
      </c>
      <c r="C1089" s="4">
        <f t="shared" ca="1" si="1"/>
        <v>56.687899999999992</v>
      </c>
      <c r="D1089" s="4">
        <f t="shared" ca="1" si="1"/>
        <v>57.354891666666674</v>
      </c>
      <c r="E1089" s="4">
        <f t="shared" ca="1" si="1"/>
        <v>323.14018489789345</v>
      </c>
    </row>
    <row r="1090" spans="1:5" ht="15">
      <c r="A1090" s="3">
        <f t="shared" si="0"/>
        <v>2068</v>
      </c>
      <c r="B1090" s="4">
        <f t="shared" ca="1" si="1"/>
        <v>58.901849999999996</v>
      </c>
      <c r="C1090" s="4">
        <f t="shared" ca="1" si="1"/>
        <v>58.589349999999996</v>
      </c>
      <c r="D1090" s="4">
        <f t="shared" ca="1" si="1"/>
        <v>58.751766666666676</v>
      </c>
      <c r="E1090" s="4">
        <f t="shared" ca="1" si="1"/>
        <v>333.3191007221771</v>
      </c>
    </row>
    <row r="1091" spans="1:5" ht="15">
      <c r="A1091" s="3">
        <f t="shared" si="0"/>
        <v>2069</v>
      </c>
      <c r="B1091" s="4">
        <f t="shared" ca="1" si="1"/>
        <v>60.868899999999996</v>
      </c>
      <c r="C1091" s="4">
        <f t="shared" ca="1" si="1"/>
        <v>60.556399999999996</v>
      </c>
      <c r="D1091" s="4">
        <f t="shared" ca="1" si="1"/>
        <v>60.183291666666662</v>
      </c>
      <c r="E1091" s="4">
        <f t="shared" ca="1" si="1"/>
        <v>343.81865239492572</v>
      </c>
    </row>
    <row r="1092" spans="1:5" ht="15">
      <c r="A1092" s="3">
        <f t="shared" ref="A1092:A1122" si="2">A1091+1</f>
        <v>2070</v>
      </c>
      <c r="B1092" s="4">
        <f t="shared" ca="1" si="1"/>
        <v>62.903825000000005</v>
      </c>
      <c r="C1092" s="4">
        <f t="shared" ca="1" si="1"/>
        <v>62.591325000000005</v>
      </c>
      <c r="D1092" s="4">
        <f t="shared" ca="1" si="1"/>
        <v>61.650316666666662</v>
      </c>
      <c r="E1092" s="4">
        <f t="shared" ca="1" si="1"/>
        <v>354.64893994536595</v>
      </c>
    </row>
    <row r="1093" spans="1:5" ht="15">
      <c r="A1093" s="3">
        <f t="shared" si="2"/>
        <v>2071</v>
      </c>
      <c r="B1093" s="4">
        <f t="shared" ca="1" si="1"/>
        <v>65.008908333333338</v>
      </c>
      <c r="C1093" s="4">
        <f t="shared" ca="1" si="1"/>
        <v>64.696408333333338</v>
      </c>
      <c r="D1093" s="4">
        <f t="shared" ca="1" si="1"/>
        <v>63.153708333333334</v>
      </c>
      <c r="E1093" s="4">
        <f t="shared" ca="1" si="1"/>
        <v>365.82038155364506</v>
      </c>
    </row>
    <row r="1094" spans="1:5" ht="15">
      <c r="A1094" s="3">
        <f t="shared" si="2"/>
        <v>2072</v>
      </c>
      <c r="B1094" s="4">
        <f t="shared" ca="1" si="1"/>
        <v>67.186641666666674</v>
      </c>
      <c r="C1094" s="4">
        <f t="shared" ca="1" si="1"/>
        <v>66.874141666666674</v>
      </c>
      <c r="D1094" s="4">
        <f t="shared" ca="1" si="1"/>
        <v>64.694391666666675</v>
      </c>
      <c r="E1094" s="4">
        <f t="shared" ca="1" si="1"/>
        <v>377.34372357258491</v>
      </c>
    </row>
    <row r="1095" spans="1:5" ht="15">
      <c r="A1095" s="3">
        <f t="shared" si="2"/>
        <v>2073</v>
      </c>
      <c r="B1095" s="4">
        <f t="shared" ca="1" si="1"/>
        <v>69.439516666666677</v>
      </c>
      <c r="C1095" s="4">
        <f t="shared" ca="1" si="1"/>
        <v>69.127016666666677</v>
      </c>
      <c r="D1095" s="4">
        <f t="shared" ca="1" si="1"/>
        <v>66.273300000000006</v>
      </c>
      <c r="E1095" s="4">
        <f t="shared" ca="1" si="1"/>
        <v>389.23005086512126</v>
      </c>
    </row>
    <row r="1096" spans="1:5" ht="15">
      <c r="A1096" s="3">
        <f t="shared" si="2"/>
        <v>2074</v>
      </c>
      <c r="B1096" s="4">
        <f t="shared" ca="1" si="1"/>
        <v>71.770133333333348</v>
      </c>
      <c r="C1096" s="4">
        <f t="shared" ca="1" si="1"/>
        <v>71.457633333333348</v>
      </c>
      <c r="D1096" s="4">
        <f t="shared" ca="1" si="1"/>
        <v>67.891358333333329</v>
      </c>
      <c r="E1096" s="4">
        <f t="shared" ca="1" si="1"/>
        <v>401.49079746737272</v>
      </c>
    </row>
    <row r="1097" spans="1:5" ht="15">
      <c r="A1097" s="3">
        <f t="shared" si="2"/>
        <v>2075</v>
      </c>
      <c r="B1097" s="4">
        <f t="shared" ca="1" si="1"/>
        <v>74.181133333333349</v>
      </c>
      <c r="C1097" s="4">
        <f t="shared" ca="1" si="1"/>
        <v>73.868633333333349</v>
      </c>
      <c r="D1097" s="4">
        <f t="shared" ca="1" si="1"/>
        <v>69.549533333333329</v>
      </c>
      <c r="E1097" s="4">
        <f t="shared" ca="1" si="1"/>
        <v>414.13775758759488</v>
      </c>
    </row>
    <row r="1098" spans="1:5" ht="15">
      <c r="A1098" s="3">
        <f t="shared" si="2"/>
        <v>2076</v>
      </c>
      <c r="B1098" s="4">
        <f t="shared" ca="1" si="1"/>
        <v>76.675291666666666</v>
      </c>
      <c r="C1098" s="4">
        <f t="shared" ca="1" si="1"/>
        <v>76.362791666666666</v>
      </c>
      <c r="D1098" s="4">
        <f t="shared" ca="1" si="1"/>
        <v>71.248833333333337</v>
      </c>
      <c r="E1098" s="4">
        <f t="shared" ca="1" si="1"/>
        <v>427.18309695160406</v>
      </c>
    </row>
    <row r="1099" spans="1:5" ht="15">
      <c r="A1099" s="3">
        <f t="shared" si="2"/>
        <v>2077</v>
      </c>
      <c r="B1099" s="4">
        <f t="shared" ca="1" si="1"/>
        <v>79.255508333333339</v>
      </c>
      <c r="C1099" s="4">
        <f t="shared" ca="1" si="1"/>
        <v>78.943008333333339</v>
      </c>
      <c r="D1099" s="4">
        <f t="shared" ca="1" si="1"/>
        <v>72.990300000000005</v>
      </c>
      <c r="E1099" s="4">
        <f t="shared" ca="1" si="1"/>
        <v>440.63936450557998</v>
      </c>
    </row>
    <row r="1100" spans="1:5" ht="15">
      <c r="A1100" s="3">
        <f t="shared" si="2"/>
        <v>2078</v>
      </c>
      <c r="B1100" s="4">
        <f t="shared" ca="1" si="1"/>
        <v>81.924766666666656</v>
      </c>
      <c r="C1100" s="4">
        <f t="shared" ca="1" si="1"/>
        <v>81.612266666666656</v>
      </c>
      <c r="D1100" s="4">
        <f t="shared" ca="1" si="1"/>
        <v>74.774941666666663</v>
      </c>
      <c r="E1100" s="4">
        <f t="shared" ca="1" si="1"/>
        <v>454.5195044875054</v>
      </c>
    </row>
    <row r="1101" spans="1:5" ht="15">
      <c r="A1101" s="3">
        <f t="shared" si="2"/>
        <v>2079</v>
      </c>
      <c r="B1101" s="4">
        <f t="shared" ca="1" si="1"/>
        <v>84.686099999999996</v>
      </c>
      <c r="C1101" s="4">
        <f t="shared" ca="1" si="1"/>
        <v>84.373599999999996</v>
      </c>
      <c r="D1101" s="4">
        <f t="shared" ca="1" si="1"/>
        <v>76.603833333333327</v>
      </c>
      <c r="E1101" s="4">
        <f t="shared" ca="1" si="1"/>
        <v>468.83686887886205</v>
      </c>
    </row>
    <row r="1102" spans="1:5" ht="15">
      <c r="A1102" s="3">
        <f t="shared" si="2"/>
        <v>2080</v>
      </c>
      <c r="B1102" s="4">
        <f t="shared" ca="1" si="1"/>
        <v>87.542683333333343</v>
      </c>
      <c r="C1102" s="4">
        <f t="shared" ca="1" si="1"/>
        <v>87.230183333333343</v>
      </c>
      <c r="D1102" s="4">
        <f t="shared" ca="1" si="1"/>
        <v>78.478099999999998</v>
      </c>
      <c r="E1102" s="4">
        <f t="shared" ca="1" si="1"/>
        <v>483.60523024854655</v>
      </c>
    </row>
    <row r="1103" spans="1:5" ht="15">
      <c r="A1103" s="3">
        <f t="shared" si="2"/>
        <v>2081</v>
      </c>
      <c r="B1103" s="4">
        <f t="shared" ca="1" si="1"/>
        <v>90.497849999999985</v>
      </c>
      <c r="C1103" s="4">
        <f t="shared" ca="1" si="1"/>
        <v>90.185349999999985</v>
      </c>
      <c r="D1103" s="4">
        <f t="shared" ca="1" si="1"/>
        <v>80.398800000000008</v>
      </c>
      <c r="E1103" s="4">
        <f t="shared" ca="1" si="1"/>
        <v>498.8387950013755</v>
      </c>
    </row>
    <row r="1104" spans="1:5" ht="15">
      <c r="A1104" s="3">
        <f t="shared" si="2"/>
        <v>2082</v>
      </c>
      <c r="B1104" s="4">
        <f t="shared" ref="B1104:E1122" ca="1" si="3">AVERAGE(OFFSET(B$569,($A1104-$A$1084)*12,0,12,1))</f>
        <v>93.554950000000005</v>
      </c>
      <c r="C1104" s="4">
        <f t="shared" ca="1" si="3"/>
        <v>93.242450000000005</v>
      </c>
      <c r="D1104" s="4">
        <f t="shared" ca="1" si="3"/>
        <v>82.367200000000011</v>
      </c>
      <c r="E1104" s="4">
        <f t="shared" ca="1" si="3"/>
        <v>514.55221704391886</v>
      </c>
    </row>
    <row r="1105" spans="1:5" ht="15">
      <c r="A1105" s="3">
        <f t="shared" si="2"/>
        <v>2083</v>
      </c>
      <c r="B1105" s="4">
        <f t="shared" ca="1" si="3"/>
        <v>96.717516666666668</v>
      </c>
      <c r="C1105" s="4">
        <f t="shared" ca="1" si="3"/>
        <v>96.405016666666668</v>
      </c>
      <c r="D1105" s="4">
        <f t="shared" ca="1" si="3"/>
        <v>84.384358333333324</v>
      </c>
      <c r="E1105" s="4">
        <f t="shared" ca="1" si="3"/>
        <v>530.76061188080246</v>
      </c>
    </row>
    <row r="1106" spans="1:5" ht="15">
      <c r="A1106" s="3">
        <f t="shared" si="2"/>
        <v>2084</v>
      </c>
      <c r="B1106" s="4">
        <f t="shared" ca="1" si="3"/>
        <v>99.989216666666664</v>
      </c>
      <c r="C1106" s="4">
        <f t="shared" ca="1" si="3"/>
        <v>99.676716666666664</v>
      </c>
      <c r="D1106" s="4">
        <f t="shared" ca="1" si="3"/>
        <v>86.451591666666673</v>
      </c>
      <c r="E1106" s="4">
        <f t="shared" ca="1" si="3"/>
        <v>547.47957115504789</v>
      </c>
    </row>
    <row r="1107" spans="1:5" ht="15">
      <c r="A1107" s="3">
        <f t="shared" si="2"/>
        <v>2085</v>
      </c>
      <c r="B1107" s="4">
        <f t="shared" ca="1" si="3"/>
        <v>103.37376666666665</v>
      </c>
      <c r="C1107" s="4">
        <f t="shared" ca="1" si="3"/>
        <v>103.06126666666665</v>
      </c>
      <c r="D1107" s="4">
        <f t="shared" ca="1" si="3"/>
        <v>88.570074999999989</v>
      </c>
      <c r="E1107" s="4">
        <f t="shared" ca="1" si="3"/>
        <v>564.72517764643169</v>
      </c>
    </row>
    <row r="1108" spans="1:5" ht="15">
      <c r="A1108" s="3">
        <f t="shared" si="2"/>
        <v>2086</v>
      </c>
      <c r="B1108" s="4">
        <f t="shared" ca="1" si="3"/>
        <v>106.87509166666666</v>
      </c>
      <c r="C1108" s="4">
        <f t="shared" ca="1" si="3"/>
        <v>106.56259166666666</v>
      </c>
      <c r="D1108" s="4">
        <f t="shared" ca="1" si="3"/>
        <v>90.741091666666648</v>
      </c>
      <c r="E1108" s="4">
        <f t="shared" ca="1" si="3"/>
        <v>582.51402074229452</v>
      </c>
    </row>
    <row r="1109" spans="1:5" ht="15">
      <c r="A1109" s="3">
        <f t="shared" si="2"/>
        <v>2087</v>
      </c>
      <c r="B1109" s="4">
        <f t="shared" ca="1" si="3"/>
        <v>110.49721666666666</v>
      </c>
      <c r="C1109" s="4">
        <f t="shared" ca="1" si="3"/>
        <v>110.18471666666666</v>
      </c>
      <c r="D1109" s="4">
        <f t="shared" ca="1" si="3"/>
        <v>92.965933333333339</v>
      </c>
      <c r="E1109" s="4">
        <f t="shared" ca="1" si="3"/>
        <v>600.86321239567678</v>
      </c>
    </row>
    <row r="1110" spans="1:5" ht="15">
      <c r="A1110" s="3">
        <f t="shared" si="2"/>
        <v>2088</v>
      </c>
      <c r="B1110" s="4">
        <f t="shared" ca="1" si="3"/>
        <v>114.24428333333334</v>
      </c>
      <c r="C1110" s="4">
        <f t="shared" ca="1" si="3"/>
        <v>113.93178333333334</v>
      </c>
      <c r="D1110" s="4">
        <f t="shared" ca="1" si="3"/>
        <v>95.245966666666661</v>
      </c>
      <c r="E1110" s="4">
        <f t="shared" ca="1" si="3"/>
        <v>619.79040358614066</v>
      </c>
    </row>
    <row r="1111" spans="1:5" ht="15">
      <c r="A1111" s="3">
        <f t="shared" si="2"/>
        <v>2089</v>
      </c>
      <c r="B1111" s="4">
        <f t="shared" ca="1" si="3"/>
        <v>118.12064166666664</v>
      </c>
      <c r="C1111" s="4">
        <f t="shared" ca="1" si="3"/>
        <v>117.80814166666664</v>
      </c>
      <c r="D1111" s="4">
        <f t="shared" ca="1" si="3"/>
        <v>97.582550000000012</v>
      </c>
      <c r="E1111" s="4">
        <f t="shared" ca="1" si="3"/>
        <v>639.31380129910417</v>
      </c>
    </row>
    <row r="1112" spans="1:5" ht="15">
      <c r="A1112" s="3">
        <f t="shared" si="2"/>
        <v>2090</v>
      </c>
      <c r="B1112" s="4">
        <f t="shared" ca="1" si="3"/>
        <v>122.13074166666665</v>
      </c>
      <c r="C1112" s="4">
        <f t="shared" ca="1" si="3"/>
        <v>121.81824166666665</v>
      </c>
      <c r="D1112" s="4">
        <f t="shared" ca="1" si="3"/>
        <v>99.977074999999999</v>
      </c>
      <c r="E1112" s="4">
        <f t="shared" ca="1" si="3"/>
        <v>659.45218604002605</v>
      </c>
    </row>
    <row r="1113" spans="1:5" ht="15">
      <c r="A1113" s="3">
        <f t="shared" si="2"/>
        <v>2091</v>
      </c>
      <c r="B1113" s="4">
        <f t="shared" ca="1" si="3"/>
        <v>126.27916666666665</v>
      </c>
      <c r="C1113" s="4">
        <f t="shared" ca="1" si="3"/>
        <v>125.96666666666665</v>
      </c>
      <c r="D1113" s="4">
        <f t="shared" ca="1" si="3"/>
        <v>102.43097499999999</v>
      </c>
      <c r="E1113" s="4">
        <f t="shared" ca="1" si="3"/>
        <v>680.22492990028695</v>
      </c>
    </row>
    <row r="1114" spans="1:5" ht="15">
      <c r="A1114" s="3">
        <f t="shared" si="2"/>
        <v>2092</v>
      </c>
      <c r="B1114" s="4">
        <f t="shared" ca="1" si="3"/>
        <v>130.57072499999995</v>
      </c>
      <c r="C1114" s="4">
        <f t="shared" ca="1" si="3"/>
        <v>130.25822499999995</v>
      </c>
      <c r="D1114" s="4">
        <f t="shared" ca="1" si="3"/>
        <v>104.94575833333334</v>
      </c>
      <c r="E1114" s="4">
        <f t="shared" ca="1" si="3"/>
        <v>701.65201519214622</v>
      </c>
    </row>
    <row r="1115" spans="1:5" ht="15">
      <c r="A1115" s="3">
        <f t="shared" si="2"/>
        <v>2093</v>
      </c>
      <c r="B1115" s="4">
        <f t="shared" ca="1" si="3"/>
        <v>135.01036666666667</v>
      </c>
      <c r="C1115" s="4">
        <f t="shared" ca="1" si="3"/>
        <v>134.69786666666667</v>
      </c>
      <c r="D1115" s="4">
        <f t="shared" ca="1" si="3"/>
        <v>107.52288333333333</v>
      </c>
      <c r="E1115" s="4">
        <f t="shared" ca="1" si="3"/>
        <v>723.7540536706988</v>
      </c>
    </row>
    <row r="1116" spans="1:5" ht="15">
      <c r="A1116" s="3">
        <f t="shared" si="2"/>
        <v>2094</v>
      </c>
      <c r="B1116" s="4">
        <f t="shared" ca="1" si="3"/>
        <v>139.60313333333335</v>
      </c>
      <c r="C1116" s="4">
        <f t="shared" ca="1" si="3"/>
        <v>139.29063333333335</v>
      </c>
      <c r="D1116" s="4">
        <f t="shared" ca="1" si="3"/>
        <v>110.16391666666665</v>
      </c>
      <c r="E1116" s="4">
        <f t="shared" ca="1" si="3"/>
        <v>746.5523063613258</v>
      </c>
    </row>
    <row r="1117" spans="1:5" ht="15">
      <c r="A1117" s="3">
        <f t="shared" si="2"/>
        <v>2095</v>
      </c>
      <c r="B1117" s="4">
        <f t="shared" ca="1" si="3"/>
        <v>144.35434999999998</v>
      </c>
      <c r="C1117" s="4">
        <f t="shared" ca="1" si="3"/>
        <v>144.04184999999998</v>
      </c>
      <c r="D1117" s="4">
        <f t="shared" ca="1" si="3"/>
        <v>112.87046666666667</v>
      </c>
      <c r="E1117" s="4">
        <f t="shared" ca="1" si="3"/>
        <v>770.06870401170784</v>
      </c>
    </row>
    <row r="1118" spans="1:5" ht="15">
      <c r="A1118" s="3">
        <f t="shared" si="2"/>
        <v>2096</v>
      </c>
      <c r="B1118" s="4">
        <f t="shared" ca="1" si="3"/>
        <v>149.26953333333336</v>
      </c>
      <c r="C1118" s="4">
        <f t="shared" ca="1" si="3"/>
        <v>148.95703333333336</v>
      </c>
      <c r="D1118" s="4">
        <f t="shared" ca="1" si="3"/>
        <v>115.64414166666667</v>
      </c>
      <c r="E1118" s="4">
        <f t="shared" ca="1" si="3"/>
        <v>794.32586818807647</v>
      </c>
    </row>
    <row r="1119" spans="1:5" ht="15">
      <c r="A1119" s="3">
        <f t="shared" si="2"/>
        <v>2097</v>
      </c>
      <c r="B1119" s="4">
        <f t="shared" ca="1" si="3"/>
        <v>154.35425833333332</v>
      </c>
      <c r="C1119" s="4">
        <f t="shared" ca="1" si="3"/>
        <v>154.04175833333332</v>
      </c>
      <c r="D1119" s="4">
        <f t="shared" ca="1" si="3"/>
        <v>118.48658333333333</v>
      </c>
      <c r="E1119" s="4">
        <f t="shared" ca="1" si="3"/>
        <v>819.3471330360012</v>
      </c>
    </row>
    <row r="1120" spans="1:5" ht="15">
      <c r="A1120" s="3">
        <f t="shared" si="2"/>
        <v>2098</v>
      </c>
      <c r="B1120" s="4">
        <f t="shared" ca="1" si="3"/>
        <v>159.61440833333333</v>
      </c>
      <c r="C1120" s="4">
        <f t="shared" ca="1" si="3"/>
        <v>159.30190833333333</v>
      </c>
      <c r="D1120" s="4">
        <f t="shared" ca="1" si="3"/>
        <v>121.39954166666668</v>
      </c>
      <c r="E1120" s="4">
        <f t="shared" ca="1" si="3"/>
        <v>845.15656772663522</v>
      </c>
    </row>
    <row r="1121" spans="1:5" ht="15">
      <c r="A1121" s="3">
        <f t="shared" si="2"/>
        <v>2099</v>
      </c>
      <c r="B1121" s="4">
        <f t="shared" ca="1" si="3"/>
        <v>165.05602500000001</v>
      </c>
      <c r="C1121" s="4">
        <f t="shared" ca="1" si="3"/>
        <v>164.74352500000001</v>
      </c>
      <c r="D1121" s="4">
        <f t="shared" ca="1" si="3"/>
        <v>124.38474166666667</v>
      </c>
      <c r="E1121" s="4">
        <f t="shared" ca="1" si="3"/>
        <v>871.77899961002402</v>
      </c>
    </row>
    <row r="1122" spans="1:5" ht="15">
      <c r="A1122" s="3">
        <f t="shared" si="2"/>
        <v>2100</v>
      </c>
      <c r="B1122" s="4">
        <f t="shared" ca="1" si="3"/>
        <v>170.68539166666665</v>
      </c>
      <c r="C1122" s="4">
        <f t="shared" ca="1" si="3"/>
        <v>170.37289166666665</v>
      </c>
      <c r="D1122" s="4">
        <f t="shared" ca="1" si="3"/>
        <v>127.44394999999999</v>
      </c>
      <c r="E1122" s="4">
        <f t="shared" ca="1" si="3"/>
        <v>899.24003809774001</v>
      </c>
    </row>
    <row r="1123" spans="1:5">
      <c r="A1123" s="29"/>
    </row>
    <row r="1124" spans="1:5">
      <c r="A1124" s="29"/>
    </row>
    <row r="1125" spans="1:5">
      <c r="A1125" s="29"/>
    </row>
    <row r="1126" spans="1:5">
      <c r="A1126" s="29"/>
    </row>
    <row r="1127" spans="1:5">
      <c r="A1127" s="29"/>
    </row>
    <row r="1128" spans="1:5">
      <c r="A1128" s="29"/>
    </row>
    <row r="1129" spans="1:5">
      <c r="A1129" s="29"/>
    </row>
    <row r="1130" spans="1:5">
      <c r="A1130" s="29"/>
    </row>
    <row r="1131" spans="1:5">
      <c r="A1131" s="29"/>
    </row>
    <row r="1132" spans="1:5">
      <c r="A1132" s="29"/>
    </row>
    <row r="1133" spans="1:5">
      <c r="A1133" s="29"/>
    </row>
    <row r="1134" spans="1:5">
      <c r="A1134" s="29"/>
    </row>
    <row r="1135" spans="1:5">
      <c r="A1135" s="29"/>
    </row>
    <row r="1136" spans="1:5">
      <c r="A1136" s="29"/>
    </row>
    <row r="1137" spans="1:1">
      <c r="A1137" s="29"/>
    </row>
    <row r="1138" spans="1:1">
      <c r="A1138" s="29"/>
    </row>
    <row r="1139" spans="1:1">
      <c r="A1139" s="29"/>
    </row>
    <row r="1140" spans="1:1">
      <c r="A1140" s="29"/>
    </row>
    <row r="1141" spans="1:1">
      <c r="A1141" s="29"/>
    </row>
    <row r="1142" spans="1:1">
      <c r="A1142" s="29"/>
    </row>
  </sheetData>
  <mergeCells count="1">
    <mergeCell ref="B14:C14"/>
  </mergeCells>
  <pageMargins left="0.25" right="0.25" top="0.5" bottom="0.5" header="0.25" footer="0.25"/>
  <pageSetup orientation="portrait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locked="0" defaultSize="0" autoLine="0" autoPict="0">
                <anchor moveWithCells="1">
                  <from>
                    <xdr:col>1</xdr:col>
                    <xdr:colOff>133350</xdr:colOff>
                    <xdr:row>9</xdr:row>
                    <xdr:rowOff>171450</xdr:rowOff>
                  </from>
                  <to>
                    <xdr:col>2</xdr:col>
                    <xdr:colOff>666750</xdr:colOff>
                    <xdr:row>11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locked="0" defaultSize="0" autoLine="0" autoPict="0">
                <anchor moveWithCells="1">
                  <from>
                    <xdr:col>3</xdr:col>
                    <xdr:colOff>19050</xdr:colOff>
                    <xdr:row>9</xdr:row>
                    <xdr:rowOff>171450</xdr:rowOff>
                  </from>
                  <to>
                    <xdr:col>4</xdr:col>
                    <xdr:colOff>371475</xdr:colOff>
                    <xdr:row>11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/>
  <dimension ref="A1:O1122"/>
  <sheetViews>
    <sheetView zoomScale="70" workbookViewId="0">
      <pane xSplit="1" ySplit="16" topLeftCell="B17" activePane="bottomRight" state="frozen"/>
      <selection activeCell="A7" sqref="A7"/>
      <selection pane="topRight" activeCell="A7" sqref="A7"/>
      <selection pane="bottomLeft" activeCell="A7" sqref="A7"/>
      <selection pane="bottomRight" activeCell="B17" sqref="B17"/>
    </sheetView>
  </sheetViews>
  <sheetFormatPr defaultColWidth="7.109375" defaultRowHeight="12.75"/>
  <cols>
    <col min="1" max="1" width="14.5546875" style="29" customWidth="1"/>
    <col min="2" max="2" width="19" style="29" customWidth="1"/>
    <col min="3" max="3" width="16.109375" style="29" customWidth="1"/>
    <col min="4" max="4" width="20.21875" style="29" customWidth="1"/>
    <col min="5" max="5" width="20.6640625" style="29" customWidth="1"/>
    <col min="6" max="6" width="16.109375" style="29" customWidth="1"/>
    <col min="7" max="9" width="20" style="29" customWidth="1"/>
    <col min="10" max="11" width="19.109375" style="29" customWidth="1"/>
    <col min="12" max="12" width="16.109375" style="29" customWidth="1"/>
    <col min="13" max="15" width="17.6640625" style="29" customWidth="1"/>
    <col min="16" max="16384" width="7.109375" style="29"/>
  </cols>
  <sheetData>
    <row r="1" spans="1:15" ht="15.75">
      <c r="A1" s="81" t="s">
        <v>64</v>
      </c>
    </row>
    <row r="2" spans="1:15" ht="15.75">
      <c r="A2" s="81" t="s">
        <v>65</v>
      </c>
    </row>
    <row r="3" spans="1:15" ht="15.75">
      <c r="A3" s="81" t="s">
        <v>66</v>
      </c>
    </row>
    <row r="4" spans="1:15" ht="15.75">
      <c r="A4" s="81" t="s">
        <v>67</v>
      </c>
    </row>
    <row r="5" spans="1:15" ht="15.75">
      <c r="A5" s="81" t="s">
        <v>68</v>
      </c>
    </row>
    <row r="6" spans="1:15" ht="15.75">
      <c r="A6" s="81" t="s">
        <v>72</v>
      </c>
    </row>
    <row r="9" spans="1:15" ht="15" customHeight="1">
      <c r="A9" s="71" t="s">
        <v>25</v>
      </c>
    </row>
    <row r="10" spans="1:15" ht="15" customHeight="1">
      <c r="A10" s="72"/>
    </row>
    <row r="11" spans="1:15" ht="15" customHeight="1">
      <c r="A11" s="72"/>
    </row>
    <row r="12" spans="1:15" ht="15" customHeight="1">
      <c r="B12" s="71"/>
      <c r="H12" s="68" t="s">
        <v>51</v>
      </c>
    </row>
    <row r="13" spans="1:15" ht="15" customHeight="1">
      <c r="A13" s="71"/>
      <c r="B13" s="70" t="s">
        <v>24</v>
      </c>
      <c r="C13" s="69">
        <f>1-0.14</f>
        <v>0.86</v>
      </c>
      <c r="D13" s="70" t="s">
        <v>23</v>
      </c>
      <c r="E13" s="69">
        <f>1+0.14</f>
        <v>1.1400000000000001</v>
      </c>
      <c r="H13" s="68"/>
      <c r="L13" s="86"/>
      <c r="M13" s="86"/>
      <c r="N13" s="86"/>
      <c r="O13" s="86"/>
    </row>
    <row r="14" spans="1:15" ht="15" customHeight="1">
      <c r="B14" s="85" t="s">
        <v>50</v>
      </c>
      <c r="C14" s="85"/>
      <c r="D14" s="85"/>
      <c r="E14" s="87" t="s">
        <v>49</v>
      </c>
      <c r="F14" s="87"/>
      <c r="G14" s="88"/>
      <c r="H14" s="89" t="s">
        <v>48</v>
      </c>
      <c r="I14" s="89"/>
      <c r="J14" s="88" t="s">
        <v>47</v>
      </c>
      <c r="K14" s="88"/>
      <c r="L14" s="86"/>
      <c r="M14" s="86"/>
      <c r="N14" s="86"/>
      <c r="O14" s="86"/>
    </row>
    <row r="15" spans="1:15" ht="63">
      <c r="B15" s="67" t="s">
        <v>46</v>
      </c>
      <c r="C15" s="66" t="s">
        <v>45</v>
      </c>
      <c r="D15" s="65" t="s">
        <v>44</v>
      </c>
      <c r="E15" s="67" t="s">
        <v>46</v>
      </c>
      <c r="F15" s="66" t="s">
        <v>45</v>
      </c>
      <c r="G15" s="65" t="s">
        <v>44</v>
      </c>
      <c r="H15" s="66" t="s">
        <v>45</v>
      </c>
      <c r="I15" s="65" t="s">
        <v>44</v>
      </c>
      <c r="J15" s="66" t="s">
        <v>45</v>
      </c>
      <c r="K15" s="65" t="s">
        <v>44</v>
      </c>
      <c r="L15" s="57"/>
      <c r="M15" s="64"/>
      <c r="N15" s="64"/>
      <c r="O15" s="64"/>
    </row>
    <row r="16" spans="1:15" ht="20.25">
      <c r="A16" s="21" t="s">
        <v>2</v>
      </c>
      <c r="B16" s="63" t="s">
        <v>1</v>
      </c>
      <c r="C16" s="63" t="s">
        <v>1</v>
      </c>
      <c r="D16" s="63" t="s">
        <v>1</v>
      </c>
      <c r="E16" s="63" t="s">
        <v>1</v>
      </c>
      <c r="F16" s="63" t="s">
        <v>1</v>
      </c>
      <c r="G16" s="63" t="s">
        <v>1</v>
      </c>
      <c r="H16" s="63" t="s">
        <v>1</v>
      </c>
      <c r="I16" s="63" t="s">
        <v>1</v>
      </c>
      <c r="J16" s="63" t="s">
        <v>1</v>
      </c>
      <c r="K16" s="63" t="s">
        <v>1</v>
      </c>
      <c r="L16" s="62"/>
      <c r="M16" s="62"/>
      <c r="N16" s="62"/>
      <c r="O16" s="62"/>
    </row>
    <row r="17" spans="1:14" ht="15">
      <c r="A17" s="13">
        <v>42370</v>
      </c>
      <c r="B17" s="60">
        <f>2.3101 * CHOOSE(CONTROL!$C$19, $C$13, 100%, $E$13)</f>
        <v>2.3100999999999998</v>
      </c>
      <c r="C17" s="60">
        <f>2.3101 * CHOOSE(CONTROL!$C$19, $C$13, 100%, $E$13)</f>
        <v>2.3100999999999998</v>
      </c>
      <c r="D17" s="60">
        <f>2.3269 * CHOOSE(CONTROL!$C$19, $C$13, 100%, $E$13)</f>
        <v>2.3269000000000002</v>
      </c>
      <c r="E17" s="61">
        <f>2.073 * CHOOSE(CONTROL!$C$19, $C$13, 100%, $E$13)</f>
        <v>2.073</v>
      </c>
      <c r="F17" s="61">
        <f>2.073 * CHOOSE(CONTROL!$C$19, $C$13, 100%, $E$13)</f>
        <v>2.073</v>
      </c>
      <c r="G17" s="61">
        <f>2.0732 * CHOOSE(CONTROL!$C$19, $C$13, 100%, $E$13)</f>
        <v>2.0731999999999999</v>
      </c>
      <c r="H17" s="61">
        <f>5.16* CHOOSE(CONTROL!$C$19, $C$13, 100%, $E$13)</f>
        <v>5.16</v>
      </c>
      <c r="I17" s="61">
        <f>5.1602 * CHOOSE(CONTROL!$C$19, $C$13, 100%, $E$13)</f>
        <v>5.1601999999999997</v>
      </c>
      <c r="J17" s="61">
        <f>2.073 * CHOOSE(CONTROL!$C$19, $C$13, 100%, $E$13)</f>
        <v>2.073</v>
      </c>
      <c r="K17" s="61">
        <f>2.0732 * CHOOSE(CONTROL!$C$19, $C$13, 100%, $E$13)</f>
        <v>2.0731999999999999</v>
      </c>
      <c r="L17" s="4"/>
      <c r="M17" s="61"/>
      <c r="N17" s="61"/>
    </row>
    <row r="18" spans="1:14" ht="15">
      <c r="A18" s="13">
        <v>42401</v>
      </c>
      <c r="B18" s="60">
        <f>2.2919 * CHOOSE(CONTROL!$C$19, $C$13, 100%, $E$13)</f>
        <v>2.2919</v>
      </c>
      <c r="C18" s="60">
        <f>2.2919 * CHOOSE(CONTROL!$C$19, $C$13, 100%, $E$13)</f>
        <v>2.2919</v>
      </c>
      <c r="D18" s="60">
        <f>2.3087 * CHOOSE(CONTROL!$C$19, $C$13, 100%, $E$13)</f>
        <v>2.3087</v>
      </c>
      <c r="E18" s="61">
        <f>3.2937 * CHOOSE(CONTROL!$C$19, $C$13, 100%, $E$13)</f>
        <v>3.2936999999999999</v>
      </c>
      <c r="F18" s="61">
        <f>2.073 * CHOOSE(CONTROL!$C$19, $C$13, 100%, $E$13)</f>
        <v>2.073</v>
      </c>
      <c r="G18" s="61">
        <f>2.0732 * CHOOSE(CONTROL!$C$19, $C$13, 100%, $E$13)</f>
        <v>2.0731999999999999</v>
      </c>
      <c r="H18" s="61">
        <f>5.1708* CHOOSE(CONTROL!$C$19, $C$13, 100%, $E$13)</f>
        <v>5.1707999999999998</v>
      </c>
      <c r="I18" s="61">
        <f>5.1709 * CHOOSE(CONTROL!$C$19, $C$13, 100%, $E$13)</f>
        <v>5.1708999999999996</v>
      </c>
      <c r="J18" s="61">
        <f>3.2937 * CHOOSE(CONTROL!$C$19, $C$13, 100%, $E$13)</f>
        <v>3.2936999999999999</v>
      </c>
      <c r="K18" s="61">
        <f>3.2939 * CHOOSE(CONTROL!$C$19, $C$13, 100%, $E$13)</f>
        <v>3.2938999999999998</v>
      </c>
      <c r="L18" s="4"/>
      <c r="M18" s="61"/>
      <c r="N18" s="61"/>
    </row>
    <row r="19" spans="1:14" ht="15">
      <c r="A19" s="13">
        <v>42430</v>
      </c>
      <c r="B19" s="60">
        <f>2.2949 * CHOOSE(CONTROL!$C$19, $C$13, 100%, $E$13)</f>
        <v>2.2949000000000002</v>
      </c>
      <c r="C19" s="60">
        <f>2.2949 * CHOOSE(CONTROL!$C$19, $C$13, 100%, $E$13)</f>
        <v>2.2949000000000002</v>
      </c>
      <c r="D19" s="60">
        <f>2.3117 * CHOOSE(CONTROL!$C$19, $C$13, 100%, $E$13)</f>
        <v>2.3117000000000001</v>
      </c>
      <c r="E19" s="61">
        <f>3.2105 * CHOOSE(CONTROL!$C$19, $C$13, 100%, $E$13)</f>
        <v>3.2105000000000001</v>
      </c>
      <c r="F19" s="61">
        <f>2.073 * CHOOSE(CONTROL!$C$19, $C$13, 100%, $E$13)</f>
        <v>2.073</v>
      </c>
      <c r="G19" s="61">
        <f>2.0732 * CHOOSE(CONTROL!$C$19, $C$13, 100%, $E$13)</f>
        <v>2.0731999999999999</v>
      </c>
      <c r="H19" s="61">
        <f>5.1815* CHOOSE(CONTROL!$C$19, $C$13, 100%, $E$13)</f>
        <v>5.1814999999999998</v>
      </c>
      <c r="I19" s="61">
        <f>5.1817 * CHOOSE(CONTROL!$C$19, $C$13, 100%, $E$13)</f>
        <v>5.1817000000000002</v>
      </c>
      <c r="J19" s="61">
        <f>3.2105 * CHOOSE(CONTROL!$C$19, $C$13, 100%, $E$13)</f>
        <v>3.2105000000000001</v>
      </c>
      <c r="K19" s="61">
        <f>3.2107 * CHOOSE(CONTROL!$C$19, $C$13, 100%, $E$13)</f>
        <v>3.2107000000000001</v>
      </c>
      <c r="L19" s="4"/>
      <c r="M19" s="61"/>
      <c r="N19" s="61"/>
    </row>
    <row r="20" spans="1:14" ht="15">
      <c r="A20" s="13">
        <v>42461</v>
      </c>
      <c r="B20" s="60">
        <f>2.2787 * CHOOSE(CONTROL!$C$19, $C$13, 100%, $E$13)</f>
        <v>2.2787000000000002</v>
      </c>
      <c r="C20" s="60">
        <f>2.2787 * CHOOSE(CONTROL!$C$19, $C$13, 100%, $E$13)</f>
        <v>2.2787000000000002</v>
      </c>
      <c r="D20" s="60">
        <f>2.2955 * CHOOSE(CONTROL!$C$19, $C$13, 100%, $E$13)</f>
        <v>2.2955000000000001</v>
      </c>
      <c r="E20" s="61">
        <f>2.9965 * CHOOSE(CONTROL!$C$19, $C$13, 100%, $E$13)</f>
        <v>2.9965000000000002</v>
      </c>
      <c r="F20" s="61">
        <f>2.049 * CHOOSE(CONTROL!$C$19, $C$13, 100%, $E$13)</f>
        <v>2.0489999999999999</v>
      </c>
      <c r="G20" s="61">
        <f>2.0492 * CHOOSE(CONTROL!$C$19, $C$13, 100%, $E$13)</f>
        <v>2.0491999999999999</v>
      </c>
      <c r="H20" s="61">
        <f>4.199* CHOOSE(CONTROL!$C$19, $C$13, 100%, $E$13)</f>
        <v>4.1989999999999998</v>
      </c>
      <c r="I20" s="61">
        <f>4.1992 * CHOOSE(CONTROL!$C$19, $C$13, 100%, $E$13)</f>
        <v>4.1992000000000003</v>
      </c>
      <c r="J20" s="61">
        <f>2.9965 * CHOOSE(CONTROL!$C$19, $C$13, 100%, $E$13)</f>
        <v>2.9965000000000002</v>
      </c>
      <c r="K20" s="61">
        <f>2.9966 * CHOOSE(CONTROL!$C$19, $C$13, 100%, $E$13)</f>
        <v>2.9965999999999999</v>
      </c>
      <c r="L20" s="4"/>
      <c r="M20" s="61"/>
      <c r="N20" s="61"/>
    </row>
    <row r="21" spans="1:14" ht="15">
      <c r="A21" s="13">
        <v>42491</v>
      </c>
      <c r="B21" s="60">
        <f>2.2696 * CHOOSE(CONTROL!$C$19, $C$13, 100%, $E$13)</f>
        <v>2.2696000000000001</v>
      </c>
      <c r="C21" s="60">
        <f>2.2696 * CHOOSE(CONTROL!$C$19, $C$13, 100%, $E$13)</f>
        <v>2.2696000000000001</v>
      </c>
      <c r="D21" s="60">
        <f>2.3032 * CHOOSE(CONTROL!$C$19, $C$13, 100%, $E$13)</f>
        <v>2.3031999999999999</v>
      </c>
      <c r="E21" s="61">
        <f>3.1407 * CHOOSE(CONTROL!$C$19, $C$13, 100%, $E$13)</f>
        <v>3.1406999999999998</v>
      </c>
      <c r="F21" s="61">
        <f>2.049 * CHOOSE(CONTROL!$C$19, $C$13, 100%, $E$13)</f>
        <v>2.0489999999999999</v>
      </c>
      <c r="G21" s="61">
        <f>2.0511 * CHOOSE(CONTROL!$C$19, $C$13, 100%, $E$13)</f>
        <v>2.0510999999999999</v>
      </c>
      <c r="H21" s="61">
        <f>4.2077* CHOOSE(CONTROL!$C$19, $C$13, 100%, $E$13)</f>
        <v>4.2077</v>
      </c>
      <c r="I21" s="61">
        <f>4.2098 * CHOOSE(CONTROL!$C$19, $C$13, 100%, $E$13)</f>
        <v>4.2098000000000004</v>
      </c>
      <c r="J21" s="61">
        <f>3.1407 * CHOOSE(CONTROL!$C$19, $C$13, 100%, $E$13)</f>
        <v>3.1406999999999998</v>
      </c>
      <c r="K21" s="61">
        <f>3.1428 * CHOOSE(CONTROL!$C$19, $C$13, 100%, $E$13)</f>
        <v>3.1427999999999998</v>
      </c>
      <c r="L21" s="4"/>
      <c r="M21" s="61"/>
      <c r="N21" s="61"/>
    </row>
    <row r="22" spans="1:14" ht="15">
      <c r="A22" s="13">
        <v>42522</v>
      </c>
      <c r="B22" s="60">
        <f>2.2787 * CHOOSE(CONTROL!$C$19, $C$13, 100%, $E$13)</f>
        <v>2.2787000000000002</v>
      </c>
      <c r="C22" s="60">
        <f>2.2787 * CHOOSE(CONTROL!$C$19, $C$13, 100%, $E$13)</f>
        <v>2.2787000000000002</v>
      </c>
      <c r="D22" s="60">
        <f>2.3123 * CHOOSE(CONTROL!$C$19, $C$13, 100%, $E$13)</f>
        <v>2.3123</v>
      </c>
      <c r="E22" s="61">
        <f>2.7508 * CHOOSE(CONTROL!$C$19, $C$13, 100%, $E$13)</f>
        <v>2.7507999999999999</v>
      </c>
      <c r="F22" s="61">
        <f>2.049 * CHOOSE(CONTROL!$C$19, $C$13, 100%, $E$13)</f>
        <v>2.0489999999999999</v>
      </c>
      <c r="G22" s="61">
        <f>2.0511 * CHOOSE(CONTROL!$C$19, $C$13, 100%, $E$13)</f>
        <v>2.0510999999999999</v>
      </c>
      <c r="H22" s="61">
        <f>4.2165* CHOOSE(CONTROL!$C$19, $C$13, 100%, $E$13)</f>
        <v>4.2164999999999999</v>
      </c>
      <c r="I22" s="61">
        <f>4.2186 * CHOOSE(CONTROL!$C$19, $C$13, 100%, $E$13)</f>
        <v>4.2186000000000003</v>
      </c>
      <c r="J22" s="61">
        <f>2.7508 * CHOOSE(CONTROL!$C$19, $C$13, 100%, $E$13)</f>
        <v>2.7507999999999999</v>
      </c>
      <c r="K22" s="61">
        <f>2.7529 * CHOOSE(CONTROL!$C$19, $C$13, 100%, $E$13)</f>
        <v>2.7528999999999999</v>
      </c>
      <c r="L22" s="4"/>
      <c r="M22" s="61"/>
      <c r="N22" s="61"/>
    </row>
    <row r="23" spans="1:14" ht="15">
      <c r="A23" s="13">
        <v>42552</v>
      </c>
      <c r="B23" s="60">
        <f>2.3547 * CHOOSE(CONTROL!$C$19, $C$13, 100%, $E$13)</f>
        <v>2.3546999999999998</v>
      </c>
      <c r="C23" s="60">
        <f>2.3547 * CHOOSE(CONTROL!$C$19, $C$13, 100%, $E$13)</f>
        <v>2.3546999999999998</v>
      </c>
      <c r="D23" s="60">
        <f>2.3883 * CHOOSE(CONTROL!$C$19, $C$13, 100%, $E$13)</f>
        <v>2.3883000000000001</v>
      </c>
      <c r="E23" s="61">
        <f>2.9653 * CHOOSE(CONTROL!$C$19, $C$13, 100%, $E$13)</f>
        <v>2.9653</v>
      </c>
      <c r="F23" s="61">
        <f>2.035 * CHOOSE(CONTROL!$C$19, $C$13, 100%, $E$13)</f>
        <v>2.0350000000000001</v>
      </c>
      <c r="G23" s="61">
        <f>2.0371 * CHOOSE(CONTROL!$C$19, $C$13, 100%, $E$13)</f>
        <v>2.0371000000000001</v>
      </c>
      <c r="H23" s="61">
        <f>4.2253* CHOOSE(CONTROL!$C$19, $C$13, 100%, $E$13)</f>
        <v>4.2252999999999998</v>
      </c>
      <c r="I23" s="61">
        <f>4.2274 * CHOOSE(CONTROL!$C$19, $C$13, 100%, $E$13)</f>
        <v>4.2274000000000003</v>
      </c>
      <c r="J23" s="61">
        <f>2.9653 * CHOOSE(CONTROL!$C$19, $C$13, 100%, $E$13)</f>
        <v>2.9653</v>
      </c>
      <c r="K23" s="61">
        <f>2.9674 * CHOOSE(CONTROL!$C$19, $C$13, 100%, $E$13)</f>
        <v>2.9674</v>
      </c>
      <c r="L23" s="4"/>
      <c r="M23" s="4"/>
      <c r="N23" s="4"/>
    </row>
    <row r="24" spans="1:14" ht="15">
      <c r="A24" s="13">
        <v>42583</v>
      </c>
      <c r="B24" s="60">
        <f>2.3759 * CHOOSE(CONTROL!$C$19, $C$13, 100%, $E$13)</f>
        <v>2.3759000000000001</v>
      </c>
      <c r="C24" s="60">
        <f>2.3759 * CHOOSE(CONTROL!$C$19, $C$13, 100%, $E$13)</f>
        <v>2.3759000000000001</v>
      </c>
      <c r="D24" s="60">
        <f>2.4096 * CHOOSE(CONTROL!$C$19, $C$13, 100%, $E$13)</f>
        <v>2.4096000000000002</v>
      </c>
      <c r="E24" s="61">
        <f>3.2103 * CHOOSE(CONTROL!$C$19, $C$13, 100%, $E$13)</f>
        <v>3.2103000000000002</v>
      </c>
      <c r="F24" s="61">
        <f>2.035 * CHOOSE(CONTROL!$C$19, $C$13, 100%, $E$13)</f>
        <v>2.0350000000000001</v>
      </c>
      <c r="G24" s="61">
        <f>2.0371 * CHOOSE(CONTROL!$C$19, $C$13, 100%, $E$13)</f>
        <v>2.0371000000000001</v>
      </c>
      <c r="H24" s="61">
        <f>4.2341* CHOOSE(CONTROL!$C$19, $C$13, 100%, $E$13)</f>
        <v>4.2340999999999998</v>
      </c>
      <c r="I24" s="61">
        <f>4.2362 * CHOOSE(CONTROL!$C$19, $C$13, 100%, $E$13)</f>
        <v>4.2362000000000002</v>
      </c>
      <c r="J24" s="61">
        <f>3.2103 * CHOOSE(CONTROL!$C$19, $C$13, 100%, $E$13)</f>
        <v>3.2103000000000002</v>
      </c>
      <c r="K24" s="61">
        <f>3.2124 * CHOOSE(CONTROL!$C$19, $C$13, 100%, $E$13)</f>
        <v>3.2124000000000001</v>
      </c>
      <c r="L24" s="4"/>
      <c r="M24" s="4"/>
      <c r="N24" s="4"/>
    </row>
    <row r="25" spans="1:14" ht="15">
      <c r="A25" s="13">
        <v>42614</v>
      </c>
      <c r="B25" s="60">
        <f>2.3638 * CHOOSE(CONTROL!$C$19, $C$13, 100%, $E$13)</f>
        <v>2.3637999999999999</v>
      </c>
      <c r="C25" s="60">
        <f>2.3638 * CHOOSE(CONTROL!$C$19, $C$13, 100%, $E$13)</f>
        <v>2.3637999999999999</v>
      </c>
      <c r="D25" s="60">
        <f>2.3974 * CHOOSE(CONTROL!$C$19, $C$13, 100%, $E$13)</f>
        <v>2.3974000000000002</v>
      </c>
      <c r="E25" s="61">
        <f>3.139 * CHOOSE(CONTROL!$C$19, $C$13, 100%, $E$13)</f>
        <v>3.1389999999999998</v>
      </c>
      <c r="F25" s="61">
        <f>2.035 * CHOOSE(CONTROL!$C$19, $C$13, 100%, $E$13)</f>
        <v>2.0350000000000001</v>
      </c>
      <c r="G25" s="61">
        <f>2.0371 * CHOOSE(CONTROL!$C$19, $C$13, 100%, $E$13)</f>
        <v>2.0371000000000001</v>
      </c>
      <c r="H25" s="61">
        <f>4.2429* CHOOSE(CONTROL!$C$19, $C$13, 100%, $E$13)</f>
        <v>4.2428999999999997</v>
      </c>
      <c r="I25" s="61">
        <f>4.245 * CHOOSE(CONTROL!$C$19, $C$13, 100%, $E$13)</f>
        <v>4.2450000000000001</v>
      </c>
      <c r="J25" s="61">
        <f>3.139 * CHOOSE(CONTROL!$C$19, $C$13, 100%, $E$13)</f>
        <v>3.1389999999999998</v>
      </c>
      <c r="K25" s="61">
        <f>3.1411 * CHOOSE(CONTROL!$C$19, $C$13, 100%, $E$13)</f>
        <v>3.1410999999999998</v>
      </c>
      <c r="L25" s="4"/>
      <c r="M25" s="4"/>
      <c r="N25" s="4"/>
    </row>
    <row r="26" spans="1:14" ht="15">
      <c r="A26" s="13">
        <v>42644</v>
      </c>
      <c r="B26" s="60">
        <f>2.3759 * CHOOSE(CONTROL!$C$19, $C$13, 100%, $E$13)</f>
        <v>2.3759000000000001</v>
      </c>
      <c r="C26" s="60">
        <f>2.3759 * CHOOSE(CONTROL!$C$19, $C$13, 100%, $E$13)</f>
        <v>2.3759000000000001</v>
      </c>
      <c r="D26" s="60">
        <f>2.3928 * CHOOSE(CONTROL!$C$19, $C$13, 100%, $E$13)</f>
        <v>2.3927999999999998</v>
      </c>
      <c r="E26" s="61">
        <f>3.139 * CHOOSE(CONTROL!$C$19, $C$13, 100%, $E$13)</f>
        <v>3.1389999999999998</v>
      </c>
      <c r="F26" s="61">
        <f>2.035 * CHOOSE(CONTROL!$C$19, $C$13, 100%, $E$13)</f>
        <v>2.0350000000000001</v>
      </c>
      <c r="G26" s="61">
        <f>2.0352 * CHOOSE(CONTROL!$C$19, $C$13, 100%, $E$13)</f>
        <v>2.0352000000000001</v>
      </c>
      <c r="H26" s="61">
        <f>4.2518* CHOOSE(CONTROL!$C$19, $C$13, 100%, $E$13)</f>
        <v>4.2518000000000002</v>
      </c>
      <c r="I26" s="61">
        <f>4.2519 * CHOOSE(CONTROL!$C$19, $C$13, 100%, $E$13)</f>
        <v>4.2519</v>
      </c>
      <c r="J26" s="61">
        <f>3.139 * CHOOSE(CONTROL!$C$19, $C$13, 100%, $E$13)</f>
        <v>3.1389999999999998</v>
      </c>
      <c r="K26" s="61">
        <f>3.1392 * CHOOSE(CONTROL!$C$19, $C$13, 100%, $E$13)</f>
        <v>3.1392000000000002</v>
      </c>
      <c r="L26" s="4"/>
      <c r="M26" s="4"/>
      <c r="N26" s="4"/>
    </row>
    <row r="27" spans="1:14" ht="15">
      <c r="A27" s="13">
        <v>42675</v>
      </c>
      <c r="B27" s="60">
        <f>2.3911 * CHOOSE(CONTROL!$C$19, $C$13, 100%, $E$13)</f>
        <v>2.3910999999999998</v>
      </c>
      <c r="C27" s="60">
        <f>2.3911 * CHOOSE(CONTROL!$C$19, $C$13, 100%, $E$13)</f>
        <v>2.3910999999999998</v>
      </c>
      <c r="D27" s="60">
        <f>2.408 * CHOOSE(CONTROL!$C$19, $C$13, 100%, $E$13)</f>
        <v>2.4079999999999999</v>
      </c>
      <c r="E27" s="61">
        <f>3.0263 * CHOOSE(CONTROL!$C$19, $C$13, 100%, $E$13)</f>
        <v>3.0263</v>
      </c>
      <c r="F27" s="61">
        <f>2.05 * CHOOSE(CONTROL!$C$19, $C$13, 100%, $E$13)</f>
        <v>2.0499999999999998</v>
      </c>
      <c r="G27" s="61">
        <f>2.0502 * CHOOSE(CONTROL!$C$19, $C$13, 100%, $E$13)</f>
        <v>2.0501999999999998</v>
      </c>
      <c r="H27" s="61">
        <f>4.2606* CHOOSE(CONTROL!$C$19, $C$13, 100%, $E$13)</f>
        <v>4.2606000000000002</v>
      </c>
      <c r="I27" s="61">
        <f>4.2608 * CHOOSE(CONTROL!$C$19, $C$13, 100%, $E$13)</f>
        <v>4.2607999999999997</v>
      </c>
      <c r="J27" s="61">
        <f>3.0263 * CHOOSE(CONTROL!$C$19, $C$13, 100%, $E$13)</f>
        <v>3.0263</v>
      </c>
      <c r="K27" s="61">
        <f>3.0265 * CHOOSE(CONTROL!$C$19, $C$13, 100%, $E$13)</f>
        <v>3.0265</v>
      </c>
      <c r="L27" s="4"/>
      <c r="M27" s="4"/>
      <c r="N27" s="4"/>
    </row>
    <row r="28" spans="1:14" ht="15">
      <c r="A28" s="13">
        <v>42705</v>
      </c>
      <c r="B28" s="60">
        <f>2.4063 * CHOOSE(CONTROL!$C$19, $C$13, 100%, $E$13)</f>
        <v>2.4062999999999999</v>
      </c>
      <c r="C28" s="60">
        <f>2.4063 * CHOOSE(CONTROL!$C$19, $C$13, 100%, $E$13)</f>
        <v>2.4062999999999999</v>
      </c>
      <c r="D28" s="60">
        <f>2.4231 * CHOOSE(CONTROL!$C$19, $C$13, 100%, $E$13)</f>
        <v>2.4230999999999998</v>
      </c>
      <c r="E28" s="61">
        <f>3.0678 * CHOOSE(CONTROL!$C$19, $C$13, 100%, $E$13)</f>
        <v>3.0678000000000001</v>
      </c>
      <c r="F28" s="61">
        <f>2.05 * CHOOSE(CONTROL!$C$19, $C$13, 100%, $E$13)</f>
        <v>2.0499999999999998</v>
      </c>
      <c r="G28" s="61">
        <f>2.0502 * CHOOSE(CONTROL!$C$19, $C$13, 100%, $E$13)</f>
        <v>2.0501999999999998</v>
      </c>
      <c r="H28" s="61">
        <f>4.2695* CHOOSE(CONTROL!$C$19, $C$13, 100%, $E$13)</f>
        <v>4.2694999999999999</v>
      </c>
      <c r="I28" s="61">
        <f>4.2697 * CHOOSE(CONTROL!$C$19, $C$13, 100%, $E$13)</f>
        <v>4.2697000000000003</v>
      </c>
      <c r="J28" s="61">
        <f>3.0678 * CHOOSE(CONTROL!$C$19, $C$13, 100%, $E$13)</f>
        <v>3.0678000000000001</v>
      </c>
      <c r="K28" s="61">
        <f>3.068 * CHOOSE(CONTROL!$C$19, $C$13, 100%, $E$13)</f>
        <v>3.0680000000000001</v>
      </c>
      <c r="L28" s="4"/>
      <c r="M28" s="4"/>
      <c r="N28" s="4"/>
    </row>
    <row r="29" spans="1:14" ht="15">
      <c r="A29" s="13">
        <v>42736</v>
      </c>
      <c r="B29" s="60">
        <f>2.2766 * CHOOSE(CONTROL!$C$19, $C$13, 100%, $E$13)</f>
        <v>2.2766000000000002</v>
      </c>
      <c r="C29" s="60">
        <f>2.2766 * CHOOSE(CONTROL!$C$19, $C$13, 100%, $E$13)</f>
        <v>2.2766000000000002</v>
      </c>
      <c r="D29" s="60">
        <f>2.2935 * CHOOSE(CONTROL!$C$19, $C$13, 100%, $E$13)</f>
        <v>2.2934999999999999</v>
      </c>
      <c r="E29" s="61">
        <f>3.4487 * CHOOSE(CONTROL!$C$19, $C$13, 100%, $E$13)</f>
        <v>3.4487000000000001</v>
      </c>
      <c r="F29" s="61">
        <f>2.073 * CHOOSE(CONTROL!$C$19, $C$13, 100%, $E$13)</f>
        <v>2.073</v>
      </c>
      <c r="G29" s="61">
        <f>2.0732 * CHOOSE(CONTROL!$C$19, $C$13, 100%, $E$13)</f>
        <v>2.0731999999999999</v>
      </c>
      <c r="H29" s="61">
        <f>4.2784* CHOOSE(CONTROL!$C$19, $C$13, 100%, $E$13)</f>
        <v>4.2784000000000004</v>
      </c>
      <c r="I29" s="61">
        <f>4.2786 * CHOOSE(CONTROL!$C$19, $C$13, 100%, $E$13)</f>
        <v>4.2786</v>
      </c>
      <c r="J29" s="61">
        <f>3.4487 * CHOOSE(CONTROL!$C$19, $C$13, 100%, $E$13)</f>
        <v>3.4487000000000001</v>
      </c>
      <c r="K29" s="61">
        <f>3.4489 * CHOOSE(CONTROL!$C$19, $C$13, 100%, $E$13)</f>
        <v>3.4489000000000001</v>
      </c>
      <c r="L29" s="4"/>
      <c r="M29" s="4"/>
      <c r="N29" s="4"/>
    </row>
    <row r="30" spans="1:14" ht="15">
      <c r="A30" s="13">
        <v>42767</v>
      </c>
      <c r="B30" s="60">
        <f>2.2705 * CHOOSE(CONTROL!$C$19, $C$13, 100%, $E$13)</f>
        <v>2.2705000000000002</v>
      </c>
      <c r="C30" s="60">
        <f>2.2705 * CHOOSE(CONTROL!$C$19, $C$13, 100%, $E$13)</f>
        <v>2.2705000000000002</v>
      </c>
      <c r="D30" s="60">
        <f>2.2874 * CHOOSE(CONTROL!$C$19, $C$13, 100%, $E$13)</f>
        <v>2.2873999999999999</v>
      </c>
      <c r="E30" s="61">
        <f>3.3873 * CHOOSE(CONTROL!$C$19, $C$13, 100%, $E$13)</f>
        <v>3.3873000000000002</v>
      </c>
      <c r="F30" s="61">
        <f>2.073 * CHOOSE(CONTROL!$C$19, $C$13, 100%, $E$13)</f>
        <v>2.073</v>
      </c>
      <c r="G30" s="61">
        <f>2.0732 * CHOOSE(CONTROL!$C$19, $C$13, 100%, $E$13)</f>
        <v>2.0731999999999999</v>
      </c>
      <c r="H30" s="61">
        <f>4.2873* CHOOSE(CONTROL!$C$19, $C$13, 100%, $E$13)</f>
        <v>4.2873000000000001</v>
      </c>
      <c r="I30" s="61">
        <f>4.2875 * CHOOSE(CONTROL!$C$19, $C$13, 100%, $E$13)</f>
        <v>4.2874999999999996</v>
      </c>
      <c r="J30" s="61">
        <f>3.3873 * CHOOSE(CONTROL!$C$19, $C$13, 100%, $E$13)</f>
        <v>3.3873000000000002</v>
      </c>
      <c r="K30" s="61">
        <f>3.3875 * CHOOSE(CONTROL!$C$19, $C$13, 100%, $E$13)</f>
        <v>3.3875000000000002</v>
      </c>
      <c r="L30" s="4"/>
      <c r="M30" s="4"/>
      <c r="N30" s="4"/>
    </row>
    <row r="31" spans="1:14" ht="15">
      <c r="A31" s="13">
        <v>42795</v>
      </c>
      <c r="B31" s="60">
        <f>2.2645 * CHOOSE(CONTROL!$C$19, $C$13, 100%, $E$13)</f>
        <v>2.2645</v>
      </c>
      <c r="C31" s="60">
        <f>2.2645 * CHOOSE(CONTROL!$C$19, $C$13, 100%, $E$13)</f>
        <v>2.2645</v>
      </c>
      <c r="D31" s="60">
        <f>2.2813 * CHOOSE(CONTROL!$C$19, $C$13, 100%, $E$13)</f>
        <v>2.2812999999999999</v>
      </c>
      <c r="E31" s="61">
        <f>3.3873 * CHOOSE(CONTROL!$C$19, $C$13, 100%, $E$13)</f>
        <v>3.3873000000000002</v>
      </c>
      <c r="F31" s="61">
        <f>2.073 * CHOOSE(CONTROL!$C$19, $C$13, 100%, $E$13)</f>
        <v>2.073</v>
      </c>
      <c r="G31" s="61">
        <f>2.0732 * CHOOSE(CONTROL!$C$19, $C$13, 100%, $E$13)</f>
        <v>2.0731999999999999</v>
      </c>
      <c r="H31" s="61">
        <f>4.2962* CHOOSE(CONTROL!$C$19, $C$13, 100%, $E$13)</f>
        <v>4.2961999999999998</v>
      </c>
      <c r="I31" s="61">
        <f>4.2964 * CHOOSE(CONTROL!$C$19, $C$13, 100%, $E$13)</f>
        <v>4.2964000000000002</v>
      </c>
      <c r="J31" s="61">
        <f>3.3873 * CHOOSE(CONTROL!$C$19, $C$13, 100%, $E$13)</f>
        <v>3.3873000000000002</v>
      </c>
      <c r="K31" s="61">
        <f>3.3875 * CHOOSE(CONTROL!$C$19, $C$13, 100%, $E$13)</f>
        <v>3.3875000000000002</v>
      </c>
      <c r="L31" s="4"/>
      <c r="M31" s="4"/>
      <c r="N31" s="4"/>
    </row>
    <row r="32" spans="1:14" ht="15">
      <c r="A32" s="13">
        <v>42826</v>
      </c>
      <c r="B32" s="60">
        <f>2.2553 * CHOOSE(CONTROL!$C$19, $C$13, 100%, $E$13)</f>
        <v>2.2553000000000001</v>
      </c>
      <c r="C32" s="60">
        <f>2.2553 * CHOOSE(CONTROL!$C$19, $C$13, 100%, $E$13)</f>
        <v>2.2553000000000001</v>
      </c>
      <c r="D32" s="60">
        <f>2.2722 * CHOOSE(CONTROL!$C$19, $C$13, 100%, $E$13)</f>
        <v>2.2722000000000002</v>
      </c>
      <c r="E32" s="61">
        <f>3.3873 * CHOOSE(CONTROL!$C$19, $C$13, 100%, $E$13)</f>
        <v>3.3873000000000002</v>
      </c>
      <c r="F32" s="61">
        <f>2.049 * CHOOSE(CONTROL!$C$19, $C$13, 100%, $E$13)</f>
        <v>2.0489999999999999</v>
      </c>
      <c r="G32" s="61">
        <f>2.0492 * CHOOSE(CONTROL!$C$19, $C$13, 100%, $E$13)</f>
        <v>2.0491999999999999</v>
      </c>
      <c r="H32" s="61">
        <f>4.3052* CHOOSE(CONTROL!$C$19, $C$13, 100%, $E$13)</f>
        <v>4.3052000000000001</v>
      </c>
      <c r="I32" s="61">
        <f>4.3054 * CHOOSE(CONTROL!$C$19, $C$13, 100%, $E$13)</f>
        <v>4.3053999999999997</v>
      </c>
      <c r="J32" s="61">
        <f>3.3873 * CHOOSE(CONTROL!$C$19, $C$13, 100%, $E$13)</f>
        <v>3.3873000000000002</v>
      </c>
      <c r="K32" s="61">
        <f>3.3875 * CHOOSE(CONTROL!$C$19, $C$13, 100%, $E$13)</f>
        <v>3.3875000000000002</v>
      </c>
      <c r="L32" s="4"/>
      <c r="M32" s="4"/>
      <c r="N32" s="4"/>
    </row>
    <row r="33" spans="1:14" ht="15">
      <c r="A33" s="13">
        <v>42856</v>
      </c>
      <c r="B33" s="60">
        <f>2.2493 * CHOOSE(CONTROL!$C$19, $C$13, 100%, $E$13)</f>
        <v>2.2492999999999999</v>
      </c>
      <c r="C33" s="60">
        <f>2.2493 * CHOOSE(CONTROL!$C$19, $C$13, 100%, $E$13)</f>
        <v>2.2492999999999999</v>
      </c>
      <c r="D33" s="60">
        <f>2.2829 * CHOOSE(CONTROL!$C$19, $C$13, 100%, $E$13)</f>
        <v>2.2829000000000002</v>
      </c>
      <c r="E33" s="61">
        <f>3.3873 * CHOOSE(CONTROL!$C$19, $C$13, 100%, $E$13)</f>
        <v>3.3873000000000002</v>
      </c>
      <c r="F33" s="61">
        <f>2.049 * CHOOSE(CONTROL!$C$19, $C$13, 100%, $E$13)</f>
        <v>2.0489999999999999</v>
      </c>
      <c r="G33" s="61">
        <f>2.0511 * CHOOSE(CONTROL!$C$19, $C$13, 100%, $E$13)</f>
        <v>2.0510999999999999</v>
      </c>
      <c r="H33" s="61">
        <f>4.3142* CHOOSE(CONTROL!$C$19, $C$13, 100%, $E$13)</f>
        <v>4.3141999999999996</v>
      </c>
      <c r="I33" s="61">
        <f>4.3162 * CHOOSE(CONTROL!$C$19, $C$13, 100%, $E$13)</f>
        <v>4.3162000000000003</v>
      </c>
      <c r="J33" s="61">
        <f>3.3873 * CHOOSE(CONTROL!$C$19, $C$13, 100%, $E$13)</f>
        <v>3.3873000000000002</v>
      </c>
      <c r="K33" s="61">
        <f>3.3894 * CHOOSE(CONTROL!$C$19, $C$13, 100%, $E$13)</f>
        <v>3.3894000000000002</v>
      </c>
      <c r="L33" s="4"/>
      <c r="M33" s="4"/>
      <c r="N33" s="4"/>
    </row>
    <row r="34" spans="1:14" ht="15">
      <c r="A34" s="13">
        <v>42887</v>
      </c>
      <c r="B34" s="60">
        <f>2.2645 * CHOOSE(CONTROL!$C$19, $C$13, 100%, $E$13)</f>
        <v>2.2645</v>
      </c>
      <c r="C34" s="60">
        <f>2.2645 * CHOOSE(CONTROL!$C$19, $C$13, 100%, $E$13)</f>
        <v>2.2645</v>
      </c>
      <c r="D34" s="60">
        <f>2.2981 * CHOOSE(CONTROL!$C$19, $C$13, 100%, $E$13)</f>
        <v>2.2980999999999998</v>
      </c>
      <c r="E34" s="61">
        <f>3.2645 * CHOOSE(CONTROL!$C$19, $C$13, 100%, $E$13)</f>
        <v>3.2645</v>
      </c>
      <c r="F34" s="61">
        <f>2.049 * CHOOSE(CONTROL!$C$19, $C$13, 100%, $E$13)</f>
        <v>2.0489999999999999</v>
      </c>
      <c r="G34" s="61">
        <f>2.0511 * CHOOSE(CONTROL!$C$19, $C$13, 100%, $E$13)</f>
        <v>2.0510999999999999</v>
      </c>
      <c r="H34" s="61">
        <f>4.3231* CHOOSE(CONTROL!$C$19, $C$13, 100%, $E$13)</f>
        <v>4.3231000000000002</v>
      </c>
      <c r="I34" s="61">
        <f>4.3252 * CHOOSE(CONTROL!$C$19, $C$13, 100%, $E$13)</f>
        <v>4.3251999999999997</v>
      </c>
      <c r="J34" s="61">
        <f>3.2645 * CHOOSE(CONTROL!$C$19, $C$13, 100%, $E$13)</f>
        <v>3.2645</v>
      </c>
      <c r="K34" s="61">
        <f>3.2666 * CHOOSE(CONTROL!$C$19, $C$13, 100%, $E$13)</f>
        <v>3.2665999999999999</v>
      </c>
      <c r="L34" s="4"/>
      <c r="M34" s="4"/>
      <c r="N34" s="4"/>
    </row>
    <row r="35" spans="1:14" ht="15">
      <c r="A35" s="13">
        <v>42917</v>
      </c>
      <c r="B35" s="60">
        <f>2.2949 * CHOOSE(CONTROL!$C$19, $C$13, 100%, $E$13)</f>
        <v>2.2949000000000002</v>
      </c>
      <c r="C35" s="60">
        <f>2.2949 * CHOOSE(CONTROL!$C$19, $C$13, 100%, $E$13)</f>
        <v>2.2949000000000002</v>
      </c>
      <c r="D35" s="60">
        <f>2.3285 * CHOOSE(CONTROL!$C$19, $C$13, 100%, $E$13)</f>
        <v>2.3285</v>
      </c>
      <c r="E35" s="61">
        <f>3.633 * CHOOSE(CONTROL!$C$19, $C$13, 100%, $E$13)</f>
        <v>3.633</v>
      </c>
      <c r="F35" s="61">
        <f>2.035 * CHOOSE(CONTROL!$C$19, $C$13, 100%, $E$13)</f>
        <v>2.0350000000000001</v>
      </c>
      <c r="G35" s="61">
        <f>2.0371 * CHOOSE(CONTROL!$C$19, $C$13, 100%, $E$13)</f>
        <v>2.0371000000000001</v>
      </c>
      <c r="H35" s="61">
        <f>4.3321* CHOOSE(CONTROL!$C$19, $C$13, 100%, $E$13)</f>
        <v>4.3320999999999996</v>
      </c>
      <c r="I35" s="61">
        <f>4.3342 * CHOOSE(CONTROL!$C$19, $C$13, 100%, $E$13)</f>
        <v>4.3342000000000001</v>
      </c>
      <c r="J35" s="61">
        <f>3.633 * CHOOSE(CONTROL!$C$19, $C$13, 100%, $E$13)</f>
        <v>3.633</v>
      </c>
      <c r="K35" s="61">
        <f>3.6351 * CHOOSE(CONTROL!$C$19, $C$13, 100%, $E$13)</f>
        <v>3.6351</v>
      </c>
      <c r="L35" s="4"/>
      <c r="M35" s="4"/>
      <c r="N35" s="4"/>
    </row>
    <row r="36" spans="1:14" ht="15">
      <c r="A36" s="13">
        <v>42948</v>
      </c>
      <c r="B36" s="60">
        <f>2.3161 * CHOOSE(CONTROL!$C$19, $C$13, 100%, $E$13)</f>
        <v>2.3161</v>
      </c>
      <c r="C36" s="60">
        <f>2.3161 * CHOOSE(CONTROL!$C$19, $C$13, 100%, $E$13)</f>
        <v>2.3161</v>
      </c>
      <c r="D36" s="60">
        <f>2.3498 * CHOOSE(CONTROL!$C$19, $C$13, 100%, $E$13)</f>
        <v>2.3498000000000001</v>
      </c>
      <c r="E36" s="61">
        <f>3.633 * CHOOSE(CONTROL!$C$19, $C$13, 100%, $E$13)</f>
        <v>3.633</v>
      </c>
      <c r="F36" s="61">
        <f>2.035 * CHOOSE(CONTROL!$C$19, $C$13, 100%, $E$13)</f>
        <v>2.0350000000000001</v>
      </c>
      <c r="G36" s="61">
        <f>2.0371 * CHOOSE(CONTROL!$C$19, $C$13, 100%, $E$13)</f>
        <v>2.0371000000000001</v>
      </c>
      <c r="H36" s="61">
        <f>4.3412* CHOOSE(CONTROL!$C$19, $C$13, 100%, $E$13)</f>
        <v>4.3411999999999997</v>
      </c>
      <c r="I36" s="61">
        <f>4.3433 * CHOOSE(CONTROL!$C$19, $C$13, 100%, $E$13)</f>
        <v>4.3433000000000002</v>
      </c>
      <c r="J36" s="61">
        <f>3.633 * CHOOSE(CONTROL!$C$19, $C$13, 100%, $E$13)</f>
        <v>3.633</v>
      </c>
      <c r="K36" s="61">
        <f>3.6351 * CHOOSE(CONTROL!$C$19, $C$13, 100%, $E$13)</f>
        <v>3.6351</v>
      </c>
      <c r="L36" s="4"/>
      <c r="M36" s="4"/>
      <c r="N36" s="4"/>
    </row>
    <row r="37" spans="1:14" ht="15">
      <c r="A37" s="13">
        <v>42979</v>
      </c>
      <c r="B37" s="60">
        <f>2.304 * CHOOSE(CONTROL!$C$19, $C$13, 100%, $E$13)</f>
        <v>2.3039999999999998</v>
      </c>
      <c r="C37" s="60">
        <f>2.304 * CHOOSE(CONTROL!$C$19, $C$13, 100%, $E$13)</f>
        <v>2.3039999999999998</v>
      </c>
      <c r="D37" s="60">
        <f>2.3376 * CHOOSE(CONTROL!$C$19, $C$13, 100%, $E$13)</f>
        <v>2.3376000000000001</v>
      </c>
      <c r="E37" s="61">
        <f>3.633 * CHOOSE(CONTROL!$C$19, $C$13, 100%, $E$13)</f>
        <v>3.633</v>
      </c>
      <c r="F37" s="61">
        <f>2.035 * CHOOSE(CONTROL!$C$19, $C$13, 100%, $E$13)</f>
        <v>2.0350000000000001</v>
      </c>
      <c r="G37" s="61">
        <f>2.0371 * CHOOSE(CONTROL!$C$19, $C$13, 100%, $E$13)</f>
        <v>2.0371000000000001</v>
      </c>
      <c r="H37" s="61">
        <f>4.3502* CHOOSE(CONTROL!$C$19, $C$13, 100%, $E$13)</f>
        <v>4.3502000000000001</v>
      </c>
      <c r="I37" s="61">
        <f>4.3523 * CHOOSE(CONTROL!$C$19, $C$13, 100%, $E$13)</f>
        <v>4.3522999999999996</v>
      </c>
      <c r="J37" s="61">
        <f>3.633 * CHOOSE(CONTROL!$C$19, $C$13, 100%, $E$13)</f>
        <v>3.633</v>
      </c>
      <c r="K37" s="61">
        <f>3.6351 * CHOOSE(CONTROL!$C$19, $C$13, 100%, $E$13)</f>
        <v>3.6351</v>
      </c>
      <c r="L37" s="4"/>
      <c r="M37" s="4"/>
      <c r="N37" s="4"/>
    </row>
    <row r="38" spans="1:14" ht="15">
      <c r="A38" s="13">
        <v>43009</v>
      </c>
      <c r="B38" s="60">
        <f>2.3009 * CHOOSE(CONTROL!$C$19, $C$13, 100%, $E$13)</f>
        <v>2.3008999999999999</v>
      </c>
      <c r="C38" s="60">
        <f>2.3009 * CHOOSE(CONTROL!$C$19, $C$13, 100%, $E$13)</f>
        <v>2.3008999999999999</v>
      </c>
      <c r="D38" s="60">
        <f>2.3178 * CHOOSE(CONTROL!$C$19, $C$13, 100%, $E$13)</f>
        <v>2.3178000000000001</v>
      </c>
      <c r="E38" s="61">
        <f>3.633 * CHOOSE(CONTROL!$C$19, $C$13, 100%, $E$13)</f>
        <v>3.633</v>
      </c>
      <c r="F38" s="61">
        <f>2.035 * CHOOSE(CONTROL!$C$19, $C$13, 100%, $E$13)</f>
        <v>2.0350000000000001</v>
      </c>
      <c r="G38" s="61">
        <f>2.0352 * CHOOSE(CONTROL!$C$19, $C$13, 100%, $E$13)</f>
        <v>2.0352000000000001</v>
      </c>
      <c r="H38" s="61">
        <f>4.3593* CHOOSE(CONTROL!$C$19, $C$13, 100%, $E$13)</f>
        <v>4.3593000000000002</v>
      </c>
      <c r="I38" s="61">
        <f>4.3595 * CHOOSE(CONTROL!$C$19, $C$13, 100%, $E$13)</f>
        <v>4.3594999999999997</v>
      </c>
      <c r="J38" s="61">
        <f>3.633 * CHOOSE(CONTROL!$C$19, $C$13, 100%, $E$13)</f>
        <v>3.633</v>
      </c>
      <c r="K38" s="61">
        <f>3.6332 * CHOOSE(CONTROL!$C$19, $C$13, 100%, $E$13)</f>
        <v>3.6332</v>
      </c>
      <c r="L38" s="4"/>
      <c r="M38" s="4"/>
      <c r="N38" s="4"/>
    </row>
    <row r="39" spans="1:14" ht="15">
      <c r="A39" s="13">
        <v>43040</v>
      </c>
      <c r="B39" s="60">
        <f>2.3131 * CHOOSE(CONTROL!$C$19, $C$13, 100%, $E$13)</f>
        <v>2.3130999999999999</v>
      </c>
      <c r="C39" s="60">
        <f>2.3131 * CHOOSE(CONTROL!$C$19, $C$13, 100%, $E$13)</f>
        <v>2.3130999999999999</v>
      </c>
      <c r="D39" s="60">
        <f>2.3299 * CHOOSE(CONTROL!$C$19, $C$13, 100%, $E$13)</f>
        <v>2.3298999999999999</v>
      </c>
      <c r="E39" s="61">
        <f>3.2372 * CHOOSE(CONTROL!$C$19, $C$13, 100%, $E$13)</f>
        <v>3.2372000000000001</v>
      </c>
      <c r="F39" s="61">
        <f>2.05 * CHOOSE(CONTROL!$C$19, $C$13, 100%, $E$13)</f>
        <v>2.0499999999999998</v>
      </c>
      <c r="G39" s="61">
        <f>2.0502 * CHOOSE(CONTROL!$C$19, $C$13, 100%, $E$13)</f>
        <v>2.0501999999999998</v>
      </c>
      <c r="H39" s="61">
        <f>4.3684* CHOOSE(CONTROL!$C$19, $C$13, 100%, $E$13)</f>
        <v>4.3684000000000003</v>
      </c>
      <c r="I39" s="61">
        <f>4.3685 * CHOOSE(CONTROL!$C$19, $C$13, 100%, $E$13)</f>
        <v>4.3685</v>
      </c>
      <c r="J39" s="61">
        <f>3.2372 * CHOOSE(CONTROL!$C$19, $C$13, 100%, $E$13)</f>
        <v>3.2372000000000001</v>
      </c>
      <c r="K39" s="61">
        <f>3.2374 * CHOOSE(CONTROL!$C$19, $C$13, 100%, $E$13)</f>
        <v>3.2374000000000001</v>
      </c>
      <c r="L39" s="4"/>
      <c r="M39" s="4"/>
      <c r="N39" s="4"/>
    </row>
    <row r="40" spans="1:14" ht="15">
      <c r="A40" s="13">
        <v>43070</v>
      </c>
      <c r="B40" s="60">
        <f>2.3253 * CHOOSE(CONTROL!$C$19, $C$13, 100%, $E$13)</f>
        <v>2.3252999999999999</v>
      </c>
      <c r="C40" s="60">
        <f>2.3253 * CHOOSE(CONTROL!$C$19, $C$13, 100%, $E$13)</f>
        <v>2.3252999999999999</v>
      </c>
      <c r="D40" s="60">
        <f>2.3421 * CHOOSE(CONTROL!$C$19, $C$13, 100%, $E$13)</f>
        <v>2.3420999999999998</v>
      </c>
      <c r="E40" s="61">
        <f>3.2372 * CHOOSE(CONTROL!$C$19, $C$13, 100%, $E$13)</f>
        <v>3.2372000000000001</v>
      </c>
      <c r="F40" s="61">
        <f>2.05 * CHOOSE(CONTROL!$C$19, $C$13, 100%, $E$13)</f>
        <v>2.0499999999999998</v>
      </c>
      <c r="G40" s="61">
        <f>2.0502 * CHOOSE(CONTROL!$C$19, $C$13, 100%, $E$13)</f>
        <v>2.0501999999999998</v>
      </c>
      <c r="H40" s="61">
        <f>4.3775* CHOOSE(CONTROL!$C$19, $C$13, 100%, $E$13)</f>
        <v>4.3775000000000004</v>
      </c>
      <c r="I40" s="61">
        <f>4.3776 * CHOOSE(CONTROL!$C$19, $C$13, 100%, $E$13)</f>
        <v>4.3776000000000002</v>
      </c>
      <c r="J40" s="61">
        <f>3.2372 * CHOOSE(CONTROL!$C$19, $C$13, 100%, $E$13)</f>
        <v>3.2372000000000001</v>
      </c>
      <c r="K40" s="61">
        <f>3.2374 * CHOOSE(CONTROL!$C$19, $C$13, 100%, $E$13)</f>
        <v>3.2374000000000001</v>
      </c>
      <c r="L40" s="4"/>
      <c r="M40" s="4"/>
      <c r="N40" s="4"/>
    </row>
    <row r="41" spans="1:14" ht="15">
      <c r="A41" s="13">
        <v>43101</v>
      </c>
      <c r="B41" s="60">
        <f>2.3811 * CHOOSE(CONTROL!$C$19, $C$13, 100%, $E$13)</f>
        <v>2.3811</v>
      </c>
      <c r="C41" s="60">
        <f>2.3811 * CHOOSE(CONTROL!$C$19, $C$13, 100%, $E$13)</f>
        <v>2.3811</v>
      </c>
      <c r="D41" s="60">
        <f>2.398 * CHOOSE(CONTROL!$C$19, $C$13, 100%, $E$13)</f>
        <v>2.3980000000000001</v>
      </c>
      <c r="E41" s="61">
        <f>2.3159 * CHOOSE(CONTROL!$C$19, $C$13, 100%, $E$13)</f>
        <v>2.3159000000000001</v>
      </c>
      <c r="F41" s="61">
        <f>2.3159 * CHOOSE(CONTROL!$C$19, $C$13, 100%, $E$13)</f>
        <v>2.3159000000000001</v>
      </c>
      <c r="G41" s="61">
        <f>2.316 * CHOOSE(CONTROL!$C$19, $C$13, 100%, $E$13)</f>
        <v>2.3159999999999998</v>
      </c>
      <c r="H41" s="61">
        <f>4.3866* CHOOSE(CONTROL!$C$19, $C$13, 100%, $E$13)</f>
        <v>4.3865999999999996</v>
      </c>
      <c r="I41" s="61">
        <f>4.3868 * CHOOSE(CONTROL!$C$19, $C$13, 100%, $E$13)</f>
        <v>4.3868</v>
      </c>
      <c r="J41" s="61">
        <f>2.3159 * CHOOSE(CONTROL!$C$19, $C$13, 100%, $E$13)</f>
        <v>2.3159000000000001</v>
      </c>
      <c r="K41" s="61">
        <f>2.316 * CHOOSE(CONTROL!$C$19, $C$13, 100%, $E$13)</f>
        <v>2.3159999999999998</v>
      </c>
      <c r="L41" s="4"/>
      <c r="M41" s="4"/>
      <c r="N41" s="4"/>
    </row>
    <row r="42" spans="1:14" ht="15">
      <c r="A42" s="13">
        <v>43132</v>
      </c>
      <c r="B42" s="60">
        <f>2.3751 * CHOOSE(CONTROL!$C$19, $C$13, 100%, $E$13)</f>
        <v>2.3751000000000002</v>
      </c>
      <c r="C42" s="60">
        <f>2.3751 * CHOOSE(CONTROL!$C$19, $C$13, 100%, $E$13)</f>
        <v>2.3751000000000002</v>
      </c>
      <c r="D42" s="60">
        <f>2.3919 * CHOOSE(CONTROL!$C$19, $C$13, 100%, $E$13)</f>
        <v>2.3919000000000001</v>
      </c>
      <c r="E42" s="61">
        <f>2.3174 * CHOOSE(CONTROL!$C$19, $C$13, 100%, $E$13)</f>
        <v>2.3174000000000001</v>
      </c>
      <c r="F42" s="61">
        <f>2.3174 * CHOOSE(CONTROL!$C$19, $C$13, 100%, $E$13)</f>
        <v>2.3174000000000001</v>
      </c>
      <c r="G42" s="61">
        <f>2.3176 * CHOOSE(CONTROL!$C$19, $C$13, 100%, $E$13)</f>
        <v>2.3176000000000001</v>
      </c>
      <c r="H42" s="61">
        <f>4.3957* CHOOSE(CONTROL!$C$19, $C$13, 100%, $E$13)</f>
        <v>4.3956999999999997</v>
      </c>
      <c r="I42" s="61">
        <f>4.3959 * CHOOSE(CONTROL!$C$19, $C$13, 100%, $E$13)</f>
        <v>4.3959000000000001</v>
      </c>
      <c r="J42" s="61">
        <f>2.3174 * CHOOSE(CONTROL!$C$19, $C$13, 100%, $E$13)</f>
        <v>2.3174000000000001</v>
      </c>
      <c r="K42" s="61">
        <f>2.3176 * CHOOSE(CONTROL!$C$19, $C$13, 100%, $E$13)</f>
        <v>2.3176000000000001</v>
      </c>
      <c r="L42" s="4"/>
      <c r="M42" s="4"/>
      <c r="N42" s="4"/>
    </row>
    <row r="43" spans="1:14" ht="15">
      <c r="A43" s="13">
        <v>43160</v>
      </c>
      <c r="B43" s="60">
        <f>2.369 * CHOOSE(CONTROL!$C$19, $C$13, 100%, $E$13)</f>
        <v>2.3690000000000002</v>
      </c>
      <c r="C43" s="60">
        <f>2.369 * CHOOSE(CONTROL!$C$19, $C$13, 100%, $E$13)</f>
        <v>2.3690000000000002</v>
      </c>
      <c r="D43" s="60">
        <f>2.3858 * CHOOSE(CONTROL!$C$19, $C$13, 100%, $E$13)</f>
        <v>2.3858000000000001</v>
      </c>
      <c r="E43" s="61">
        <f>2.3217 * CHOOSE(CONTROL!$C$19, $C$13, 100%, $E$13)</f>
        <v>2.3216999999999999</v>
      </c>
      <c r="F43" s="61">
        <f>2.3217 * CHOOSE(CONTROL!$C$19, $C$13, 100%, $E$13)</f>
        <v>2.3216999999999999</v>
      </c>
      <c r="G43" s="61">
        <f>2.3218 * CHOOSE(CONTROL!$C$19, $C$13, 100%, $E$13)</f>
        <v>2.3218000000000001</v>
      </c>
      <c r="H43" s="61">
        <f>4.4049* CHOOSE(CONTROL!$C$19, $C$13, 100%, $E$13)</f>
        <v>4.4048999999999996</v>
      </c>
      <c r="I43" s="61">
        <f>4.4051 * CHOOSE(CONTROL!$C$19, $C$13, 100%, $E$13)</f>
        <v>4.4051</v>
      </c>
      <c r="J43" s="61">
        <f>2.3217 * CHOOSE(CONTROL!$C$19, $C$13, 100%, $E$13)</f>
        <v>2.3216999999999999</v>
      </c>
      <c r="K43" s="61">
        <f>2.3218 * CHOOSE(CONTROL!$C$19, $C$13, 100%, $E$13)</f>
        <v>2.3218000000000001</v>
      </c>
      <c r="L43" s="4"/>
      <c r="M43" s="4"/>
      <c r="N43" s="4"/>
    </row>
    <row r="44" spans="1:14" ht="15">
      <c r="A44" s="13">
        <v>43191</v>
      </c>
      <c r="B44" s="60">
        <f>2.3629 * CHOOSE(CONTROL!$C$19, $C$13, 100%, $E$13)</f>
        <v>2.3628999999999998</v>
      </c>
      <c r="C44" s="60">
        <f>2.3629 * CHOOSE(CONTROL!$C$19, $C$13, 100%, $E$13)</f>
        <v>2.3628999999999998</v>
      </c>
      <c r="D44" s="60">
        <f>2.3797 * CHOOSE(CONTROL!$C$19, $C$13, 100%, $E$13)</f>
        <v>2.3797000000000001</v>
      </c>
      <c r="E44" s="61">
        <f>2.3286 * CHOOSE(CONTROL!$C$19, $C$13, 100%, $E$13)</f>
        <v>2.3285999999999998</v>
      </c>
      <c r="F44" s="61">
        <f>2.3286 * CHOOSE(CONTROL!$C$19, $C$13, 100%, $E$13)</f>
        <v>2.3285999999999998</v>
      </c>
      <c r="G44" s="61">
        <f>2.3287 * CHOOSE(CONTROL!$C$19, $C$13, 100%, $E$13)</f>
        <v>2.3287</v>
      </c>
      <c r="H44" s="61">
        <f>4.4141* CHOOSE(CONTROL!$C$19, $C$13, 100%, $E$13)</f>
        <v>4.4141000000000004</v>
      </c>
      <c r="I44" s="61">
        <f>4.4142 * CHOOSE(CONTROL!$C$19, $C$13, 100%, $E$13)</f>
        <v>4.4142000000000001</v>
      </c>
      <c r="J44" s="61">
        <f>2.3286 * CHOOSE(CONTROL!$C$19, $C$13, 100%, $E$13)</f>
        <v>2.3285999999999998</v>
      </c>
      <c r="K44" s="61">
        <f>2.3287 * CHOOSE(CONTROL!$C$19, $C$13, 100%, $E$13)</f>
        <v>2.3287</v>
      </c>
      <c r="L44" s="4"/>
      <c r="M44" s="4"/>
      <c r="N44" s="4"/>
    </row>
    <row r="45" spans="1:14" ht="15">
      <c r="A45" s="13">
        <v>43221</v>
      </c>
      <c r="B45" s="60">
        <f>2.3568 * CHOOSE(CONTROL!$C$19, $C$13, 100%, $E$13)</f>
        <v>2.3567999999999998</v>
      </c>
      <c r="C45" s="60">
        <f>2.3568 * CHOOSE(CONTROL!$C$19, $C$13, 100%, $E$13)</f>
        <v>2.3567999999999998</v>
      </c>
      <c r="D45" s="60">
        <f>2.3905 * CHOOSE(CONTROL!$C$19, $C$13, 100%, $E$13)</f>
        <v>2.3904999999999998</v>
      </c>
      <c r="E45" s="61">
        <f>2.354 * CHOOSE(CONTROL!$C$19, $C$13, 100%, $E$13)</f>
        <v>2.3540000000000001</v>
      </c>
      <c r="F45" s="61">
        <f>2.354 * CHOOSE(CONTROL!$C$19, $C$13, 100%, $E$13)</f>
        <v>2.3540000000000001</v>
      </c>
      <c r="G45" s="61">
        <f>2.3561 * CHOOSE(CONTROL!$C$19, $C$13, 100%, $E$13)</f>
        <v>2.3561000000000001</v>
      </c>
      <c r="H45" s="61">
        <f>4.4233* CHOOSE(CONTROL!$C$19, $C$13, 100%, $E$13)</f>
        <v>4.4233000000000002</v>
      </c>
      <c r="I45" s="61">
        <f>4.4253 * CHOOSE(CONTROL!$C$19, $C$13, 100%, $E$13)</f>
        <v>4.4253</v>
      </c>
      <c r="J45" s="61">
        <f>2.354 * CHOOSE(CONTROL!$C$19, $C$13, 100%, $E$13)</f>
        <v>2.3540000000000001</v>
      </c>
      <c r="K45" s="61">
        <f>2.3561 * CHOOSE(CONTROL!$C$19, $C$13, 100%, $E$13)</f>
        <v>2.3561000000000001</v>
      </c>
      <c r="L45" s="4"/>
      <c r="M45" s="4"/>
      <c r="N45" s="4"/>
    </row>
    <row r="46" spans="1:14" ht="15">
      <c r="A46" s="13">
        <v>43252</v>
      </c>
      <c r="B46" s="60">
        <f>2.369 * CHOOSE(CONTROL!$C$19, $C$13, 100%, $E$13)</f>
        <v>2.3690000000000002</v>
      </c>
      <c r="C46" s="60">
        <f>2.369 * CHOOSE(CONTROL!$C$19, $C$13, 100%, $E$13)</f>
        <v>2.3690000000000002</v>
      </c>
      <c r="D46" s="60">
        <f>2.4026 * CHOOSE(CONTROL!$C$19, $C$13, 100%, $E$13)</f>
        <v>2.4026000000000001</v>
      </c>
      <c r="E46" s="61">
        <f>2.3848 * CHOOSE(CONTROL!$C$19, $C$13, 100%, $E$13)</f>
        <v>2.3847999999999998</v>
      </c>
      <c r="F46" s="61">
        <f>2.3848 * CHOOSE(CONTROL!$C$19, $C$13, 100%, $E$13)</f>
        <v>2.3847999999999998</v>
      </c>
      <c r="G46" s="61">
        <f>2.3868 * CHOOSE(CONTROL!$C$19, $C$13, 100%, $E$13)</f>
        <v>2.3868</v>
      </c>
      <c r="H46" s="61">
        <f>4.4325* CHOOSE(CONTROL!$C$19, $C$13, 100%, $E$13)</f>
        <v>4.4325000000000001</v>
      </c>
      <c r="I46" s="61">
        <f>4.4346 * CHOOSE(CONTROL!$C$19, $C$13, 100%, $E$13)</f>
        <v>4.4345999999999997</v>
      </c>
      <c r="J46" s="61">
        <f>2.3848 * CHOOSE(CONTROL!$C$19, $C$13, 100%, $E$13)</f>
        <v>2.3847999999999998</v>
      </c>
      <c r="K46" s="61">
        <f>2.3868 * CHOOSE(CONTROL!$C$19, $C$13, 100%, $E$13)</f>
        <v>2.3868</v>
      </c>
      <c r="L46" s="4"/>
      <c r="M46" s="4"/>
      <c r="N46" s="4"/>
    </row>
    <row r="47" spans="1:14" ht="15">
      <c r="A47" s="13">
        <v>43282</v>
      </c>
      <c r="B47" s="60">
        <f>2.3872 * CHOOSE(CONTROL!$C$19, $C$13, 100%, $E$13)</f>
        <v>2.3872</v>
      </c>
      <c r="C47" s="60">
        <f>2.3872 * CHOOSE(CONTROL!$C$19, $C$13, 100%, $E$13)</f>
        <v>2.3872</v>
      </c>
      <c r="D47" s="60">
        <f>2.4209 * CHOOSE(CONTROL!$C$19, $C$13, 100%, $E$13)</f>
        <v>2.4209000000000001</v>
      </c>
      <c r="E47" s="61">
        <f>2.4401 * CHOOSE(CONTROL!$C$19, $C$13, 100%, $E$13)</f>
        <v>2.4401000000000002</v>
      </c>
      <c r="F47" s="61">
        <f>2.4401 * CHOOSE(CONTROL!$C$19, $C$13, 100%, $E$13)</f>
        <v>2.4401000000000002</v>
      </c>
      <c r="G47" s="61">
        <f>2.4422 * CHOOSE(CONTROL!$C$19, $C$13, 100%, $E$13)</f>
        <v>2.4422000000000001</v>
      </c>
      <c r="H47" s="61">
        <f>4.4417* CHOOSE(CONTROL!$C$19, $C$13, 100%, $E$13)</f>
        <v>4.4417</v>
      </c>
      <c r="I47" s="61">
        <f>4.4438 * CHOOSE(CONTROL!$C$19, $C$13, 100%, $E$13)</f>
        <v>4.4438000000000004</v>
      </c>
      <c r="J47" s="61">
        <f>2.4401 * CHOOSE(CONTROL!$C$19, $C$13, 100%, $E$13)</f>
        <v>2.4401000000000002</v>
      </c>
      <c r="K47" s="61">
        <f>2.4422 * CHOOSE(CONTROL!$C$19, $C$13, 100%, $E$13)</f>
        <v>2.4422000000000001</v>
      </c>
      <c r="L47" s="4"/>
      <c r="M47" s="4"/>
      <c r="N47" s="4"/>
    </row>
    <row r="48" spans="1:14" ht="15">
      <c r="A48" s="13">
        <v>43313</v>
      </c>
      <c r="B48" s="60">
        <f>2.4055 * CHOOSE(CONTROL!$C$19, $C$13, 100%, $E$13)</f>
        <v>2.4055</v>
      </c>
      <c r="C48" s="60">
        <f>2.4055 * CHOOSE(CONTROL!$C$19, $C$13, 100%, $E$13)</f>
        <v>2.4055</v>
      </c>
      <c r="D48" s="60">
        <f>2.4391 * CHOOSE(CONTROL!$C$19, $C$13, 100%, $E$13)</f>
        <v>2.4390999999999998</v>
      </c>
      <c r="E48" s="61">
        <f>2.4602 * CHOOSE(CONTROL!$C$19, $C$13, 100%, $E$13)</f>
        <v>2.4601999999999999</v>
      </c>
      <c r="F48" s="61">
        <f>2.4602 * CHOOSE(CONTROL!$C$19, $C$13, 100%, $E$13)</f>
        <v>2.4601999999999999</v>
      </c>
      <c r="G48" s="61">
        <f>2.4622 * CHOOSE(CONTROL!$C$19, $C$13, 100%, $E$13)</f>
        <v>2.4622000000000002</v>
      </c>
      <c r="H48" s="61">
        <f>4.451* CHOOSE(CONTROL!$C$19, $C$13, 100%, $E$13)</f>
        <v>4.4509999999999996</v>
      </c>
      <c r="I48" s="61">
        <f>4.453 * CHOOSE(CONTROL!$C$19, $C$13, 100%, $E$13)</f>
        <v>4.4530000000000003</v>
      </c>
      <c r="J48" s="61">
        <f>2.4602 * CHOOSE(CONTROL!$C$19, $C$13, 100%, $E$13)</f>
        <v>2.4601999999999999</v>
      </c>
      <c r="K48" s="61">
        <f>2.4622 * CHOOSE(CONTROL!$C$19, $C$13, 100%, $E$13)</f>
        <v>2.4622000000000002</v>
      </c>
      <c r="L48" s="4"/>
      <c r="M48" s="4"/>
      <c r="N48" s="4"/>
    </row>
    <row r="49" spans="1:14" ht="15">
      <c r="A49" s="13">
        <v>43344</v>
      </c>
      <c r="B49" s="60">
        <f>2.3933 * CHOOSE(CONTROL!$C$19, $C$13, 100%, $E$13)</f>
        <v>2.3933</v>
      </c>
      <c r="C49" s="60">
        <f>2.3933 * CHOOSE(CONTROL!$C$19, $C$13, 100%, $E$13)</f>
        <v>2.3933</v>
      </c>
      <c r="D49" s="60">
        <f>2.427 * CHOOSE(CONTROL!$C$19, $C$13, 100%, $E$13)</f>
        <v>2.427</v>
      </c>
      <c r="E49" s="61">
        <f>2.5112 * CHOOSE(CONTROL!$C$19, $C$13, 100%, $E$13)</f>
        <v>2.5112000000000001</v>
      </c>
      <c r="F49" s="61">
        <f>2.5112 * CHOOSE(CONTROL!$C$19, $C$13, 100%, $E$13)</f>
        <v>2.5112000000000001</v>
      </c>
      <c r="G49" s="61">
        <f>2.5133 * CHOOSE(CONTROL!$C$19, $C$13, 100%, $E$13)</f>
        <v>2.5133000000000001</v>
      </c>
      <c r="H49" s="61">
        <f>4.4602* CHOOSE(CONTROL!$C$19, $C$13, 100%, $E$13)</f>
        <v>4.4602000000000004</v>
      </c>
      <c r="I49" s="61">
        <f>4.4623 * CHOOSE(CONTROL!$C$19, $C$13, 100%, $E$13)</f>
        <v>4.4622999999999999</v>
      </c>
      <c r="J49" s="61">
        <f>2.5112 * CHOOSE(CONTROL!$C$19, $C$13, 100%, $E$13)</f>
        <v>2.5112000000000001</v>
      </c>
      <c r="K49" s="61">
        <f>2.5133 * CHOOSE(CONTROL!$C$19, $C$13, 100%, $E$13)</f>
        <v>2.5133000000000001</v>
      </c>
      <c r="L49" s="4"/>
      <c r="M49" s="4"/>
      <c r="N49" s="4"/>
    </row>
    <row r="50" spans="1:14" ht="15">
      <c r="A50" s="13">
        <v>43374</v>
      </c>
      <c r="B50" s="60">
        <f>2.3842 * CHOOSE(CONTROL!$C$19, $C$13, 100%, $E$13)</f>
        <v>2.3841999999999999</v>
      </c>
      <c r="C50" s="60">
        <f>2.3842 * CHOOSE(CONTROL!$C$19, $C$13, 100%, $E$13)</f>
        <v>2.3841999999999999</v>
      </c>
      <c r="D50" s="60">
        <f>2.401 * CHOOSE(CONTROL!$C$19, $C$13, 100%, $E$13)</f>
        <v>2.4009999999999998</v>
      </c>
      <c r="E50" s="61">
        <f>2.4896 * CHOOSE(CONTROL!$C$19, $C$13, 100%, $E$13)</f>
        <v>2.4895999999999998</v>
      </c>
      <c r="F50" s="61">
        <f>2.4896 * CHOOSE(CONTROL!$C$19, $C$13, 100%, $E$13)</f>
        <v>2.4895999999999998</v>
      </c>
      <c r="G50" s="61">
        <f>2.4898 * CHOOSE(CONTROL!$C$19, $C$13, 100%, $E$13)</f>
        <v>2.4897999999999998</v>
      </c>
      <c r="H50" s="61">
        <f>4.4695* CHOOSE(CONTROL!$C$19, $C$13, 100%, $E$13)</f>
        <v>4.4695</v>
      </c>
      <c r="I50" s="61">
        <f>4.4697 * CHOOSE(CONTROL!$C$19, $C$13, 100%, $E$13)</f>
        <v>4.4696999999999996</v>
      </c>
      <c r="J50" s="61">
        <f>2.4896 * CHOOSE(CONTROL!$C$19, $C$13, 100%, $E$13)</f>
        <v>2.4895999999999998</v>
      </c>
      <c r="K50" s="61">
        <f>2.4898 * CHOOSE(CONTROL!$C$19, $C$13, 100%, $E$13)</f>
        <v>2.4897999999999998</v>
      </c>
      <c r="L50" s="4"/>
      <c r="M50" s="4"/>
      <c r="N50" s="4"/>
    </row>
    <row r="51" spans="1:14" ht="15">
      <c r="A51" s="13">
        <v>43405</v>
      </c>
      <c r="B51" s="60">
        <f>2.3963 * CHOOSE(CONTROL!$C$19, $C$13, 100%, $E$13)</f>
        <v>2.3963000000000001</v>
      </c>
      <c r="C51" s="60">
        <f>2.3963 * CHOOSE(CONTROL!$C$19, $C$13, 100%, $E$13)</f>
        <v>2.3963000000000001</v>
      </c>
      <c r="D51" s="60">
        <f>2.4132 * CHOOSE(CONTROL!$C$19, $C$13, 100%, $E$13)</f>
        <v>2.4131999999999998</v>
      </c>
      <c r="E51" s="61">
        <f>2.5159 * CHOOSE(CONTROL!$C$19, $C$13, 100%, $E$13)</f>
        <v>2.5158999999999998</v>
      </c>
      <c r="F51" s="61">
        <f>2.5159 * CHOOSE(CONTROL!$C$19, $C$13, 100%, $E$13)</f>
        <v>2.5158999999999998</v>
      </c>
      <c r="G51" s="61">
        <f>2.5161 * CHOOSE(CONTROL!$C$19, $C$13, 100%, $E$13)</f>
        <v>2.5160999999999998</v>
      </c>
      <c r="H51" s="61">
        <f>4.4788* CHOOSE(CONTROL!$C$19, $C$13, 100%, $E$13)</f>
        <v>4.4787999999999997</v>
      </c>
      <c r="I51" s="61">
        <f>4.479 * CHOOSE(CONTROL!$C$19, $C$13, 100%, $E$13)</f>
        <v>4.4790000000000001</v>
      </c>
      <c r="J51" s="61">
        <f>2.5159 * CHOOSE(CONTROL!$C$19, $C$13, 100%, $E$13)</f>
        <v>2.5158999999999998</v>
      </c>
      <c r="K51" s="61">
        <f>2.5161 * CHOOSE(CONTROL!$C$19, $C$13, 100%, $E$13)</f>
        <v>2.5160999999999998</v>
      </c>
      <c r="L51" s="4"/>
      <c r="M51" s="4"/>
      <c r="N51" s="4"/>
    </row>
    <row r="52" spans="1:14" ht="15">
      <c r="A52" s="13">
        <v>43435</v>
      </c>
      <c r="B52" s="60">
        <f>2.4085 * CHOOSE(CONTROL!$C$19, $C$13, 100%, $E$13)</f>
        <v>2.4085000000000001</v>
      </c>
      <c r="C52" s="60">
        <f>2.4085 * CHOOSE(CONTROL!$C$19, $C$13, 100%, $E$13)</f>
        <v>2.4085000000000001</v>
      </c>
      <c r="D52" s="60">
        <f>2.4253 * CHOOSE(CONTROL!$C$19, $C$13, 100%, $E$13)</f>
        <v>2.4253</v>
      </c>
      <c r="E52" s="61">
        <f>2.5184 * CHOOSE(CONTROL!$C$19, $C$13, 100%, $E$13)</f>
        <v>2.5184000000000002</v>
      </c>
      <c r="F52" s="61">
        <f>2.5184 * CHOOSE(CONTROL!$C$19, $C$13, 100%, $E$13)</f>
        <v>2.5184000000000002</v>
      </c>
      <c r="G52" s="61">
        <f>2.5185 * CHOOSE(CONTROL!$C$19, $C$13, 100%, $E$13)</f>
        <v>2.5185</v>
      </c>
      <c r="H52" s="61">
        <f>4.4882* CHOOSE(CONTROL!$C$19, $C$13, 100%, $E$13)</f>
        <v>4.4882</v>
      </c>
      <c r="I52" s="61">
        <f>4.4883 * CHOOSE(CONTROL!$C$19, $C$13, 100%, $E$13)</f>
        <v>4.4882999999999997</v>
      </c>
      <c r="J52" s="61">
        <f>2.5184 * CHOOSE(CONTROL!$C$19, $C$13, 100%, $E$13)</f>
        <v>2.5184000000000002</v>
      </c>
      <c r="K52" s="61">
        <f>2.5185 * CHOOSE(CONTROL!$C$19, $C$13, 100%, $E$13)</f>
        <v>2.5185</v>
      </c>
      <c r="L52" s="4"/>
      <c r="M52" s="4"/>
      <c r="N52" s="4"/>
    </row>
    <row r="53" spans="1:14" ht="15">
      <c r="A53" s="13">
        <v>43466</v>
      </c>
      <c r="B53" s="60">
        <f>2.4751 * CHOOSE(CONTROL!$C$19, $C$13, 100%, $E$13)</f>
        <v>2.4750999999999999</v>
      </c>
      <c r="C53" s="60">
        <f>2.4751 * CHOOSE(CONTROL!$C$19, $C$13, 100%, $E$13)</f>
        <v>2.4750999999999999</v>
      </c>
      <c r="D53" s="60">
        <f>2.4919 * CHOOSE(CONTROL!$C$19, $C$13, 100%, $E$13)</f>
        <v>2.4918999999999998</v>
      </c>
      <c r="E53" s="61">
        <f>2.5695 * CHOOSE(CONTROL!$C$19, $C$13, 100%, $E$13)</f>
        <v>2.5695000000000001</v>
      </c>
      <c r="F53" s="61">
        <f>2.5695 * CHOOSE(CONTROL!$C$19, $C$13, 100%, $E$13)</f>
        <v>2.5695000000000001</v>
      </c>
      <c r="G53" s="61">
        <f>2.5697 * CHOOSE(CONTROL!$C$19, $C$13, 100%, $E$13)</f>
        <v>2.5697000000000001</v>
      </c>
      <c r="H53" s="61">
        <f>4.4975* CHOOSE(CONTROL!$C$19, $C$13, 100%, $E$13)</f>
        <v>4.4974999999999996</v>
      </c>
      <c r="I53" s="61">
        <f>4.4977 * CHOOSE(CONTROL!$C$19, $C$13, 100%, $E$13)</f>
        <v>4.4977</v>
      </c>
      <c r="J53" s="61">
        <f>2.5695 * CHOOSE(CONTROL!$C$19, $C$13, 100%, $E$13)</f>
        <v>2.5695000000000001</v>
      </c>
      <c r="K53" s="61">
        <f>2.5697 * CHOOSE(CONTROL!$C$19, $C$13, 100%, $E$13)</f>
        <v>2.5697000000000001</v>
      </c>
      <c r="L53" s="4"/>
      <c r="M53" s="4"/>
      <c r="N53" s="4"/>
    </row>
    <row r="54" spans="1:14" ht="15">
      <c r="A54" s="13">
        <v>43497</v>
      </c>
      <c r="B54" s="60">
        <f>2.472 * CHOOSE(CONTROL!$C$19, $C$13, 100%, $E$13)</f>
        <v>2.472</v>
      </c>
      <c r="C54" s="60">
        <f>2.472 * CHOOSE(CONTROL!$C$19, $C$13, 100%, $E$13)</f>
        <v>2.472</v>
      </c>
      <c r="D54" s="60">
        <f>2.4889 * CHOOSE(CONTROL!$C$19, $C$13, 100%, $E$13)</f>
        <v>2.4889000000000001</v>
      </c>
      <c r="E54" s="61">
        <f>2.5537 * CHOOSE(CONTROL!$C$19, $C$13, 100%, $E$13)</f>
        <v>2.5537000000000001</v>
      </c>
      <c r="F54" s="61">
        <f>2.5537 * CHOOSE(CONTROL!$C$19, $C$13, 100%, $E$13)</f>
        <v>2.5537000000000001</v>
      </c>
      <c r="G54" s="61">
        <f>2.5539 * CHOOSE(CONTROL!$C$19, $C$13, 100%, $E$13)</f>
        <v>2.5539000000000001</v>
      </c>
      <c r="H54" s="61">
        <f>4.5069* CHOOSE(CONTROL!$C$19, $C$13, 100%, $E$13)</f>
        <v>4.5068999999999999</v>
      </c>
      <c r="I54" s="61">
        <f>4.5071 * CHOOSE(CONTROL!$C$19, $C$13, 100%, $E$13)</f>
        <v>4.5071000000000003</v>
      </c>
      <c r="J54" s="61">
        <f>2.5537 * CHOOSE(CONTROL!$C$19, $C$13, 100%, $E$13)</f>
        <v>2.5537000000000001</v>
      </c>
      <c r="K54" s="61">
        <f>2.5539 * CHOOSE(CONTROL!$C$19, $C$13, 100%, $E$13)</f>
        <v>2.5539000000000001</v>
      </c>
      <c r="L54" s="4"/>
      <c r="M54" s="4"/>
      <c r="N54" s="4"/>
    </row>
    <row r="55" spans="1:14" ht="15">
      <c r="A55" s="13">
        <v>43525</v>
      </c>
      <c r="B55" s="60">
        <f>2.469 * CHOOSE(CONTROL!$C$19, $C$13, 100%, $E$13)</f>
        <v>2.4689999999999999</v>
      </c>
      <c r="C55" s="60">
        <f>2.469 * CHOOSE(CONTROL!$C$19, $C$13, 100%, $E$13)</f>
        <v>2.4689999999999999</v>
      </c>
      <c r="D55" s="60">
        <f>2.4858 * CHOOSE(CONTROL!$C$19, $C$13, 100%, $E$13)</f>
        <v>2.4857999999999998</v>
      </c>
      <c r="E55" s="61">
        <f>2.5624 * CHOOSE(CONTROL!$C$19, $C$13, 100%, $E$13)</f>
        <v>2.5623999999999998</v>
      </c>
      <c r="F55" s="61">
        <f>2.5624 * CHOOSE(CONTROL!$C$19, $C$13, 100%, $E$13)</f>
        <v>2.5623999999999998</v>
      </c>
      <c r="G55" s="61">
        <f>2.5625 * CHOOSE(CONTROL!$C$19, $C$13, 100%, $E$13)</f>
        <v>2.5625</v>
      </c>
      <c r="H55" s="61">
        <f>4.5163* CHOOSE(CONTROL!$C$19, $C$13, 100%, $E$13)</f>
        <v>4.5163000000000002</v>
      </c>
      <c r="I55" s="61">
        <f>4.5165 * CHOOSE(CONTROL!$C$19, $C$13, 100%, $E$13)</f>
        <v>4.5164999999999997</v>
      </c>
      <c r="J55" s="61">
        <f>2.5624 * CHOOSE(CONTROL!$C$19, $C$13, 100%, $E$13)</f>
        <v>2.5623999999999998</v>
      </c>
      <c r="K55" s="61">
        <f>2.5625 * CHOOSE(CONTROL!$C$19, $C$13, 100%, $E$13)</f>
        <v>2.5625</v>
      </c>
      <c r="L55" s="4"/>
      <c r="M55" s="4"/>
      <c r="N55" s="4"/>
    </row>
    <row r="56" spans="1:14" ht="15">
      <c r="A56" s="13">
        <v>43556</v>
      </c>
      <c r="B56" s="60">
        <f>2.4629 * CHOOSE(CONTROL!$C$19, $C$13, 100%, $E$13)</f>
        <v>2.4628999999999999</v>
      </c>
      <c r="C56" s="60">
        <f>2.4629 * CHOOSE(CONTROL!$C$19, $C$13, 100%, $E$13)</f>
        <v>2.4628999999999999</v>
      </c>
      <c r="D56" s="60">
        <f>2.4797 * CHOOSE(CONTROL!$C$19, $C$13, 100%, $E$13)</f>
        <v>2.4796999999999998</v>
      </c>
      <c r="E56" s="61">
        <f>2.5697 * CHOOSE(CONTROL!$C$19, $C$13, 100%, $E$13)</f>
        <v>2.5697000000000001</v>
      </c>
      <c r="F56" s="61">
        <f>2.5697 * CHOOSE(CONTROL!$C$19, $C$13, 100%, $E$13)</f>
        <v>2.5697000000000001</v>
      </c>
      <c r="G56" s="61">
        <f>2.5699 * CHOOSE(CONTROL!$C$19, $C$13, 100%, $E$13)</f>
        <v>2.5699000000000001</v>
      </c>
      <c r="H56" s="61">
        <f>4.5257* CHOOSE(CONTROL!$C$19, $C$13, 100%, $E$13)</f>
        <v>4.5256999999999996</v>
      </c>
      <c r="I56" s="61">
        <f>4.5259 * CHOOSE(CONTROL!$C$19, $C$13, 100%, $E$13)</f>
        <v>4.5259</v>
      </c>
      <c r="J56" s="61">
        <f>2.5697 * CHOOSE(CONTROL!$C$19, $C$13, 100%, $E$13)</f>
        <v>2.5697000000000001</v>
      </c>
      <c r="K56" s="61">
        <f>2.5699 * CHOOSE(CONTROL!$C$19, $C$13, 100%, $E$13)</f>
        <v>2.5699000000000001</v>
      </c>
      <c r="L56" s="4"/>
      <c r="M56" s="4"/>
      <c r="N56" s="4"/>
    </row>
    <row r="57" spans="1:14" ht="15">
      <c r="A57" s="13">
        <v>43586</v>
      </c>
      <c r="B57" s="60">
        <f>2.4629 * CHOOSE(CONTROL!$C$19, $C$13, 100%, $E$13)</f>
        <v>2.4628999999999999</v>
      </c>
      <c r="C57" s="60">
        <f>2.4629 * CHOOSE(CONTROL!$C$19, $C$13, 100%, $E$13)</f>
        <v>2.4628999999999999</v>
      </c>
      <c r="D57" s="60">
        <f>2.4966 * CHOOSE(CONTROL!$C$19, $C$13, 100%, $E$13)</f>
        <v>2.4965999999999999</v>
      </c>
      <c r="E57" s="61">
        <f>2.574 * CHOOSE(CONTROL!$C$19, $C$13, 100%, $E$13)</f>
        <v>2.5739999999999998</v>
      </c>
      <c r="F57" s="61">
        <f>2.574 * CHOOSE(CONTROL!$C$19, $C$13, 100%, $E$13)</f>
        <v>2.5739999999999998</v>
      </c>
      <c r="G57" s="61">
        <f>2.5761 * CHOOSE(CONTROL!$C$19, $C$13, 100%, $E$13)</f>
        <v>2.5760999999999998</v>
      </c>
      <c r="H57" s="61">
        <f>4.5351* CHOOSE(CONTROL!$C$19, $C$13, 100%, $E$13)</f>
        <v>4.5350999999999999</v>
      </c>
      <c r="I57" s="61">
        <f>4.5372 * CHOOSE(CONTROL!$C$19, $C$13, 100%, $E$13)</f>
        <v>4.5372000000000003</v>
      </c>
      <c r="J57" s="61">
        <f>2.574 * CHOOSE(CONTROL!$C$19, $C$13, 100%, $E$13)</f>
        <v>2.5739999999999998</v>
      </c>
      <c r="K57" s="61">
        <f>2.5761 * CHOOSE(CONTROL!$C$19, $C$13, 100%, $E$13)</f>
        <v>2.5760999999999998</v>
      </c>
      <c r="L57" s="4"/>
      <c r="M57" s="4"/>
      <c r="N57" s="4"/>
    </row>
    <row r="58" spans="1:14" ht="15">
      <c r="A58" s="13">
        <v>43617</v>
      </c>
      <c r="B58" s="60">
        <f>2.469 * CHOOSE(CONTROL!$C$19, $C$13, 100%, $E$13)</f>
        <v>2.4689999999999999</v>
      </c>
      <c r="C58" s="60">
        <f>2.469 * CHOOSE(CONTROL!$C$19, $C$13, 100%, $E$13)</f>
        <v>2.4689999999999999</v>
      </c>
      <c r="D58" s="60">
        <f>2.5027 * CHOOSE(CONTROL!$C$19, $C$13, 100%, $E$13)</f>
        <v>2.5026999999999999</v>
      </c>
      <c r="E58" s="61">
        <f>2.5739 * CHOOSE(CONTROL!$C$19, $C$13, 100%, $E$13)</f>
        <v>2.5739000000000001</v>
      </c>
      <c r="F58" s="61">
        <f>2.5739 * CHOOSE(CONTROL!$C$19, $C$13, 100%, $E$13)</f>
        <v>2.5739000000000001</v>
      </c>
      <c r="G58" s="61">
        <f>2.576 * CHOOSE(CONTROL!$C$19, $C$13, 100%, $E$13)</f>
        <v>2.5760000000000001</v>
      </c>
      <c r="H58" s="61">
        <f>4.5446* CHOOSE(CONTROL!$C$19, $C$13, 100%, $E$13)</f>
        <v>4.5446</v>
      </c>
      <c r="I58" s="61">
        <f>4.5466 * CHOOSE(CONTROL!$C$19, $C$13, 100%, $E$13)</f>
        <v>4.5465999999999998</v>
      </c>
      <c r="J58" s="61">
        <f>2.5739 * CHOOSE(CONTROL!$C$19, $C$13, 100%, $E$13)</f>
        <v>2.5739000000000001</v>
      </c>
      <c r="K58" s="61">
        <f>2.576 * CHOOSE(CONTROL!$C$19, $C$13, 100%, $E$13)</f>
        <v>2.5760000000000001</v>
      </c>
      <c r="L58" s="4"/>
      <c r="M58" s="4"/>
      <c r="N58" s="4"/>
    </row>
    <row r="59" spans="1:14" ht="15">
      <c r="A59" s="13">
        <v>43647</v>
      </c>
      <c r="B59" s="60">
        <f>2.4964 * CHOOSE(CONTROL!$C$19, $C$13, 100%, $E$13)</f>
        <v>2.4964</v>
      </c>
      <c r="C59" s="60">
        <f>2.4964 * CHOOSE(CONTROL!$C$19, $C$13, 100%, $E$13)</f>
        <v>2.4964</v>
      </c>
      <c r="D59" s="60">
        <f>2.5301 * CHOOSE(CONTROL!$C$19, $C$13, 100%, $E$13)</f>
        <v>2.5301</v>
      </c>
      <c r="E59" s="61">
        <f>2.6157 * CHOOSE(CONTROL!$C$19, $C$13, 100%, $E$13)</f>
        <v>2.6156999999999999</v>
      </c>
      <c r="F59" s="61">
        <f>2.6157 * CHOOSE(CONTROL!$C$19, $C$13, 100%, $E$13)</f>
        <v>2.6156999999999999</v>
      </c>
      <c r="G59" s="61">
        <f>2.6178 * CHOOSE(CONTROL!$C$19, $C$13, 100%, $E$13)</f>
        <v>2.6177999999999999</v>
      </c>
      <c r="H59" s="61">
        <f>4.554* CHOOSE(CONTROL!$C$19, $C$13, 100%, $E$13)</f>
        <v>4.5540000000000003</v>
      </c>
      <c r="I59" s="61">
        <f>4.5561 * CHOOSE(CONTROL!$C$19, $C$13, 100%, $E$13)</f>
        <v>4.5560999999999998</v>
      </c>
      <c r="J59" s="61">
        <f>2.6157 * CHOOSE(CONTROL!$C$19, $C$13, 100%, $E$13)</f>
        <v>2.6156999999999999</v>
      </c>
      <c r="K59" s="61">
        <f>2.6178 * CHOOSE(CONTROL!$C$19, $C$13, 100%, $E$13)</f>
        <v>2.6177999999999999</v>
      </c>
      <c r="L59" s="4"/>
      <c r="M59" s="4"/>
      <c r="N59" s="4"/>
    </row>
    <row r="60" spans="1:14" ht="15">
      <c r="A60" s="13">
        <v>43678</v>
      </c>
      <c r="B60" s="60">
        <f>2.5031 * CHOOSE(CONTROL!$C$19, $C$13, 100%, $E$13)</f>
        <v>2.5030999999999999</v>
      </c>
      <c r="C60" s="60">
        <f>2.5031 * CHOOSE(CONTROL!$C$19, $C$13, 100%, $E$13)</f>
        <v>2.5030999999999999</v>
      </c>
      <c r="D60" s="60">
        <f>2.5368 * CHOOSE(CONTROL!$C$19, $C$13, 100%, $E$13)</f>
        <v>2.5367999999999999</v>
      </c>
      <c r="E60" s="61">
        <f>2.6074 * CHOOSE(CONTROL!$C$19, $C$13, 100%, $E$13)</f>
        <v>2.6074000000000002</v>
      </c>
      <c r="F60" s="61">
        <f>2.6074 * CHOOSE(CONTROL!$C$19, $C$13, 100%, $E$13)</f>
        <v>2.6074000000000002</v>
      </c>
      <c r="G60" s="61">
        <f>2.6094 * CHOOSE(CONTROL!$C$19, $C$13, 100%, $E$13)</f>
        <v>2.6093999999999999</v>
      </c>
      <c r="H60" s="61">
        <f>4.5635* CHOOSE(CONTROL!$C$19, $C$13, 100%, $E$13)</f>
        <v>4.5635000000000003</v>
      </c>
      <c r="I60" s="61">
        <f>4.5656 * CHOOSE(CONTROL!$C$19, $C$13, 100%, $E$13)</f>
        <v>4.5655999999999999</v>
      </c>
      <c r="J60" s="61">
        <f>2.6074 * CHOOSE(CONTROL!$C$19, $C$13, 100%, $E$13)</f>
        <v>2.6074000000000002</v>
      </c>
      <c r="K60" s="61">
        <f>2.6094 * CHOOSE(CONTROL!$C$19, $C$13, 100%, $E$13)</f>
        <v>2.6093999999999999</v>
      </c>
      <c r="L60" s="4"/>
      <c r="M60" s="4"/>
      <c r="N60" s="4"/>
    </row>
    <row r="61" spans="1:14" ht="15">
      <c r="A61" s="13">
        <v>43709</v>
      </c>
      <c r="B61" s="60">
        <f>2.5001 * CHOOSE(CONTROL!$C$19, $C$13, 100%, $E$13)</f>
        <v>2.5001000000000002</v>
      </c>
      <c r="C61" s="60">
        <f>2.5001 * CHOOSE(CONTROL!$C$19, $C$13, 100%, $E$13)</f>
        <v>2.5001000000000002</v>
      </c>
      <c r="D61" s="60">
        <f>2.5337 * CHOOSE(CONTROL!$C$19, $C$13, 100%, $E$13)</f>
        <v>2.5337000000000001</v>
      </c>
      <c r="E61" s="61">
        <f>2.6038 * CHOOSE(CONTROL!$C$19, $C$13, 100%, $E$13)</f>
        <v>2.6038000000000001</v>
      </c>
      <c r="F61" s="61">
        <f>2.6038 * CHOOSE(CONTROL!$C$19, $C$13, 100%, $E$13)</f>
        <v>2.6038000000000001</v>
      </c>
      <c r="G61" s="61">
        <f>2.6059 * CHOOSE(CONTROL!$C$19, $C$13, 100%, $E$13)</f>
        <v>2.6059000000000001</v>
      </c>
      <c r="H61" s="61">
        <f>4.573* CHOOSE(CONTROL!$C$19, $C$13, 100%, $E$13)</f>
        <v>4.5730000000000004</v>
      </c>
      <c r="I61" s="61">
        <f>4.5751 * CHOOSE(CONTROL!$C$19, $C$13, 100%, $E$13)</f>
        <v>4.5750999999999999</v>
      </c>
      <c r="J61" s="61">
        <f>2.6038 * CHOOSE(CONTROL!$C$19, $C$13, 100%, $E$13)</f>
        <v>2.6038000000000001</v>
      </c>
      <c r="K61" s="61">
        <f>2.6059 * CHOOSE(CONTROL!$C$19, $C$13, 100%, $E$13)</f>
        <v>2.6059000000000001</v>
      </c>
      <c r="L61" s="4"/>
      <c r="M61" s="4"/>
      <c r="N61" s="4"/>
    </row>
    <row r="62" spans="1:14" ht="15">
      <c r="A62" s="13">
        <v>43739</v>
      </c>
      <c r="B62" s="60">
        <f>2.4808 * CHOOSE(CONTROL!$C$19, $C$13, 100%, $E$13)</f>
        <v>2.4807999999999999</v>
      </c>
      <c r="C62" s="60">
        <f>2.4808 * CHOOSE(CONTROL!$C$19, $C$13, 100%, $E$13)</f>
        <v>2.4807999999999999</v>
      </c>
      <c r="D62" s="60">
        <f>2.4977 * CHOOSE(CONTROL!$C$19, $C$13, 100%, $E$13)</f>
        <v>2.4977</v>
      </c>
      <c r="E62" s="61">
        <f>2.5962 * CHOOSE(CONTROL!$C$19, $C$13, 100%, $E$13)</f>
        <v>2.5962000000000001</v>
      </c>
      <c r="F62" s="61">
        <f>2.5962 * CHOOSE(CONTROL!$C$19, $C$13, 100%, $E$13)</f>
        <v>2.5962000000000001</v>
      </c>
      <c r="G62" s="61">
        <f>2.5963 * CHOOSE(CONTROL!$C$19, $C$13, 100%, $E$13)</f>
        <v>2.5962999999999998</v>
      </c>
      <c r="H62" s="61">
        <f>4.5825* CHOOSE(CONTROL!$C$19, $C$13, 100%, $E$13)</f>
        <v>4.5824999999999996</v>
      </c>
      <c r="I62" s="61">
        <f>4.5827 * CHOOSE(CONTROL!$C$19, $C$13, 100%, $E$13)</f>
        <v>4.5827</v>
      </c>
      <c r="J62" s="61">
        <f>2.5962 * CHOOSE(CONTROL!$C$19, $C$13, 100%, $E$13)</f>
        <v>2.5962000000000001</v>
      </c>
      <c r="K62" s="61">
        <f>2.5963 * CHOOSE(CONTROL!$C$19, $C$13, 100%, $E$13)</f>
        <v>2.5962999999999998</v>
      </c>
      <c r="L62" s="4"/>
      <c r="M62" s="4"/>
      <c r="N62" s="4"/>
    </row>
    <row r="63" spans="1:14" ht="15">
      <c r="A63" s="13">
        <v>43770</v>
      </c>
      <c r="B63" s="60">
        <f>2.4839 * CHOOSE(CONTROL!$C$19, $C$13, 100%, $E$13)</f>
        <v>2.4839000000000002</v>
      </c>
      <c r="C63" s="60">
        <f>2.4839 * CHOOSE(CONTROL!$C$19, $C$13, 100%, $E$13)</f>
        <v>2.4839000000000002</v>
      </c>
      <c r="D63" s="60">
        <f>2.5007 * CHOOSE(CONTROL!$C$19, $C$13, 100%, $E$13)</f>
        <v>2.5007000000000001</v>
      </c>
      <c r="E63" s="61">
        <f>2.6012 * CHOOSE(CONTROL!$C$19, $C$13, 100%, $E$13)</f>
        <v>2.6012</v>
      </c>
      <c r="F63" s="61">
        <f>2.6012 * CHOOSE(CONTROL!$C$19, $C$13, 100%, $E$13)</f>
        <v>2.6012</v>
      </c>
      <c r="G63" s="61">
        <f>2.6013 * CHOOSE(CONTROL!$C$19, $C$13, 100%, $E$13)</f>
        <v>2.6013000000000002</v>
      </c>
      <c r="H63" s="61">
        <f>4.5921* CHOOSE(CONTROL!$C$19, $C$13, 100%, $E$13)</f>
        <v>4.5921000000000003</v>
      </c>
      <c r="I63" s="61">
        <f>4.5923 * CHOOSE(CONTROL!$C$19, $C$13, 100%, $E$13)</f>
        <v>4.5922999999999998</v>
      </c>
      <c r="J63" s="61">
        <f>2.6012 * CHOOSE(CONTROL!$C$19, $C$13, 100%, $E$13)</f>
        <v>2.6012</v>
      </c>
      <c r="K63" s="61">
        <f>2.6013 * CHOOSE(CONTROL!$C$19, $C$13, 100%, $E$13)</f>
        <v>2.6013000000000002</v>
      </c>
      <c r="L63" s="4"/>
      <c r="M63" s="4"/>
      <c r="N63" s="4"/>
    </row>
    <row r="64" spans="1:14" ht="15">
      <c r="A64" s="13">
        <v>43800</v>
      </c>
      <c r="B64" s="60">
        <f>2.4839 * CHOOSE(CONTROL!$C$19, $C$13, 100%, $E$13)</f>
        <v>2.4839000000000002</v>
      </c>
      <c r="C64" s="60">
        <f>2.4839 * CHOOSE(CONTROL!$C$19, $C$13, 100%, $E$13)</f>
        <v>2.4839000000000002</v>
      </c>
      <c r="D64" s="60">
        <f>2.5007 * CHOOSE(CONTROL!$C$19, $C$13, 100%, $E$13)</f>
        <v>2.5007000000000001</v>
      </c>
      <c r="E64" s="61">
        <f>2.5939 * CHOOSE(CONTROL!$C$19, $C$13, 100%, $E$13)</f>
        <v>2.5939000000000001</v>
      </c>
      <c r="F64" s="61">
        <f>2.5939 * CHOOSE(CONTROL!$C$19, $C$13, 100%, $E$13)</f>
        <v>2.5939000000000001</v>
      </c>
      <c r="G64" s="61">
        <f>2.5941 * CHOOSE(CONTROL!$C$19, $C$13, 100%, $E$13)</f>
        <v>2.5941000000000001</v>
      </c>
      <c r="H64" s="61">
        <f>4.6017* CHOOSE(CONTROL!$C$19, $C$13, 100%, $E$13)</f>
        <v>4.6017000000000001</v>
      </c>
      <c r="I64" s="61">
        <f>4.6018 * CHOOSE(CONTROL!$C$19, $C$13, 100%, $E$13)</f>
        <v>4.6017999999999999</v>
      </c>
      <c r="J64" s="61">
        <f>2.5939 * CHOOSE(CONTROL!$C$19, $C$13, 100%, $E$13)</f>
        <v>2.5939000000000001</v>
      </c>
      <c r="K64" s="61">
        <f>2.5941 * CHOOSE(CONTROL!$C$19, $C$13, 100%, $E$13)</f>
        <v>2.5941000000000001</v>
      </c>
      <c r="L64" s="4"/>
      <c r="M64" s="4"/>
      <c r="N64" s="4"/>
    </row>
    <row r="65" spans="1:14" ht="15">
      <c r="A65" s="13">
        <v>43831</v>
      </c>
      <c r="B65" s="60">
        <f>2.6884 * CHOOSE(CONTROL!$C$19, $C$13, 100%, $E$13)</f>
        <v>2.6884000000000001</v>
      </c>
      <c r="C65" s="60">
        <f>2.6884 * CHOOSE(CONTROL!$C$19, $C$13, 100%, $E$13)</f>
        <v>2.6884000000000001</v>
      </c>
      <c r="D65" s="60">
        <f>2.7053 * CHOOSE(CONTROL!$C$19, $C$13, 100%, $E$13)</f>
        <v>2.7052999999999998</v>
      </c>
      <c r="E65" s="61">
        <f>2.6809 * CHOOSE(CONTROL!$C$19, $C$13, 100%, $E$13)</f>
        <v>2.6808999999999998</v>
      </c>
      <c r="F65" s="61">
        <f>2.6809 * CHOOSE(CONTROL!$C$19, $C$13, 100%, $E$13)</f>
        <v>2.6808999999999998</v>
      </c>
      <c r="G65" s="61">
        <f>2.6811 * CHOOSE(CONTROL!$C$19, $C$13, 100%, $E$13)</f>
        <v>2.6810999999999998</v>
      </c>
      <c r="H65" s="61">
        <f>4.6112* CHOOSE(CONTROL!$C$19, $C$13, 100%, $E$13)</f>
        <v>4.6112000000000002</v>
      </c>
      <c r="I65" s="61">
        <f>4.6114 * CHOOSE(CONTROL!$C$19, $C$13, 100%, $E$13)</f>
        <v>4.6113999999999997</v>
      </c>
      <c r="J65" s="61">
        <f>2.6809 * CHOOSE(CONTROL!$C$19, $C$13, 100%, $E$13)</f>
        <v>2.6808999999999998</v>
      </c>
      <c r="K65" s="61">
        <f>2.6811 * CHOOSE(CONTROL!$C$19, $C$13, 100%, $E$13)</f>
        <v>2.6810999999999998</v>
      </c>
      <c r="L65" s="4"/>
      <c r="M65" s="4"/>
      <c r="N65" s="4"/>
    </row>
    <row r="66" spans="1:14" ht="15">
      <c r="A66" s="13">
        <v>43862</v>
      </c>
      <c r="B66" s="60">
        <f>2.6854 * CHOOSE(CONTROL!$C$19, $C$13, 100%, $E$13)</f>
        <v>2.6854</v>
      </c>
      <c r="C66" s="60">
        <f>2.6854 * CHOOSE(CONTROL!$C$19, $C$13, 100%, $E$13)</f>
        <v>2.6854</v>
      </c>
      <c r="D66" s="60">
        <f>2.7022 * CHOOSE(CONTROL!$C$19, $C$13, 100%, $E$13)</f>
        <v>2.7021999999999999</v>
      </c>
      <c r="E66" s="61">
        <f>2.6621 * CHOOSE(CONTROL!$C$19, $C$13, 100%, $E$13)</f>
        <v>2.6621000000000001</v>
      </c>
      <c r="F66" s="61">
        <f>2.6621 * CHOOSE(CONTROL!$C$19, $C$13, 100%, $E$13)</f>
        <v>2.6621000000000001</v>
      </c>
      <c r="G66" s="61">
        <f>2.6623 * CHOOSE(CONTROL!$C$19, $C$13, 100%, $E$13)</f>
        <v>2.6623000000000001</v>
      </c>
      <c r="H66" s="61">
        <f>4.6209* CHOOSE(CONTROL!$C$19, $C$13, 100%, $E$13)</f>
        <v>4.6208999999999998</v>
      </c>
      <c r="I66" s="61">
        <f>4.621 * CHOOSE(CONTROL!$C$19, $C$13, 100%, $E$13)</f>
        <v>4.6210000000000004</v>
      </c>
      <c r="J66" s="61">
        <f>2.6621 * CHOOSE(CONTROL!$C$19, $C$13, 100%, $E$13)</f>
        <v>2.6621000000000001</v>
      </c>
      <c r="K66" s="61">
        <f>2.6623 * CHOOSE(CONTROL!$C$19, $C$13, 100%, $E$13)</f>
        <v>2.6623000000000001</v>
      </c>
      <c r="L66" s="4"/>
      <c r="M66" s="4"/>
      <c r="N66" s="4"/>
    </row>
    <row r="67" spans="1:14" ht="15">
      <c r="A67" s="13">
        <v>43891</v>
      </c>
      <c r="B67" s="60">
        <f>2.6823 * CHOOSE(CONTROL!$C$19, $C$13, 100%, $E$13)</f>
        <v>2.6823000000000001</v>
      </c>
      <c r="C67" s="60">
        <f>2.6823 * CHOOSE(CONTROL!$C$19, $C$13, 100%, $E$13)</f>
        <v>2.6823000000000001</v>
      </c>
      <c r="D67" s="60">
        <f>2.6992 * CHOOSE(CONTROL!$C$19, $C$13, 100%, $E$13)</f>
        <v>2.6991999999999998</v>
      </c>
      <c r="E67" s="61">
        <f>2.6731 * CHOOSE(CONTROL!$C$19, $C$13, 100%, $E$13)</f>
        <v>2.6730999999999998</v>
      </c>
      <c r="F67" s="61">
        <f>2.6731 * CHOOSE(CONTROL!$C$19, $C$13, 100%, $E$13)</f>
        <v>2.6730999999999998</v>
      </c>
      <c r="G67" s="61">
        <f>2.6733 * CHOOSE(CONTROL!$C$19, $C$13, 100%, $E$13)</f>
        <v>2.6732999999999998</v>
      </c>
      <c r="H67" s="61">
        <f>4.6305* CHOOSE(CONTROL!$C$19, $C$13, 100%, $E$13)</f>
        <v>4.6304999999999996</v>
      </c>
      <c r="I67" s="61">
        <f>4.6307 * CHOOSE(CONTROL!$C$19, $C$13, 100%, $E$13)</f>
        <v>4.6307</v>
      </c>
      <c r="J67" s="61">
        <f>2.6731 * CHOOSE(CONTROL!$C$19, $C$13, 100%, $E$13)</f>
        <v>2.6730999999999998</v>
      </c>
      <c r="K67" s="61">
        <f>2.6733 * CHOOSE(CONTROL!$C$19, $C$13, 100%, $E$13)</f>
        <v>2.6732999999999998</v>
      </c>
      <c r="L67" s="4"/>
      <c r="M67" s="4"/>
      <c r="N67" s="4"/>
    </row>
    <row r="68" spans="1:14" ht="15">
      <c r="A68" s="13">
        <v>43922</v>
      </c>
      <c r="B68" s="60">
        <f>2.6788 * CHOOSE(CONTROL!$C$19, $C$13, 100%, $E$13)</f>
        <v>2.6787999999999998</v>
      </c>
      <c r="C68" s="60">
        <f>2.6788 * CHOOSE(CONTROL!$C$19, $C$13, 100%, $E$13)</f>
        <v>2.6787999999999998</v>
      </c>
      <c r="D68" s="60">
        <f>2.6956 * CHOOSE(CONTROL!$C$19, $C$13, 100%, $E$13)</f>
        <v>2.6956000000000002</v>
      </c>
      <c r="E68" s="61">
        <f>2.683 * CHOOSE(CONTROL!$C$19, $C$13, 100%, $E$13)</f>
        <v>2.6829999999999998</v>
      </c>
      <c r="F68" s="61">
        <f>2.683 * CHOOSE(CONTROL!$C$19, $C$13, 100%, $E$13)</f>
        <v>2.6829999999999998</v>
      </c>
      <c r="G68" s="61">
        <f>2.6832 * CHOOSE(CONTROL!$C$19, $C$13, 100%, $E$13)</f>
        <v>2.6831999999999998</v>
      </c>
      <c r="H68" s="61">
        <f>4.6401* CHOOSE(CONTROL!$C$19, $C$13, 100%, $E$13)</f>
        <v>4.6401000000000003</v>
      </c>
      <c r="I68" s="61">
        <f>4.6403 * CHOOSE(CONTROL!$C$19, $C$13, 100%, $E$13)</f>
        <v>4.6402999999999999</v>
      </c>
      <c r="J68" s="61">
        <f>2.683 * CHOOSE(CONTROL!$C$19, $C$13, 100%, $E$13)</f>
        <v>2.6829999999999998</v>
      </c>
      <c r="K68" s="61">
        <f>2.6832 * CHOOSE(CONTROL!$C$19, $C$13, 100%, $E$13)</f>
        <v>2.6831999999999998</v>
      </c>
      <c r="L68" s="4"/>
      <c r="M68" s="4"/>
      <c r="N68" s="4"/>
    </row>
    <row r="69" spans="1:14" ht="15">
      <c r="A69" s="13">
        <v>43952</v>
      </c>
      <c r="B69" s="60">
        <f>2.6788 * CHOOSE(CONTROL!$C$19, $C$13, 100%, $E$13)</f>
        <v>2.6787999999999998</v>
      </c>
      <c r="C69" s="60">
        <f>2.6788 * CHOOSE(CONTROL!$C$19, $C$13, 100%, $E$13)</f>
        <v>2.6787999999999998</v>
      </c>
      <c r="D69" s="60">
        <f>2.7124 * CHOOSE(CONTROL!$C$19, $C$13, 100%, $E$13)</f>
        <v>2.7124000000000001</v>
      </c>
      <c r="E69" s="61">
        <f>2.6883 * CHOOSE(CONTROL!$C$19, $C$13, 100%, $E$13)</f>
        <v>2.6882999999999999</v>
      </c>
      <c r="F69" s="61">
        <f>2.6883 * CHOOSE(CONTROL!$C$19, $C$13, 100%, $E$13)</f>
        <v>2.6882999999999999</v>
      </c>
      <c r="G69" s="61">
        <f>2.6904 * CHOOSE(CONTROL!$C$19, $C$13, 100%, $E$13)</f>
        <v>2.6903999999999999</v>
      </c>
      <c r="H69" s="61">
        <f>4.6498* CHOOSE(CONTROL!$C$19, $C$13, 100%, $E$13)</f>
        <v>4.6497999999999999</v>
      </c>
      <c r="I69" s="61">
        <f>4.6519 * CHOOSE(CONTROL!$C$19, $C$13, 100%, $E$13)</f>
        <v>4.6519000000000004</v>
      </c>
      <c r="J69" s="61">
        <f>2.6883 * CHOOSE(CONTROL!$C$19, $C$13, 100%, $E$13)</f>
        <v>2.6882999999999999</v>
      </c>
      <c r="K69" s="61">
        <f>2.6904 * CHOOSE(CONTROL!$C$19, $C$13, 100%, $E$13)</f>
        <v>2.6903999999999999</v>
      </c>
      <c r="L69" s="4"/>
      <c r="M69" s="4"/>
      <c r="N69" s="4"/>
    </row>
    <row r="70" spans="1:14" ht="15">
      <c r="A70" s="13">
        <v>43983</v>
      </c>
      <c r="B70" s="60">
        <f>2.6848 * CHOOSE(CONTROL!$C$19, $C$13, 100%, $E$13)</f>
        <v>2.6848000000000001</v>
      </c>
      <c r="C70" s="60">
        <f>2.6848 * CHOOSE(CONTROL!$C$19, $C$13, 100%, $E$13)</f>
        <v>2.6848000000000001</v>
      </c>
      <c r="D70" s="60">
        <f>2.7185 * CHOOSE(CONTROL!$C$19, $C$13, 100%, $E$13)</f>
        <v>2.7185000000000001</v>
      </c>
      <c r="E70" s="61">
        <f>2.6872 * CHOOSE(CONTROL!$C$19, $C$13, 100%, $E$13)</f>
        <v>2.6871999999999998</v>
      </c>
      <c r="F70" s="61">
        <f>2.6872 * CHOOSE(CONTROL!$C$19, $C$13, 100%, $E$13)</f>
        <v>2.6871999999999998</v>
      </c>
      <c r="G70" s="61">
        <f>2.6893 * CHOOSE(CONTROL!$C$19, $C$13, 100%, $E$13)</f>
        <v>2.6892999999999998</v>
      </c>
      <c r="H70" s="61">
        <f>4.6595* CHOOSE(CONTROL!$C$19, $C$13, 100%, $E$13)</f>
        <v>4.6595000000000004</v>
      </c>
      <c r="I70" s="61">
        <f>4.6616 * CHOOSE(CONTROL!$C$19, $C$13, 100%, $E$13)</f>
        <v>4.6616</v>
      </c>
      <c r="J70" s="61">
        <f>2.6872 * CHOOSE(CONTROL!$C$19, $C$13, 100%, $E$13)</f>
        <v>2.6871999999999998</v>
      </c>
      <c r="K70" s="61">
        <f>2.6893 * CHOOSE(CONTROL!$C$19, $C$13, 100%, $E$13)</f>
        <v>2.6892999999999998</v>
      </c>
      <c r="L70" s="4"/>
      <c r="M70" s="4"/>
      <c r="N70" s="4"/>
    </row>
    <row r="71" spans="1:14" ht="15">
      <c r="A71" s="13">
        <v>44013</v>
      </c>
      <c r="B71" s="60">
        <f>2.7801 * CHOOSE(CONTROL!$C$19, $C$13, 100%, $E$13)</f>
        <v>2.7801</v>
      </c>
      <c r="C71" s="60">
        <f>2.7801 * CHOOSE(CONTROL!$C$19, $C$13, 100%, $E$13)</f>
        <v>2.7801</v>
      </c>
      <c r="D71" s="60">
        <f>2.8137 * CHOOSE(CONTROL!$C$19, $C$13, 100%, $E$13)</f>
        <v>2.8136999999999999</v>
      </c>
      <c r="E71" s="61">
        <f>2.8193 * CHOOSE(CONTROL!$C$19, $C$13, 100%, $E$13)</f>
        <v>2.8193000000000001</v>
      </c>
      <c r="F71" s="61">
        <f>2.8193 * CHOOSE(CONTROL!$C$19, $C$13, 100%, $E$13)</f>
        <v>2.8193000000000001</v>
      </c>
      <c r="G71" s="61">
        <f>2.8214 * CHOOSE(CONTROL!$C$19, $C$13, 100%, $E$13)</f>
        <v>2.8214000000000001</v>
      </c>
      <c r="H71" s="61">
        <f>4.6692* CHOOSE(CONTROL!$C$19, $C$13, 100%, $E$13)</f>
        <v>4.6692</v>
      </c>
      <c r="I71" s="61">
        <f>4.6713 * CHOOSE(CONTROL!$C$19, $C$13, 100%, $E$13)</f>
        <v>4.6712999999999996</v>
      </c>
      <c r="J71" s="61">
        <f>2.8193 * CHOOSE(CONTROL!$C$19, $C$13, 100%, $E$13)</f>
        <v>2.8193000000000001</v>
      </c>
      <c r="K71" s="61">
        <f>2.8214 * CHOOSE(CONTROL!$C$19, $C$13, 100%, $E$13)</f>
        <v>2.8214000000000001</v>
      </c>
      <c r="L71" s="4"/>
      <c r="M71" s="4"/>
      <c r="N71" s="4"/>
    </row>
    <row r="72" spans="1:14" ht="15">
      <c r="A72" s="13">
        <v>44044</v>
      </c>
      <c r="B72" s="60">
        <f>2.7867 * CHOOSE(CONTROL!$C$19, $C$13, 100%, $E$13)</f>
        <v>2.7867000000000002</v>
      </c>
      <c r="C72" s="60">
        <f>2.7867 * CHOOSE(CONTROL!$C$19, $C$13, 100%, $E$13)</f>
        <v>2.7867000000000002</v>
      </c>
      <c r="D72" s="60">
        <f>2.8204 * CHOOSE(CONTROL!$C$19, $C$13, 100%, $E$13)</f>
        <v>2.8203999999999998</v>
      </c>
      <c r="E72" s="61">
        <f>2.8081 * CHOOSE(CONTROL!$C$19, $C$13, 100%, $E$13)</f>
        <v>2.8081</v>
      </c>
      <c r="F72" s="61">
        <f>2.8081 * CHOOSE(CONTROL!$C$19, $C$13, 100%, $E$13)</f>
        <v>2.8081</v>
      </c>
      <c r="G72" s="61">
        <f>2.8102 * CHOOSE(CONTROL!$C$19, $C$13, 100%, $E$13)</f>
        <v>2.8102</v>
      </c>
      <c r="H72" s="61">
        <f>4.6789* CHOOSE(CONTROL!$C$19, $C$13, 100%, $E$13)</f>
        <v>4.6788999999999996</v>
      </c>
      <c r="I72" s="61">
        <f>4.681 * CHOOSE(CONTROL!$C$19, $C$13, 100%, $E$13)</f>
        <v>4.681</v>
      </c>
      <c r="J72" s="61">
        <f>2.8081 * CHOOSE(CONTROL!$C$19, $C$13, 100%, $E$13)</f>
        <v>2.8081</v>
      </c>
      <c r="K72" s="61">
        <f>2.8102 * CHOOSE(CONTROL!$C$19, $C$13, 100%, $E$13)</f>
        <v>2.8102</v>
      </c>
      <c r="L72" s="4"/>
      <c r="M72" s="4"/>
      <c r="N72" s="4"/>
    </row>
    <row r="73" spans="1:14" ht="15">
      <c r="A73" s="13">
        <v>44075</v>
      </c>
      <c r="B73" s="60">
        <f>2.7837 * CHOOSE(CONTROL!$C$19, $C$13, 100%, $E$13)</f>
        <v>2.7837000000000001</v>
      </c>
      <c r="C73" s="60">
        <f>2.7837 * CHOOSE(CONTROL!$C$19, $C$13, 100%, $E$13)</f>
        <v>2.7837000000000001</v>
      </c>
      <c r="D73" s="60">
        <f>2.8174 * CHOOSE(CONTROL!$C$19, $C$13, 100%, $E$13)</f>
        <v>2.8174000000000001</v>
      </c>
      <c r="E73" s="61">
        <f>2.8042 * CHOOSE(CONTROL!$C$19, $C$13, 100%, $E$13)</f>
        <v>2.8041999999999998</v>
      </c>
      <c r="F73" s="61">
        <f>2.8042 * CHOOSE(CONTROL!$C$19, $C$13, 100%, $E$13)</f>
        <v>2.8041999999999998</v>
      </c>
      <c r="G73" s="61">
        <f>2.8063 * CHOOSE(CONTROL!$C$19, $C$13, 100%, $E$13)</f>
        <v>2.8062999999999998</v>
      </c>
      <c r="H73" s="61">
        <f>4.6887* CHOOSE(CONTROL!$C$19, $C$13, 100%, $E$13)</f>
        <v>4.6886999999999999</v>
      </c>
      <c r="I73" s="61">
        <f>4.6908 * CHOOSE(CONTROL!$C$19, $C$13, 100%, $E$13)</f>
        <v>4.6908000000000003</v>
      </c>
      <c r="J73" s="61">
        <f>2.8042 * CHOOSE(CONTROL!$C$19, $C$13, 100%, $E$13)</f>
        <v>2.8041999999999998</v>
      </c>
      <c r="K73" s="61">
        <f>2.8063 * CHOOSE(CONTROL!$C$19, $C$13, 100%, $E$13)</f>
        <v>2.8062999999999998</v>
      </c>
      <c r="L73" s="4"/>
      <c r="M73" s="4"/>
      <c r="N73" s="4"/>
    </row>
    <row r="74" spans="1:14" ht="15">
      <c r="A74" s="13">
        <v>44105</v>
      </c>
      <c r="B74" s="60">
        <f>2.7743 * CHOOSE(CONTROL!$C$19, $C$13, 100%, $E$13)</f>
        <v>2.7743000000000002</v>
      </c>
      <c r="C74" s="60">
        <f>2.7743 * CHOOSE(CONTROL!$C$19, $C$13, 100%, $E$13)</f>
        <v>2.7743000000000002</v>
      </c>
      <c r="D74" s="60">
        <f>2.7911 * CHOOSE(CONTROL!$C$19, $C$13, 100%, $E$13)</f>
        <v>2.7911000000000001</v>
      </c>
      <c r="E74" s="61">
        <f>2.7978 * CHOOSE(CONTROL!$C$19, $C$13, 100%, $E$13)</f>
        <v>2.7978000000000001</v>
      </c>
      <c r="F74" s="61">
        <f>2.7978 * CHOOSE(CONTROL!$C$19, $C$13, 100%, $E$13)</f>
        <v>2.7978000000000001</v>
      </c>
      <c r="G74" s="61">
        <f>2.798 * CHOOSE(CONTROL!$C$19, $C$13, 100%, $E$13)</f>
        <v>2.798</v>
      </c>
      <c r="H74" s="61">
        <f>4.6984* CHOOSE(CONTROL!$C$19, $C$13, 100%, $E$13)</f>
        <v>4.6984000000000004</v>
      </c>
      <c r="I74" s="61">
        <f>4.6986 * CHOOSE(CONTROL!$C$19, $C$13, 100%, $E$13)</f>
        <v>4.6985999999999999</v>
      </c>
      <c r="J74" s="61">
        <f>2.7978 * CHOOSE(CONTROL!$C$19, $C$13, 100%, $E$13)</f>
        <v>2.7978000000000001</v>
      </c>
      <c r="K74" s="61">
        <f>2.798 * CHOOSE(CONTROL!$C$19, $C$13, 100%, $E$13)</f>
        <v>2.798</v>
      </c>
      <c r="L74" s="4"/>
      <c r="M74" s="4"/>
      <c r="N74" s="4"/>
    </row>
    <row r="75" spans="1:14" ht="15">
      <c r="A75" s="13">
        <v>44136</v>
      </c>
      <c r="B75" s="60">
        <f>2.7773 * CHOOSE(CONTROL!$C$19, $C$13, 100%, $E$13)</f>
        <v>2.7772999999999999</v>
      </c>
      <c r="C75" s="60">
        <f>2.7773 * CHOOSE(CONTROL!$C$19, $C$13, 100%, $E$13)</f>
        <v>2.7772999999999999</v>
      </c>
      <c r="D75" s="60">
        <f>2.7942 * CHOOSE(CONTROL!$C$19, $C$13, 100%, $E$13)</f>
        <v>2.7942</v>
      </c>
      <c r="E75" s="61">
        <f>2.8035 * CHOOSE(CONTROL!$C$19, $C$13, 100%, $E$13)</f>
        <v>2.8035000000000001</v>
      </c>
      <c r="F75" s="61">
        <f>2.8035 * CHOOSE(CONTROL!$C$19, $C$13, 100%, $E$13)</f>
        <v>2.8035000000000001</v>
      </c>
      <c r="G75" s="61">
        <f>2.8036 * CHOOSE(CONTROL!$C$19, $C$13, 100%, $E$13)</f>
        <v>2.8035999999999999</v>
      </c>
      <c r="H75" s="61">
        <f>4.7082* CHOOSE(CONTROL!$C$19, $C$13, 100%, $E$13)</f>
        <v>4.7081999999999997</v>
      </c>
      <c r="I75" s="61">
        <f>4.7084 * CHOOSE(CONTROL!$C$19, $C$13, 100%, $E$13)</f>
        <v>4.7084000000000001</v>
      </c>
      <c r="J75" s="61">
        <f>2.8035 * CHOOSE(CONTROL!$C$19, $C$13, 100%, $E$13)</f>
        <v>2.8035000000000001</v>
      </c>
      <c r="K75" s="61">
        <f>2.8036 * CHOOSE(CONTROL!$C$19, $C$13, 100%, $E$13)</f>
        <v>2.8035999999999999</v>
      </c>
      <c r="L75" s="4"/>
      <c r="M75" s="4"/>
      <c r="N75" s="4"/>
    </row>
    <row r="76" spans="1:14" ht="15">
      <c r="A76" s="13">
        <v>44166</v>
      </c>
      <c r="B76" s="60">
        <f>2.7773 * CHOOSE(CONTROL!$C$19, $C$13, 100%, $E$13)</f>
        <v>2.7772999999999999</v>
      </c>
      <c r="C76" s="60">
        <f>2.7773 * CHOOSE(CONTROL!$C$19, $C$13, 100%, $E$13)</f>
        <v>2.7772999999999999</v>
      </c>
      <c r="D76" s="60">
        <f>2.7942 * CHOOSE(CONTROL!$C$19, $C$13, 100%, $E$13)</f>
        <v>2.7942</v>
      </c>
      <c r="E76" s="61">
        <f>2.7946 * CHOOSE(CONTROL!$C$19, $C$13, 100%, $E$13)</f>
        <v>2.7946</v>
      </c>
      <c r="F76" s="61">
        <f>2.7946 * CHOOSE(CONTROL!$C$19, $C$13, 100%, $E$13)</f>
        <v>2.7946</v>
      </c>
      <c r="G76" s="61">
        <f>2.7948 * CHOOSE(CONTROL!$C$19, $C$13, 100%, $E$13)</f>
        <v>2.7948</v>
      </c>
      <c r="H76" s="61">
        <f>4.718* CHOOSE(CONTROL!$C$19, $C$13, 100%, $E$13)</f>
        <v>4.718</v>
      </c>
      <c r="I76" s="61">
        <f>4.7182 * CHOOSE(CONTROL!$C$19, $C$13, 100%, $E$13)</f>
        <v>4.7182000000000004</v>
      </c>
      <c r="J76" s="61">
        <f>2.7946 * CHOOSE(CONTROL!$C$19, $C$13, 100%, $E$13)</f>
        <v>2.7946</v>
      </c>
      <c r="K76" s="61">
        <f>2.7948 * CHOOSE(CONTROL!$C$19, $C$13, 100%, $E$13)</f>
        <v>2.7948</v>
      </c>
      <c r="L76" s="4"/>
      <c r="M76" s="4"/>
      <c r="N76" s="4"/>
    </row>
    <row r="77" spans="1:14" ht="15">
      <c r="A77" s="13">
        <v>44197</v>
      </c>
      <c r="B77" s="60">
        <f>2.8122 * CHOOSE(CONTROL!$C$19, $C$13, 100%, $E$13)</f>
        <v>2.8121999999999998</v>
      </c>
      <c r="C77" s="60">
        <f>2.8122 * CHOOSE(CONTROL!$C$19, $C$13, 100%, $E$13)</f>
        <v>2.8121999999999998</v>
      </c>
      <c r="D77" s="60">
        <f>2.829 * CHOOSE(CONTROL!$C$19, $C$13, 100%, $E$13)</f>
        <v>2.8290000000000002</v>
      </c>
      <c r="E77" s="61">
        <f>2.8576 * CHOOSE(CONTROL!$C$19, $C$13, 100%, $E$13)</f>
        <v>2.8576000000000001</v>
      </c>
      <c r="F77" s="61">
        <f>2.8576 * CHOOSE(CONTROL!$C$19, $C$13, 100%, $E$13)</f>
        <v>2.8576000000000001</v>
      </c>
      <c r="G77" s="61">
        <f>2.8578 * CHOOSE(CONTROL!$C$19, $C$13, 100%, $E$13)</f>
        <v>2.8578000000000001</v>
      </c>
      <c r="H77" s="61">
        <f>4.7279* CHOOSE(CONTROL!$C$19, $C$13, 100%, $E$13)</f>
        <v>4.7279</v>
      </c>
      <c r="I77" s="61">
        <f>4.728 * CHOOSE(CONTROL!$C$19, $C$13, 100%, $E$13)</f>
        <v>4.7279999999999998</v>
      </c>
      <c r="J77" s="61">
        <f>2.8576 * CHOOSE(CONTROL!$C$19, $C$13, 100%, $E$13)</f>
        <v>2.8576000000000001</v>
      </c>
      <c r="K77" s="61">
        <f>2.8578 * CHOOSE(CONTROL!$C$19, $C$13, 100%, $E$13)</f>
        <v>2.8578000000000001</v>
      </c>
      <c r="L77" s="4"/>
      <c r="M77" s="4"/>
      <c r="N77" s="4"/>
    </row>
    <row r="78" spans="1:14" ht="15">
      <c r="A78" s="13">
        <v>44228</v>
      </c>
      <c r="B78" s="60">
        <f>2.8091 * CHOOSE(CONTROL!$C$19, $C$13, 100%, $E$13)</f>
        <v>2.8090999999999999</v>
      </c>
      <c r="C78" s="60">
        <f>2.8091 * CHOOSE(CONTROL!$C$19, $C$13, 100%, $E$13)</f>
        <v>2.8090999999999999</v>
      </c>
      <c r="D78" s="60">
        <f>2.8259 * CHOOSE(CONTROL!$C$19, $C$13, 100%, $E$13)</f>
        <v>2.8258999999999999</v>
      </c>
      <c r="E78" s="61">
        <f>2.8354 * CHOOSE(CONTROL!$C$19, $C$13, 100%, $E$13)</f>
        <v>2.8353999999999999</v>
      </c>
      <c r="F78" s="61">
        <f>2.8354 * CHOOSE(CONTROL!$C$19, $C$13, 100%, $E$13)</f>
        <v>2.8353999999999999</v>
      </c>
      <c r="G78" s="61">
        <f>2.8356 * CHOOSE(CONTROL!$C$19, $C$13, 100%, $E$13)</f>
        <v>2.8355999999999999</v>
      </c>
      <c r="H78" s="61">
        <f>4.7377* CHOOSE(CONTROL!$C$19, $C$13, 100%, $E$13)</f>
        <v>4.7377000000000002</v>
      </c>
      <c r="I78" s="61">
        <f>4.7379 * CHOOSE(CONTROL!$C$19, $C$13, 100%, $E$13)</f>
        <v>4.7378999999999998</v>
      </c>
      <c r="J78" s="61">
        <f>2.8354 * CHOOSE(CONTROL!$C$19, $C$13, 100%, $E$13)</f>
        <v>2.8353999999999999</v>
      </c>
      <c r="K78" s="61">
        <f>2.8356 * CHOOSE(CONTROL!$C$19, $C$13, 100%, $E$13)</f>
        <v>2.8355999999999999</v>
      </c>
      <c r="L78" s="4"/>
      <c r="M78" s="4"/>
      <c r="N78" s="4"/>
    </row>
    <row r="79" spans="1:14" ht="15">
      <c r="A79" s="13">
        <v>44256</v>
      </c>
      <c r="B79" s="60">
        <f>2.8061 * CHOOSE(CONTROL!$C$19, $C$13, 100%, $E$13)</f>
        <v>2.8060999999999998</v>
      </c>
      <c r="C79" s="60">
        <f>2.8061 * CHOOSE(CONTROL!$C$19, $C$13, 100%, $E$13)</f>
        <v>2.8060999999999998</v>
      </c>
      <c r="D79" s="60">
        <f>2.8229 * CHOOSE(CONTROL!$C$19, $C$13, 100%, $E$13)</f>
        <v>2.8229000000000002</v>
      </c>
      <c r="E79" s="61">
        <f>2.8491 * CHOOSE(CONTROL!$C$19, $C$13, 100%, $E$13)</f>
        <v>2.8491</v>
      </c>
      <c r="F79" s="61">
        <f>2.8491 * CHOOSE(CONTROL!$C$19, $C$13, 100%, $E$13)</f>
        <v>2.8491</v>
      </c>
      <c r="G79" s="61">
        <f>2.8493 * CHOOSE(CONTROL!$C$19, $C$13, 100%, $E$13)</f>
        <v>2.8492999999999999</v>
      </c>
      <c r="H79" s="61">
        <f>4.7476* CHOOSE(CONTROL!$C$19, $C$13, 100%, $E$13)</f>
        <v>4.7476000000000003</v>
      </c>
      <c r="I79" s="61">
        <f>4.7478 * CHOOSE(CONTROL!$C$19, $C$13, 100%, $E$13)</f>
        <v>4.7477999999999998</v>
      </c>
      <c r="J79" s="61">
        <f>2.8491 * CHOOSE(CONTROL!$C$19, $C$13, 100%, $E$13)</f>
        <v>2.8491</v>
      </c>
      <c r="K79" s="61">
        <f>2.8493 * CHOOSE(CONTROL!$C$19, $C$13, 100%, $E$13)</f>
        <v>2.8492999999999999</v>
      </c>
      <c r="L79" s="4"/>
      <c r="M79" s="4"/>
      <c r="N79" s="4"/>
    </row>
    <row r="80" spans="1:14" ht="15">
      <c r="A80" s="13">
        <v>44287</v>
      </c>
      <c r="B80" s="60">
        <f>2.8026 * CHOOSE(CONTROL!$C$19, $C$13, 100%, $E$13)</f>
        <v>2.8026</v>
      </c>
      <c r="C80" s="60">
        <f>2.8026 * CHOOSE(CONTROL!$C$19, $C$13, 100%, $E$13)</f>
        <v>2.8026</v>
      </c>
      <c r="D80" s="60">
        <f>2.8194 * CHOOSE(CONTROL!$C$19, $C$13, 100%, $E$13)</f>
        <v>2.8193999999999999</v>
      </c>
      <c r="E80" s="61">
        <f>2.8619 * CHOOSE(CONTROL!$C$19, $C$13, 100%, $E$13)</f>
        <v>2.8618999999999999</v>
      </c>
      <c r="F80" s="61">
        <f>2.8619 * CHOOSE(CONTROL!$C$19, $C$13, 100%, $E$13)</f>
        <v>2.8618999999999999</v>
      </c>
      <c r="G80" s="61">
        <f>2.8621 * CHOOSE(CONTROL!$C$19, $C$13, 100%, $E$13)</f>
        <v>2.8620999999999999</v>
      </c>
      <c r="H80" s="61">
        <f>4.7575* CHOOSE(CONTROL!$C$19, $C$13, 100%, $E$13)</f>
        <v>4.7575000000000003</v>
      </c>
      <c r="I80" s="61">
        <f>4.7576 * CHOOSE(CONTROL!$C$19, $C$13, 100%, $E$13)</f>
        <v>4.7576000000000001</v>
      </c>
      <c r="J80" s="61">
        <f>2.8619 * CHOOSE(CONTROL!$C$19, $C$13, 100%, $E$13)</f>
        <v>2.8618999999999999</v>
      </c>
      <c r="K80" s="61">
        <f>2.8621 * CHOOSE(CONTROL!$C$19, $C$13, 100%, $E$13)</f>
        <v>2.8620999999999999</v>
      </c>
      <c r="L80" s="4"/>
      <c r="M80" s="4"/>
      <c r="N80" s="4"/>
    </row>
    <row r="81" spans="1:14" ht="15">
      <c r="A81" s="13">
        <v>44317</v>
      </c>
      <c r="B81" s="60">
        <f>2.8026 * CHOOSE(CONTROL!$C$19, $C$13, 100%, $E$13)</f>
        <v>2.8026</v>
      </c>
      <c r="C81" s="60">
        <f>2.8026 * CHOOSE(CONTROL!$C$19, $C$13, 100%, $E$13)</f>
        <v>2.8026</v>
      </c>
      <c r="D81" s="60">
        <f>2.8363 * CHOOSE(CONTROL!$C$19, $C$13, 100%, $E$13)</f>
        <v>2.8363</v>
      </c>
      <c r="E81" s="61">
        <f>2.8683 * CHOOSE(CONTROL!$C$19, $C$13, 100%, $E$13)</f>
        <v>2.8683000000000001</v>
      </c>
      <c r="F81" s="61">
        <f>2.8683 * CHOOSE(CONTROL!$C$19, $C$13, 100%, $E$13)</f>
        <v>2.8683000000000001</v>
      </c>
      <c r="G81" s="61">
        <f>2.8703 * CHOOSE(CONTROL!$C$19, $C$13, 100%, $E$13)</f>
        <v>2.8702999999999999</v>
      </c>
      <c r="H81" s="61">
        <f>4.7674* CHOOSE(CONTROL!$C$19, $C$13, 100%, $E$13)</f>
        <v>4.7674000000000003</v>
      </c>
      <c r="I81" s="61">
        <f>4.7695 * CHOOSE(CONTROL!$C$19, $C$13, 100%, $E$13)</f>
        <v>4.7694999999999999</v>
      </c>
      <c r="J81" s="61">
        <f>2.8683 * CHOOSE(CONTROL!$C$19, $C$13, 100%, $E$13)</f>
        <v>2.8683000000000001</v>
      </c>
      <c r="K81" s="61">
        <f>2.8703 * CHOOSE(CONTROL!$C$19, $C$13, 100%, $E$13)</f>
        <v>2.8702999999999999</v>
      </c>
      <c r="L81" s="4"/>
      <c r="M81" s="4"/>
      <c r="N81" s="4"/>
    </row>
    <row r="82" spans="1:14" ht="15">
      <c r="A82" s="13">
        <v>44348</v>
      </c>
      <c r="B82" s="60">
        <f>2.8087 * CHOOSE(CONTROL!$C$19, $C$13, 100%, $E$13)</f>
        <v>2.8087</v>
      </c>
      <c r="C82" s="60">
        <f>2.8087 * CHOOSE(CONTROL!$C$19, $C$13, 100%, $E$13)</f>
        <v>2.8087</v>
      </c>
      <c r="D82" s="60">
        <f>2.8423 * CHOOSE(CONTROL!$C$19, $C$13, 100%, $E$13)</f>
        <v>2.8422999999999998</v>
      </c>
      <c r="E82" s="61">
        <f>2.8661 * CHOOSE(CONTROL!$C$19, $C$13, 100%, $E$13)</f>
        <v>2.8660999999999999</v>
      </c>
      <c r="F82" s="61">
        <f>2.8661 * CHOOSE(CONTROL!$C$19, $C$13, 100%, $E$13)</f>
        <v>2.8660999999999999</v>
      </c>
      <c r="G82" s="61">
        <f>2.8682 * CHOOSE(CONTROL!$C$19, $C$13, 100%, $E$13)</f>
        <v>2.8681999999999999</v>
      </c>
      <c r="H82" s="61">
        <f>4.7773* CHOOSE(CONTROL!$C$19, $C$13, 100%, $E$13)</f>
        <v>4.7773000000000003</v>
      </c>
      <c r="I82" s="61">
        <f>4.7794 * CHOOSE(CONTROL!$C$19, $C$13, 100%, $E$13)</f>
        <v>4.7793999999999999</v>
      </c>
      <c r="J82" s="61">
        <f>2.8661 * CHOOSE(CONTROL!$C$19, $C$13, 100%, $E$13)</f>
        <v>2.8660999999999999</v>
      </c>
      <c r="K82" s="61">
        <f>2.8682 * CHOOSE(CONTROL!$C$19, $C$13, 100%, $E$13)</f>
        <v>2.8681999999999999</v>
      </c>
      <c r="L82" s="4"/>
      <c r="M82" s="4"/>
      <c r="N82" s="4"/>
    </row>
    <row r="83" spans="1:14" ht="15">
      <c r="A83" s="13">
        <v>44378</v>
      </c>
      <c r="B83" s="60">
        <f>2.8711 * CHOOSE(CONTROL!$C$19, $C$13, 100%, $E$13)</f>
        <v>2.8711000000000002</v>
      </c>
      <c r="C83" s="60">
        <f>2.8711 * CHOOSE(CONTROL!$C$19, $C$13, 100%, $E$13)</f>
        <v>2.8711000000000002</v>
      </c>
      <c r="D83" s="60">
        <f>2.9048 * CHOOSE(CONTROL!$C$19, $C$13, 100%, $E$13)</f>
        <v>2.9047999999999998</v>
      </c>
      <c r="E83" s="61">
        <f>2.9281 * CHOOSE(CONTROL!$C$19, $C$13, 100%, $E$13)</f>
        <v>2.9281000000000001</v>
      </c>
      <c r="F83" s="61">
        <f>2.9281 * CHOOSE(CONTROL!$C$19, $C$13, 100%, $E$13)</f>
        <v>2.9281000000000001</v>
      </c>
      <c r="G83" s="61">
        <f>2.9302 * CHOOSE(CONTROL!$C$19, $C$13, 100%, $E$13)</f>
        <v>2.9302000000000001</v>
      </c>
      <c r="H83" s="61">
        <f>4.7873* CHOOSE(CONTROL!$C$19, $C$13, 100%, $E$13)</f>
        <v>4.7873000000000001</v>
      </c>
      <c r="I83" s="61">
        <f>4.7894 * CHOOSE(CONTROL!$C$19, $C$13, 100%, $E$13)</f>
        <v>4.7893999999999997</v>
      </c>
      <c r="J83" s="61">
        <f>2.9281 * CHOOSE(CONTROL!$C$19, $C$13, 100%, $E$13)</f>
        <v>2.9281000000000001</v>
      </c>
      <c r="K83" s="61">
        <f>2.9302 * CHOOSE(CONTROL!$C$19, $C$13, 100%, $E$13)</f>
        <v>2.9302000000000001</v>
      </c>
      <c r="L83" s="4"/>
      <c r="M83" s="4"/>
      <c r="N83" s="4"/>
    </row>
    <row r="84" spans="1:14" ht="15">
      <c r="A84" s="13">
        <v>44409</v>
      </c>
      <c r="B84" s="60">
        <f>2.8778 * CHOOSE(CONTROL!$C$19, $C$13, 100%, $E$13)</f>
        <v>2.8778000000000001</v>
      </c>
      <c r="C84" s="60">
        <f>2.8778 * CHOOSE(CONTROL!$C$19, $C$13, 100%, $E$13)</f>
        <v>2.8778000000000001</v>
      </c>
      <c r="D84" s="60">
        <f>2.9115 * CHOOSE(CONTROL!$C$19, $C$13, 100%, $E$13)</f>
        <v>2.9115000000000002</v>
      </c>
      <c r="E84" s="61">
        <f>2.9136 * CHOOSE(CONTROL!$C$19, $C$13, 100%, $E$13)</f>
        <v>2.9136000000000002</v>
      </c>
      <c r="F84" s="61">
        <f>2.9136 * CHOOSE(CONTROL!$C$19, $C$13, 100%, $E$13)</f>
        <v>2.9136000000000002</v>
      </c>
      <c r="G84" s="61">
        <f>2.9157 * CHOOSE(CONTROL!$C$19, $C$13, 100%, $E$13)</f>
        <v>2.9157000000000002</v>
      </c>
      <c r="H84" s="61">
        <f>4.7972* CHOOSE(CONTROL!$C$19, $C$13, 100%, $E$13)</f>
        <v>4.7972000000000001</v>
      </c>
      <c r="I84" s="61">
        <f>4.7993 * CHOOSE(CONTROL!$C$19, $C$13, 100%, $E$13)</f>
        <v>4.7992999999999997</v>
      </c>
      <c r="J84" s="61">
        <f>2.9136 * CHOOSE(CONTROL!$C$19, $C$13, 100%, $E$13)</f>
        <v>2.9136000000000002</v>
      </c>
      <c r="K84" s="61">
        <f>2.9157 * CHOOSE(CONTROL!$C$19, $C$13, 100%, $E$13)</f>
        <v>2.9157000000000002</v>
      </c>
      <c r="L84" s="4"/>
      <c r="M84" s="4"/>
      <c r="N84" s="4"/>
    </row>
    <row r="85" spans="1:14" ht="15">
      <c r="A85" s="13">
        <v>44440</v>
      </c>
      <c r="B85" s="60">
        <f>2.8748 * CHOOSE(CONTROL!$C$19, $C$13, 100%, $E$13)</f>
        <v>2.8748</v>
      </c>
      <c r="C85" s="60">
        <f>2.8748 * CHOOSE(CONTROL!$C$19, $C$13, 100%, $E$13)</f>
        <v>2.8748</v>
      </c>
      <c r="D85" s="60">
        <f>2.9084 * CHOOSE(CONTROL!$C$19, $C$13, 100%, $E$13)</f>
        <v>2.9083999999999999</v>
      </c>
      <c r="E85" s="61">
        <f>2.9094 * CHOOSE(CONTROL!$C$19, $C$13, 100%, $E$13)</f>
        <v>2.9094000000000002</v>
      </c>
      <c r="F85" s="61">
        <f>2.9094 * CHOOSE(CONTROL!$C$19, $C$13, 100%, $E$13)</f>
        <v>2.9094000000000002</v>
      </c>
      <c r="G85" s="61">
        <f>2.9115 * CHOOSE(CONTROL!$C$19, $C$13, 100%, $E$13)</f>
        <v>2.9115000000000002</v>
      </c>
      <c r="H85" s="61">
        <f>4.8072* CHOOSE(CONTROL!$C$19, $C$13, 100%, $E$13)</f>
        <v>4.8071999999999999</v>
      </c>
      <c r="I85" s="61">
        <f>4.8093 * CHOOSE(CONTROL!$C$19, $C$13, 100%, $E$13)</f>
        <v>4.8093000000000004</v>
      </c>
      <c r="J85" s="61">
        <f>2.9094 * CHOOSE(CONTROL!$C$19, $C$13, 100%, $E$13)</f>
        <v>2.9094000000000002</v>
      </c>
      <c r="K85" s="61">
        <f>2.9115 * CHOOSE(CONTROL!$C$19, $C$13, 100%, $E$13)</f>
        <v>2.9115000000000002</v>
      </c>
      <c r="L85" s="4"/>
      <c r="M85" s="4"/>
      <c r="N85" s="4"/>
    </row>
    <row r="86" spans="1:14" ht="15">
      <c r="A86" s="13">
        <v>44470</v>
      </c>
      <c r="B86" s="60">
        <f>2.8659 * CHOOSE(CONTROL!$C$19, $C$13, 100%, $E$13)</f>
        <v>2.8658999999999999</v>
      </c>
      <c r="C86" s="60">
        <f>2.8659 * CHOOSE(CONTROL!$C$19, $C$13, 100%, $E$13)</f>
        <v>2.8658999999999999</v>
      </c>
      <c r="D86" s="60">
        <f>2.8827 * CHOOSE(CONTROL!$C$19, $C$13, 100%, $E$13)</f>
        <v>2.8826999999999998</v>
      </c>
      <c r="E86" s="61">
        <f>2.9045 * CHOOSE(CONTROL!$C$19, $C$13, 100%, $E$13)</f>
        <v>2.9045000000000001</v>
      </c>
      <c r="F86" s="61">
        <f>2.9045 * CHOOSE(CONTROL!$C$19, $C$13, 100%, $E$13)</f>
        <v>2.9045000000000001</v>
      </c>
      <c r="G86" s="61">
        <f>2.9046 * CHOOSE(CONTROL!$C$19, $C$13, 100%, $E$13)</f>
        <v>2.9045999999999998</v>
      </c>
      <c r="H86" s="61">
        <f>4.8173* CHOOSE(CONTROL!$C$19, $C$13, 100%, $E$13)</f>
        <v>4.8173000000000004</v>
      </c>
      <c r="I86" s="61">
        <f>4.8174 * CHOOSE(CONTROL!$C$19, $C$13, 100%, $E$13)</f>
        <v>4.8174000000000001</v>
      </c>
      <c r="J86" s="61">
        <f>2.9045 * CHOOSE(CONTROL!$C$19, $C$13, 100%, $E$13)</f>
        <v>2.9045000000000001</v>
      </c>
      <c r="K86" s="61">
        <f>2.9046 * CHOOSE(CONTROL!$C$19, $C$13, 100%, $E$13)</f>
        <v>2.9045999999999998</v>
      </c>
      <c r="L86" s="4"/>
      <c r="M86" s="4"/>
      <c r="N86" s="4"/>
    </row>
    <row r="87" spans="1:14" ht="15">
      <c r="A87" s="13">
        <v>44501</v>
      </c>
      <c r="B87" s="60">
        <f>2.869 * CHOOSE(CONTROL!$C$19, $C$13, 100%, $E$13)</f>
        <v>2.8690000000000002</v>
      </c>
      <c r="C87" s="60">
        <f>2.869 * CHOOSE(CONTROL!$C$19, $C$13, 100%, $E$13)</f>
        <v>2.8690000000000002</v>
      </c>
      <c r="D87" s="60">
        <f>2.8858 * CHOOSE(CONTROL!$C$19, $C$13, 100%, $E$13)</f>
        <v>2.8858000000000001</v>
      </c>
      <c r="E87" s="61">
        <f>2.9108 * CHOOSE(CONTROL!$C$19, $C$13, 100%, $E$13)</f>
        <v>2.9108000000000001</v>
      </c>
      <c r="F87" s="61">
        <f>2.9108 * CHOOSE(CONTROL!$C$19, $C$13, 100%, $E$13)</f>
        <v>2.9108000000000001</v>
      </c>
      <c r="G87" s="61">
        <f>2.911 * CHOOSE(CONTROL!$C$19, $C$13, 100%, $E$13)</f>
        <v>2.911</v>
      </c>
      <c r="H87" s="61">
        <f>4.8273* CHOOSE(CONTROL!$C$19, $C$13, 100%, $E$13)</f>
        <v>4.8273000000000001</v>
      </c>
      <c r="I87" s="61">
        <f>4.8275 * CHOOSE(CONTROL!$C$19, $C$13, 100%, $E$13)</f>
        <v>4.8274999999999997</v>
      </c>
      <c r="J87" s="61">
        <f>2.9108 * CHOOSE(CONTROL!$C$19, $C$13, 100%, $E$13)</f>
        <v>2.9108000000000001</v>
      </c>
      <c r="K87" s="61">
        <f>2.911 * CHOOSE(CONTROL!$C$19, $C$13, 100%, $E$13)</f>
        <v>2.911</v>
      </c>
      <c r="L87" s="4"/>
      <c r="M87" s="4"/>
      <c r="N87" s="4"/>
    </row>
    <row r="88" spans="1:14" ht="15">
      <c r="A88" s="13">
        <v>44531</v>
      </c>
      <c r="B88" s="60">
        <f>2.869 * CHOOSE(CONTROL!$C$19, $C$13, 100%, $E$13)</f>
        <v>2.8690000000000002</v>
      </c>
      <c r="C88" s="60">
        <f>2.869 * CHOOSE(CONTROL!$C$19, $C$13, 100%, $E$13)</f>
        <v>2.8690000000000002</v>
      </c>
      <c r="D88" s="60">
        <f>2.8858 * CHOOSE(CONTROL!$C$19, $C$13, 100%, $E$13)</f>
        <v>2.8858000000000001</v>
      </c>
      <c r="E88" s="61">
        <f>2.9002 * CHOOSE(CONTROL!$C$19, $C$13, 100%, $E$13)</f>
        <v>2.9001999999999999</v>
      </c>
      <c r="F88" s="61">
        <f>2.9002 * CHOOSE(CONTROL!$C$19, $C$13, 100%, $E$13)</f>
        <v>2.9001999999999999</v>
      </c>
      <c r="G88" s="61">
        <f>2.9004 * CHOOSE(CONTROL!$C$19, $C$13, 100%, $E$13)</f>
        <v>2.9003999999999999</v>
      </c>
      <c r="H88" s="61">
        <f>4.8373* CHOOSE(CONTROL!$C$19, $C$13, 100%, $E$13)</f>
        <v>4.8372999999999999</v>
      </c>
      <c r="I88" s="61">
        <f>4.8375 * CHOOSE(CONTROL!$C$19, $C$13, 100%, $E$13)</f>
        <v>4.8375000000000004</v>
      </c>
      <c r="J88" s="61">
        <f>2.9002 * CHOOSE(CONTROL!$C$19, $C$13, 100%, $E$13)</f>
        <v>2.9001999999999999</v>
      </c>
      <c r="K88" s="61">
        <f>2.9004 * CHOOSE(CONTROL!$C$19, $C$13, 100%, $E$13)</f>
        <v>2.9003999999999999</v>
      </c>
      <c r="L88" s="4"/>
      <c r="M88" s="4"/>
      <c r="N88" s="4"/>
    </row>
    <row r="89" spans="1:14" ht="15">
      <c r="A89" s="13">
        <v>44562</v>
      </c>
      <c r="B89" s="60">
        <f>2.925 * CHOOSE(CONTROL!$C$19, $C$13, 100%, $E$13)</f>
        <v>2.9249999999999998</v>
      </c>
      <c r="C89" s="60">
        <f>2.925 * CHOOSE(CONTROL!$C$19, $C$13, 100%, $E$13)</f>
        <v>2.9249999999999998</v>
      </c>
      <c r="D89" s="60">
        <f>2.9418 * CHOOSE(CONTROL!$C$19, $C$13, 100%, $E$13)</f>
        <v>2.9418000000000002</v>
      </c>
      <c r="E89" s="61">
        <f>2.9769 * CHOOSE(CONTROL!$C$19, $C$13, 100%, $E$13)</f>
        <v>2.9769000000000001</v>
      </c>
      <c r="F89" s="61">
        <f>2.9769 * CHOOSE(CONTROL!$C$19, $C$13, 100%, $E$13)</f>
        <v>2.9769000000000001</v>
      </c>
      <c r="G89" s="61">
        <f>2.9771 * CHOOSE(CONTROL!$C$19, $C$13, 100%, $E$13)</f>
        <v>2.9771000000000001</v>
      </c>
      <c r="H89" s="61">
        <f>4.8474* CHOOSE(CONTROL!$C$19, $C$13, 100%, $E$13)</f>
        <v>4.8474000000000004</v>
      </c>
      <c r="I89" s="61">
        <f>4.8476 * CHOOSE(CONTROL!$C$19, $C$13, 100%, $E$13)</f>
        <v>4.8475999999999999</v>
      </c>
      <c r="J89" s="61">
        <f>2.9769 * CHOOSE(CONTROL!$C$19, $C$13, 100%, $E$13)</f>
        <v>2.9769000000000001</v>
      </c>
      <c r="K89" s="61">
        <f>2.9771 * CHOOSE(CONTROL!$C$19, $C$13, 100%, $E$13)</f>
        <v>2.9771000000000001</v>
      </c>
      <c r="L89" s="4"/>
      <c r="M89" s="4"/>
      <c r="N89" s="4"/>
    </row>
    <row r="90" spans="1:14" ht="15">
      <c r="A90" s="13">
        <v>44593</v>
      </c>
      <c r="B90" s="60">
        <f>2.9219 * CHOOSE(CONTROL!$C$19, $C$13, 100%, $E$13)</f>
        <v>2.9218999999999999</v>
      </c>
      <c r="C90" s="60">
        <f>2.9219 * CHOOSE(CONTROL!$C$19, $C$13, 100%, $E$13)</f>
        <v>2.9218999999999999</v>
      </c>
      <c r="D90" s="60">
        <f>2.9388 * CHOOSE(CONTROL!$C$19, $C$13, 100%, $E$13)</f>
        <v>2.9388000000000001</v>
      </c>
      <c r="E90" s="61">
        <f>2.9507 * CHOOSE(CONTROL!$C$19, $C$13, 100%, $E$13)</f>
        <v>2.9506999999999999</v>
      </c>
      <c r="F90" s="61">
        <f>2.9507 * CHOOSE(CONTROL!$C$19, $C$13, 100%, $E$13)</f>
        <v>2.9506999999999999</v>
      </c>
      <c r="G90" s="61">
        <f>2.9509 * CHOOSE(CONTROL!$C$19, $C$13, 100%, $E$13)</f>
        <v>2.9508999999999999</v>
      </c>
      <c r="H90" s="61">
        <f>4.8575* CHOOSE(CONTROL!$C$19, $C$13, 100%, $E$13)</f>
        <v>4.8574999999999999</v>
      </c>
      <c r="I90" s="61">
        <f>4.8577 * CHOOSE(CONTROL!$C$19, $C$13, 100%, $E$13)</f>
        <v>4.8577000000000004</v>
      </c>
      <c r="J90" s="61">
        <f>2.9507 * CHOOSE(CONTROL!$C$19, $C$13, 100%, $E$13)</f>
        <v>2.9506999999999999</v>
      </c>
      <c r="K90" s="61">
        <f>2.9509 * CHOOSE(CONTROL!$C$19, $C$13, 100%, $E$13)</f>
        <v>2.9508999999999999</v>
      </c>
      <c r="L90" s="4"/>
      <c r="M90" s="4"/>
      <c r="N90" s="4"/>
    </row>
    <row r="91" spans="1:14" ht="15">
      <c r="A91" s="13">
        <v>44621</v>
      </c>
      <c r="B91" s="60">
        <f>2.9189 * CHOOSE(CONTROL!$C$19, $C$13, 100%, $E$13)</f>
        <v>2.9188999999999998</v>
      </c>
      <c r="C91" s="60">
        <f>2.9189 * CHOOSE(CONTROL!$C$19, $C$13, 100%, $E$13)</f>
        <v>2.9188999999999998</v>
      </c>
      <c r="D91" s="60">
        <f>2.9357 * CHOOSE(CONTROL!$C$19, $C$13, 100%, $E$13)</f>
        <v>2.9357000000000002</v>
      </c>
      <c r="E91" s="61">
        <f>2.9676 * CHOOSE(CONTROL!$C$19, $C$13, 100%, $E$13)</f>
        <v>2.9676</v>
      </c>
      <c r="F91" s="61">
        <f>2.9676 * CHOOSE(CONTROL!$C$19, $C$13, 100%, $E$13)</f>
        <v>2.9676</v>
      </c>
      <c r="G91" s="61">
        <f>2.9677 * CHOOSE(CONTROL!$C$19, $C$13, 100%, $E$13)</f>
        <v>2.9676999999999998</v>
      </c>
      <c r="H91" s="61">
        <f>4.8676* CHOOSE(CONTROL!$C$19, $C$13, 100%, $E$13)</f>
        <v>4.8676000000000004</v>
      </c>
      <c r="I91" s="61">
        <f>4.8678 * CHOOSE(CONTROL!$C$19, $C$13, 100%, $E$13)</f>
        <v>4.8677999999999999</v>
      </c>
      <c r="J91" s="61">
        <f>2.9676 * CHOOSE(CONTROL!$C$19, $C$13, 100%, $E$13)</f>
        <v>2.9676</v>
      </c>
      <c r="K91" s="61">
        <f>2.9677 * CHOOSE(CONTROL!$C$19, $C$13, 100%, $E$13)</f>
        <v>2.9676999999999998</v>
      </c>
      <c r="L91" s="4"/>
      <c r="M91" s="4"/>
      <c r="N91" s="4"/>
    </row>
    <row r="92" spans="1:14" ht="15">
      <c r="A92" s="13">
        <v>44652</v>
      </c>
      <c r="B92" s="60">
        <f>2.9156 * CHOOSE(CONTROL!$C$19, $C$13, 100%, $E$13)</f>
        <v>2.9156</v>
      </c>
      <c r="C92" s="60">
        <f>2.9156 * CHOOSE(CONTROL!$C$19, $C$13, 100%, $E$13)</f>
        <v>2.9156</v>
      </c>
      <c r="D92" s="60">
        <f>2.9324 * CHOOSE(CONTROL!$C$19, $C$13, 100%, $E$13)</f>
        <v>2.9323999999999999</v>
      </c>
      <c r="E92" s="61">
        <f>2.9837 * CHOOSE(CONTROL!$C$19, $C$13, 100%, $E$13)</f>
        <v>2.9836999999999998</v>
      </c>
      <c r="F92" s="61">
        <f>2.9837 * CHOOSE(CONTROL!$C$19, $C$13, 100%, $E$13)</f>
        <v>2.9836999999999998</v>
      </c>
      <c r="G92" s="61">
        <f>2.9839 * CHOOSE(CONTROL!$C$19, $C$13, 100%, $E$13)</f>
        <v>2.9839000000000002</v>
      </c>
      <c r="H92" s="61">
        <f>4.8778* CHOOSE(CONTROL!$C$19, $C$13, 100%, $E$13)</f>
        <v>4.8777999999999997</v>
      </c>
      <c r="I92" s="61">
        <f>4.878 * CHOOSE(CONTROL!$C$19, $C$13, 100%, $E$13)</f>
        <v>4.8780000000000001</v>
      </c>
      <c r="J92" s="61">
        <f>2.9837 * CHOOSE(CONTROL!$C$19, $C$13, 100%, $E$13)</f>
        <v>2.9836999999999998</v>
      </c>
      <c r="K92" s="61">
        <f>2.9839 * CHOOSE(CONTROL!$C$19, $C$13, 100%, $E$13)</f>
        <v>2.9839000000000002</v>
      </c>
      <c r="L92" s="4"/>
      <c r="M92" s="4"/>
      <c r="N92" s="4"/>
    </row>
    <row r="93" spans="1:14" ht="15">
      <c r="A93" s="13">
        <v>44682</v>
      </c>
      <c r="B93" s="60">
        <f>2.9156 * CHOOSE(CONTROL!$C$19, $C$13, 100%, $E$13)</f>
        <v>2.9156</v>
      </c>
      <c r="C93" s="60">
        <f>2.9156 * CHOOSE(CONTROL!$C$19, $C$13, 100%, $E$13)</f>
        <v>2.9156</v>
      </c>
      <c r="D93" s="60">
        <f>2.9492 * CHOOSE(CONTROL!$C$19, $C$13, 100%, $E$13)</f>
        <v>2.9491999999999998</v>
      </c>
      <c r="E93" s="61">
        <f>2.9913 * CHOOSE(CONTROL!$C$19, $C$13, 100%, $E$13)</f>
        <v>2.9912999999999998</v>
      </c>
      <c r="F93" s="61">
        <f>2.9913 * CHOOSE(CONTROL!$C$19, $C$13, 100%, $E$13)</f>
        <v>2.9912999999999998</v>
      </c>
      <c r="G93" s="61">
        <f>2.9934 * CHOOSE(CONTROL!$C$19, $C$13, 100%, $E$13)</f>
        <v>2.9933999999999998</v>
      </c>
      <c r="H93" s="61">
        <f>4.8879* CHOOSE(CONTROL!$C$19, $C$13, 100%, $E$13)</f>
        <v>4.8879000000000001</v>
      </c>
      <c r="I93" s="61">
        <f>4.89 * CHOOSE(CONTROL!$C$19, $C$13, 100%, $E$13)</f>
        <v>4.8899999999999997</v>
      </c>
      <c r="J93" s="61">
        <f>2.9913 * CHOOSE(CONTROL!$C$19, $C$13, 100%, $E$13)</f>
        <v>2.9912999999999998</v>
      </c>
      <c r="K93" s="61">
        <f>2.9934 * CHOOSE(CONTROL!$C$19, $C$13, 100%, $E$13)</f>
        <v>2.9933999999999998</v>
      </c>
      <c r="L93" s="4"/>
      <c r="M93" s="4"/>
      <c r="N93" s="4"/>
    </row>
    <row r="94" spans="1:14" ht="15">
      <c r="A94" s="13">
        <v>44713</v>
      </c>
      <c r="B94" s="60">
        <f>2.9216 * CHOOSE(CONTROL!$C$19, $C$13, 100%, $E$13)</f>
        <v>2.9216000000000002</v>
      </c>
      <c r="C94" s="60">
        <f>2.9216 * CHOOSE(CONTROL!$C$19, $C$13, 100%, $E$13)</f>
        <v>2.9216000000000002</v>
      </c>
      <c r="D94" s="60">
        <f>2.9553 * CHOOSE(CONTROL!$C$19, $C$13, 100%, $E$13)</f>
        <v>2.9552999999999998</v>
      </c>
      <c r="E94" s="61">
        <f>2.9879 * CHOOSE(CONTROL!$C$19, $C$13, 100%, $E$13)</f>
        <v>2.9878999999999998</v>
      </c>
      <c r="F94" s="61">
        <f>2.9879 * CHOOSE(CONTROL!$C$19, $C$13, 100%, $E$13)</f>
        <v>2.9878999999999998</v>
      </c>
      <c r="G94" s="61">
        <f>2.99 * CHOOSE(CONTROL!$C$19, $C$13, 100%, $E$13)</f>
        <v>2.99</v>
      </c>
      <c r="H94" s="61">
        <f>4.8981* CHOOSE(CONTROL!$C$19, $C$13, 100%, $E$13)</f>
        <v>4.8981000000000003</v>
      </c>
      <c r="I94" s="61">
        <f>4.9002 * CHOOSE(CONTROL!$C$19, $C$13, 100%, $E$13)</f>
        <v>4.9001999999999999</v>
      </c>
      <c r="J94" s="61">
        <f>2.9879 * CHOOSE(CONTROL!$C$19, $C$13, 100%, $E$13)</f>
        <v>2.9878999999999998</v>
      </c>
      <c r="K94" s="61">
        <f>2.99 * CHOOSE(CONTROL!$C$19, $C$13, 100%, $E$13)</f>
        <v>2.99</v>
      </c>
      <c r="L94" s="4"/>
      <c r="M94" s="4"/>
      <c r="N94" s="4"/>
    </row>
    <row r="95" spans="1:14" ht="15">
      <c r="A95" s="13">
        <v>44743</v>
      </c>
      <c r="B95" s="60">
        <f>3.0359 * CHOOSE(CONTROL!$C$19, $C$13, 100%, $E$13)</f>
        <v>3.0358999999999998</v>
      </c>
      <c r="C95" s="60">
        <f>3.0359 * CHOOSE(CONTROL!$C$19, $C$13, 100%, $E$13)</f>
        <v>3.0358999999999998</v>
      </c>
      <c r="D95" s="60">
        <f>3.0696 * CHOOSE(CONTROL!$C$19, $C$13, 100%, $E$13)</f>
        <v>3.0695999999999999</v>
      </c>
      <c r="E95" s="61">
        <f>3.0661 * CHOOSE(CONTROL!$C$19, $C$13, 100%, $E$13)</f>
        <v>3.0661</v>
      </c>
      <c r="F95" s="61">
        <f>3.0661 * CHOOSE(CONTROL!$C$19, $C$13, 100%, $E$13)</f>
        <v>3.0661</v>
      </c>
      <c r="G95" s="61">
        <f>3.0682 * CHOOSE(CONTROL!$C$19, $C$13, 100%, $E$13)</f>
        <v>3.0682</v>
      </c>
      <c r="H95" s="61">
        <f>4.9083* CHOOSE(CONTROL!$C$19, $C$13, 100%, $E$13)</f>
        <v>4.9082999999999997</v>
      </c>
      <c r="I95" s="61">
        <f>4.9104 * CHOOSE(CONTROL!$C$19, $C$13, 100%, $E$13)</f>
        <v>4.9104000000000001</v>
      </c>
      <c r="J95" s="61">
        <f>3.0661 * CHOOSE(CONTROL!$C$19, $C$13, 100%, $E$13)</f>
        <v>3.0661</v>
      </c>
      <c r="K95" s="61">
        <f>3.0682 * CHOOSE(CONTROL!$C$19, $C$13, 100%, $E$13)</f>
        <v>3.0682</v>
      </c>
      <c r="L95" s="4"/>
      <c r="M95" s="4"/>
      <c r="N95" s="4"/>
    </row>
    <row r="96" spans="1:14" ht="15">
      <c r="A96" s="13">
        <v>44774</v>
      </c>
      <c r="B96" s="60">
        <f>3.0426 * CHOOSE(CONTROL!$C$19, $C$13, 100%, $E$13)</f>
        <v>3.0426000000000002</v>
      </c>
      <c r="C96" s="60">
        <f>3.0426 * CHOOSE(CONTROL!$C$19, $C$13, 100%, $E$13)</f>
        <v>3.0426000000000002</v>
      </c>
      <c r="D96" s="60">
        <f>3.0762 * CHOOSE(CONTROL!$C$19, $C$13, 100%, $E$13)</f>
        <v>3.0762</v>
      </c>
      <c r="E96" s="61">
        <f>3.0478 * CHOOSE(CONTROL!$C$19, $C$13, 100%, $E$13)</f>
        <v>3.0478000000000001</v>
      </c>
      <c r="F96" s="61">
        <f>3.0478 * CHOOSE(CONTROL!$C$19, $C$13, 100%, $E$13)</f>
        <v>3.0478000000000001</v>
      </c>
      <c r="G96" s="61">
        <f>3.0499 * CHOOSE(CONTROL!$C$19, $C$13, 100%, $E$13)</f>
        <v>3.0499000000000001</v>
      </c>
      <c r="H96" s="61">
        <f>4.9186* CHOOSE(CONTROL!$C$19, $C$13, 100%, $E$13)</f>
        <v>4.9185999999999996</v>
      </c>
      <c r="I96" s="61">
        <f>4.9206 * CHOOSE(CONTROL!$C$19, $C$13, 100%, $E$13)</f>
        <v>4.9206000000000003</v>
      </c>
      <c r="J96" s="61">
        <f>3.0478 * CHOOSE(CONTROL!$C$19, $C$13, 100%, $E$13)</f>
        <v>3.0478000000000001</v>
      </c>
      <c r="K96" s="61">
        <f>3.0499 * CHOOSE(CONTROL!$C$19, $C$13, 100%, $E$13)</f>
        <v>3.0499000000000001</v>
      </c>
      <c r="L96" s="4"/>
      <c r="M96" s="4"/>
      <c r="N96" s="4"/>
    </row>
    <row r="97" spans="1:14" ht="15">
      <c r="A97" s="13">
        <v>44805</v>
      </c>
      <c r="B97" s="60">
        <f>3.0395 * CHOOSE(CONTROL!$C$19, $C$13, 100%, $E$13)</f>
        <v>3.0394999999999999</v>
      </c>
      <c r="C97" s="60">
        <f>3.0395 * CHOOSE(CONTROL!$C$19, $C$13, 100%, $E$13)</f>
        <v>3.0394999999999999</v>
      </c>
      <c r="D97" s="60">
        <f>3.0732 * CHOOSE(CONTROL!$C$19, $C$13, 100%, $E$13)</f>
        <v>3.0731999999999999</v>
      </c>
      <c r="E97" s="61">
        <f>3.0432 * CHOOSE(CONTROL!$C$19, $C$13, 100%, $E$13)</f>
        <v>3.0432000000000001</v>
      </c>
      <c r="F97" s="61">
        <f>3.0432 * CHOOSE(CONTROL!$C$19, $C$13, 100%, $E$13)</f>
        <v>3.0432000000000001</v>
      </c>
      <c r="G97" s="61">
        <f>3.0453 * CHOOSE(CONTROL!$C$19, $C$13, 100%, $E$13)</f>
        <v>3.0453000000000001</v>
      </c>
      <c r="H97" s="61">
        <f>4.9288* CHOOSE(CONTROL!$C$19, $C$13, 100%, $E$13)</f>
        <v>4.9287999999999998</v>
      </c>
      <c r="I97" s="61">
        <f>4.9309 * CHOOSE(CONTROL!$C$19, $C$13, 100%, $E$13)</f>
        <v>4.9309000000000003</v>
      </c>
      <c r="J97" s="61">
        <f>3.0432 * CHOOSE(CONTROL!$C$19, $C$13, 100%, $E$13)</f>
        <v>3.0432000000000001</v>
      </c>
      <c r="K97" s="61">
        <f>3.0453 * CHOOSE(CONTROL!$C$19, $C$13, 100%, $E$13)</f>
        <v>3.0453000000000001</v>
      </c>
      <c r="L97" s="4"/>
      <c r="M97" s="4"/>
      <c r="N97" s="4"/>
    </row>
    <row r="98" spans="1:14" ht="15">
      <c r="A98" s="13">
        <v>44835</v>
      </c>
      <c r="B98" s="60">
        <f>3.0312 * CHOOSE(CONTROL!$C$19, $C$13, 100%, $E$13)</f>
        <v>3.0312000000000001</v>
      </c>
      <c r="C98" s="60">
        <f>3.0312 * CHOOSE(CONTROL!$C$19, $C$13, 100%, $E$13)</f>
        <v>3.0312000000000001</v>
      </c>
      <c r="D98" s="60">
        <f>3.048 * CHOOSE(CONTROL!$C$19, $C$13, 100%, $E$13)</f>
        <v>3.048</v>
      </c>
      <c r="E98" s="61">
        <f>3.04 * CHOOSE(CONTROL!$C$19, $C$13, 100%, $E$13)</f>
        <v>3.04</v>
      </c>
      <c r="F98" s="61">
        <f>3.04 * CHOOSE(CONTROL!$C$19, $C$13, 100%, $E$13)</f>
        <v>3.04</v>
      </c>
      <c r="G98" s="61">
        <f>3.0401 * CHOOSE(CONTROL!$C$19, $C$13, 100%, $E$13)</f>
        <v>3.0400999999999998</v>
      </c>
      <c r="H98" s="61">
        <f>4.9391* CHOOSE(CONTROL!$C$19, $C$13, 100%, $E$13)</f>
        <v>4.9390999999999998</v>
      </c>
      <c r="I98" s="61">
        <f>4.9392 * CHOOSE(CONTROL!$C$19, $C$13, 100%, $E$13)</f>
        <v>4.9391999999999996</v>
      </c>
      <c r="J98" s="61">
        <f>3.04 * CHOOSE(CONTROL!$C$19, $C$13, 100%, $E$13)</f>
        <v>3.04</v>
      </c>
      <c r="K98" s="61">
        <f>3.0401 * CHOOSE(CONTROL!$C$19, $C$13, 100%, $E$13)</f>
        <v>3.0400999999999998</v>
      </c>
      <c r="L98" s="4"/>
      <c r="M98" s="4"/>
      <c r="N98" s="4"/>
    </row>
    <row r="99" spans="1:14" ht="15">
      <c r="A99" s="13">
        <v>44866</v>
      </c>
      <c r="B99" s="60">
        <f>3.0342 * CHOOSE(CONTROL!$C$19, $C$13, 100%, $E$13)</f>
        <v>3.0341999999999998</v>
      </c>
      <c r="C99" s="60">
        <f>3.0342 * CHOOSE(CONTROL!$C$19, $C$13, 100%, $E$13)</f>
        <v>3.0341999999999998</v>
      </c>
      <c r="D99" s="60">
        <f>3.0511 * CHOOSE(CONTROL!$C$19, $C$13, 100%, $E$13)</f>
        <v>3.0510999999999999</v>
      </c>
      <c r="E99" s="61">
        <f>3.0472 * CHOOSE(CONTROL!$C$19, $C$13, 100%, $E$13)</f>
        <v>3.0472000000000001</v>
      </c>
      <c r="F99" s="61">
        <f>3.0472 * CHOOSE(CONTROL!$C$19, $C$13, 100%, $E$13)</f>
        <v>3.0472000000000001</v>
      </c>
      <c r="G99" s="61">
        <f>3.0473 * CHOOSE(CONTROL!$C$19, $C$13, 100%, $E$13)</f>
        <v>3.0472999999999999</v>
      </c>
      <c r="H99" s="61">
        <f>4.9494* CHOOSE(CONTROL!$C$19, $C$13, 100%, $E$13)</f>
        <v>4.9493999999999998</v>
      </c>
      <c r="I99" s="61">
        <f>4.9495 * CHOOSE(CONTROL!$C$19, $C$13, 100%, $E$13)</f>
        <v>4.9494999999999996</v>
      </c>
      <c r="J99" s="61">
        <f>3.0472 * CHOOSE(CONTROL!$C$19, $C$13, 100%, $E$13)</f>
        <v>3.0472000000000001</v>
      </c>
      <c r="K99" s="61">
        <f>3.0473 * CHOOSE(CONTROL!$C$19, $C$13, 100%, $E$13)</f>
        <v>3.0472999999999999</v>
      </c>
      <c r="L99" s="4"/>
      <c r="M99" s="4"/>
      <c r="N99" s="4"/>
    </row>
    <row r="100" spans="1:14" ht="15">
      <c r="A100" s="13">
        <v>44896</v>
      </c>
      <c r="B100" s="60">
        <f>3.0342 * CHOOSE(CONTROL!$C$19, $C$13, 100%, $E$13)</f>
        <v>3.0341999999999998</v>
      </c>
      <c r="C100" s="60">
        <f>3.0342 * CHOOSE(CONTROL!$C$19, $C$13, 100%, $E$13)</f>
        <v>3.0341999999999998</v>
      </c>
      <c r="D100" s="60">
        <f>3.0511 * CHOOSE(CONTROL!$C$19, $C$13, 100%, $E$13)</f>
        <v>3.0510999999999999</v>
      </c>
      <c r="E100" s="61">
        <f>3.0344 * CHOOSE(CONTROL!$C$19, $C$13, 100%, $E$13)</f>
        <v>3.0344000000000002</v>
      </c>
      <c r="F100" s="61">
        <f>3.0344 * CHOOSE(CONTROL!$C$19, $C$13, 100%, $E$13)</f>
        <v>3.0344000000000002</v>
      </c>
      <c r="G100" s="61">
        <f>3.0346 * CHOOSE(CONTROL!$C$19, $C$13, 100%, $E$13)</f>
        <v>3.0346000000000002</v>
      </c>
      <c r="H100" s="61">
        <f>4.9597* CHOOSE(CONTROL!$C$19, $C$13, 100%, $E$13)</f>
        <v>4.9596999999999998</v>
      </c>
      <c r="I100" s="61">
        <f>4.9598 * CHOOSE(CONTROL!$C$19, $C$13, 100%, $E$13)</f>
        <v>4.9598000000000004</v>
      </c>
      <c r="J100" s="61">
        <f>3.0344 * CHOOSE(CONTROL!$C$19, $C$13, 100%, $E$13)</f>
        <v>3.0344000000000002</v>
      </c>
      <c r="K100" s="61">
        <f>3.0346 * CHOOSE(CONTROL!$C$19, $C$13, 100%, $E$13)</f>
        <v>3.0346000000000002</v>
      </c>
      <c r="L100" s="4"/>
      <c r="M100" s="4"/>
      <c r="N100" s="4"/>
    </row>
    <row r="101" spans="1:14" ht="15">
      <c r="A101" s="13">
        <v>44927</v>
      </c>
      <c r="B101" s="60">
        <f>3.0584 * CHOOSE(CONTROL!$C$19, $C$13, 100%, $E$13)</f>
        <v>3.0583999999999998</v>
      </c>
      <c r="C101" s="60">
        <f>3.0584 * CHOOSE(CONTROL!$C$19, $C$13, 100%, $E$13)</f>
        <v>3.0583999999999998</v>
      </c>
      <c r="D101" s="60">
        <f>3.0752 * CHOOSE(CONTROL!$C$19, $C$13, 100%, $E$13)</f>
        <v>3.0752000000000002</v>
      </c>
      <c r="E101" s="61">
        <f>3.1403 * CHOOSE(CONTROL!$C$19, $C$13, 100%, $E$13)</f>
        <v>3.1402999999999999</v>
      </c>
      <c r="F101" s="61">
        <f>3.1403 * CHOOSE(CONTROL!$C$19, $C$13, 100%, $E$13)</f>
        <v>3.1402999999999999</v>
      </c>
      <c r="G101" s="61">
        <f>3.1405 * CHOOSE(CONTROL!$C$19, $C$13, 100%, $E$13)</f>
        <v>3.1404999999999998</v>
      </c>
      <c r="H101" s="61">
        <f>4.97* CHOOSE(CONTROL!$C$19, $C$13, 100%, $E$13)</f>
        <v>4.97</v>
      </c>
      <c r="I101" s="61">
        <f>4.9702 * CHOOSE(CONTROL!$C$19, $C$13, 100%, $E$13)</f>
        <v>4.9702000000000002</v>
      </c>
      <c r="J101" s="61">
        <f>3.1403 * CHOOSE(CONTROL!$C$19, $C$13, 100%, $E$13)</f>
        <v>3.1402999999999999</v>
      </c>
      <c r="K101" s="61">
        <f>3.1405 * CHOOSE(CONTROL!$C$19, $C$13, 100%, $E$13)</f>
        <v>3.1404999999999998</v>
      </c>
      <c r="L101" s="4"/>
      <c r="M101" s="4"/>
      <c r="N101" s="4"/>
    </row>
    <row r="102" spans="1:14" ht="15">
      <c r="A102" s="13">
        <v>44958</v>
      </c>
      <c r="B102" s="60">
        <f>3.0553 * CHOOSE(CONTROL!$C$19, $C$13, 100%, $E$13)</f>
        <v>3.0552999999999999</v>
      </c>
      <c r="C102" s="60">
        <f>3.0553 * CHOOSE(CONTROL!$C$19, $C$13, 100%, $E$13)</f>
        <v>3.0552999999999999</v>
      </c>
      <c r="D102" s="60">
        <f>3.0722 * CHOOSE(CONTROL!$C$19, $C$13, 100%, $E$13)</f>
        <v>3.0722</v>
      </c>
      <c r="E102" s="61">
        <f>3.1066 * CHOOSE(CONTROL!$C$19, $C$13, 100%, $E$13)</f>
        <v>3.1065999999999998</v>
      </c>
      <c r="F102" s="61">
        <f>3.1066 * CHOOSE(CONTROL!$C$19, $C$13, 100%, $E$13)</f>
        <v>3.1065999999999998</v>
      </c>
      <c r="G102" s="61">
        <f>3.1068 * CHOOSE(CONTROL!$C$19, $C$13, 100%, $E$13)</f>
        <v>3.1067999999999998</v>
      </c>
      <c r="H102" s="61">
        <f>4.9804* CHOOSE(CONTROL!$C$19, $C$13, 100%, $E$13)</f>
        <v>4.9804000000000004</v>
      </c>
      <c r="I102" s="61">
        <f>4.9805 * CHOOSE(CONTROL!$C$19, $C$13, 100%, $E$13)</f>
        <v>4.9805000000000001</v>
      </c>
      <c r="J102" s="61">
        <f>3.1066 * CHOOSE(CONTROL!$C$19, $C$13, 100%, $E$13)</f>
        <v>3.1065999999999998</v>
      </c>
      <c r="K102" s="61">
        <f>3.1068 * CHOOSE(CONTROL!$C$19, $C$13, 100%, $E$13)</f>
        <v>3.1067999999999998</v>
      </c>
      <c r="L102" s="4"/>
      <c r="M102" s="4"/>
      <c r="N102" s="4"/>
    </row>
    <row r="103" spans="1:14" ht="15">
      <c r="A103" s="13">
        <v>44986</v>
      </c>
      <c r="B103" s="60">
        <f>3.0523 * CHOOSE(CONTROL!$C$19, $C$13, 100%, $E$13)</f>
        <v>3.0522999999999998</v>
      </c>
      <c r="C103" s="60">
        <f>3.0523 * CHOOSE(CONTROL!$C$19, $C$13, 100%, $E$13)</f>
        <v>3.0522999999999998</v>
      </c>
      <c r="D103" s="60">
        <f>3.0691 * CHOOSE(CONTROL!$C$19, $C$13, 100%, $E$13)</f>
        <v>3.0691000000000002</v>
      </c>
      <c r="E103" s="61">
        <f>3.1294 * CHOOSE(CONTROL!$C$19, $C$13, 100%, $E$13)</f>
        <v>3.1294</v>
      </c>
      <c r="F103" s="61">
        <f>3.1294 * CHOOSE(CONTROL!$C$19, $C$13, 100%, $E$13)</f>
        <v>3.1294</v>
      </c>
      <c r="G103" s="61">
        <f>3.1296 * CHOOSE(CONTROL!$C$19, $C$13, 100%, $E$13)</f>
        <v>3.1295999999999999</v>
      </c>
      <c r="H103" s="61">
        <f>4.9907* CHOOSE(CONTROL!$C$19, $C$13, 100%, $E$13)</f>
        <v>4.9907000000000004</v>
      </c>
      <c r="I103" s="61">
        <f>4.9909 * CHOOSE(CONTROL!$C$19, $C$13, 100%, $E$13)</f>
        <v>4.9908999999999999</v>
      </c>
      <c r="J103" s="61">
        <f>3.1294 * CHOOSE(CONTROL!$C$19, $C$13, 100%, $E$13)</f>
        <v>3.1294</v>
      </c>
      <c r="K103" s="61">
        <f>3.1296 * CHOOSE(CONTROL!$C$19, $C$13, 100%, $E$13)</f>
        <v>3.1295999999999999</v>
      </c>
      <c r="L103" s="4"/>
      <c r="M103" s="4"/>
      <c r="N103" s="4"/>
    </row>
    <row r="104" spans="1:14" ht="15">
      <c r="A104" s="13">
        <v>45017</v>
      </c>
      <c r="B104" s="60">
        <f>3.0491 * CHOOSE(CONTROL!$C$19, $C$13, 100%, $E$13)</f>
        <v>3.0491000000000001</v>
      </c>
      <c r="C104" s="60">
        <f>3.0491 * CHOOSE(CONTROL!$C$19, $C$13, 100%, $E$13)</f>
        <v>3.0491000000000001</v>
      </c>
      <c r="D104" s="60">
        <f>3.0659 * CHOOSE(CONTROL!$C$19, $C$13, 100%, $E$13)</f>
        <v>3.0659000000000001</v>
      </c>
      <c r="E104" s="61">
        <f>3.1519 * CHOOSE(CONTROL!$C$19, $C$13, 100%, $E$13)</f>
        <v>3.1518999999999999</v>
      </c>
      <c r="F104" s="61">
        <f>3.1519 * CHOOSE(CONTROL!$C$19, $C$13, 100%, $E$13)</f>
        <v>3.1518999999999999</v>
      </c>
      <c r="G104" s="61">
        <f>3.1521 * CHOOSE(CONTROL!$C$19, $C$13, 100%, $E$13)</f>
        <v>3.1520999999999999</v>
      </c>
      <c r="H104" s="61">
        <f>5.0011* CHOOSE(CONTROL!$C$19, $C$13, 100%, $E$13)</f>
        <v>5.0011000000000001</v>
      </c>
      <c r="I104" s="61">
        <f>5.0013 * CHOOSE(CONTROL!$C$19, $C$13, 100%, $E$13)</f>
        <v>5.0012999999999996</v>
      </c>
      <c r="J104" s="61">
        <f>3.1519 * CHOOSE(CONTROL!$C$19, $C$13, 100%, $E$13)</f>
        <v>3.1518999999999999</v>
      </c>
      <c r="K104" s="61">
        <f>3.1521 * CHOOSE(CONTROL!$C$19, $C$13, 100%, $E$13)</f>
        <v>3.1520999999999999</v>
      </c>
      <c r="L104" s="4"/>
      <c r="M104" s="4"/>
      <c r="N104" s="4"/>
    </row>
    <row r="105" spans="1:14" ht="15">
      <c r="A105" s="13">
        <v>45047</v>
      </c>
      <c r="B105" s="60">
        <f>3.0491 * CHOOSE(CONTROL!$C$19, $C$13, 100%, $E$13)</f>
        <v>3.0491000000000001</v>
      </c>
      <c r="C105" s="60">
        <f>3.0491 * CHOOSE(CONTROL!$C$19, $C$13, 100%, $E$13)</f>
        <v>3.0491000000000001</v>
      </c>
      <c r="D105" s="60">
        <f>3.0827 * CHOOSE(CONTROL!$C$19, $C$13, 100%, $E$13)</f>
        <v>3.0827</v>
      </c>
      <c r="E105" s="61">
        <f>3.1619 * CHOOSE(CONTROL!$C$19, $C$13, 100%, $E$13)</f>
        <v>3.1619000000000002</v>
      </c>
      <c r="F105" s="61">
        <f>3.1619 * CHOOSE(CONTROL!$C$19, $C$13, 100%, $E$13)</f>
        <v>3.1619000000000002</v>
      </c>
      <c r="G105" s="61">
        <f>3.164 * CHOOSE(CONTROL!$C$19, $C$13, 100%, $E$13)</f>
        <v>3.1640000000000001</v>
      </c>
      <c r="H105" s="61">
        <f>5.0116* CHOOSE(CONTROL!$C$19, $C$13, 100%, $E$13)</f>
        <v>5.0115999999999996</v>
      </c>
      <c r="I105" s="61">
        <f>5.0136 * CHOOSE(CONTROL!$C$19, $C$13, 100%, $E$13)</f>
        <v>5.0136000000000003</v>
      </c>
      <c r="J105" s="61">
        <f>3.1619 * CHOOSE(CONTROL!$C$19, $C$13, 100%, $E$13)</f>
        <v>3.1619000000000002</v>
      </c>
      <c r="K105" s="61">
        <f>3.164 * CHOOSE(CONTROL!$C$19, $C$13, 100%, $E$13)</f>
        <v>3.1640000000000001</v>
      </c>
      <c r="L105" s="4"/>
      <c r="M105" s="4"/>
      <c r="N105" s="4"/>
    </row>
    <row r="106" spans="1:14" ht="15">
      <c r="A106" s="13">
        <v>45078</v>
      </c>
      <c r="B106" s="60">
        <f>3.0552 * CHOOSE(CONTROL!$C$19, $C$13, 100%, $E$13)</f>
        <v>3.0552000000000001</v>
      </c>
      <c r="C106" s="60">
        <f>3.0552 * CHOOSE(CONTROL!$C$19, $C$13, 100%, $E$13)</f>
        <v>3.0552000000000001</v>
      </c>
      <c r="D106" s="60">
        <f>3.0888 * CHOOSE(CONTROL!$C$19, $C$13, 100%, $E$13)</f>
        <v>3.0888</v>
      </c>
      <c r="E106" s="61">
        <f>3.1561 * CHOOSE(CONTROL!$C$19, $C$13, 100%, $E$13)</f>
        <v>3.1560999999999999</v>
      </c>
      <c r="F106" s="61">
        <f>3.1561 * CHOOSE(CONTROL!$C$19, $C$13, 100%, $E$13)</f>
        <v>3.1560999999999999</v>
      </c>
      <c r="G106" s="61">
        <f>3.1582 * CHOOSE(CONTROL!$C$19, $C$13, 100%, $E$13)</f>
        <v>3.1581999999999999</v>
      </c>
      <c r="H106" s="61">
        <f>5.022* CHOOSE(CONTROL!$C$19, $C$13, 100%, $E$13)</f>
        <v>5.0220000000000002</v>
      </c>
      <c r="I106" s="61">
        <f>5.0241 * CHOOSE(CONTROL!$C$19, $C$13, 100%, $E$13)</f>
        <v>5.0240999999999998</v>
      </c>
      <c r="J106" s="61">
        <f>3.1561 * CHOOSE(CONTROL!$C$19, $C$13, 100%, $E$13)</f>
        <v>3.1560999999999999</v>
      </c>
      <c r="K106" s="61">
        <f>3.1582 * CHOOSE(CONTROL!$C$19, $C$13, 100%, $E$13)</f>
        <v>3.1581999999999999</v>
      </c>
      <c r="L106" s="4"/>
      <c r="M106" s="4"/>
      <c r="N106" s="4"/>
    </row>
    <row r="107" spans="1:14" ht="15">
      <c r="A107" s="13">
        <v>45108</v>
      </c>
      <c r="B107" s="60">
        <f>3.1 * CHOOSE(CONTROL!$C$19, $C$13, 100%, $E$13)</f>
        <v>3.1</v>
      </c>
      <c r="C107" s="60">
        <f>3.1 * CHOOSE(CONTROL!$C$19, $C$13, 100%, $E$13)</f>
        <v>3.1</v>
      </c>
      <c r="D107" s="60">
        <f>3.1336 * CHOOSE(CONTROL!$C$19, $C$13, 100%, $E$13)</f>
        <v>3.1335999999999999</v>
      </c>
      <c r="E107" s="61">
        <f>3.2154 * CHOOSE(CONTROL!$C$19, $C$13, 100%, $E$13)</f>
        <v>3.2153999999999998</v>
      </c>
      <c r="F107" s="61">
        <f>3.2154 * CHOOSE(CONTROL!$C$19, $C$13, 100%, $E$13)</f>
        <v>3.2153999999999998</v>
      </c>
      <c r="G107" s="61">
        <f>3.2175 * CHOOSE(CONTROL!$C$19, $C$13, 100%, $E$13)</f>
        <v>3.2174999999999998</v>
      </c>
      <c r="H107" s="61">
        <f>5.0325* CHOOSE(CONTROL!$C$19, $C$13, 100%, $E$13)</f>
        <v>5.0324999999999998</v>
      </c>
      <c r="I107" s="61">
        <f>5.0345 * CHOOSE(CONTROL!$C$19, $C$13, 100%, $E$13)</f>
        <v>5.0345000000000004</v>
      </c>
      <c r="J107" s="61">
        <f>3.2154 * CHOOSE(CONTROL!$C$19, $C$13, 100%, $E$13)</f>
        <v>3.2153999999999998</v>
      </c>
      <c r="K107" s="61">
        <f>3.2175 * CHOOSE(CONTROL!$C$19, $C$13, 100%, $E$13)</f>
        <v>3.2174999999999998</v>
      </c>
      <c r="L107" s="4"/>
      <c r="M107" s="4"/>
      <c r="N107" s="4"/>
    </row>
    <row r="108" spans="1:14" ht="15">
      <c r="A108" s="13">
        <v>45139</v>
      </c>
      <c r="B108" s="60">
        <f>3.1066 * CHOOSE(CONTROL!$C$19, $C$13, 100%, $E$13)</f>
        <v>3.1065999999999998</v>
      </c>
      <c r="C108" s="60">
        <f>3.1066 * CHOOSE(CONTROL!$C$19, $C$13, 100%, $E$13)</f>
        <v>3.1065999999999998</v>
      </c>
      <c r="D108" s="60">
        <f>3.1403 * CHOOSE(CONTROL!$C$19, $C$13, 100%, $E$13)</f>
        <v>3.1402999999999999</v>
      </c>
      <c r="E108" s="61">
        <f>3.19 * CHOOSE(CONTROL!$C$19, $C$13, 100%, $E$13)</f>
        <v>3.19</v>
      </c>
      <c r="F108" s="61">
        <f>3.19 * CHOOSE(CONTROL!$C$19, $C$13, 100%, $E$13)</f>
        <v>3.19</v>
      </c>
      <c r="G108" s="61">
        <f>3.1921 * CHOOSE(CONTROL!$C$19, $C$13, 100%, $E$13)</f>
        <v>3.1920999999999999</v>
      </c>
      <c r="H108" s="61">
        <f>5.0429* CHOOSE(CONTROL!$C$19, $C$13, 100%, $E$13)</f>
        <v>5.0429000000000004</v>
      </c>
      <c r="I108" s="61">
        <f>5.045 * CHOOSE(CONTROL!$C$19, $C$13, 100%, $E$13)</f>
        <v>5.0449999999999999</v>
      </c>
      <c r="J108" s="61">
        <f>3.19 * CHOOSE(CONTROL!$C$19, $C$13, 100%, $E$13)</f>
        <v>3.19</v>
      </c>
      <c r="K108" s="61">
        <f>3.1921 * CHOOSE(CONTROL!$C$19, $C$13, 100%, $E$13)</f>
        <v>3.1920999999999999</v>
      </c>
      <c r="L108" s="4"/>
      <c r="M108" s="4"/>
      <c r="N108" s="4"/>
    </row>
    <row r="109" spans="1:14" ht="15">
      <c r="A109" s="13">
        <v>45170</v>
      </c>
      <c r="B109" s="60">
        <f>3.1036 * CHOOSE(CONTROL!$C$19, $C$13, 100%, $E$13)</f>
        <v>3.1036000000000001</v>
      </c>
      <c r="C109" s="60">
        <f>3.1036 * CHOOSE(CONTROL!$C$19, $C$13, 100%, $E$13)</f>
        <v>3.1036000000000001</v>
      </c>
      <c r="D109" s="60">
        <f>3.1373 * CHOOSE(CONTROL!$C$19, $C$13, 100%, $E$13)</f>
        <v>3.1373000000000002</v>
      </c>
      <c r="E109" s="61">
        <f>3.1845 * CHOOSE(CONTROL!$C$19, $C$13, 100%, $E$13)</f>
        <v>3.1844999999999999</v>
      </c>
      <c r="F109" s="61">
        <f>3.1845 * CHOOSE(CONTROL!$C$19, $C$13, 100%, $E$13)</f>
        <v>3.1844999999999999</v>
      </c>
      <c r="G109" s="61">
        <f>3.1866 * CHOOSE(CONTROL!$C$19, $C$13, 100%, $E$13)</f>
        <v>3.1865999999999999</v>
      </c>
      <c r="H109" s="61">
        <f>5.0534* CHOOSE(CONTROL!$C$19, $C$13, 100%, $E$13)</f>
        <v>5.0533999999999999</v>
      </c>
      <c r="I109" s="61">
        <f>5.0555 * CHOOSE(CONTROL!$C$19, $C$13, 100%, $E$13)</f>
        <v>5.0555000000000003</v>
      </c>
      <c r="J109" s="61">
        <f>3.1845 * CHOOSE(CONTROL!$C$19, $C$13, 100%, $E$13)</f>
        <v>3.1844999999999999</v>
      </c>
      <c r="K109" s="61">
        <f>3.1866 * CHOOSE(CONTROL!$C$19, $C$13, 100%, $E$13)</f>
        <v>3.1865999999999999</v>
      </c>
      <c r="L109" s="4"/>
      <c r="M109" s="4"/>
      <c r="N109" s="4"/>
    </row>
    <row r="110" spans="1:14" ht="15">
      <c r="A110" s="13">
        <v>45200</v>
      </c>
      <c r="B110" s="60">
        <f>3.0955 * CHOOSE(CONTROL!$C$19, $C$13, 100%, $E$13)</f>
        <v>3.0954999999999999</v>
      </c>
      <c r="C110" s="60">
        <f>3.0955 * CHOOSE(CONTROL!$C$19, $C$13, 100%, $E$13)</f>
        <v>3.0954999999999999</v>
      </c>
      <c r="D110" s="60">
        <f>3.1123 * CHOOSE(CONTROL!$C$19, $C$13, 100%, $E$13)</f>
        <v>3.1122999999999998</v>
      </c>
      <c r="E110" s="61">
        <f>3.1845 * CHOOSE(CONTROL!$C$19, $C$13, 100%, $E$13)</f>
        <v>3.1844999999999999</v>
      </c>
      <c r="F110" s="61">
        <f>3.1845 * CHOOSE(CONTROL!$C$19, $C$13, 100%, $E$13)</f>
        <v>3.1844999999999999</v>
      </c>
      <c r="G110" s="61">
        <f>3.1847 * CHOOSE(CONTROL!$C$19, $C$13, 100%, $E$13)</f>
        <v>3.1846999999999999</v>
      </c>
      <c r="H110" s="61">
        <f>5.064* CHOOSE(CONTROL!$C$19, $C$13, 100%, $E$13)</f>
        <v>5.0640000000000001</v>
      </c>
      <c r="I110" s="61">
        <f>5.0641 * CHOOSE(CONTROL!$C$19, $C$13, 100%, $E$13)</f>
        <v>5.0640999999999998</v>
      </c>
      <c r="J110" s="61">
        <f>3.1845 * CHOOSE(CONTROL!$C$19, $C$13, 100%, $E$13)</f>
        <v>3.1844999999999999</v>
      </c>
      <c r="K110" s="61">
        <f>3.1847 * CHOOSE(CONTROL!$C$19, $C$13, 100%, $E$13)</f>
        <v>3.1846999999999999</v>
      </c>
      <c r="L110" s="4"/>
      <c r="M110" s="4"/>
      <c r="N110" s="4"/>
    </row>
    <row r="111" spans="1:14" ht="15">
      <c r="A111" s="13">
        <v>45231</v>
      </c>
      <c r="B111" s="60">
        <f>3.0985 * CHOOSE(CONTROL!$C$19, $C$13, 100%, $E$13)</f>
        <v>3.0985</v>
      </c>
      <c r="C111" s="60">
        <f>3.0985 * CHOOSE(CONTROL!$C$19, $C$13, 100%, $E$13)</f>
        <v>3.0985</v>
      </c>
      <c r="D111" s="60">
        <f>3.1154 * CHOOSE(CONTROL!$C$19, $C$13, 100%, $E$13)</f>
        <v>3.1154000000000002</v>
      </c>
      <c r="E111" s="61">
        <f>3.1933 * CHOOSE(CONTROL!$C$19, $C$13, 100%, $E$13)</f>
        <v>3.1932999999999998</v>
      </c>
      <c r="F111" s="61">
        <f>3.1933 * CHOOSE(CONTROL!$C$19, $C$13, 100%, $E$13)</f>
        <v>3.1932999999999998</v>
      </c>
      <c r="G111" s="61">
        <f>3.1935 * CHOOSE(CONTROL!$C$19, $C$13, 100%, $E$13)</f>
        <v>3.1934999999999998</v>
      </c>
      <c r="H111" s="61">
        <f>5.0745* CHOOSE(CONTROL!$C$19, $C$13, 100%, $E$13)</f>
        <v>5.0744999999999996</v>
      </c>
      <c r="I111" s="61">
        <f>5.0747 * CHOOSE(CONTROL!$C$19, $C$13, 100%, $E$13)</f>
        <v>5.0747</v>
      </c>
      <c r="J111" s="61">
        <f>3.1933 * CHOOSE(CONTROL!$C$19, $C$13, 100%, $E$13)</f>
        <v>3.1932999999999998</v>
      </c>
      <c r="K111" s="61">
        <f>3.1935 * CHOOSE(CONTROL!$C$19, $C$13, 100%, $E$13)</f>
        <v>3.1934999999999998</v>
      </c>
      <c r="L111" s="4"/>
      <c r="M111" s="4"/>
      <c r="N111" s="4"/>
    </row>
    <row r="112" spans="1:14" ht="15">
      <c r="A112" s="13">
        <v>45261</v>
      </c>
      <c r="B112" s="60">
        <f>3.0985 * CHOOSE(CONTROL!$C$19, $C$13, 100%, $E$13)</f>
        <v>3.0985</v>
      </c>
      <c r="C112" s="60">
        <f>3.0985 * CHOOSE(CONTROL!$C$19, $C$13, 100%, $E$13)</f>
        <v>3.0985</v>
      </c>
      <c r="D112" s="60">
        <f>3.1154 * CHOOSE(CONTROL!$C$19, $C$13, 100%, $E$13)</f>
        <v>3.1154000000000002</v>
      </c>
      <c r="E112" s="61">
        <f>3.1766 * CHOOSE(CONTROL!$C$19, $C$13, 100%, $E$13)</f>
        <v>3.1766000000000001</v>
      </c>
      <c r="F112" s="61">
        <f>3.1766 * CHOOSE(CONTROL!$C$19, $C$13, 100%, $E$13)</f>
        <v>3.1766000000000001</v>
      </c>
      <c r="G112" s="61">
        <f>3.1768 * CHOOSE(CONTROL!$C$19, $C$13, 100%, $E$13)</f>
        <v>3.1768000000000001</v>
      </c>
      <c r="H112" s="61">
        <f>5.0851* CHOOSE(CONTROL!$C$19, $C$13, 100%, $E$13)</f>
        <v>5.0850999999999997</v>
      </c>
      <c r="I112" s="61">
        <f>5.0853 * CHOOSE(CONTROL!$C$19, $C$13, 100%, $E$13)</f>
        <v>5.0853000000000002</v>
      </c>
      <c r="J112" s="61">
        <f>3.1766 * CHOOSE(CONTROL!$C$19, $C$13, 100%, $E$13)</f>
        <v>3.1766000000000001</v>
      </c>
      <c r="K112" s="61">
        <f>3.1768 * CHOOSE(CONTROL!$C$19, $C$13, 100%, $E$13)</f>
        <v>3.1768000000000001</v>
      </c>
      <c r="L112" s="4"/>
      <c r="M112" s="4"/>
      <c r="N112" s="4"/>
    </row>
    <row r="113" spans="1:14" ht="15">
      <c r="A113" s="13">
        <v>45292</v>
      </c>
      <c r="B113" s="60">
        <f>3.129 * CHOOSE(CONTROL!$C$19, $C$13, 100%, $E$13)</f>
        <v>3.129</v>
      </c>
      <c r="C113" s="60">
        <f>3.129 * CHOOSE(CONTROL!$C$19, $C$13, 100%, $E$13)</f>
        <v>3.129</v>
      </c>
      <c r="D113" s="60">
        <f>3.1458 * CHOOSE(CONTROL!$C$19, $C$13, 100%, $E$13)</f>
        <v>3.1457999999999999</v>
      </c>
      <c r="E113" s="61">
        <f>3.255 * CHOOSE(CONTROL!$C$19, $C$13, 100%, $E$13)</f>
        <v>3.2549999999999999</v>
      </c>
      <c r="F113" s="61">
        <f>3.255 * CHOOSE(CONTROL!$C$19, $C$13, 100%, $E$13)</f>
        <v>3.2549999999999999</v>
      </c>
      <c r="G113" s="61">
        <f>3.2551 * CHOOSE(CONTROL!$C$19, $C$13, 100%, $E$13)</f>
        <v>3.2551000000000001</v>
      </c>
      <c r="H113" s="61">
        <f>5.0957* CHOOSE(CONTROL!$C$19, $C$13, 100%, $E$13)</f>
        <v>5.0956999999999999</v>
      </c>
      <c r="I113" s="61">
        <f>5.0959 * CHOOSE(CONTROL!$C$19, $C$13, 100%, $E$13)</f>
        <v>5.0959000000000003</v>
      </c>
      <c r="J113" s="61">
        <f>3.255 * CHOOSE(CONTROL!$C$19, $C$13, 100%, $E$13)</f>
        <v>3.2549999999999999</v>
      </c>
      <c r="K113" s="61">
        <f>3.2551 * CHOOSE(CONTROL!$C$19, $C$13, 100%, $E$13)</f>
        <v>3.2551000000000001</v>
      </c>
      <c r="L113" s="4"/>
      <c r="M113" s="4"/>
      <c r="N113" s="4"/>
    </row>
    <row r="114" spans="1:14" ht="15">
      <c r="A114" s="13">
        <v>45323</v>
      </c>
      <c r="B114" s="60">
        <f>3.1259 * CHOOSE(CONTROL!$C$19, $C$13, 100%, $E$13)</f>
        <v>3.1259000000000001</v>
      </c>
      <c r="C114" s="60">
        <f>3.1259 * CHOOSE(CONTROL!$C$19, $C$13, 100%, $E$13)</f>
        <v>3.1259000000000001</v>
      </c>
      <c r="D114" s="60">
        <f>3.1428 * CHOOSE(CONTROL!$C$19, $C$13, 100%, $E$13)</f>
        <v>3.1427999999999998</v>
      </c>
      <c r="E114" s="61">
        <f>3.2171 * CHOOSE(CONTROL!$C$19, $C$13, 100%, $E$13)</f>
        <v>3.2170999999999998</v>
      </c>
      <c r="F114" s="61">
        <f>3.2171 * CHOOSE(CONTROL!$C$19, $C$13, 100%, $E$13)</f>
        <v>3.2170999999999998</v>
      </c>
      <c r="G114" s="61">
        <f>3.2172 * CHOOSE(CONTROL!$C$19, $C$13, 100%, $E$13)</f>
        <v>3.2172000000000001</v>
      </c>
      <c r="H114" s="61">
        <f>5.1063* CHOOSE(CONTROL!$C$19, $C$13, 100%, $E$13)</f>
        <v>5.1063000000000001</v>
      </c>
      <c r="I114" s="61">
        <f>5.1065 * CHOOSE(CONTROL!$C$19, $C$13, 100%, $E$13)</f>
        <v>5.1064999999999996</v>
      </c>
      <c r="J114" s="61">
        <f>3.2171 * CHOOSE(CONTROL!$C$19, $C$13, 100%, $E$13)</f>
        <v>3.2170999999999998</v>
      </c>
      <c r="K114" s="61">
        <f>3.2172 * CHOOSE(CONTROL!$C$19, $C$13, 100%, $E$13)</f>
        <v>3.2172000000000001</v>
      </c>
      <c r="L114" s="4"/>
      <c r="M114" s="4"/>
      <c r="N114" s="4"/>
    </row>
    <row r="115" spans="1:14" ht="15">
      <c r="A115" s="13">
        <v>45352</v>
      </c>
      <c r="B115" s="60">
        <f>3.1229 * CHOOSE(CONTROL!$C$19, $C$13, 100%, $E$13)</f>
        <v>3.1229</v>
      </c>
      <c r="C115" s="60">
        <f>3.1229 * CHOOSE(CONTROL!$C$19, $C$13, 100%, $E$13)</f>
        <v>3.1229</v>
      </c>
      <c r="D115" s="60">
        <f>3.1397 * CHOOSE(CONTROL!$C$19, $C$13, 100%, $E$13)</f>
        <v>3.1396999999999999</v>
      </c>
      <c r="E115" s="61">
        <f>3.2432 * CHOOSE(CONTROL!$C$19, $C$13, 100%, $E$13)</f>
        <v>3.2431999999999999</v>
      </c>
      <c r="F115" s="61">
        <f>3.2432 * CHOOSE(CONTROL!$C$19, $C$13, 100%, $E$13)</f>
        <v>3.2431999999999999</v>
      </c>
      <c r="G115" s="61">
        <f>3.2433 * CHOOSE(CONTROL!$C$19, $C$13, 100%, $E$13)</f>
        <v>3.2433000000000001</v>
      </c>
      <c r="H115" s="61">
        <f>5.1169* CHOOSE(CONTROL!$C$19, $C$13, 100%, $E$13)</f>
        <v>5.1169000000000002</v>
      </c>
      <c r="I115" s="61">
        <f>5.1171 * CHOOSE(CONTROL!$C$19, $C$13, 100%, $E$13)</f>
        <v>5.1170999999999998</v>
      </c>
      <c r="J115" s="61">
        <f>3.2432 * CHOOSE(CONTROL!$C$19, $C$13, 100%, $E$13)</f>
        <v>3.2431999999999999</v>
      </c>
      <c r="K115" s="61">
        <f>3.2433 * CHOOSE(CONTROL!$C$19, $C$13, 100%, $E$13)</f>
        <v>3.2433000000000001</v>
      </c>
      <c r="L115" s="4"/>
      <c r="M115" s="4"/>
      <c r="N115" s="4"/>
    </row>
    <row r="116" spans="1:14" ht="15">
      <c r="A116" s="13">
        <v>45383</v>
      </c>
      <c r="B116" s="60">
        <f>3.1198 * CHOOSE(CONTROL!$C$19, $C$13, 100%, $E$13)</f>
        <v>3.1198000000000001</v>
      </c>
      <c r="C116" s="60">
        <f>3.1198 * CHOOSE(CONTROL!$C$19, $C$13, 100%, $E$13)</f>
        <v>3.1198000000000001</v>
      </c>
      <c r="D116" s="60">
        <f>3.1366 * CHOOSE(CONTROL!$C$19, $C$13, 100%, $E$13)</f>
        <v>3.1366000000000001</v>
      </c>
      <c r="E116" s="61">
        <f>3.2692 * CHOOSE(CONTROL!$C$19, $C$13, 100%, $E$13)</f>
        <v>3.2692000000000001</v>
      </c>
      <c r="F116" s="61">
        <f>3.2692 * CHOOSE(CONTROL!$C$19, $C$13, 100%, $E$13)</f>
        <v>3.2692000000000001</v>
      </c>
      <c r="G116" s="61">
        <f>3.2694 * CHOOSE(CONTROL!$C$19, $C$13, 100%, $E$13)</f>
        <v>3.2694000000000001</v>
      </c>
      <c r="H116" s="61">
        <f>5.1276* CHOOSE(CONTROL!$C$19, $C$13, 100%, $E$13)</f>
        <v>5.1276000000000002</v>
      </c>
      <c r="I116" s="61">
        <f>5.1278 * CHOOSE(CONTROL!$C$19, $C$13, 100%, $E$13)</f>
        <v>5.1277999999999997</v>
      </c>
      <c r="J116" s="61">
        <f>3.2692 * CHOOSE(CONTROL!$C$19, $C$13, 100%, $E$13)</f>
        <v>3.2692000000000001</v>
      </c>
      <c r="K116" s="61">
        <f>3.2694 * CHOOSE(CONTROL!$C$19, $C$13, 100%, $E$13)</f>
        <v>3.2694000000000001</v>
      </c>
      <c r="L116" s="4"/>
      <c r="M116" s="4"/>
      <c r="N116" s="4"/>
    </row>
    <row r="117" spans="1:14" ht="15">
      <c r="A117" s="13">
        <v>45413</v>
      </c>
      <c r="B117" s="60">
        <f>3.1198 * CHOOSE(CONTROL!$C$19, $C$13, 100%, $E$13)</f>
        <v>3.1198000000000001</v>
      </c>
      <c r="C117" s="60">
        <f>3.1198 * CHOOSE(CONTROL!$C$19, $C$13, 100%, $E$13)</f>
        <v>3.1198000000000001</v>
      </c>
      <c r="D117" s="60">
        <f>3.1534 * CHOOSE(CONTROL!$C$19, $C$13, 100%, $E$13)</f>
        <v>3.1534</v>
      </c>
      <c r="E117" s="61">
        <f>3.2806 * CHOOSE(CONTROL!$C$19, $C$13, 100%, $E$13)</f>
        <v>3.2806000000000002</v>
      </c>
      <c r="F117" s="61">
        <f>3.2806 * CHOOSE(CONTROL!$C$19, $C$13, 100%, $E$13)</f>
        <v>3.2806000000000002</v>
      </c>
      <c r="G117" s="61">
        <f>3.2827 * CHOOSE(CONTROL!$C$19, $C$13, 100%, $E$13)</f>
        <v>3.2827000000000002</v>
      </c>
      <c r="H117" s="61">
        <f>5.1383* CHOOSE(CONTROL!$C$19, $C$13, 100%, $E$13)</f>
        <v>5.1383000000000001</v>
      </c>
      <c r="I117" s="61">
        <f>5.1404 * CHOOSE(CONTROL!$C$19, $C$13, 100%, $E$13)</f>
        <v>5.1403999999999996</v>
      </c>
      <c r="J117" s="61">
        <f>3.2806 * CHOOSE(CONTROL!$C$19, $C$13, 100%, $E$13)</f>
        <v>3.2806000000000002</v>
      </c>
      <c r="K117" s="61">
        <f>3.2827 * CHOOSE(CONTROL!$C$19, $C$13, 100%, $E$13)</f>
        <v>3.2827000000000002</v>
      </c>
      <c r="L117" s="4"/>
      <c r="M117" s="4"/>
      <c r="N117" s="4"/>
    </row>
    <row r="118" spans="1:14" ht="15">
      <c r="A118" s="13">
        <v>45444</v>
      </c>
      <c r="B118" s="60">
        <f>3.1258 * CHOOSE(CONTROL!$C$19, $C$13, 100%, $E$13)</f>
        <v>3.1257999999999999</v>
      </c>
      <c r="C118" s="60">
        <f>3.1258 * CHOOSE(CONTROL!$C$19, $C$13, 100%, $E$13)</f>
        <v>3.1257999999999999</v>
      </c>
      <c r="D118" s="60">
        <f>3.1595 * CHOOSE(CONTROL!$C$19, $C$13, 100%, $E$13)</f>
        <v>3.1595</v>
      </c>
      <c r="E118" s="61">
        <f>3.2735 * CHOOSE(CONTROL!$C$19, $C$13, 100%, $E$13)</f>
        <v>3.2734999999999999</v>
      </c>
      <c r="F118" s="61">
        <f>3.2735 * CHOOSE(CONTROL!$C$19, $C$13, 100%, $E$13)</f>
        <v>3.2734999999999999</v>
      </c>
      <c r="G118" s="61">
        <f>3.2755 * CHOOSE(CONTROL!$C$19, $C$13, 100%, $E$13)</f>
        <v>3.2755000000000001</v>
      </c>
      <c r="H118" s="61">
        <f>5.149* CHOOSE(CONTROL!$C$19, $C$13, 100%, $E$13)</f>
        <v>5.149</v>
      </c>
      <c r="I118" s="61">
        <f>5.1511 * CHOOSE(CONTROL!$C$19, $C$13, 100%, $E$13)</f>
        <v>5.1510999999999996</v>
      </c>
      <c r="J118" s="61">
        <f>3.2735 * CHOOSE(CONTROL!$C$19, $C$13, 100%, $E$13)</f>
        <v>3.2734999999999999</v>
      </c>
      <c r="K118" s="61">
        <f>3.2755 * CHOOSE(CONTROL!$C$19, $C$13, 100%, $E$13)</f>
        <v>3.2755000000000001</v>
      </c>
      <c r="L118" s="4"/>
      <c r="M118" s="4"/>
      <c r="N118" s="4"/>
    </row>
    <row r="119" spans="1:14" ht="15">
      <c r="A119" s="13">
        <v>45474</v>
      </c>
      <c r="B119" s="60">
        <f>3.1848 * CHOOSE(CONTROL!$C$19, $C$13, 100%, $E$13)</f>
        <v>3.1848000000000001</v>
      </c>
      <c r="C119" s="60">
        <f>3.1848 * CHOOSE(CONTROL!$C$19, $C$13, 100%, $E$13)</f>
        <v>3.1848000000000001</v>
      </c>
      <c r="D119" s="60">
        <f>3.2185 * CHOOSE(CONTROL!$C$19, $C$13, 100%, $E$13)</f>
        <v>3.2185000000000001</v>
      </c>
      <c r="E119" s="61">
        <f>3.3462 * CHOOSE(CONTROL!$C$19, $C$13, 100%, $E$13)</f>
        <v>3.3462000000000001</v>
      </c>
      <c r="F119" s="61">
        <f>3.3462 * CHOOSE(CONTROL!$C$19, $C$13, 100%, $E$13)</f>
        <v>3.3462000000000001</v>
      </c>
      <c r="G119" s="61">
        <f>3.3482 * CHOOSE(CONTROL!$C$19, $C$13, 100%, $E$13)</f>
        <v>3.3481999999999998</v>
      </c>
      <c r="H119" s="61">
        <f>5.1597* CHOOSE(CONTROL!$C$19, $C$13, 100%, $E$13)</f>
        <v>5.1597</v>
      </c>
      <c r="I119" s="61">
        <f>5.1618 * CHOOSE(CONTROL!$C$19, $C$13, 100%, $E$13)</f>
        <v>5.1618000000000004</v>
      </c>
      <c r="J119" s="61">
        <f>3.3462 * CHOOSE(CONTROL!$C$19, $C$13, 100%, $E$13)</f>
        <v>3.3462000000000001</v>
      </c>
      <c r="K119" s="61">
        <f>3.3482 * CHOOSE(CONTROL!$C$19, $C$13, 100%, $E$13)</f>
        <v>3.3481999999999998</v>
      </c>
      <c r="L119" s="4"/>
      <c r="M119" s="4"/>
      <c r="N119" s="4"/>
    </row>
    <row r="120" spans="1:14" ht="15">
      <c r="A120" s="13">
        <v>45505</v>
      </c>
      <c r="B120" s="60">
        <f>3.1915 * CHOOSE(CONTROL!$C$19, $C$13, 100%, $E$13)</f>
        <v>3.1915</v>
      </c>
      <c r="C120" s="60">
        <f>3.1915 * CHOOSE(CONTROL!$C$19, $C$13, 100%, $E$13)</f>
        <v>3.1915</v>
      </c>
      <c r="D120" s="60">
        <f>3.2252 * CHOOSE(CONTROL!$C$19, $C$13, 100%, $E$13)</f>
        <v>3.2252000000000001</v>
      </c>
      <c r="E120" s="61">
        <f>3.3167 * CHOOSE(CONTROL!$C$19, $C$13, 100%, $E$13)</f>
        <v>3.3167</v>
      </c>
      <c r="F120" s="61">
        <f>3.3167 * CHOOSE(CONTROL!$C$19, $C$13, 100%, $E$13)</f>
        <v>3.3167</v>
      </c>
      <c r="G120" s="61">
        <f>3.3188 * CHOOSE(CONTROL!$C$19, $C$13, 100%, $E$13)</f>
        <v>3.3188</v>
      </c>
      <c r="H120" s="61">
        <f>5.1705* CHOOSE(CONTROL!$C$19, $C$13, 100%, $E$13)</f>
        <v>5.1704999999999997</v>
      </c>
      <c r="I120" s="61">
        <f>5.1726 * CHOOSE(CONTROL!$C$19, $C$13, 100%, $E$13)</f>
        <v>5.1726000000000001</v>
      </c>
      <c r="J120" s="61">
        <f>3.3167 * CHOOSE(CONTROL!$C$19, $C$13, 100%, $E$13)</f>
        <v>3.3167</v>
      </c>
      <c r="K120" s="61">
        <f>3.3188 * CHOOSE(CONTROL!$C$19, $C$13, 100%, $E$13)</f>
        <v>3.3188</v>
      </c>
      <c r="L120" s="4"/>
      <c r="M120" s="4"/>
      <c r="N120" s="4"/>
    </row>
    <row r="121" spans="1:14" ht="15">
      <c r="A121" s="13">
        <v>45536</v>
      </c>
      <c r="B121" s="60">
        <f>3.1885 * CHOOSE(CONTROL!$C$19, $C$13, 100%, $E$13)</f>
        <v>3.1884999999999999</v>
      </c>
      <c r="C121" s="60">
        <f>3.1885 * CHOOSE(CONTROL!$C$19, $C$13, 100%, $E$13)</f>
        <v>3.1884999999999999</v>
      </c>
      <c r="D121" s="60">
        <f>3.2221 * CHOOSE(CONTROL!$C$19, $C$13, 100%, $E$13)</f>
        <v>3.2221000000000002</v>
      </c>
      <c r="E121" s="61">
        <f>3.3108 * CHOOSE(CONTROL!$C$19, $C$13, 100%, $E$13)</f>
        <v>3.3108</v>
      </c>
      <c r="F121" s="61">
        <f>3.3108 * CHOOSE(CONTROL!$C$19, $C$13, 100%, $E$13)</f>
        <v>3.3108</v>
      </c>
      <c r="G121" s="61">
        <f>3.3129 * CHOOSE(CONTROL!$C$19, $C$13, 100%, $E$13)</f>
        <v>3.3129</v>
      </c>
      <c r="H121" s="61">
        <f>5.1812* CHOOSE(CONTROL!$C$19, $C$13, 100%, $E$13)</f>
        <v>5.1811999999999996</v>
      </c>
      <c r="I121" s="61">
        <f>5.1833 * CHOOSE(CONTROL!$C$19, $C$13, 100%, $E$13)</f>
        <v>5.1833</v>
      </c>
      <c r="J121" s="61">
        <f>3.3108 * CHOOSE(CONTROL!$C$19, $C$13, 100%, $E$13)</f>
        <v>3.3108</v>
      </c>
      <c r="K121" s="61">
        <f>3.3129 * CHOOSE(CONTROL!$C$19, $C$13, 100%, $E$13)</f>
        <v>3.3129</v>
      </c>
      <c r="L121" s="4"/>
      <c r="M121" s="4"/>
      <c r="N121" s="4"/>
    </row>
    <row r="122" spans="1:14" ht="15">
      <c r="A122" s="13">
        <v>45566</v>
      </c>
      <c r="B122" s="60">
        <f>3.1807 * CHOOSE(CONTROL!$C$19, $C$13, 100%, $E$13)</f>
        <v>3.1806999999999999</v>
      </c>
      <c r="C122" s="60">
        <f>3.1807 * CHOOSE(CONTROL!$C$19, $C$13, 100%, $E$13)</f>
        <v>3.1806999999999999</v>
      </c>
      <c r="D122" s="60">
        <f>3.1975 * CHOOSE(CONTROL!$C$19, $C$13, 100%, $E$13)</f>
        <v>3.1974999999999998</v>
      </c>
      <c r="E122" s="61">
        <f>3.3126 * CHOOSE(CONTROL!$C$19, $C$13, 100%, $E$13)</f>
        <v>3.3126000000000002</v>
      </c>
      <c r="F122" s="61">
        <f>3.3126 * CHOOSE(CONTROL!$C$19, $C$13, 100%, $E$13)</f>
        <v>3.3126000000000002</v>
      </c>
      <c r="G122" s="61">
        <f>3.3127 * CHOOSE(CONTROL!$C$19, $C$13, 100%, $E$13)</f>
        <v>3.3127</v>
      </c>
      <c r="H122" s="61">
        <f>5.192* CHOOSE(CONTROL!$C$19, $C$13, 100%, $E$13)</f>
        <v>5.1920000000000002</v>
      </c>
      <c r="I122" s="61">
        <f>5.1922 * CHOOSE(CONTROL!$C$19, $C$13, 100%, $E$13)</f>
        <v>5.1921999999999997</v>
      </c>
      <c r="J122" s="61">
        <f>3.3126 * CHOOSE(CONTROL!$C$19, $C$13, 100%, $E$13)</f>
        <v>3.3126000000000002</v>
      </c>
      <c r="K122" s="61">
        <f>3.3127 * CHOOSE(CONTROL!$C$19, $C$13, 100%, $E$13)</f>
        <v>3.3127</v>
      </c>
      <c r="L122" s="4"/>
      <c r="M122" s="4"/>
      <c r="N122" s="4"/>
    </row>
    <row r="123" spans="1:14" ht="15">
      <c r="A123" s="13">
        <v>45597</v>
      </c>
      <c r="B123" s="60">
        <f>3.1837 * CHOOSE(CONTROL!$C$19, $C$13, 100%, $E$13)</f>
        <v>3.1837</v>
      </c>
      <c r="C123" s="60">
        <f>3.1837 * CHOOSE(CONTROL!$C$19, $C$13, 100%, $E$13)</f>
        <v>3.1837</v>
      </c>
      <c r="D123" s="60">
        <f>3.2005 * CHOOSE(CONTROL!$C$19, $C$13, 100%, $E$13)</f>
        <v>3.2004999999999999</v>
      </c>
      <c r="E123" s="61">
        <f>3.3223 * CHOOSE(CONTROL!$C$19, $C$13, 100%, $E$13)</f>
        <v>3.3222999999999998</v>
      </c>
      <c r="F123" s="61">
        <f>3.3223 * CHOOSE(CONTROL!$C$19, $C$13, 100%, $E$13)</f>
        <v>3.3222999999999998</v>
      </c>
      <c r="G123" s="61">
        <f>3.3224 * CHOOSE(CONTROL!$C$19, $C$13, 100%, $E$13)</f>
        <v>3.3224</v>
      </c>
      <c r="H123" s="61">
        <f>5.2028* CHOOSE(CONTROL!$C$19, $C$13, 100%, $E$13)</f>
        <v>5.2027999999999999</v>
      </c>
      <c r="I123" s="61">
        <f>5.203 * CHOOSE(CONTROL!$C$19, $C$13, 100%, $E$13)</f>
        <v>5.2030000000000003</v>
      </c>
      <c r="J123" s="61">
        <f>3.3223 * CHOOSE(CONTROL!$C$19, $C$13, 100%, $E$13)</f>
        <v>3.3222999999999998</v>
      </c>
      <c r="K123" s="61">
        <f>3.3224 * CHOOSE(CONTROL!$C$19, $C$13, 100%, $E$13)</f>
        <v>3.3224</v>
      </c>
      <c r="L123" s="4"/>
      <c r="M123" s="4"/>
      <c r="N123" s="4"/>
    </row>
    <row r="124" spans="1:14" ht="15">
      <c r="A124" s="13">
        <v>45627</v>
      </c>
      <c r="B124" s="60">
        <f>3.1837 * CHOOSE(CONTROL!$C$19, $C$13, 100%, $E$13)</f>
        <v>3.1837</v>
      </c>
      <c r="C124" s="60">
        <f>3.1837 * CHOOSE(CONTROL!$C$19, $C$13, 100%, $E$13)</f>
        <v>3.1837</v>
      </c>
      <c r="D124" s="60">
        <f>3.2005 * CHOOSE(CONTROL!$C$19, $C$13, 100%, $E$13)</f>
        <v>3.2004999999999999</v>
      </c>
      <c r="E124" s="61">
        <f>3.3033 * CHOOSE(CONTROL!$C$19, $C$13, 100%, $E$13)</f>
        <v>3.3033000000000001</v>
      </c>
      <c r="F124" s="61">
        <f>3.3033 * CHOOSE(CONTROL!$C$19, $C$13, 100%, $E$13)</f>
        <v>3.3033000000000001</v>
      </c>
      <c r="G124" s="61">
        <f>3.3035 * CHOOSE(CONTROL!$C$19, $C$13, 100%, $E$13)</f>
        <v>3.3035000000000001</v>
      </c>
      <c r="H124" s="61">
        <f>5.2137* CHOOSE(CONTROL!$C$19, $C$13, 100%, $E$13)</f>
        <v>5.2137000000000002</v>
      </c>
      <c r="I124" s="61">
        <f>5.2139 * CHOOSE(CONTROL!$C$19, $C$13, 100%, $E$13)</f>
        <v>5.2138999999999998</v>
      </c>
      <c r="J124" s="61">
        <f>3.3033 * CHOOSE(CONTROL!$C$19, $C$13, 100%, $E$13)</f>
        <v>3.3033000000000001</v>
      </c>
      <c r="K124" s="61">
        <f>3.3035 * CHOOSE(CONTROL!$C$19, $C$13, 100%, $E$13)</f>
        <v>3.3035000000000001</v>
      </c>
      <c r="L124" s="4"/>
      <c r="M124" s="4"/>
      <c r="N124" s="4"/>
    </row>
    <row r="125" spans="1:14" ht="15">
      <c r="A125" s="13">
        <v>45658</v>
      </c>
      <c r="B125" s="60">
        <f>3.21 * CHOOSE(CONTROL!$C$19, $C$13, 100%, $E$13)</f>
        <v>3.21</v>
      </c>
      <c r="C125" s="60">
        <f>3.21 * CHOOSE(CONTROL!$C$19, $C$13, 100%, $E$13)</f>
        <v>3.21</v>
      </c>
      <c r="D125" s="60">
        <f>3.2268 * CHOOSE(CONTROL!$C$19, $C$13, 100%, $E$13)</f>
        <v>3.2267999999999999</v>
      </c>
      <c r="E125" s="61">
        <f>3.3861 * CHOOSE(CONTROL!$C$19, $C$13, 100%, $E$13)</f>
        <v>3.3860999999999999</v>
      </c>
      <c r="F125" s="61">
        <f>3.3861 * CHOOSE(CONTROL!$C$19, $C$13, 100%, $E$13)</f>
        <v>3.3860999999999999</v>
      </c>
      <c r="G125" s="61">
        <f>3.3863 * CHOOSE(CONTROL!$C$19, $C$13, 100%, $E$13)</f>
        <v>3.3862999999999999</v>
      </c>
      <c r="H125" s="61">
        <f>5.2246* CHOOSE(CONTROL!$C$19, $C$13, 100%, $E$13)</f>
        <v>5.2245999999999997</v>
      </c>
      <c r="I125" s="61">
        <f>5.2247 * CHOOSE(CONTROL!$C$19, $C$13, 100%, $E$13)</f>
        <v>5.2247000000000003</v>
      </c>
      <c r="J125" s="61">
        <f>3.3861 * CHOOSE(CONTROL!$C$19, $C$13, 100%, $E$13)</f>
        <v>3.3860999999999999</v>
      </c>
      <c r="K125" s="61">
        <f>3.3863 * CHOOSE(CONTROL!$C$19, $C$13, 100%, $E$13)</f>
        <v>3.3862999999999999</v>
      </c>
      <c r="L125" s="4"/>
      <c r="M125" s="4"/>
      <c r="N125" s="4"/>
    </row>
    <row r="126" spans="1:14" ht="15">
      <c r="A126" s="13">
        <v>45689</v>
      </c>
      <c r="B126" s="60">
        <f>3.2069 * CHOOSE(CONTROL!$C$19, $C$13, 100%, $E$13)</f>
        <v>3.2069000000000001</v>
      </c>
      <c r="C126" s="60">
        <f>3.2069 * CHOOSE(CONTROL!$C$19, $C$13, 100%, $E$13)</f>
        <v>3.2069000000000001</v>
      </c>
      <c r="D126" s="60">
        <f>3.2238 * CHOOSE(CONTROL!$C$19, $C$13, 100%, $E$13)</f>
        <v>3.2238000000000002</v>
      </c>
      <c r="E126" s="61">
        <f>3.3429 * CHOOSE(CONTROL!$C$19, $C$13, 100%, $E$13)</f>
        <v>3.3429000000000002</v>
      </c>
      <c r="F126" s="61">
        <f>3.3429 * CHOOSE(CONTROL!$C$19, $C$13, 100%, $E$13)</f>
        <v>3.3429000000000002</v>
      </c>
      <c r="G126" s="61">
        <f>3.3431 * CHOOSE(CONTROL!$C$19, $C$13, 100%, $E$13)</f>
        <v>3.3431000000000002</v>
      </c>
      <c r="H126" s="61">
        <f>5.2354* CHOOSE(CONTROL!$C$19, $C$13, 100%, $E$13)</f>
        <v>5.2354000000000003</v>
      </c>
      <c r="I126" s="61">
        <f>5.2356 * CHOOSE(CONTROL!$C$19, $C$13, 100%, $E$13)</f>
        <v>5.2355999999999998</v>
      </c>
      <c r="J126" s="61">
        <f>3.3429 * CHOOSE(CONTROL!$C$19, $C$13, 100%, $E$13)</f>
        <v>3.3429000000000002</v>
      </c>
      <c r="K126" s="61">
        <f>3.3431 * CHOOSE(CONTROL!$C$19, $C$13, 100%, $E$13)</f>
        <v>3.3431000000000002</v>
      </c>
      <c r="L126" s="4"/>
      <c r="M126" s="4"/>
      <c r="N126" s="4"/>
    </row>
    <row r="127" spans="1:14" ht="15">
      <c r="A127" s="13">
        <v>45717</v>
      </c>
      <c r="B127" s="60">
        <f>3.2039 * CHOOSE(CONTROL!$C$19, $C$13, 100%, $E$13)</f>
        <v>3.2039</v>
      </c>
      <c r="C127" s="60">
        <f>3.2039 * CHOOSE(CONTROL!$C$19, $C$13, 100%, $E$13)</f>
        <v>3.2039</v>
      </c>
      <c r="D127" s="60">
        <f>3.2207 * CHOOSE(CONTROL!$C$19, $C$13, 100%, $E$13)</f>
        <v>3.2206999999999999</v>
      </c>
      <c r="E127" s="61">
        <f>3.3732 * CHOOSE(CONTROL!$C$19, $C$13, 100%, $E$13)</f>
        <v>3.3732000000000002</v>
      </c>
      <c r="F127" s="61">
        <f>3.3732 * CHOOSE(CONTROL!$C$19, $C$13, 100%, $E$13)</f>
        <v>3.3732000000000002</v>
      </c>
      <c r="G127" s="61">
        <f>3.3733 * CHOOSE(CONTROL!$C$19, $C$13, 100%, $E$13)</f>
        <v>3.3733</v>
      </c>
      <c r="H127" s="61">
        <f>5.2463* CHOOSE(CONTROL!$C$19, $C$13, 100%, $E$13)</f>
        <v>5.2462999999999997</v>
      </c>
      <c r="I127" s="61">
        <f>5.2465 * CHOOSE(CONTROL!$C$19, $C$13, 100%, $E$13)</f>
        <v>5.2465000000000002</v>
      </c>
      <c r="J127" s="61">
        <f>3.3732 * CHOOSE(CONTROL!$C$19, $C$13, 100%, $E$13)</f>
        <v>3.3732000000000002</v>
      </c>
      <c r="K127" s="61">
        <f>3.3733 * CHOOSE(CONTROL!$C$19, $C$13, 100%, $E$13)</f>
        <v>3.3733</v>
      </c>
      <c r="L127" s="4"/>
      <c r="M127" s="4"/>
      <c r="N127" s="4"/>
    </row>
    <row r="128" spans="1:14" ht="15">
      <c r="A128" s="13">
        <v>45748</v>
      </c>
      <c r="B128" s="60">
        <f>3.2008 * CHOOSE(CONTROL!$C$19, $C$13, 100%, $E$13)</f>
        <v>3.2008000000000001</v>
      </c>
      <c r="C128" s="60">
        <f>3.2008 * CHOOSE(CONTROL!$C$19, $C$13, 100%, $E$13)</f>
        <v>3.2008000000000001</v>
      </c>
      <c r="D128" s="60">
        <f>3.2176 * CHOOSE(CONTROL!$C$19, $C$13, 100%, $E$13)</f>
        <v>3.2176</v>
      </c>
      <c r="E128" s="61">
        <f>3.4037 * CHOOSE(CONTROL!$C$19, $C$13, 100%, $E$13)</f>
        <v>3.4037000000000002</v>
      </c>
      <c r="F128" s="61">
        <f>3.4037 * CHOOSE(CONTROL!$C$19, $C$13, 100%, $E$13)</f>
        <v>3.4037000000000002</v>
      </c>
      <c r="G128" s="61">
        <f>3.4039 * CHOOSE(CONTROL!$C$19, $C$13, 100%, $E$13)</f>
        <v>3.4039000000000001</v>
      </c>
      <c r="H128" s="61">
        <f>5.2573* CHOOSE(CONTROL!$C$19, $C$13, 100%, $E$13)</f>
        <v>5.2572999999999999</v>
      </c>
      <c r="I128" s="61">
        <f>5.2574 * CHOOSE(CONTROL!$C$19, $C$13, 100%, $E$13)</f>
        <v>5.2573999999999996</v>
      </c>
      <c r="J128" s="61">
        <f>3.4037 * CHOOSE(CONTROL!$C$19, $C$13, 100%, $E$13)</f>
        <v>3.4037000000000002</v>
      </c>
      <c r="K128" s="61">
        <f>3.4039 * CHOOSE(CONTROL!$C$19, $C$13, 100%, $E$13)</f>
        <v>3.4039000000000001</v>
      </c>
      <c r="L128" s="4"/>
      <c r="M128" s="4"/>
      <c r="N128" s="4"/>
    </row>
    <row r="129" spans="1:14" ht="15">
      <c r="A129" s="13">
        <v>45778</v>
      </c>
      <c r="B129" s="60">
        <f>3.2008 * CHOOSE(CONTROL!$C$19, $C$13, 100%, $E$13)</f>
        <v>3.2008000000000001</v>
      </c>
      <c r="C129" s="60">
        <f>3.2008 * CHOOSE(CONTROL!$C$19, $C$13, 100%, $E$13)</f>
        <v>3.2008000000000001</v>
      </c>
      <c r="D129" s="60">
        <f>3.2345 * CHOOSE(CONTROL!$C$19, $C$13, 100%, $E$13)</f>
        <v>3.2345000000000002</v>
      </c>
      <c r="E129" s="61">
        <f>3.4168 * CHOOSE(CONTROL!$C$19, $C$13, 100%, $E$13)</f>
        <v>3.4167999999999998</v>
      </c>
      <c r="F129" s="61">
        <f>3.4168 * CHOOSE(CONTROL!$C$19, $C$13, 100%, $E$13)</f>
        <v>3.4167999999999998</v>
      </c>
      <c r="G129" s="61">
        <f>3.4189 * CHOOSE(CONTROL!$C$19, $C$13, 100%, $E$13)</f>
        <v>3.4188999999999998</v>
      </c>
      <c r="H129" s="61">
        <f>5.2682* CHOOSE(CONTROL!$C$19, $C$13, 100%, $E$13)</f>
        <v>5.2682000000000002</v>
      </c>
      <c r="I129" s="61">
        <f>5.2703 * CHOOSE(CONTROL!$C$19, $C$13, 100%, $E$13)</f>
        <v>5.2702999999999998</v>
      </c>
      <c r="J129" s="61">
        <f>3.4168 * CHOOSE(CONTROL!$C$19, $C$13, 100%, $E$13)</f>
        <v>3.4167999999999998</v>
      </c>
      <c r="K129" s="61">
        <f>3.4189 * CHOOSE(CONTROL!$C$19, $C$13, 100%, $E$13)</f>
        <v>3.4188999999999998</v>
      </c>
      <c r="L129" s="4"/>
      <c r="M129" s="4"/>
      <c r="N129" s="4"/>
    </row>
    <row r="130" spans="1:14" ht="15">
      <c r="A130" s="13">
        <v>45809</v>
      </c>
      <c r="B130" s="60">
        <f>3.2069 * CHOOSE(CONTROL!$C$19, $C$13, 100%, $E$13)</f>
        <v>3.2069000000000001</v>
      </c>
      <c r="C130" s="60">
        <f>3.2069 * CHOOSE(CONTROL!$C$19, $C$13, 100%, $E$13)</f>
        <v>3.2069000000000001</v>
      </c>
      <c r="D130" s="60">
        <f>3.2405 * CHOOSE(CONTROL!$C$19, $C$13, 100%, $E$13)</f>
        <v>3.2404999999999999</v>
      </c>
      <c r="E130" s="61">
        <f>3.408 * CHOOSE(CONTROL!$C$19, $C$13, 100%, $E$13)</f>
        <v>3.4079999999999999</v>
      </c>
      <c r="F130" s="61">
        <f>3.408 * CHOOSE(CONTROL!$C$19, $C$13, 100%, $E$13)</f>
        <v>3.4079999999999999</v>
      </c>
      <c r="G130" s="61">
        <f>3.41 * CHOOSE(CONTROL!$C$19, $C$13, 100%, $E$13)</f>
        <v>3.41</v>
      </c>
      <c r="H130" s="61">
        <f>5.2792* CHOOSE(CONTROL!$C$19, $C$13, 100%, $E$13)</f>
        <v>5.2792000000000003</v>
      </c>
      <c r="I130" s="61">
        <f>5.2813 * CHOOSE(CONTROL!$C$19, $C$13, 100%, $E$13)</f>
        <v>5.2812999999999999</v>
      </c>
      <c r="J130" s="61">
        <f>3.408 * CHOOSE(CONTROL!$C$19, $C$13, 100%, $E$13)</f>
        <v>3.4079999999999999</v>
      </c>
      <c r="K130" s="61">
        <f>3.41 * CHOOSE(CONTROL!$C$19, $C$13, 100%, $E$13)</f>
        <v>3.41</v>
      </c>
      <c r="L130" s="4"/>
      <c r="M130" s="4"/>
      <c r="N130" s="4"/>
    </row>
    <row r="131" spans="1:14" ht="15">
      <c r="A131" s="13">
        <v>45839</v>
      </c>
      <c r="B131" s="60">
        <f>3.2555 * CHOOSE(CONTROL!$C$19, $C$13, 100%, $E$13)</f>
        <v>3.2555000000000001</v>
      </c>
      <c r="C131" s="60">
        <f>3.2555 * CHOOSE(CONTROL!$C$19, $C$13, 100%, $E$13)</f>
        <v>3.2555000000000001</v>
      </c>
      <c r="D131" s="60">
        <f>3.2892 * CHOOSE(CONTROL!$C$19, $C$13, 100%, $E$13)</f>
        <v>3.2892000000000001</v>
      </c>
      <c r="E131" s="61">
        <f>3.4617 * CHOOSE(CONTROL!$C$19, $C$13, 100%, $E$13)</f>
        <v>3.4617</v>
      </c>
      <c r="F131" s="61">
        <f>3.4617 * CHOOSE(CONTROL!$C$19, $C$13, 100%, $E$13)</f>
        <v>3.4617</v>
      </c>
      <c r="G131" s="61">
        <f>3.4638 * CHOOSE(CONTROL!$C$19, $C$13, 100%, $E$13)</f>
        <v>3.4638</v>
      </c>
      <c r="H131" s="61">
        <f>5.2902* CHOOSE(CONTROL!$C$19, $C$13, 100%, $E$13)</f>
        <v>5.2901999999999996</v>
      </c>
      <c r="I131" s="61">
        <f>5.2923 * CHOOSE(CONTROL!$C$19, $C$13, 100%, $E$13)</f>
        <v>5.2923</v>
      </c>
      <c r="J131" s="61">
        <f>3.4617 * CHOOSE(CONTROL!$C$19, $C$13, 100%, $E$13)</f>
        <v>3.4617</v>
      </c>
      <c r="K131" s="61">
        <f>3.4638 * CHOOSE(CONTROL!$C$19, $C$13, 100%, $E$13)</f>
        <v>3.4638</v>
      </c>
      <c r="L131" s="4"/>
      <c r="M131" s="4"/>
      <c r="N131" s="4"/>
    </row>
    <row r="132" spans="1:14" ht="15">
      <c r="A132" s="13">
        <v>45870</v>
      </c>
      <c r="B132" s="60">
        <f>3.2622 * CHOOSE(CONTROL!$C$19, $C$13, 100%, $E$13)</f>
        <v>3.2622</v>
      </c>
      <c r="C132" s="60">
        <f>3.2622 * CHOOSE(CONTROL!$C$19, $C$13, 100%, $E$13)</f>
        <v>3.2622</v>
      </c>
      <c r="D132" s="60">
        <f>3.2959 * CHOOSE(CONTROL!$C$19, $C$13, 100%, $E$13)</f>
        <v>3.2959000000000001</v>
      </c>
      <c r="E132" s="61">
        <f>3.4272 * CHOOSE(CONTROL!$C$19, $C$13, 100%, $E$13)</f>
        <v>3.4272</v>
      </c>
      <c r="F132" s="61">
        <f>3.4272 * CHOOSE(CONTROL!$C$19, $C$13, 100%, $E$13)</f>
        <v>3.4272</v>
      </c>
      <c r="G132" s="61">
        <f>3.4293 * CHOOSE(CONTROL!$C$19, $C$13, 100%, $E$13)</f>
        <v>3.4293</v>
      </c>
      <c r="H132" s="61">
        <f>5.3012* CHOOSE(CONTROL!$C$19, $C$13, 100%, $E$13)</f>
        <v>5.3011999999999997</v>
      </c>
      <c r="I132" s="61">
        <f>5.3033 * CHOOSE(CONTROL!$C$19, $C$13, 100%, $E$13)</f>
        <v>5.3033000000000001</v>
      </c>
      <c r="J132" s="61">
        <f>3.4272 * CHOOSE(CONTROL!$C$19, $C$13, 100%, $E$13)</f>
        <v>3.4272</v>
      </c>
      <c r="K132" s="61">
        <f>3.4293 * CHOOSE(CONTROL!$C$19, $C$13, 100%, $E$13)</f>
        <v>3.4293</v>
      </c>
      <c r="L132" s="4"/>
      <c r="M132" s="4"/>
      <c r="N132" s="4"/>
    </row>
    <row r="133" spans="1:14" ht="15">
      <c r="A133" s="13">
        <v>45901</v>
      </c>
      <c r="B133" s="60">
        <f>3.2592 * CHOOSE(CONTROL!$C$19, $C$13, 100%, $E$13)</f>
        <v>3.2591999999999999</v>
      </c>
      <c r="C133" s="60">
        <f>3.2592 * CHOOSE(CONTROL!$C$19, $C$13, 100%, $E$13)</f>
        <v>3.2591999999999999</v>
      </c>
      <c r="D133" s="60">
        <f>3.2928 * CHOOSE(CONTROL!$C$19, $C$13, 100%, $E$13)</f>
        <v>3.2928000000000002</v>
      </c>
      <c r="E133" s="61">
        <f>3.4207 * CHOOSE(CONTROL!$C$19, $C$13, 100%, $E$13)</f>
        <v>3.4207000000000001</v>
      </c>
      <c r="F133" s="61">
        <f>3.4207 * CHOOSE(CONTROL!$C$19, $C$13, 100%, $E$13)</f>
        <v>3.4207000000000001</v>
      </c>
      <c r="G133" s="61">
        <f>3.4228 * CHOOSE(CONTROL!$C$19, $C$13, 100%, $E$13)</f>
        <v>3.4228000000000001</v>
      </c>
      <c r="H133" s="61">
        <f>5.3123* CHOOSE(CONTROL!$C$19, $C$13, 100%, $E$13)</f>
        <v>5.3122999999999996</v>
      </c>
      <c r="I133" s="61">
        <f>5.3144 * CHOOSE(CONTROL!$C$19, $C$13, 100%, $E$13)</f>
        <v>5.3144</v>
      </c>
      <c r="J133" s="61">
        <f>3.4207 * CHOOSE(CONTROL!$C$19, $C$13, 100%, $E$13)</f>
        <v>3.4207000000000001</v>
      </c>
      <c r="K133" s="61">
        <f>3.4228 * CHOOSE(CONTROL!$C$19, $C$13, 100%, $E$13)</f>
        <v>3.4228000000000001</v>
      </c>
      <c r="L133" s="4"/>
      <c r="M133" s="4"/>
      <c r="N133" s="4"/>
    </row>
    <row r="134" spans="1:14" ht="15">
      <c r="A134" s="13">
        <v>45931</v>
      </c>
      <c r="B134" s="60">
        <f>3.2516 * CHOOSE(CONTROL!$C$19, $C$13, 100%, $E$13)</f>
        <v>3.2515999999999998</v>
      </c>
      <c r="C134" s="60">
        <f>3.2516 * CHOOSE(CONTROL!$C$19, $C$13, 100%, $E$13)</f>
        <v>3.2515999999999998</v>
      </c>
      <c r="D134" s="60">
        <f>3.2684 * CHOOSE(CONTROL!$C$19, $C$13, 100%, $E$13)</f>
        <v>3.2684000000000002</v>
      </c>
      <c r="E134" s="61">
        <f>3.4247 * CHOOSE(CONTROL!$C$19, $C$13, 100%, $E$13)</f>
        <v>3.4247000000000001</v>
      </c>
      <c r="F134" s="61">
        <f>3.4247 * CHOOSE(CONTROL!$C$19, $C$13, 100%, $E$13)</f>
        <v>3.4247000000000001</v>
      </c>
      <c r="G134" s="61">
        <f>3.4249 * CHOOSE(CONTROL!$C$19, $C$13, 100%, $E$13)</f>
        <v>3.4249000000000001</v>
      </c>
      <c r="H134" s="61">
        <f>5.3233* CHOOSE(CONTROL!$C$19, $C$13, 100%, $E$13)</f>
        <v>5.3232999999999997</v>
      </c>
      <c r="I134" s="61">
        <f>5.3235 * CHOOSE(CONTROL!$C$19, $C$13, 100%, $E$13)</f>
        <v>5.3235000000000001</v>
      </c>
      <c r="J134" s="61">
        <f>3.4247 * CHOOSE(CONTROL!$C$19, $C$13, 100%, $E$13)</f>
        <v>3.4247000000000001</v>
      </c>
      <c r="K134" s="61">
        <f>3.4249 * CHOOSE(CONTROL!$C$19, $C$13, 100%, $E$13)</f>
        <v>3.4249000000000001</v>
      </c>
      <c r="L134" s="4"/>
      <c r="M134" s="4"/>
      <c r="N134" s="4"/>
    </row>
    <row r="135" spans="1:14" ht="15">
      <c r="A135" s="13">
        <v>45962</v>
      </c>
      <c r="B135" s="60">
        <f>3.2547 * CHOOSE(CONTROL!$C$19, $C$13, 100%, $E$13)</f>
        <v>3.2547000000000001</v>
      </c>
      <c r="C135" s="60">
        <f>3.2547 * CHOOSE(CONTROL!$C$19, $C$13, 100%, $E$13)</f>
        <v>3.2547000000000001</v>
      </c>
      <c r="D135" s="60">
        <f>3.2715 * CHOOSE(CONTROL!$C$19, $C$13, 100%, $E$13)</f>
        <v>3.2715000000000001</v>
      </c>
      <c r="E135" s="61">
        <f>3.4355 * CHOOSE(CONTROL!$C$19, $C$13, 100%, $E$13)</f>
        <v>3.4355000000000002</v>
      </c>
      <c r="F135" s="61">
        <f>3.4355 * CHOOSE(CONTROL!$C$19, $C$13, 100%, $E$13)</f>
        <v>3.4355000000000002</v>
      </c>
      <c r="G135" s="61">
        <f>3.4357 * CHOOSE(CONTROL!$C$19, $C$13, 100%, $E$13)</f>
        <v>3.4357000000000002</v>
      </c>
      <c r="H135" s="61">
        <f>5.3344* CHOOSE(CONTROL!$C$19, $C$13, 100%, $E$13)</f>
        <v>5.3343999999999996</v>
      </c>
      <c r="I135" s="61">
        <f>5.3346 * CHOOSE(CONTROL!$C$19, $C$13, 100%, $E$13)</f>
        <v>5.3346</v>
      </c>
      <c r="J135" s="61">
        <f>3.4355 * CHOOSE(CONTROL!$C$19, $C$13, 100%, $E$13)</f>
        <v>3.4355000000000002</v>
      </c>
      <c r="K135" s="61">
        <f>3.4357 * CHOOSE(CONTROL!$C$19, $C$13, 100%, $E$13)</f>
        <v>3.4357000000000002</v>
      </c>
    </row>
    <row r="136" spans="1:14" ht="15">
      <c r="A136" s="13">
        <v>45992</v>
      </c>
      <c r="B136" s="60">
        <f>3.2547 * CHOOSE(CONTROL!$C$19, $C$13, 100%, $E$13)</f>
        <v>3.2547000000000001</v>
      </c>
      <c r="C136" s="60">
        <f>3.2547 * CHOOSE(CONTROL!$C$19, $C$13, 100%, $E$13)</f>
        <v>3.2547000000000001</v>
      </c>
      <c r="D136" s="60">
        <f>3.2715 * CHOOSE(CONTROL!$C$19, $C$13, 100%, $E$13)</f>
        <v>3.2715000000000001</v>
      </c>
      <c r="E136" s="61">
        <f>3.4138 * CHOOSE(CONTROL!$C$19, $C$13, 100%, $E$13)</f>
        <v>3.4138000000000002</v>
      </c>
      <c r="F136" s="61">
        <f>3.4138 * CHOOSE(CONTROL!$C$19, $C$13, 100%, $E$13)</f>
        <v>3.4138000000000002</v>
      </c>
      <c r="G136" s="61">
        <f>3.414 * CHOOSE(CONTROL!$C$19, $C$13, 100%, $E$13)</f>
        <v>3.4140000000000001</v>
      </c>
      <c r="H136" s="61">
        <f>5.3455* CHOOSE(CONTROL!$C$19, $C$13, 100%, $E$13)</f>
        <v>5.3455000000000004</v>
      </c>
      <c r="I136" s="61">
        <f>5.3457 * CHOOSE(CONTROL!$C$19, $C$13, 100%, $E$13)</f>
        <v>5.3456999999999999</v>
      </c>
      <c r="J136" s="61">
        <f>3.4138 * CHOOSE(CONTROL!$C$19, $C$13, 100%, $E$13)</f>
        <v>3.4138000000000002</v>
      </c>
      <c r="K136" s="61">
        <f>3.414 * CHOOSE(CONTROL!$C$19, $C$13, 100%, $E$13)</f>
        <v>3.4140000000000001</v>
      </c>
    </row>
    <row r="137" spans="1:14" ht="15">
      <c r="A137" s="13">
        <v>46023</v>
      </c>
      <c r="B137" s="60">
        <f>3.2844 * CHOOSE(CONTROL!$C$19, $C$13, 100%, $E$13)</f>
        <v>3.2844000000000002</v>
      </c>
      <c r="C137" s="60">
        <f>3.2844 * CHOOSE(CONTROL!$C$19, $C$13, 100%, $E$13)</f>
        <v>3.2844000000000002</v>
      </c>
      <c r="D137" s="60">
        <f>3.3012 * CHOOSE(CONTROL!$C$19, $C$13, 100%, $E$13)</f>
        <v>3.3012000000000001</v>
      </c>
      <c r="E137" s="61">
        <f>3.4905 * CHOOSE(CONTROL!$C$19, $C$13, 100%, $E$13)</f>
        <v>3.4904999999999999</v>
      </c>
      <c r="F137" s="61">
        <f>3.4905 * CHOOSE(CONTROL!$C$19, $C$13, 100%, $E$13)</f>
        <v>3.4904999999999999</v>
      </c>
      <c r="G137" s="61">
        <f>3.4907 * CHOOSE(CONTROL!$C$19, $C$13, 100%, $E$13)</f>
        <v>3.4906999999999999</v>
      </c>
      <c r="H137" s="61">
        <f>5.3567* CHOOSE(CONTROL!$C$19, $C$13, 100%, $E$13)</f>
        <v>5.3567</v>
      </c>
      <c r="I137" s="61">
        <f>5.3568 * CHOOSE(CONTROL!$C$19, $C$13, 100%, $E$13)</f>
        <v>5.3567999999999998</v>
      </c>
      <c r="J137" s="61">
        <f>3.4905 * CHOOSE(CONTROL!$C$19, $C$13, 100%, $E$13)</f>
        <v>3.4904999999999999</v>
      </c>
      <c r="K137" s="61">
        <f>3.4907 * CHOOSE(CONTROL!$C$19, $C$13, 100%, $E$13)</f>
        <v>3.4906999999999999</v>
      </c>
    </row>
    <row r="138" spans="1:14" ht="15">
      <c r="A138" s="13">
        <v>46054</v>
      </c>
      <c r="B138" s="60">
        <f>3.2813 * CHOOSE(CONTROL!$C$19, $C$13, 100%, $E$13)</f>
        <v>3.2812999999999999</v>
      </c>
      <c r="C138" s="60">
        <f>3.2813 * CHOOSE(CONTROL!$C$19, $C$13, 100%, $E$13)</f>
        <v>3.2812999999999999</v>
      </c>
      <c r="D138" s="60">
        <f>3.2982 * CHOOSE(CONTROL!$C$19, $C$13, 100%, $E$13)</f>
        <v>3.2982</v>
      </c>
      <c r="E138" s="61">
        <f>3.4432 * CHOOSE(CONTROL!$C$19, $C$13, 100%, $E$13)</f>
        <v>3.4432</v>
      </c>
      <c r="F138" s="61">
        <f>3.4432 * CHOOSE(CONTROL!$C$19, $C$13, 100%, $E$13)</f>
        <v>3.4432</v>
      </c>
      <c r="G138" s="61">
        <f>3.4433 * CHOOSE(CONTROL!$C$19, $C$13, 100%, $E$13)</f>
        <v>3.4432999999999998</v>
      </c>
      <c r="H138" s="61">
        <f>5.3678* CHOOSE(CONTROL!$C$19, $C$13, 100%, $E$13)</f>
        <v>5.3677999999999999</v>
      </c>
      <c r="I138" s="61">
        <f>5.368 * CHOOSE(CONTROL!$C$19, $C$13, 100%, $E$13)</f>
        <v>5.3680000000000003</v>
      </c>
      <c r="J138" s="61">
        <f>3.4432 * CHOOSE(CONTROL!$C$19, $C$13, 100%, $E$13)</f>
        <v>3.4432</v>
      </c>
      <c r="K138" s="61">
        <f>3.4433 * CHOOSE(CONTROL!$C$19, $C$13, 100%, $E$13)</f>
        <v>3.4432999999999998</v>
      </c>
    </row>
    <row r="139" spans="1:14" ht="15">
      <c r="A139" s="13">
        <v>46082</v>
      </c>
      <c r="B139" s="60">
        <f>3.2783 * CHOOSE(CONTROL!$C$19, $C$13, 100%, $E$13)</f>
        <v>3.2783000000000002</v>
      </c>
      <c r="C139" s="60">
        <f>3.2783 * CHOOSE(CONTROL!$C$19, $C$13, 100%, $E$13)</f>
        <v>3.2783000000000002</v>
      </c>
      <c r="D139" s="60">
        <f>3.2951 * CHOOSE(CONTROL!$C$19, $C$13, 100%, $E$13)</f>
        <v>3.2951000000000001</v>
      </c>
      <c r="E139" s="61">
        <f>3.4767 * CHOOSE(CONTROL!$C$19, $C$13, 100%, $E$13)</f>
        <v>3.4767000000000001</v>
      </c>
      <c r="F139" s="61">
        <f>3.4767 * CHOOSE(CONTROL!$C$19, $C$13, 100%, $E$13)</f>
        <v>3.4767000000000001</v>
      </c>
      <c r="G139" s="61">
        <f>3.4769 * CHOOSE(CONTROL!$C$19, $C$13, 100%, $E$13)</f>
        <v>3.4769000000000001</v>
      </c>
      <c r="H139" s="61">
        <f>5.379* CHOOSE(CONTROL!$C$19, $C$13, 100%, $E$13)</f>
        <v>5.3789999999999996</v>
      </c>
      <c r="I139" s="61">
        <f>5.3792 * CHOOSE(CONTROL!$C$19, $C$13, 100%, $E$13)</f>
        <v>5.3792</v>
      </c>
      <c r="J139" s="61">
        <f>3.4767 * CHOOSE(CONTROL!$C$19, $C$13, 100%, $E$13)</f>
        <v>3.4767000000000001</v>
      </c>
      <c r="K139" s="61">
        <f>3.4769 * CHOOSE(CONTROL!$C$19, $C$13, 100%, $E$13)</f>
        <v>3.4769000000000001</v>
      </c>
    </row>
    <row r="140" spans="1:14" ht="15">
      <c r="A140" s="13">
        <v>46113</v>
      </c>
      <c r="B140" s="60">
        <f>3.2753 * CHOOSE(CONTROL!$C$19, $C$13, 100%, $E$13)</f>
        <v>3.2753000000000001</v>
      </c>
      <c r="C140" s="60">
        <f>3.2753 * CHOOSE(CONTROL!$C$19, $C$13, 100%, $E$13)</f>
        <v>3.2753000000000001</v>
      </c>
      <c r="D140" s="60">
        <f>3.2921 * CHOOSE(CONTROL!$C$19, $C$13, 100%, $E$13)</f>
        <v>3.2921</v>
      </c>
      <c r="E140" s="61">
        <f>3.5108 * CHOOSE(CONTROL!$C$19, $C$13, 100%, $E$13)</f>
        <v>3.5108000000000001</v>
      </c>
      <c r="F140" s="61">
        <f>3.5108 * CHOOSE(CONTROL!$C$19, $C$13, 100%, $E$13)</f>
        <v>3.5108000000000001</v>
      </c>
      <c r="G140" s="61">
        <f>3.511 * CHOOSE(CONTROL!$C$19, $C$13, 100%, $E$13)</f>
        <v>3.5110000000000001</v>
      </c>
      <c r="H140" s="61">
        <f>5.3902* CHOOSE(CONTROL!$C$19, $C$13, 100%, $E$13)</f>
        <v>5.3902000000000001</v>
      </c>
      <c r="I140" s="61">
        <f>5.3904 * CHOOSE(CONTROL!$C$19, $C$13, 100%, $E$13)</f>
        <v>5.3903999999999996</v>
      </c>
      <c r="J140" s="61">
        <f>3.5108 * CHOOSE(CONTROL!$C$19, $C$13, 100%, $E$13)</f>
        <v>3.5108000000000001</v>
      </c>
      <c r="K140" s="61">
        <f>3.511 * CHOOSE(CONTROL!$C$19, $C$13, 100%, $E$13)</f>
        <v>3.5110000000000001</v>
      </c>
    </row>
    <row r="141" spans="1:14" ht="15">
      <c r="A141" s="13">
        <v>46143</v>
      </c>
      <c r="B141" s="60">
        <f>3.2753 * CHOOSE(CONTROL!$C$19, $C$13, 100%, $E$13)</f>
        <v>3.2753000000000001</v>
      </c>
      <c r="C141" s="60">
        <f>3.2753 * CHOOSE(CONTROL!$C$19, $C$13, 100%, $E$13)</f>
        <v>3.2753000000000001</v>
      </c>
      <c r="D141" s="60">
        <f>3.309 * CHOOSE(CONTROL!$C$19, $C$13, 100%, $E$13)</f>
        <v>3.3090000000000002</v>
      </c>
      <c r="E141" s="61">
        <f>3.5252 * CHOOSE(CONTROL!$C$19, $C$13, 100%, $E$13)</f>
        <v>3.5251999999999999</v>
      </c>
      <c r="F141" s="61">
        <f>3.5252 * CHOOSE(CONTROL!$C$19, $C$13, 100%, $E$13)</f>
        <v>3.5251999999999999</v>
      </c>
      <c r="G141" s="61">
        <f>3.5272 * CHOOSE(CONTROL!$C$19, $C$13, 100%, $E$13)</f>
        <v>3.5272000000000001</v>
      </c>
      <c r="H141" s="61">
        <f>5.4015* CHOOSE(CONTROL!$C$19, $C$13, 100%, $E$13)</f>
        <v>5.4015000000000004</v>
      </c>
      <c r="I141" s="61">
        <f>5.4035 * CHOOSE(CONTROL!$C$19, $C$13, 100%, $E$13)</f>
        <v>5.4035000000000002</v>
      </c>
      <c r="J141" s="61">
        <f>3.5252 * CHOOSE(CONTROL!$C$19, $C$13, 100%, $E$13)</f>
        <v>3.5251999999999999</v>
      </c>
      <c r="K141" s="61">
        <f>3.5272 * CHOOSE(CONTROL!$C$19, $C$13, 100%, $E$13)</f>
        <v>3.5272000000000001</v>
      </c>
    </row>
    <row r="142" spans="1:14" ht="15">
      <c r="A142" s="13">
        <v>46174</v>
      </c>
      <c r="B142" s="60">
        <f>3.2814 * CHOOSE(CONTROL!$C$19, $C$13, 100%, $E$13)</f>
        <v>3.2814000000000001</v>
      </c>
      <c r="C142" s="60">
        <f>3.2814 * CHOOSE(CONTROL!$C$19, $C$13, 100%, $E$13)</f>
        <v>3.2814000000000001</v>
      </c>
      <c r="D142" s="60">
        <f>3.315 * CHOOSE(CONTROL!$C$19, $C$13, 100%, $E$13)</f>
        <v>3.3149999999999999</v>
      </c>
      <c r="E142" s="61">
        <f>3.515 * CHOOSE(CONTROL!$C$19, $C$13, 100%, $E$13)</f>
        <v>3.5150000000000001</v>
      </c>
      <c r="F142" s="61">
        <f>3.515 * CHOOSE(CONTROL!$C$19, $C$13, 100%, $E$13)</f>
        <v>3.5150000000000001</v>
      </c>
      <c r="G142" s="61">
        <f>3.5171 * CHOOSE(CONTROL!$C$19, $C$13, 100%, $E$13)</f>
        <v>3.5171000000000001</v>
      </c>
      <c r="H142" s="61">
        <f>5.4127* CHOOSE(CONTROL!$C$19, $C$13, 100%, $E$13)</f>
        <v>5.4127000000000001</v>
      </c>
      <c r="I142" s="61">
        <f>5.4148 * CHOOSE(CONTROL!$C$19, $C$13, 100%, $E$13)</f>
        <v>5.4147999999999996</v>
      </c>
      <c r="J142" s="61">
        <f>3.515 * CHOOSE(CONTROL!$C$19, $C$13, 100%, $E$13)</f>
        <v>3.5150000000000001</v>
      </c>
      <c r="K142" s="61">
        <f>3.5171 * CHOOSE(CONTROL!$C$19, $C$13, 100%, $E$13)</f>
        <v>3.5171000000000001</v>
      </c>
    </row>
    <row r="143" spans="1:14" ht="15">
      <c r="A143" s="13">
        <v>46204</v>
      </c>
      <c r="B143" s="60">
        <f>3.3377 * CHOOSE(CONTROL!$C$19, $C$13, 100%, $E$13)</f>
        <v>3.3376999999999999</v>
      </c>
      <c r="C143" s="60">
        <f>3.3377 * CHOOSE(CONTROL!$C$19, $C$13, 100%, $E$13)</f>
        <v>3.3376999999999999</v>
      </c>
      <c r="D143" s="60">
        <f>3.3714 * CHOOSE(CONTROL!$C$19, $C$13, 100%, $E$13)</f>
        <v>3.3714</v>
      </c>
      <c r="E143" s="61">
        <f>3.5814 * CHOOSE(CONTROL!$C$19, $C$13, 100%, $E$13)</f>
        <v>3.5813999999999999</v>
      </c>
      <c r="F143" s="61">
        <f>3.5814 * CHOOSE(CONTROL!$C$19, $C$13, 100%, $E$13)</f>
        <v>3.5813999999999999</v>
      </c>
      <c r="G143" s="61">
        <f>3.5835 * CHOOSE(CONTROL!$C$19, $C$13, 100%, $E$13)</f>
        <v>3.5834999999999999</v>
      </c>
      <c r="H143" s="61">
        <f>5.424* CHOOSE(CONTROL!$C$19, $C$13, 100%, $E$13)</f>
        <v>5.4240000000000004</v>
      </c>
      <c r="I143" s="61">
        <f>5.4261 * CHOOSE(CONTROL!$C$19, $C$13, 100%, $E$13)</f>
        <v>5.4260999999999999</v>
      </c>
      <c r="J143" s="61">
        <f>3.5814 * CHOOSE(CONTROL!$C$19, $C$13, 100%, $E$13)</f>
        <v>3.5813999999999999</v>
      </c>
      <c r="K143" s="61">
        <f>3.5835 * CHOOSE(CONTROL!$C$19, $C$13, 100%, $E$13)</f>
        <v>3.5834999999999999</v>
      </c>
    </row>
    <row r="144" spans="1:14" ht="15">
      <c r="A144" s="13">
        <v>46235</v>
      </c>
      <c r="B144" s="60">
        <f>3.3444 * CHOOSE(CONTROL!$C$19, $C$13, 100%, $E$13)</f>
        <v>3.3443999999999998</v>
      </c>
      <c r="C144" s="60">
        <f>3.3444 * CHOOSE(CONTROL!$C$19, $C$13, 100%, $E$13)</f>
        <v>3.3443999999999998</v>
      </c>
      <c r="D144" s="60">
        <f>3.3781 * CHOOSE(CONTROL!$C$19, $C$13, 100%, $E$13)</f>
        <v>3.3780999999999999</v>
      </c>
      <c r="E144" s="61">
        <f>3.543 * CHOOSE(CONTROL!$C$19, $C$13, 100%, $E$13)</f>
        <v>3.5430000000000001</v>
      </c>
      <c r="F144" s="61">
        <f>3.543 * CHOOSE(CONTROL!$C$19, $C$13, 100%, $E$13)</f>
        <v>3.5430000000000001</v>
      </c>
      <c r="G144" s="61">
        <f>3.5451 * CHOOSE(CONTROL!$C$19, $C$13, 100%, $E$13)</f>
        <v>3.5451000000000001</v>
      </c>
      <c r="H144" s="61">
        <f>5.4353* CHOOSE(CONTROL!$C$19, $C$13, 100%, $E$13)</f>
        <v>5.4352999999999998</v>
      </c>
      <c r="I144" s="61">
        <f>5.4374 * CHOOSE(CONTROL!$C$19, $C$13, 100%, $E$13)</f>
        <v>5.4374000000000002</v>
      </c>
      <c r="J144" s="61">
        <f>3.543 * CHOOSE(CONTROL!$C$19, $C$13, 100%, $E$13)</f>
        <v>3.5430000000000001</v>
      </c>
      <c r="K144" s="61">
        <f>3.5451 * CHOOSE(CONTROL!$C$19, $C$13, 100%, $E$13)</f>
        <v>3.5451000000000001</v>
      </c>
    </row>
    <row r="145" spans="1:11" ht="15">
      <c r="A145" s="13">
        <v>46266</v>
      </c>
      <c r="B145" s="60">
        <f>3.3413 * CHOOSE(CONTROL!$C$19, $C$13, 100%, $E$13)</f>
        <v>3.3412999999999999</v>
      </c>
      <c r="C145" s="60">
        <f>3.3413 * CHOOSE(CONTROL!$C$19, $C$13, 100%, $E$13)</f>
        <v>3.3412999999999999</v>
      </c>
      <c r="D145" s="60">
        <f>3.375 * CHOOSE(CONTROL!$C$19, $C$13, 100%, $E$13)</f>
        <v>3.375</v>
      </c>
      <c r="E145" s="61">
        <f>3.5361 * CHOOSE(CONTROL!$C$19, $C$13, 100%, $E$13)</f>
        <v>3.5360999999999998</v>
      </c>
      <c r="F145" s="61">
        <f>3.5361 * CHOOSE(CONTROL!$C$19, $C$13, 100%, $E$13)</f>
        <v>3.5360999999999998</v>
      </c>
      <c r="G145" s="61">
        <f>3.5382 * CHOOSE(CONTROL!$C$19, $C$13, 100%, $E$13)</f>
        <v>3.5381999999999998</v>
      </c>
      <c r="H145" s="61">
        <f>5.4466* CHOOSE(CONTROL!$C$19, $C$13, 100%, $E$13)</f>
        <v>5.4466000000000001</v>
      </c>
      <c r="I145" s="61">
        <f>5.4487 * CHOOSE(CONTROL!$C$19, $C$13, 100%, $E$13)</f>
        <v>5.4486999999999997</v>
      </c>
      <c r="J145" s="61">
        <f>3.5361 * CHOOSE(CONTROL!$C$19, $C$13, 100%, $E$13)</f>
        <v>3.5360999999999998</v>
      </c>
      <c r="K145" s="61">
        <f>3.5382 * CHOOSE(CONTROL!$C$19, $C$13, 100%, $E$13)</f>
        <v>3.5381999999999998</v>
      </c>
    </row>
    <row r="146" spans="1:11" ht="15">
      <c r="A146" s="13">
        <v>46296</v>
      </c>
      <c r="B146" s="60">
        <f>3.3341 * CHOOSE(CONTROL!$C$19, $C$13, 100%, $E$13)</f>
        <v>3.3340999999999998</v>
      </c>
      <c r="C146" s="60">
        <f>3.3341 * CHOOSE(CONTROL!$C$19, $C$13, 100%, $E$13)</f>
        <v>3.3340999999999998</v>
      </c>
      <c r="D146" s="60">
        <f>3.3509 * CHOOSE(CONTROL!$C$19, $C$13, 100%, $E$13)</f>
        <v>3.3509000000000002</v>
      </c>
      <c r="E146" s="61">
        <f>3.5418 * CHOOSE(CONTROL!$C$19, $C$13, 100%, $E$13)</f>
        <v>3.5417999999999998</v>
      </c>
      <c r="F146" s="61">
        <f>3.5418 * CHOOSE(CONTROL!$C$19, $C$13, 100%, $E$13)</f>
        <v>3.5417999999999998</v>
      </c>
      <c r="G146" s="61">
        <f>3.542 * CHOOSE(CONTROL!$C$19, $C$13, 100%, $E$13)</f>
        <v>3.5419999999999998</v>
      </c>
      <c r="H146" s="61">
        <f>5.458* CHOOSE(CONTROL!$C$19, $C$13, 100%, $E$13)</f>
        <v>5.4580000000000002</v>
      </c>
      <c r="I146" s="61">
        <f>5.4581 * CHOOSE(CONTROL!$C$19, $C$13, 100%, $E$13)</f>
        <v>5.4581</v>
      </c>
      <c r="J146" s="61">
        <f>3.5418 * CHOOSE(CONTROL!$C$19, $C$13, 100%, $E$13)</f>
        <v>3.5417999999999998</v>
      </c>
      <c r="K146" s="61">
        <f>3.542 * CHOOSE(CONTROL!$C$19, $C$13, 100%, $E$13)</f>
        <v>3.5419999999999998</v>
      </c>
    </row>
    <row r="147" spans="1:11" ht="15">
      <c r="A147" s="13">
        <v>46327</v>
      </c>
      <c r="B147" s="60">
        <f>3.3371 * CHOOSE(CONTROL!$C$19, $C$13, 100%, $E$13)</f>
        <v>3.3371</v>
      </c>
      <c r="C147" s="60">
        <f>3.3371 * CHOOSE(CONTROL!$C$19, $C$13, 100%, $E$13)</f>
        <v>3.3371</v>
      </c>
      <c r="D147" s="60">
        <f>3.354 * CHOOSE(CONTROL!$C$19, $C$13, 100%, $E$13)</f>
        <v>3.3540000000000001</v>
      </c>
      <c r="E147" s="61">
        <f>3.5535 * CHOOSE(CONTROL!$C$19, $C$13, 100%, $E$13)</f>
        <v>3.5535000000000001</v>
      </c>
      <c r="F147" s="61">
        <f>3.5535 * CHOOSE(CONTROL!$C$19, $C$13, 100%, $E$13)</f>
        <v>3.5535000000000001</v>
      </c>
      <c r="G147" s="61">
        <f>3.5537 * CHOOSE(CONTROL!$C$19, $C$13, 100%, $E$13)</f>
        <v>3.5537000000000001</v>
      </c>
      <c r="H147" s="61">
        <f>5.4693* CHOOSE(CONTROL!$C$19, $C$13, 100%, $E$13)</f>
        <v>5.4692999999999996</v>
      </c>
      <c r="I147" s="61">
        <f>5.4695 * CHOOSE(CONTROL!$C$19, $C$13, 100%, $E$13)</f>
        <v>5.4695</v>
      </c>
      <c r="J147" s="61">
        <f>3.5535 * CHOOSE(CONTROL!$C$19, $C$13, 100%, $E$13)</f>
        <v>3.5535000000000001</v>
      </c>
      <c r="K147" s="61">
        <f>3.5537 * CHOOSE(CONTROL!$C$19, $C$13, 100%, $E$13)</f>
        <v>3.5537000000000001</v>
      </c>
    </row>
    <row r="148" spans="1:11" ht="15">
      <c r="A148" s="13">
        <v>46357</v>
      </c>
      <c r="B148" s="60">
        <f>3.3371 * CHOOSE(CONTROL!$C$19, $C$13, 100%, $E$13)</f>
        <v>3.3371</v>
      </c>
      <c r="C148" s="60">
        <f>3.3371 * CHOOSE(CONTROL!$C$19, $C$13, 100%, $E$13)</f>
        <v>3.3371</v>
      </c>
      <c r="D148" s="60">
        <f>3.354 * CHOOSE(CONTROL!$C$19, $C$13, 100%, $E$13)</f>
        <v>3.3540000000000001</v>
      </c>
      <c r="E148" s="61">
        <f>3.5296 * CHOOSE(CONTROL!$C$19, $C$13, 100%, $E$13)</f>
        <v>3.5295999999999998</v>
      </c>
      <c r="F148" s="61">
        <f>3.5296 * CHOOSE(CONTROL!$C$19, $C$13, 100%, $E$13)</f>
        <v>3.5295999999999998</v>
      </c>
      <c r="G148" s="61">
        <f>3.5297 * CHOOSE(CONTROL!$C$19, $C$13, 100%, $E$13)</f>
        <v>3.5297000000000001</v>
      </c>
      <c r="H148" s="61">
        <f>5.4807* CHOOSE(CONTROL!$C$19, $C$13, 100%, $E$13)</f>
        <v>5.4806999999999997</v>
      </c>
      <c r="I148" s="61">
        <f>5.4809 * CHOOSE(CONTROL!$C$19, $C$13, 100%, $E$13)</f>
        <v>5.4809000000000001</v>
      </c>
      <c r="J148" s="61">
        <f>3.5296 * CHOOSE(CONTROL!$C$19, $C$13, 100%, $E$13)</f>
        <v>3.5295999999999998</v>
      </c>
      <c r="K148" s="61">
        <f>3.5297 * CHOOSE(CONTROL!$C$19, $C$13, 100%, $E$13)</f>
        <v>3.5297000000000001</v>
      </c>
    </row>
    <row r="149" spans="1:11" ht="15">
      <c r="A149" s="13">
        <v>46388</v>
      </c>
      <c r="B149" s="60">
        <f>3.365 * CHOOSE(CONTROL!$C$19, $C$13, 100%, $E$13)</f>
        <v>3.3650000000000002</v>
      </c>
      <c r="C149" s="60">
        <f>3.365 * CHOOSE(CONTROL!$C$19, $C$13, 100%, $E$13)</f>
        <v>3.3650000000000002</v>
      </c>
      <c r="D149" s="60">
        <f>3.3819 * CHOOSE(CONTROL!$C$19, $C$13, 100%, $E$13)</f>
        <v>3.3818999999999999</v>
      </c>
      <c r="E149" s="61">
        <f>3.5929 * CHOOSE(CONTROL!$C$19, $C$13, 100%, $E$13)</f>
        <v>3.5929000000000002</v>
      </c>
      <c r="F149" s="61">
        <f>3.5929 * CHOOSE(CONTROL!$C$19, $C$13, 100%, $E$13)</f>
        <v>3.5929000000000002</v>
      </c>
      <c r="G149" s="61">
        <f>3.5931 * CHOOSE(CONTROL!$C$19, $C$13, 100%, $E$13)</f>
        <v>3.5931000000000002</v>
      </c>
      <c r="H149" s="61">
        <f>5.4921* CHOOSE(CONTROL!$C$19, $C$13, 100%, $E$13)</f>
        <v>5.4920999999999998</v>
      </c>
      <c r="I149" s="61">
        <f>5.4923 * CHOOSE(CONTROL!$C$19, $C$13, 100%, $E$13)</f>
        <v>5.4923000000000002</v>
      </c>
      <c r="J149" s="61">
        <f>3.5929 * CHOOSE(CONTROL!$C$19, $C$13, 100%, $E$13)</f>
        <v>3.5929000000000002</v>
      </c>
      <c r="K149" s="61">
        <f>3.5931 * CHOOSE(CONTROL!$C$19, $C$13, 100%, $E$13)</f>
        <v>3.5931000000000002</v>
      </c>
    </row>
    <row r="150" spans="1:11" ht="15">
      <c r="A150" s="13">
        <v>46419</v>
      </c>
      <c r="B150" s="60">
        <f>3.362 * CHOOSE(CONTROL!$C$19, $C$13, 100%, $E$13)</f>
        <v>3.3620000000000001</v>
      </c>
      <c r="C150" s="60">
        <f>3.362 * CHOOSE(CONTROL!$C$19, $C$13, 100%, $E$13)</f>
        <v>3.3620000000000001</v>
      </c>
      <c r="D150" s="60">
        <f>3.3788 * CHOOSE(CONTROL!$C$19, $C$13, 100%, $E$13)</f>
        <v>3.3788</v>
      </c>
      <c r="E150" s="61">
        <f>3.5426 * CHOOSE(CONTROL!$C$19, $C$13, 100%, $E$13)</f>
        <v>3.5426000000000002</v>
      </c>
      <c r="F150" s="61">
        <f>3.5426 * CHOOSE(CONTROL!$C$19, $C$13, 100%, $E$13)</f>
        <v>3.5426000000000002</v>
      </c>
      <c r="G150" s="61">
        <f>3.5427 * CHOOSE(CONTROL!$C$19, $C$13, 100%, $E$13)</f>
        <v>3.5427</v>
      </c>
      <c r="H150" s="61">
        <f>5.5036* CHOOSE(CONTROL!$C$19, $C$13, 100%, $E$13)</f>
        <v>5.5035999999999996</v>
      </c>
      <c r="I150" s="61">
        <f>5.5038 * CHOOSE(CONTROL!$C$19, $C$13, 100%, $E$13)</f>
        <v>5.5038</v>
      </c>
      <c r="J150" s="61">
        <f>3.5426 * CHOOSE(CONTROL!$C$19, $C$13, 100%, $E$13)</f>
        <v>3.5426000000000002</v>
      </c>
      <c r="K150" s="61">
        <f>3.5427 * CHOOSE(CONTROL!$C$19, $C$13, 100%, $E$13)</f>
        <v>3.5427</v>
      </c>
    </row>
    <row r="151" spans="1:11" ht="15">
      <c r="A151" s="13">
        <v>46447</v>
      </c>
      <c r="B151" s="60">
        <f>3.359 * CHOOSE(CONTROL!$C$19, $C$13, 100%, $E$13)</f>
        <v>3.359</v>
      </c>
      <c r="C151" s="60">
        <f>3.359 * CHOOSE(CONTROL!$C$19, $C$13, 100%, $E$13)</f>
        <v>3.359</v>
      </c>
      <c r="D151" s="60">
        <f>3.3758 * CHOOSE(CONTROL!$C$19, $C$13, 100%, $E$13)</f>
        <v>3.3757999999999999</v>
      </c>
      <c r="E151" s="61">
        <f>3.5785 * CHOOSE(CONTROL!$C$19, $C$13, 100%, $E$13)</f>
        <v>3.5785</v>
      </c>
      <c r="F151" s="61">
        <f>3.5785 * CHOOSE(CONTROL!$C$19, $C$13, 100%, $E$13)</f>
        <v>3.5785</v>
      </c>
      <c r="G151" s="61">
        <f>3.5787 * CHOOSE(CONTROL!$C$19, $C$13, 100%, $E$13)</f>
        <v>3.5787</v>
      </c>
      <c r="H151" s="61">
        <f>5.515* CHOOSE(CONTROL!$C$19, $C$13, 100%, $E$13)</f>
        <v>5.5149999999999997</v>
      </c>
      <c r="I151" s="61">
        <f>5.5152 * CHOOSE(CONTROL!$C$19, $C$13, 100%, $E$13)</f>
        <v>5.5152000000000001</v>
      </c>
      <c r="J151" s="61">
        <f>3.5785 * CHOOSE(CONTROL!$C$19, $C$13, 100%, $E$13)</f>
        <v>3.5785</v>
      </c>
      <c r="K151" s="61">
        <f>3.5787 * CHOOSE(CONTROL!$C$19, $C$13, 100%, $E$13)</f>
        <v>3.5787</v>
      </c>
    </row>
    <row r="152" spans="1:11" ht="15">
      <c r="A152" s="13">
        <v>46478</v>
      </c>
      <c r="B152" s="60">
        <f>3.356 * CHOOSE(CONTROL!$C$19, $C$13, 100%, $E$13)</f>
        <v>3.3559999999999999</v>
      </c>
      <c r="C152" s="60">
        <f>3.356 * CHOOSE(CONTROL!$C$19, $C$13, 100%, $E$13)</f>
        <v>3.3559999999999999</v>
      </c>
      <c r="D152" s="60">
        <f>3.3729 * CHOOSE(CONTROL!$C$19, $C$13, 100%, $E$13)</f>
        <v>3.3729</v>
      </c>
      <c r="E152" s="61">
        <f>3.6151 * CHOOSE(CONTROL!$C$19, $C$13, 100%, $E$13)</f>
        <v>3.6151</v>
      </c>
      <c r="F152" s="61">
        <f>3.6151 * CHOOSE(CONTROL!$C$19, $C$13, 100%, $E$13)</f>
        <v>3.6151</v>
      </c>
      <c r="G152" s="61">
        <f>3.6153 * CHOOSE(CONTROL!$C$19, $C$13, 100%, $E$13)</f>
        <v>3.6153</v>
      </c>
      <c r="H152" s="61">
        <f>5.5265* CHOOSE(CONTROL!$C$19, $C$13, 100%, $E$13)</f>
        <v>5.5265000000000004</v>
      </c>
      <c r="I152" s="61">
        <f>5.5267 * CHOOSE(CONTROL!$C$19, $C$13, 100%, $E$13)</f>
        <v>5.5266999999999999</v>
      </c>
      <c r="J152" s="61">
        <f>3.6151 * CHOOSE(CONTROL!$C$19, $C$13, 100%, $E$13)</f>
        <v>3.6151</v>
      </c>
      <c r="K152" s="61">
        <f>3.6153 * CHOOSE(CONTROL!$C$19, $C$13, 100%, $E$13)</f>
        <v>3.6153</v>
      </c>
    </row>
    <row r="153" spans="1:11" ht="15">
      <c r="A153" s="13">
        <v>46508</v>
      </c>
      <c r="B153" s="60">
        <f>3.356 * CHOOSE(CONTROL!$C$19, $C$13, 100%, $E$13)</f>
        <v>3.3559999999999999</v>
      </c>
      <c r="C153" s="60">
        <f>3.356 * CHOOSE(CONTROL!$C$19, $C$13, 100%, $E$13)</f>
        <v>3.3559999999999999</v>
      </c>
      <c r="D153" s="60">
        <f>3.3897 * CHOOSE(CONTROL!$C$19, $C$13, 100%, $E$13)</f>
        <v>3.3896999999999999</v>
      </c>
      <c r="E153" s="61">
        <f>3.6304 * CHOOSE(CONTROL!$C$19, $C$13, 100%, $E$13)</f>
        <v>3.6303999999999998</v>
      </c>
      <c r="F153" s="61">
        <f>3.6304 * CHOOSE(CONTROL!$C$19, $C$13, 100%, $E$13)</f>
        <v>3.6303999999999998</v>
      </c>
      <c r="G153" s="61">
        <f>3.6325 * CHOOSE(CONTROL!$C$19, $C$13, 100%, $E$13)</f>
        <v>3.6324999999999998</v>
      </c>
      <c r="H153" s="61">
        <f>5.538* CHOOSE(CONTROL!$C$19, $C$13, 100%, $E$13)</f>
        <v>5.5380000000000003</v>
      </c>
      <c r="I153" s="61">
        <f>5.5401 * CHOOSE(CONTROL!$C$19, $C$13, 100%, $E$13)</f>
        <v>5.5400999999999998</v>
      </c>
      <c r="J153" s="61">
        <f>3.6304 * CHOOSE(CONTROL!$C$19, $C$13, 100%, $E$13)</f>
        <v>3.6303999999999998</v>
      </c>
      <c r="K153" s="61">
        <f>3.6325 * CHOOSE(CONTROL!$C$19, $C$13, 100%, $E$13)</f>
        <v>3.6324999999999998</v>
      </c>
    </row>
    <row r="154" spans="1:11" ht="15">
      <c r="A154" s="13">
        <v>46539</v>
      </c>
      <c r="B154" s="60">
        <f>3.3621 * CHOOSE(CONTROL!$C$19, $C$13, 100%, $E$13)</f>
        <v>3.3620999999999999</v>
      </c>
      <c r="C154" s="60">
        <f>3.3621 * CHOOSE(CONTROL!$C$19, $C$13, 100%, $E$13)</f>
        <v>3.3620999999999999</v>
      </c>
      <c r="D154" s="60">
        <f>3.3958 * CHOOSE(CONTROL!$C$19, $C$13, 100%, $E$13)</f>
        <v>3.3957999999999999</v>
      </c>
      <c r="E154" s="61">
        <f>3.6193 * CHOOSE(CONTROL!$C$19, $C$13, 100%, $E$13)</f>
        <v>3.6193</v>
      </c>
      <c r="F154" s="61">
        <f>3.6193 * CHOOSE(CONTROL!$C$19, $C$13, 100%, $E$13)</f>
        <v>3.6193</v>
      </c>
      <c r="G154" s="61">
        <f>3.6214 * CHOOSE(CONTROL!$C$19, $C$13, 100%, $E$13)</f>
        <v>3.6214</v>
      </c>
      <c r="H154" s="61">
        <f>5.5496* CHOOSE(CONTROL!$C$19, $C$13, 100%, $E$13)</f>
        <v>5.5495999999999999</v>
      </c>
      <c r="I154" s="61">
        <f>5.5517 * CHOOSE(CONTROL!$C$19, $C$13, 100%, $E$13)</f>
        <v>5.5517000000000003</v>
      </c>
      <c r="J154" s="61">
        <f>3.6193 * CHOOSE(CONTROL!$C$19, $C$13, 100%, $E$13)</f>
        <v>3.6193</v>
      </c>
      <c r="K154" s="61">
        <f>3.6214 * CHOOSE(CONTROL!$C$19, $C$13, 100%, $E$13)</f>
        <v>3.6214</v>
      </c>
    </row>
    <row r="155" spans="1:11" ht="15">
      <c r="A155" s="13">
        <v>46569</v>
      </c>
      <c r="B155" s="60">
        <f>3.4138 * CHOOSE(CONTROL!$C$19, $C$13, 100%, $E$13)</f>
        <v>3.4138000000000002</v>
      </c>
      <c r="C155" s="60">
        <f>3.4138 * CHOOSE(CONTROL!$C$19, $C$13, 100%, $E$13)</f>
        <v>3.4138000000000002</v>
      </c>
      <c r="D155" s="60">
        <f>3.4474 * CHOOSE(CONTROL!$C$19, $C$13, 100%, $E$13)</f>
        <v>3.4474</v>
      </c>
      <c r="E155" s="61">
        <f>3.6808 * CHOOSE(CONTROL!$C$19, $C$13, 100%, $E$13)</f>
        <v>3.6808000000000001</v>
      </c>
      <c r="F155" s="61">
        <f>3.6808 * CHOOSE(CONTROL!$C$19, $C$13, 100%, $E$13)</f>
        <v>3.6808000000000001</v>
      </c>
      <c r="G155" s="61">
        <f>3.6829 * CHOOSE(CONTROL!$C$19, $C$13, 100%, $E$13)</f>
        <v>3.6829000000000001</v>
      </c>
      <c r="H155" s="61">
        <f>5.5611* CHOOSE(CONTROL!$C$19, $C$13, 100%, $E$13)</f>
        <v>5.5610999999999997</v>
      </c>
      <c r="I155" s="61">
        <f>5.5632 * CHOOSE(CONTROL!$C$19, $C$13, 100%, $E$13)</f>
        <v>5.5632000000000001</v>
      </c>
      <c r="J155" s="61">
        <f>3.6808 * CHOOSE(CONTROL!$C$19, $C$13, 100%, $E$13)</f>
        <v>3.6808000000000001</v>
      </c>
      <c r="K155" s="61">
        <f>3.6829 * CHOOSE(CONTROL!$C$19, $C$13, 100%, $E$13)</f>
        <v>3.6829000000000001</v>
      </c>
    </row>
    <row r="156" spans="1:11" ht="15">
      <c r="A156" s="13">
        <v>46600</v>
      </c>
      <c r="B156" s="60">
        <f>3.4205 * CHOOSE(CONTROL!$C$19, $C$13, 100%, $E$13)</f>
        <v>3.4205000000000001</v>
      </c>
      <c r="C156" s="60">
        <f>3.4205 * CHOOSE(CONTROL!$C$19, $C$13, 100%, $E$13)</f>
        <v>3.4205000000000001</v>
      </c>
      <c r="D156" s="60">
        <f>3.4541 * CHOOSE(CONTROL!$C$19, $C$13, 100%, $E$13)</f>
        <v>3.4540999999999999</v>
      </c>
      <c r="E156" s="61">
        <f>3.6395 * CHOOSE(CONTROL!$C$19, $C$13, 100%, $E$13)</f>
        <v>3.6395</v>
      </c>
      <c r="F156" s="61">
        <f>3.6395 * CHOOSE(CONTROL!$C$19, $C$13, 100%, $E$13)</f>
        <v>3.6395</v>
      </c>
      <c r="G156" s="61">
        <f>3.6416 * CHOOSE(CONTROL!$C$19, $C$13, 100%, $E$13)</f>
        <v>3.6415999999999999</v>
      </c>
      <c r="H156" s="61">
        <f>5.5727* CHOOSE(CONTROL!$C$19, $C$13, 100%, $E$13)</f>
        <v>5.5727000000000002</v>
      </c>
      <c r="I156" s="61">
        <f>5.5748 * CHOOSE(CONTROL!$C$19, $C$13, 100%, $E$13)</f>
        <v>5.5747999999999998</v>
      </c>
      <c r="J156" s="61">
        <f>3.6395 * CHOOSE(CONTROL!$C$19, $C$13, 100%, $E$13)</f>
        <v>3.6395</v>
      </c>
      <c r="K156" s="61">
        <f>3.6416 * CHOOSE(CONTROL!$C$19, $C$13, 100%, $E$13)</f>
        <v>3.6415999999999999</v>
      </c>
    </row>
    <row r="157" spans="1:11" ht="15">
      <c r="A157" s="13">
        <v>46631</v>
      </c>
      <c r="B157" s="60">
        <f>3.4174 * CHOOSE(CONTROL!$C$19, $C$13, 100%, $E$13)</f>
        <v>3.4174000000000002</v>
      </c>
      <c r="C157" s="60">
        <f>3.4174 * CHOOSE(CONTROL!$C$19, $C$13, 100%, $E$13)</f>
        <v>3.4174000000000002</v>
      </c>
      <c r="D157" s="60">
        <f>3.4511 * CHOOSE(CONTROL!$C$19, $C$13, 100%, $E$13)</f>
        <v>3.4510999999999998</v>
      </c>
      <c r="E157" s="61">
        <f>3.6323 * CHOOSE(CONTROL!$C$19, $C$13, 100%, $E$13)</f>
        <v>3.6322999999999999</v>
      </c>
      <c r="F157" s="61">
        <f>3.6323 * CHOOSE(CONTROL!$C$19, $C$13, 100%, $E$13)</f>
        <v>3.6322999999999999</v>
      </c>
      <c r="G157" s="61">
        <f>3.6344 * CHOOSE(CONTROL!$C$19, $C$13, 100%, $E$13)</f>
        <v>3.6343999999999999</v>
      </c>
      <c r="H157" s="61">
        <f>5.5843* CHOOSE(CONTROL!$C$19, $C$13, 100%, $E$13)</f>
        <v>5.5842999999999998</v>
      </c>
      <c r="I157" s="61">
        <f>5.5864 * CHOOSE(CONTROL!$C$19, $C$13, 100%, $E$13)</f>
        <v>5.5864000000000003</v>
      </c>
      <c r="J157" s="61">
        <f>3.6323 * CHOOSE(CONTROL!$C$19, $C$13, 100%, $E$13)</f>
        <v>3.6322999999999999</v>
      </c>
      <c r="K157" s="61">
        <f>3.6344 * CHOOSE(CONTROL!$C$19, $C$13, 100%, $E$13)</f>
        <v>3.6343999999999999</v>
      </c>
    </row>
    <row r="158" spans="1:11" ht="15">
      <c r="A158" s="13">
        <v>46661</v>
      </c>
      <c r="B158" s="60">
        <f>3.4105 * CHOOSE(CONTROL!$C$19, $C$13, 100%, $E$13)</f>
        <v>3.4104999999999999</v>
      </c>
      <c r="C158" s="60">
        <f>3.4105 * CHOOSE(CONTROL!$C$19, $C$13, 100%, $E$13)</f>
        <v>3.4104999999999999</v>
      </c>
      <c r="D158" s="60">
        <f>3.4273 * CHOOSE(CONTROL!$C$19, $C$13, 100%, $E$13)</f>
        <v>3.4272999999999998</v>
      </c>
      <c r="E158" s="61">
        <f>3.6393 * CHOOSE(CONTROL!$C$19, $C$13, 100%, $E$13)</f>
        <v>3.6393</v>
      </c>
      <c r="F158" s="61">
        <f>3.6393 * CHOOSE(CONTROL!$C$19, $C$13, 100%, $E$13)</f>
        <v>3.6393</v>
      </c>
      <c r="G158" s="61">
        <f>3.6395 * CHOOSE(CONTROL!$C$19, $C$13, 100%, $E$13)</f>
        <v>3.6395</v>
      </c>
      <c r="H158" s="61">
        <f>5.596* CHOOSE(CONTROL!$C$19, $C$13, 100%, $E$13)</f>
        <v>5.5960000000000001</v>
      </c>
      <c r="I158" s="61">
        <f>5.5962 * CHOOSE(CONTROL!$C$19, $C$13, 100%, $E$13)</f>
        <v>5.5961999999999996</v>
      </c>
      <c r="J158" s="61">
        <f>3.6393 * CHOOSE(CONTROL!$C$19, $C$13, 100%, $E$13)</f>
        <v>3.6393</v>
      </c>
      <c r="K158" s="61">
        <f>3.6395 * CHOOSE(CONTROL!$C$19, $C$13, 100%, $E$13)</f>
        <v>3.6395</v>
      </c>
    </row>
    <row r="159" spans="1:11" ht="15">
      <c r="A159" s="13">
        <v>46692</v>
      </c>
      <c r="B159" s="60">
        <f>3.4135 * CHOOSE(CONTROL!$C$19, $C$13, 100%, $E$13)</f>
        <v>3.4135</v>
      </c>
      <c r="C159" s="60">
        <f>3.4135 * CHOOSE(CONTROL!$C$19, $C$13, 100%, $E$13)</f>
        <v>3.4135</v>
      </c>
      <c r="D159" s="60">
        <f>3.4303 * CHOOSE(CONTROL!$C$19, $C$13, 100%, $E$13)</f>
        <v>3.4302999999999999</v>
      </c>
      <c r="E159" s="61">
        <f>3.6516 * CHOOSE(CONTROL!$C$19, $C$13, 100%, $E$13)</f>
        <v>3.6516000000000002</v>
      </c>
      <c r="F159" s="61">
        <f>3.6516 * CHOOSE(CONTROL!$C$19, $C$13, 100%, $E$13)</f>
        <v>3.6516000000000002</v>
      </c>
      <c r="G159" s="61">
        <f>3.6518 * CHOOSE(CONTROL!$C$19, $C$13, 100%, $E$13)</f>
        <v>3.6518000000000002</v>
      </c>
      <c r="H159" s="61">
        <f>5.6076* CHOOSE(CONTROL!$C$19, $C$13, 100%, $E$13)</f>
        <v>5.6075999999999997</v>
      </c>
      <c r="I159" s="61">
        <f>5.6078 * CHOOSE(CONTROL!$C$19, $C$13, 100%, $E$13)</f>
        <v>5.6078000000000001</v>
      </c>
      <c r="J159" s="61">
        <f>3.6516 * CHOOSE(CONTROL!$C$19, $C$13, 100%, $E$13)</f>
        <v>3.6516000000000002</v>
      </c>
      <c r="K159" s="61">
        <f>3.6518 * CHOOSE(CONTROL!$C$19, $C$13, 100%, $E$13)</f>
        <v>3.6518000000000002</v>
      </c>
    </row>
    <row r="160" spans="1:11" ht="15">
      <c r="A160" s="13">
        <v>46722</v>
      </c>
      <c r="B160" s="60">
        <f>3.4135 * CHOOSE(CONTROL!$C$19, $C$13, 100%, $E$13)</f>
        <v>3.4135</v>
      </c>
      <c r="C160" s="60">
        <f>3.4135 * CHOOSE(CONTROL!$C$19, $C$13, 100%, $E$13)</f>
        <v>3.4135</v>
      </c>
      <c r="D160" s="60">
        <f>3.4303 * CHOOSE(CONTROL!$C$19, $C$13, 100%, $E$13)</f>
        <v>3.4302999999999999</v>
      </c>
      <c r="E160" s="61">
        <f>3.6261 * CHOOSE(CONTROL!$C$19, $C$13, 100%, $E$13)</f>
        <v>3.6261000000000001</v>
      </c>
      <c r="F160" s="61">
        <f>3.6261 * CHOOSE(CONTROL!$C$19, $C$13, 100%, $E$13)</f>
        <v>3.6261000000000001</v>
      </c>
      <c r="G160" s="61">
        <f>3.6263 * CHOOSE(CONTROL!$C$19, $C$13, 100%, $E$13)</f>
        <v>3.6263000000000001</v>
      </c>
      <c r="H160" s="61">
        <f>5.6193* CHOOSE(CONTROL!$C$19, $C$13, 100%, $E$13)</f>
        <v>5.6193</v>
      </c>
      <c r="I160" s="61">
        <f>5.6195 * CHOOSE(CONTROL!$C$19, $C$13, 100%, $E$13)</f>
        <v>5.6195000000000004</v>
      </c>
      <c r="J160" s="61">
        <f>3.6261 * CHOOSE(CONTROL!$C$19, $C$13, 100%, $E$13)</f>
        <v>3.6261000000000001</v>
      </c>
      <c r="K160" s="61">
        <f>3.6263 * CHOOSE(CONTROL!$C$19, $C$13, 100%, $E$13)</f>
        <v>3.6263000000000001</v>
      </c>
    </row>
    <row r="161" spans="1:11" ht="15">
      <c r="A161" s="13">
        <v>46753</v>
      </c>
      <c r="B161" s="60">
        <f>3.4451 * CHOOSE(CONTROL!$C$19, $C$13, 100%, $E$13)</f>
        <v>3.4451000000000001</v>
      </c>
      <c r="C161" s="60">
        <f>3.4451 * CHOOSE(CONTROL!$C$19, $C$13, 100%, $E$13)</f>
        <v>3.4451000000000001</v>
      </c>
      <c r="D161" s="60">
        <f>3.4619 * CHOOSE(CONTROL!$C$19, $C$13, 100%, $E$13)</f>
        <v>3.4619</v>
      </c>
      <c r="E161" s="61">
        <f>3.657 * CHOOSE(CONTROL!$C$19, $C$13, 100%, $E$13)</f>
        <v>3.657</v>
      </c>
      <c r="F161" s="61">
        <f>3.657 * CHOOSE(CONTROL!$C$19, $C$13, 100%, $E$13)</f>
        <v>3.657</v>
      </c>
      <c r="G161" s="61">
        <f>3.6571 * CHOOSE(CONTROL!$C$19, $C$13, 100%, $E$13)</f>
        <v>3.6570999999999998</v>
      </c>
      <c r="H161" s="61">
        <f>5.631* CHOOSE(CONTROL!$C$19, $C$13, 100%, $E$13)</f>
        <v>5.6310000000000002</v>
      </c>
      <c r="I161" s="61">
        <f>5.6312 * CHOOSE(CONTROL!$C$19, $C$13, 100%, $E$13)</f>
        <v>5.6311999999999998</v>
      </c>
      <c r="J161" s="61">
        <f>3.657 * CHOOSE(CONTROL!$C$19, $C$13, 100%, $E$13)</f>
        <v>3.657</v>
      </c>
      <c r="K161" s="61">
        <f>3.6571 * CHOOSE(CONTROL!$C$19, $C$13, 100%, $E$13)</f>
        <v>3.6570999999999998</v>
      </c>
    </row>
    <row r="162" spans="1:11" ht="15">
      <c r="A162" s="13">
        <v>46784</v>
      </c>
      <c r="B162" s="60">
        <f>3.4421 * CHOOSE(CONTROL!$C$19, $C$13, 100%, $E$13)</f>
        <v>3.4420999999999999</v>
      </c>
      <c r="C162" s="60">
        <f>3.4421 * CHOOSE(CONTROL!$C$19, $C$13, 100%, $E$13)</f>
        <v>3.4420999999999999</v>
      </c>
      <c r="D162" s="60">
        <f>3.4589 * CHOOSE(CONTROL!$C$19, $C$13, 100%, $E$13)</f>
        <v>3.4588999999999999</v>
      </c>
      <c r="E162" s="61">
        <f>3.6037 * CHOOSE(CONTROL!$C$19, $C$13, 100%, $E$13)</f>
        <v>3.6036999999999999</v>
      </c>
      <c r="F162" s="61">
        <f>3.6037 * CHOOSE(CONTROL!$C$19, $C$13, 100%, $E$13)</f>
        <v>3.6036999999999999</v>
      </c>
      <c r="G162" s="61">
        <f>3.6039 * CHOOSE(CONTROL!$C$19, $C$13, 100%, $E$13)</f>
        <v>3.6038999999999999</v>
      </c>
      <c r="H162" s="61">
        <f>5.6428* CHOOSE(CONTROL!$C$19, $C$13, 100%, $E$13)</f>
        <v>5.6428000000000003</v>
      </c>
      <c r="I162" s="61">
        <f>5.6429 * CHOOSE(CONTROL!$C$19, $C$13, 100%, $E$13)</f>
        <v>5.6429</v>
      </c>
      <c r="J162" s="61">
        <f>3.6037 * CHOOSE(CONTROL!$C$19, $C$13, 100%, $E$13)</f>
        <v>3.6036999999999999</v>
      </c>
      <c r="K162" s="61">
        <f>3.6039 * CHOOSE(CONTROL!$C$19, $C$13, 100%, $E$13)</f>
        <v>3.6038999999999999</v>
      </c>
    </row>
    <row r="163" spans="1:11" ht="15">
      <c r="A163" s="13">
        <v>46813</v>
      </c>
      <c r="B163" s="60">
        <f>3.439 * CHOOSE(CONTROL!$C$19, $C$13, 100%, $E$13)</f>
        <v>3.4390000000000001</v>
      </c>
      <c r="C163" s="60">
        <f>3.439 * CHOOSE(CONTROL!$C$19, $C$13, 100%, $E$13)</f>
        <v>3.4390000000000001</v>
      </c>
      <c r="D163" s="60">
        <f>3.4559 * CHOOSE(CONTROL!$C$19, $C$13, 100%, $E$13)</f>
        <v>3.4559000000000002</v>
      </c>
      <c r="E163" s="61">
        <f>3.6419 * CHOOSE(CONTROL!$C$19, $C$13, 100%, $E$13)</f>
        <v>3.6419000000000001</v>
      </c>
      <c r="F163" s="61">
        <f>3.6419 * CHOOSE(CONTROL!$C$19, $C$13, 100%, $E$13)</f>
        <v>3.6419000000000001</v>
      </c>
      <c r="G163" s="61">
        <f>3.6421 * CHOOSE(CONTROL!$C$19, $C$13, 100%, $E$13)</f>
        <v>3.6421000000000001</v>
      </c>
      <c r="H163" s="61">
        <f>5.6545* CHOOSE(CONTROL!$C$19, $C$13, 100%, $E$13)</f>
        <v>5.6544999999999996</v>
      </c>
      <c r="I163" s="61">
        <f>5.6547 * CHOOSE(CONTROL!$C$19, $C$13, 100%, $E$13)</f>
        <v>5.6547000000000001</v>
      </c>
      <c r="J163" s="61">
        <f>3.6419 * CHOOSE(CONTROL!$C$19, $C$13, 100%, $E$13)</f>
        <v>3.6419000000000001</v>
      </c>
      <c r="K163" s="61">
        <f>3.6421 * CHOOSE(CONTROL!$C$19, $C$13, 100%, $E$13)</f>
        <v>3.6421000000000001</v>
      </c>
    </row>
    <row r="164" spans="1:11" ht="15">
      <c r="A164" s="13">
        <v>46844</v>
      </c>
      <c r="B164" s="60">
        <f>3.4362 * CHOOSE(CONTROL!$C$19, $C$13, 100%, $E$13)</f>
        <v>3.4361999999999999</v>
      </c>
      <c r="C164" s="60">
        <f>3.4362 * CHOOSE(CONTROL!$C$19, $C$13, 100%, $E$13)</f>
        <v>3.4361999999999999</v>
      </c>
      <c r="D164" s="60">
        <f>3.453 * CHOOSE(CONTROL!$C$19, $C$13, 100%, $E$13)</f>
        <v>3.4529999999999998</v>
      </c>
      <c r="E164" s="61">
        <f>3.681 * CHOOSE(CONTROL!$C$19, $C$13, 100%, $E$13)</f>
        <v>3.681</v>
      </c>
      <c r="F164" s="61">
        <f>3.681 * CHOOSE(CONTROL!$C$19, $C$13, 100%, $E$13)</f>
        <v>3.681</v>
      </c>
      <c r="G164" s="61">
        <f>3.6811 * CHOOSE(CONTROL!$C$19, $C$13, 100%, $E$13)</f>
        <v>3.6810999999999998</v>
      </c>
      <c r="H164" s="61">
        <f>5.6663* CHOOSE(CONTROL!$C$19, $C$13, 100%, $E$13)</f>
        <v>5.6662999999999997</v>
      </c>
      <c r="I164" s="61">
        <f>5.6665 * CHOOSE(CONTROL!$C$19, $C$13, 100%, $E$13)</f>
        <v>5.6665000000000001</v>
      </c>
      <c r="J164" s="61">
        <f>3.681 * CHOOSE(CONTROL!$C$19, $C$13, 100%, $E$13)</f>
        <v>3.681</v>
      </c>
      <c r="K164" s="61">
        <f>3.6811 * CHOOSE(CONTROL!$C$19, $C$13, 100%, $E$13)</f>
        <v>3.6810999999999998</v>
      </c>
    </row>
    <row r="165" spans="1:11" ht="15">
      <c r="A165" s="13">
        <v>46874</v>
      </c>
      <c r="B165" s="60">
        <f>3.4362 * CHOOSE(CONTROL!$C$19, $C$13, 100%, $E$13)</f>
        <v>3.4361999999999999</v>
      </c>
      <c r="C165" s="60">
        <f>3.4362 * CHOOSE(CONTROL!$C$19, $C$13, 100%, $E$13)</f>
        <v>3.4361999999999999</v>
      </c>
      <c r="D165" s="60">
        <f>3.4698 * CHOOSE(CONTROL!$C$19, $C$13, 100%, $E$13)</f>
        <v>3.4698000000000002</v>
      </c>
      <c r="E165" s="61">
        <f>3.6972 * CHOOSE(CONTROL!$C$19, $C$13, 100%, $E$13)</f>
        <v>3.6972</v>
      </c>
      <c r="F165" s="61">
        <f>3.6972 * CHOOSE(CONTROL!$C$19, $C$13, 100%, $E$13)</f>
        <v>3.6972</v>
      </c>
      <c r="G165" s="61">
        <f>3.6993 * CHOOSE(CONTROL!$C$19, $C$13, 100%, $E$13)</f>
        <v>3.6993</v>
      </c>
      <c r="H165" s="61">
        <f>5.6781* CHOOSE(CONTROL!$C$19, $C$13, 100%, $E$13)</f>
        <v>5.6780999999999997</v>
      </c>
      <c r="I165" s="61">
        <f>5.6802 * CHOOSE(CONTROL!$C$19, $C$13, 100%, $E$13)</f>
        <v>5.6802000000000001</v>
      </c>
      <c r="J165" s="61">
        <f>3.6972 * CHOOSE(CONTROL!$C$19, $C$13, 100%, $E$13)</f>
        <v>3.6972</v>
      </c>
      <c r="K165" s="61">
        <f>3.6993 * CHOOSE(CONTROL!$C$19, $C$13, 100%, $E$13)</f>
        <v>3.6993</v>
      </c>
    </row>
    <row r="166" spans="1:11" ht="15">
      <c r="A166" s="13">
        <v>46905</v>
      </c>
      <c r="B166" s="60">
        <f>3.4423 * CHOOSE(CONTROL!$C$19, $C$13, 100%, $E$13)</f>
        <v>3.4422999999999999</v>
      </c>
      <c r="C166" s="60">
        <f>3.4423 * CHOOSE(CONTROL!$C$19, $C$13, 100%, $E$13)</f>
        <v>3.4422999999999999</v>
      </c>
      <c r="D166" s="60">
        <f>3.4759 * CHOOSE(CONTROL!$C$19, $C$13, 100%, $E$13)</f>
        <v>3.4759000000000002</v>
      </c>
      <c r="E166" s="61">
        <f>3.6852 * CHOOSE(CONTROL!$C$19, $C$13, 100%, $E$13)</f>
        <v>3.6852</v>
      </c>
      <c r="F166" s="61">
        <f>3.6852 * CHOOSE(CONTROL!$C$19, $C$13, 100%, $E$13)</f>
        <v>3.6852</v>
      </c>
      <c r="G166" s="61">
        <f>3.6873 * CHOOSE(CONTROL!$C$19, $C$13, 100%, $E$13)</f>
        <v>3.6873</v>
      </c>
      <c r="H166" s="61">
        <f>5.6899* CHOOSE(CONTROL!$C$19, $C$13, 100%, $E$13)</f>
        <v>5.6898999999999997</v>
      </c>
      <c r="I166" s="61">
        <f>5.692 * CHOOSE(CONTROL!$C$19, $C$13, 100%, $E$13)</f>
        <v>5.6920000000000002</v>
      </c>
      <c r="J166" s="61">
        <f>3.6852 * CHOOSE(CONTROL!$C$19, $C$13, 100%, $E$13)</f>
        <v>3.6852</v>
      </c>
      <c r="K166" s="61">
        <f>3.6873 * CHOOSE(CONTROL!$C$19, $C$13, 100%, $E$13)</f>
        <v>3.6873</v>
      </c>
    </row>
    <row r="167" spans="1:11" ht="15">
      <c r="A167" s="13">
        <v>46935</v>
      </c>
      <c r="B167" s="60">
        <f>3.5022 * CHOOSE(CONTROL!$C$19, $C$13, 100%, $E$13)</f>
        <v>3.5022000000000002</v>
      </c>
      <c r="C167" s="60">
        <f>3.5022 * CHOOSE(CONTROL!$C$19, $C$13, 100%, $E$13)</f>
        <v>3.5022000000000002</v>
      </c>
      <c r="D167" s="60">
        <f>3.5358 * CHOOSE(CONTROL!$C$19, $C$13, 100%, $E$13)</f>
        <v>3.5358000000000001</v>
      </c>
      <c r="E167" s="61">
        <f>3.6679 * CHOOSE(CONTROL!$C$19, $C$13, 100%, $E$13)</f>
        <v>3.6678999999999999</v>
      </c>
      <c r="F167" s="61">
        <f>3.6679 * CHOOSE(CONTROL!$C$19, $C$13, 100%, $E$13)</f>
        <v>3.6678999999999999</v>
      </c>
      <c r="G167" s="61">
        <f>3.67 * CHOOSE(CONTROL!$C$19, $C$13, 100%, $E$13)</f>
        <v>3.67</v>
      </c>
      <c r="H167" s="61">
        <f>5.7018* CHOOSE(CONTROL!$C$19, $C$13, 100%, $E$13)</f>
        <v>5.7018000000000004</v>
      </c>
      <c r="I167" s="61">
        <f>5.7039 * CHOOSE(CONTROL!$C$19, $C$13, 100%, $E$13)</f>
        <v>5.7039</v>
      </c>
      <c r="J167" s="61">
        <f>3.6679 * CHOOSE(CONTROL!$C$19, $C$13, 100%, $E$13)</f>
        <v>3.6678999999999999</v>
      </c>
      <c r="K167" s="61">
        <f>3.67 * CHOOSE(CONTROL!$C$19, $C$13, 100%, $E$13)</f>
        <v>3.67</v>
      </c>
    </row>
    <row r="168" spans="1:11" ht="15">
      <c r="A168" s="13">
        <v>46966</v>
      </c>
      <c r="B168" s="60">
        <f>3.5089 * CHOOSE(CONTROL!$C$19, $C$13, 100%, $E$13)</f>
        <v>3.5089000000000001</v>
      </c>
      <c r="C168" s="60">
        <f>3.5089 * CHOOSE(CONTROL!$C$19, $C$13, 100%, $E$13)</f>
        <v>3.5089000000000001</v>
      </c>
      <c r="D168" s="60">
        <f>3.5425 * CHOOSE(CONTROL!$C$19, $C$13, 100%, $E$13)</f>
        <v>3.5425</v>
      </c>
      <c r="E168" s="61">
        <f>3.6238 * CHOOSE(CONTROL!$C$19, $C$13, 100%, $E$13)</f>
        <v>3.6238000000000001</v>
      </c>
      <c r="F168" s="61">
        <f>3.6238 * CHOOSE(CONTROL!$C$19, $C$13, 100%, $E$13)</f>
        <v>3.6238000000000001</v>
      </c>
      <c r="G168" s="61">
        <f>3.6259 * CHOOSE(CONTROL!$C$19, $C$13, 100%, $E$13)</f>
        <v>3.6259000000000001</v>
      </c>
      <c r="H168" s="61">
        <f>5.7137* CHOOSE(CONTROL!$C$19, $C$13, 100%, $E$13)</f>
        <v>5.7137000000000002</v>
      </c>
      <c r="I168" s="61">
        <f>5.7157 * CHOOSE(CONTROL!$C$19, $C$13, 100%, $E$13)</f>
        <v>5.7157</v>
      </c>
      <c r="J168" s="61">
        <f>3.6238 * CHOOSE(CONTROL!$C$19, $C$13, 100%, $E$13)</f>
        <v>3.6238000000000001</v>
      </c>
      <c r="K168" s="61">
        <f>3.6259 * CHOOSE(CONTROL!$C$19, $C$13, 100%, $E$13)</f>
        <v>3.6259000000000001</v>
      </c>
    </row>
    <row r="169" spans="1:11" ht="15">
      <c r="A169" s="13">
        <v>46997</v>
      </c>
      <c r="B169" s="60">
        <f>3.5058 * CHOOSE(CONTROL!$C$19, $C$13, 100%, $E$13)</f>
        <v>3.5057999999999998</v>
      </c>
      <c r="C169" s="60">
        <f>3.5058 * CHOOSE(CONTROL!$C$19, $C$13, 100%, $E$13)</f>
        <v>3.5057999999999998</v>
      </c>
      <c r="D169" s="60">
        <f>3.5395 * CHOOSE(CONTROL!$C$19, $C$13, 100%, $E$13)</f>
        <v>3.5394999999999999</v>
      </c>
      <c r="E169" s="61">
        <f>3.6163 * CHOOSE(CONTROL!$C$19, $C$13, 100%, $E$13)</f>
        <v>3.6162999999999998</v>
      </c>
      <c r="F169" s="61">
        <f>3.6163 * CHOOSE(CONTROL!$C$19, $C$13, 100%, $E$13)</f>
        <v>3.6162999999999998</v>
      </c>
      <c r="G169" s="61">
        <f>3.6184 * CHOOSE(CONTROL!$C$19, $C$13, 100%, $E$13)</f>
        <v>3.6183999999999998</v>
      </c>
      <c r="H169" s="61">
        <f>5.7256* CHOOSE(CONTROL!$C$19, $C$13, 100%, $E$13)</f>
        <v>5.7256</v>
      </c>
      <c r="I169" s="61">
        <f>5.7276 * CHOOSE(CONTROL!$C$19, $C$13, 100%, $E$13)</f>
        <v>5.7275999999999998</v>
      </c>
      <c r="J169" s="61">
        <f>3.6163 * CHOOSE(CONTROL!$C$19, $C$13, 100%, $E$13)</f>
        <v>3.6162999999999998</v>
      </c>
      <c r="K169" s="61">
        <f>3.6184 * CHOOSE(CONTROL!$C$19, $C$13, 100%, $E$13)</f>
        <v>3.6183999999999998</v>
      </c>
    </row>
    <row r="170" spans="1:11" ht="15">
      <c r="A170" s="13">
        <v>47027</v>
      </c>
      <c r="B170" s="60">
        <f>3.4992 * CHOOSE(CONTROL!$C$19, $C$13, 100%, $E$13)</f>
        <v>3.4992000000000001</v>
      </c>
      <c r="C170" s="60">
        <f>3.4992 * CHOOSE(CONTROL!$C$19, $C$13, 100%, $E$13)</f>
        <v>3.4992000000000001</v>
      </c>
      <c r="D170" s="60">
        <f>3.516 * CHOOSE(CONTROL!$C$19, $C$13, 100%, $E$13)</f>
        <v>3.516</v>
      </c>
      <c r="E170" s="61">
        <f>3.6245 * CHOOSE(CONTROL!$C$19, $C$13, 100%, $E$13)</f>
        <v>3.6244999999999998</v>
      </c>
      <c r="F170" s="61">
        <f>3.6245 * CHOOSE(CONTROL!$C$19, $C$13, 100%, $E$13)</f>
        <v>3.6244999999999998</v>
      </c>
      <c r="G170" s="61">
        <f>3.6247 * CHOOSE(CONTROL!$C$19, $C$13, 100%, $E$13)</f>
        <v>3.6246999999999998</v>
      </c>
      <c r="H170" s="61">
        <f>5.7375* CHOOSE(CONTROL!$C$19, $C$13, 100%, $E$13)</f>
        <v>5.7374999999999998</v>
      </c>
      <c r="I170" s="61">
        <f>5.7377 * CHOOSE(CONTROL!$C$19, $C$13, 100%, $E$13)</f>
        <v>5.7377000000000002</v>
      </c>
      <c r="J170" s="61">
        <f>3.6245 * CHOOSE(CONTROL!$C$19, $C$13, 100%, $E$13)</f>
        <v>3.6244999999999998</v>
      </c>
      <c r="K170" s="61">
        <f>3.6247 * CHOOSE(CONTROL!$C$19, $C$13, 100%, $E$13)</f>
        <v>3.6246999999999998</v>
      </c>
    </row>
    <row r="171" spans="1:11" ht="15">
      <c r="A171" s="13">
        <v>47058</v>
      </c>
      <c r="B171" s="60">
        <f>3.5022 * CHOOSE(CONTROL!$C$19, $C$13, 100%, $E$13)</f>
        <v>3.5022000000000002</v>
      </c>
      <c r="C171" s="60">
        <f>3.5022 * CHOOSE(CONTROL!$C$19, $C$13, 100%, $E$13)</f>
        <v>3.5022000000000002</v>
      </c>
      <c r="D171" s="60">
        <f>3.519 * CHOOSE(CONTROL!$C$19, $C$13, 100%, $E$13)</f>
        <v>3.5190000000000001</v>
      </c>
      <c r="E171" s="61">
        <f>3.6375 * CHOOSE(CONTROL!$C$19, $C$13, 100%, $E$13)</f>
        <v>3.6375000000000002</v>
      </c>
      <c r="F171" s="61">
        <f>3.6375 * CHOOSE(CONTROL!$C$19, $C$13, 100%, $E$13)</f>
        <v>3.6375000000000002</v>
      </c>
      <c r="G171" s="61">
        <f>3.6376 * CHOOSE(CONTROL!$C$19, $C$13, 100%, $E$13)</f>
        <v>3.6375999999999999</v>
      </c>
      <c r="H171" s="61">
        <f>5.7494* CHOOSE(CONTROL!$C$19, $C$13, 100%, $E$13)</f>
        <v>5.7493999999999996</v>
      </c>
      <c r="I171" s="61">
        <f>5.7496 * CHOOSE(CONTROL!$C$19, $C$13, 100%, $E$13)</f>
        <v>5.7496</v>
      </c>
      <c r="J171" s="61">
        <f>3.6375 * CHOOSE(CONTROL!$C$19, $C$13, 100%, $E$13)</f>
        <v>3.6375000000000002</v>
      </c>
      <c r="K171" s="61">
        <f>3.6376 * CHOOSE(CONTROL!$C$19, $C$13, 100%, $E$13)</f>
        <v>3.6375999999999999</v>
      </c>
    </row>
    <row r="172" spans="1:11" ht="15">
      <c r="A172" s="13">
        <v>47088</v>
      </c>
      <c r="B172" s="60">
        <f>3.5022 * CHOOSE(CONTROL!$C$19, $C$13, 100%, $E$13)</f>
        <v>3.5022000000000002</v>
      </c>
      <c r="C172" s="60">
        <f>3.5022 * CHOOSE(CONTROL!$C$19, $C$13, 100%, $E$13)</f>
        <v>3.5022000000000002</v>
      </c>
      <c r="D172" s="60">
        <f>3.519 * CHOOSE(CONTROL!$C$19, $C$13, 100%, $E$13)</f>
        <v>3.5190000000000001</v>
      </c>
      <c r="E172" s="61">
        <f>3.6104 * CHOOSE(CONTROL!$C$19, $C$13, 100%, $E$13)</f>
        <v>3.6103999999999998</v>
      </c>
      <c r="F172" s="61">
        <f>3.6104 * CHOOSE(CONTROL!$C$19, $C$13, 100%, $E$13)</f>
        <v>3.6103999999999998</v>
      </c>
      <c r="G172" s="61">
        <f>3.6106 * CHOOSE(CONTROL!$C$19, $C$13, 100%, $E$13)</f>
        <v>3.6105999999999998</v>
      </c>
      <c r="H172" s="61">
        <f>5.7614* CHOOSE(CONTROL!$C$19, $C$13, 100%, $E$13)</f>
        <v>5.7614000000000001</v>
      </c>
      <c r="I172" s="61">
        <f>5.7616 * CHOOSE(CONTROL!$C$19, $C$13, 100%, $E$13)</f>
        <v>5.7615999999999996</v>
      </c>
      <c r="J172" s="61">
        <f>3.6104 * CHOOSE(CONTROL!$C$19, $C$13, 100%, $E$13)</f>
        <v>3.6103999999999998</v>
      </c>
      <c r="K172" s="61">
        <f>3.6106 * CHOOSE(CONTROL!$C$19, $C$13, 100%, $E$13)</f>
        <v>3.6105999999999998</v>
      </c>
    </row>
    <row r="173" spans="1:11" ht="15">
      <c r="A173" s="13">
        <v>47119</v>
      </c>
      <c r="B173" s="60">
        <f>3.5334 * CHOOSE(CONTROL!$C$19, $C$13, 100%, $E$13)</f>
        <v>3.5333999999999999</v>
      </c>
      <c r="C173" s="60">
        <f>3.5334 * CHOOSE(CONTROL!$C$19, $C$13, 100%, $E$13)</f>
        <v>3.5333999999999999</v>
      </c>
      <c r="D173" s="60">
        <f>3.5502 * CHOOSE(CONTROL!$C$19, $C$13, 100%, $E$13)</f>
        <v>3.5501999999999998</v>
      </c>
      <c r="E173" s="61">
        <f>3.6805 * CHOOSE(CONTROL!$C$19, $C$13, 100%, $E$13)</f>
        <v>3.6804999999999999</v>
      </c>
      <c r="F173" s="61">
        <f>3.6805 * CHOOSE(CONTROL!$C$19, $C$13, 100%, $E$13)</f>
        <v>3.6804999999999999</v>
      </c>
      <c r="G173" s="61">
        <f>3.6806 * CHOOSE(CONTROL!$C$19, $C$13, 100%, $E$13)</f>
        <v>3.6806000000000001</v>
      </c>
      <c r="H173" s="61">
        <f>5.7734* CHOOSE(CONTROL!$C$19, $C$13, 100%, $E$13)</f>
        <v>5.7733999999999996</v>
      </c>
      <c r="I173" s="61">
        <f>5.7736 * CHOOSE(CONTROL!$C$19, $C$13, 100%, $E$13)</f>
        <v>5.7736000000000001</v>
      </c>
      <c r="J173" s="61">
        <f>3.6805 * CHOOSE(CONTROL!$C$19, $C$13, 100%, $E$13)</f>
        <v>3.6804999999999999</v>
      </c>
      <c r="K173" s="61">
        <f>3.6806 * CHOOSE(CONTROL!$C$19, $C$13, 100%, $E$13)</f>
        <v>3.6806000000000001</v>
      </c>
    </row>
    <row r="174" spans="1:11" ht="15">
      <c r="A174" s="13">
        <v>47150</v>
      </c>
      <c r="B174" s="60">
        <f>3.5303 * CHOOSE(CONTROL!$C$19, $C$13, 100%, $E$13)</f>
        <v>3.5303</v>
      </c>
      <c r="C174" s="60">
        <f>3.5303 * CHOOSE(CONTROL!$C$19, $C$13, 100%, $E$13)</f>
        <v>3.5303</v>
      </c>
      <c r="D174" s="60">
        <f>3.5472 * CHOOSE(CONTROL!$C$19, $C$13, 100%, $E$13)</f>
        <v>3.5472000000000001</v>
      </c>
      <c r="E174" s="61">
        <f>3.6258 * CHOOSE(CONTROL!$C$19, $C$13, 100%, $E$13)</f>
        <v>3.6257999999999999</v>
      </c>
      <c r="F174" s="61">
        <f>3.6258 * CHOOSE(CONTROL!$C$19, $C$13, 100%, $E$13)</f>
        <v>3.6257999999999999</v>
      </c>
      <c r="G174" s="61">
        <f>3.626 * CHOOSE(CONTROL!$C$19, $C$13, 100%, $E$13)</f>
        <v>3.6259999999999999</v>
      </c>
      <c r="H174" s="61">
        <f>5.7854* CHOOSE(CONTROL!$C$19, $C$13, 100%, $E$13)</f>
        <v>5.7854000000000001</v>
      </c>
      <c r="I174" s="61">
        <f>5.7856 * CHOOSE(CONTROL!$C$19, $C$13, 100%, $E$13)</f>
        <v>5.7855999999999996</v>
      </c>
      <c r="J174" s="61">
        <f>3.6258 * CHOOSE(CONTROL!$C$19, $C$13, 100%, $E$13)</f>
        <v>3.6257999999999999</v>
      </c>
      <c r="K174" s="61">
        <f>3.626 * CHOOSE(CONTROL!$C$19, $C$13, 100%, $E$13)</f>
        <v>3.6259999999999999</v>
      </c>
    </row>
    <row r="175" spans="1:11" ht="15">
      <c r="A175" s="13">
        <v>47178</v>
      </c>
      <c r="B175" s="60">
        <f>3.5273 * CHOOSE(CONTROL!$C$19, $C$13, 100%, $E$13)</f>
        <v>3.5272999999999999</v>
      </c>
      <c r="C175" s="60">
        <f>3.5273 * CHOOSE(CONTROL!$C$19, $C$13, 100%, $E$13)</f>
        <v>3.5272999999999999</v>
      </c>
      <c r="D175" s="60">
        <f>3.5441 * CHOOSE(CONTROL!$C$19, $C$13, 100%, $E$13)</f>
        <v>3.5440999999999998</v>
      </c>
      <c r="E175" s="61">
        <f>3.6651 * CHOOSE(CONTROL!$C$19, $C$13, 100%, $E$13)</f>
        <v>3.6650999999999998</v>
      </c>
      <c r="F175" s="61">
        <f>3.6651 * CHOOSE(CONTROL!$C$19, $C$13, 100%, $E$13)</f>
        <v>3.6650999999999998</v>
      </c>
      <c r="G175" s="61">
        <f>3.6653 * CHOOSE(CONTROL!$C$19, $C$13, 100%, $E$13)</f>
        <v>3.6652999999999998</v>
      </c>
      <c r="H175" s="61">
        <f>5.7975* CHOOSE(CONTROL!$C$19, $C$13, 100%, $E$13)</f>
        <v>5.7975000000000003</v>
      </c>
      <c r="I175" s="61">
        <f>5.7977 * CHOOSE(CONTROL!$C$19, $C$13, 100%, $E$13)</f>
        <v>5.7976999999999999</v>
      </c>
      <c r="J175" s="61">
        <f>3.6651 * CHOOSE(CONTROL!$C$19, $C$13, 100%, $E$13)</f>
        <v>3.6650999999999998</v>
      </c>
      <c r="K175" s="61">
        <f>3.6653 * CHOOSE(CONTROL!$C$19, $C$13, 100%, $E$13)</f>
        <v>3.6652999999999998</v>
      </c>
    </row>
    <row r="176" spans="1:11" ht="15">
      <c r="A176" s="13">
        <v>47209</v>
      </c>
      <c r="B176" s="60">
        <f>3.5245 * CHOOSE(CONTROL!$C$19, $C$13, 100%, $E$13)</f>
        <v>3.5245000000000002</v>
      </c>
      <c r="C176" s="60">
        <f>3.5245 * CHOOSE(CONTROL!$C$19, $C$13, 100%, $E$13)</f>
        <v>3.5245000000000002</v>
      </c>
      <c r="D176" s="60">
        <f>3.5414 * CHOOSE(CONTROL!$C$19, $C$13, 100%, $E$13)</f>
        <v>3.5413999999999999</v>
      </c>
      <c r="E176" s="61">
        <f>3.7054 * CHOOSE(CONTROL!$C$19, $C$13, 100%, $E$13)</f>
        <v>3.7054</v>
      </c>
      <c r="F176" s="61">
        <f>3.7054 * CHOOSE(CONTROL!$C$19, $C$13, 100%, $E$13)</f>
        <v>3.7054</v>
      </c>
      <c r="G176" s="61">
        <f>3.7055 * CHOOSE(CONTROL!$C$19, $C$13, 100%, $E$13)</f>
        <v>3.7054999999999998</v>
      </c>
      <c r="H176" s="61">
        <f>5.8096* CHOOSE(CONTROL!$C$19, $C$13, 100%, $E$13)</f>
        <v>5.8095999999999997</v>
      </c>
      <c r="I176" s="61">
        <f>5.8098 * CHOOSE(CONTROL!$C$19, $C$13, 100%, $E$13)</f>
        <v>5.8098000000000001</v>
      </c>
      <c r="J176" s="61">
        <f>3.7054 * CHOOSE(CONTROL!$C$19, $C$13, 100%, $E$13)</f>
        <v>3.7054</v>
      </c>
      <c r="K176" s="61">
        <f>3.7055 * CHOOSE(CONTROL!$C$19, $C$13, 100%, $E$13)</f>
        <v>3.7054999999999998</v>
      </c>
    </row>
    <row r="177" spans="1:11" ht="15">
      <c r="A177" s="13">
        <v>47239</v>
      </c>
      <c r="B177" s="60">
        <f>3.5245 * CHOOSE(CONTROL!$C$19, $C$13, 100%, $E$13)</f>
        <v>3.5245000000000002</v>
      </c>
      <c r="C177" s="60">
        <f>3.5245 * CHOOSE(CONTROL!$C$19, $C$13, 100%, $E$13)</f>
        <v>3.5245000000000002</v>
      </c>
      <c r="D177" s="60">
        <f>3.5582 * CHOOSE(CONTROL!$C$19, $C$13, 100%, $E$13)</f>
        <v>3.5581999999999998</v>
      </c>
      <c r="E177" s="61">
        <f>3.722 * CHOOSE(CONTROL!$C$19, $C$13, 100%, $E$13)</f>
        <v>3.722</v>
      </c>
      <c r="F177" s="61">
        <f>3.722 * CHOOSE(CONTROL!$C$19, $C$13, 100%, $E$13)</f>
        <v>3.722</v>
      </c>
      <c r="G177" s="61">
        <f>3.7241 * CHOOSE(CONTROL!$C$19, $C$13, 100%, $E$13)</f>
        <v>3.7241</v>
      </c>
      <c r="H177" s="61">
        <f>5.8217* CHOOSE(CONTROL!$C$19, $C$13, 100%, $E$13)</f>
        <v>5.8216999999999999</v>
      </c>
      <c r="I177" s="61">
        <f>5.8238 * CHOOSE(CONTROL!$C$19, $C$13, 100%, $E$13)</f>
        <v>5.8238000000000003</v>
      </c>
      <c r="J177" s="61">
        <f>3.722 * CHOOSE(CONTROL!$C$19, $C$13, 100%, $E$13)</f>
        <v>3.722</v>
      </c>
      <c r="K177" s="61">
        <f>3.7241 * CHOOSE(CONTROL!$C$19, $C$13, 100%, $E$13)</f>
        <v>3.7241</v>
      </c>
    </row>
    <row r="178" spans="1:11" ht="15">
      <c r="A178" s="13">
        <v>47270</v>
      </c>
      <c r="B178" s="60">
        <f>3.5306 * CHOOSE(CONTROL!$C$19, $C$13, 100%, $E$13)</f>
        <v>3.5306000000000002</v>
      </c>
      <c r="C178" s="60">
        <f>3.5306 * CHOOSE(CONTROL!$C$19, $C$13, 100%, $E$13)</f>
        <v>3.5306000000000002</v>
      </c>
      <c r="D178" s="60">
        <f>3.5643 * CHOOSE(CONTROL!$C$19, $C$13, 100%, $E$13)</f>
        <v>3.5642999999999998</v>
      </c>
      <c r="E178" s="61">
        <f>3.7096 * CHOOSE(CONTROL!$C$19, $C$13, 100%, $E$13)</f>
        <v>3.7096</v>
      </c>
      <c r="F178" s="61">
        <f>3.7096 * CHOOSE(CONTROL!$C$19, $C$13, 100%, $E$13)</f>
        <v>3.7096</v>
      </c>
      <c r="G178" s="61">
        <f>3.7117 * CHOOSE(CONTROL!$C$19, $C$13, 100%, $E$13)</f>
        <v>3.7117</v>
      </c>
      <c r="H178" s="61">
        <f>5.8338* CHOOSE(CONTROL!$C$19, $C$13, 100%, $E$13)</f>
        <v>5.8338000000000001</v>
      </c>
      <c r="I178" s="61">
        <f>5.8359 * CHOOSE(CONTROL!$C$19, $C$13, 100%, $E$13)</f>
        <v>5.8358999999999996</v>
      </c>
      <c r="J178" s="61">
        <f>3.7096 * CHOOSE(CONTROL!$C$19, $C$13, 100%, $E$13)</f>
        <v>3.7096</v>
      </c>
      <c r="K178" s="61">
        <f>3.7117 * CHOOSE(CONTROL!$C$19, $C$13, 100%, $E$13)</f>
        <v>3.7117</v>
      </c>
    </row>
    <row r="179" spans="1:11" ht="15">
      <c r="A179" s="13">
        <v>47300</v>
      </c>
      <c r="B179" s="60">
        <f>3.5897 * CHOOSE(CONTROL!$C$19, $C$13, 100%, $E$13)</f>
        <v>3.5897000000000001</v>
      </c>
      <c r="C179" s="60">
        <f>3.5897 * CHOOSE(CONTROL!$C$19, $C$13, 100%, $E$13)</f>
        <v>3.5897000000000001</v>
      </c>
      <c r="D179" s="60">
        <f>3.6234 * CHOOSE(CONTROL!$C$19, $C$13, 100%, $E$13)</f>
        <v>3.6234000000000002</v>
      </c>
      <c r="E179" s="61">
        <f>3.8261 * CHOOSE(CONTROL!$C$19, $C$13, 100%, $E$13)</f>
        <v>3.8260999999999998</v>
      </c>
      <c r="F179" s="61">
        <f>3.8261 * CHOOSE(CONTROL!$C$19, $C$13, 100%, $E$13)</f>
        <v>3.8260999999999998</v>
      </c>
      <c r="G179" s="61">
        <f>3.8282 * CHOOSE(CONTROL!$C$19, $C$13, 100%, $E$13)</f>
        <v>3.8281999999999998</v>
      </c>
      <c r="H179" s="61">
        <f>5.846* CHOOSE(CONTROL!$C$19, $C$13, 100%, $E$13)</f>
        <v>5.8460000000000001</v>
      </c>
      <c r="I179" s="61">
        <f>5.8481 * CHOOSE(CONTROL!$C$19, $C$13, 100%, $E$13)</f>
        <v>5.8480999999999996</v>
      </c>
      <c r="J179" s="61">
        <f>3.8261 * CHOOSE(CONTROL!$C$19, $C$13, 100%, $E$13)</f>
        <v>3.8260999999999998</v>
      </c>
      <c r="K179" s="61">
        <f>3.8282 * CHOOSE(CONTROL!$C$19, $C$13, 100%, $E$13)</f>
        <v>3.8281999999999998</v>
      </c>
    </row>
    <row r="180" spans="1:11" ht="15">
      <c r="A180" s="13">
        <v>47331</v>
      </c>
      <c r="B180" s="60">
        <f>3.5964 * CHOOSE(CONTROL!$C$19, $C$13, 100%, $E$13)</f>
        <v>3.5964</v>
      </c>
      <c r="C180" s="60">
        <f>3.5964 * CHOOSE(CONTROL!$C$19, $C$13, 100%, $E$13)</f>
        <v>3.5964</v>
      </c>
      <c r="D180" s="60">
        <f>3.63 * CHOOSE(CONTROL!$C$19, $C$13, 100%, $E$13)</f>
        <v>3.63</v>
      </c>
      <c r="E180" s="61">
        <f>3.7807 * CHOOSE(CONTROL!$C$19, $C$13, 100%, $E$13)</f>
        <v>3.7806999999999999</v>
      </c>
      <c r="F180" s="61">
        <f>3.7807 * CHOOSE(CONTROL!$C$19, $C$13, 100%, $E$13)</f>
        <v>3.7806999999999999</v>
      </c>
      <c r="G180" s="61">
        <f>3.7828 * CHOOSE(CONTROL!$C$19, $C$13, 100%, $E$13)</f>
        <v>3.7827999999999999</v>
      </c>
      <c r="H180" s="61">
        <f>5.8581* CHOOSE(CONTROL!$C$19, $C$13, 100%, $E$13)</f>
        <v>5.8581000000000003</v>
      </c>
      <c r="I180" s="61">
        <f>5.8602 * CHOOSE(CONTROL!$C$19, $C$13, 100%, $E$13)</f>
        <v>5.8601999999999999</v>
      </c>
      <c r="J180" s="61">
        <f>3.7807 * CHOOSE(CONTROL!$C$19, $C$13, 100%, $E$13)</f>
        <v>3.7806999999999999</v>
      </c>
      <c r="K180" s="61">
        <f>3.7828 * CHOOSE(CONTROL!$C$19, $C$13, 100%, $E$13)</f>
        <v>3.7827999999999999</v>
      </c>
    </row>
    <row r="181" spans="1:11" ht="15">
      <c r="A181" s="13">
        <v>47362</v>
      </c>
      <c r="B181" s="60">
        <f>3.5933 * CHOOSE(CONTROL!$C$19, $C$13, 100%, $E$13)</f>
        <v>3.5933000000000002</v>
      </c>
      <c r="C181" s="60">
        <f>3.5933 * CHOOSE(CONTROL!$C$19, $C$13, 100%, $E$13)</f>
        <v>3.5933000000000002</v>
      </c>
      <c r="D181" s="60">
        <f>3.627 * CHOOSE(CONTROL!$C$19, $C$13, 100%, $E$13)</f>
        <v>3.6269999999999998</v>
      </c>
      <c r="E181" s="61">
        <f>3.773 * CHOOSE(CONTROL!$C$19, $C$13, 100%, $E$13)</f>
        <v>3.7730000000000001</v>
      </c>
      <c r="F181" s="61">
        <f>3.773 * CHOOSE(CONTROL!$C$19, $C$13, 100%, $E$13)</f>
        <v>3.7730000000000001</v>
      </c>
      <c r="G181" s="61">
        <f>3.7751 * CHOOSE(CONTROL!$C$19, $C$13, 100%, $E$13)</f>
        <v>3.7751000000000001</v>
      </c>
      <c r="H181" s="61">
        <f>5.8703* CHOOSE(CONTROL!$C$19, $C$13, 100%, $E$13)</f>
        <v>5.8703000000000003</v>
      </c>
      <c r="I181" s="61">
        <f>5.8724 * CHOOSE(CONTROL!$C$19, $C$13, 100%, $E$13)</f>
        <v>5.8723999999999998</v>
      </c>
      <c r="J181" s="61">
        <f>3.773 * CHOOSE(CONTROL!$C$19, $C$13, 100%, $E$13)</f>
        <v>3.7730000000000001</v>
      </c>
      <c r="K181" s="61">
        <f>3.7751 * CHOOSE(CONTROL!$C$19, $C$13, 100%, $E$13)</f>
        <v>3.7751000000000001</v>
      </c>
    </row>
    <row r="182" spans="1:11" ht="15">
      <c r="A182" s="13">
        <v>47392</v>
      </c>
      <c r="B182" s="60">
        <f>3.587 * CHOOSE(CONTROL!$C$19, $C$13, 100%, $E$13)</f>
        <v>3.5870000000000002</v>
      </c>
      <c r="C182" s="60">
        <f>3.587 * CHOOSE(CONTROL!$C$19, $C$13, 100%, $E$13)</f>
        <v>3.5870000000000002</v>
      </c>
      <c r="D182" s="60">
        <f>3.6038 * CHOOSE(CONTROL!$C$19, $C$13, 100%, $E$13)</f>
        <v>3.6038000000000001</v>
      </c>
      <c r="E182" s="61">
        <f>3.7819 * CHOOSE(CONTROL!$C$19, $C$13, 100%, $E$13)</f>
        <v>3.7818999999999998</v>
      </c>
      <c r="F182" s="61">
        <f>3.7819 * CHOOSE(CONTROL!$C$19, $C$13, 100%, $E$13)</f>
        <v>3.7818999999999998</v>
      </c>
      <c r="G182" s="61">
        <f>3.782 * CHOOSE(CONTROL!$C$19, $C$13, 100%, $E$13)</f>
        <v>3.782</v>
      </c>
      <c r="H182" s="61">
        <f>5.8826* CHOOSE(CONTROL!$C$19, $C$13, 100%, $E$13)</f>
        <v>5.8826000000000001</v>
      </c>
      <c r="I182" s="61">
        <f>5.8828 * CHOOSE(CONTROL!$C$19, $C$13, 100%, $E$13)</f>
        <v>5.8827999999999996</v>
      </c>
      <c r="J182" s="61">
        <f>3.7819 * CHOOSE(CONTROL!$C$19, $C$13, 100%, $E$13)</f>
        <v>3.7818999999999998</v>
      </c>
      <c r="K182" s="61">
        <f>3.782 * CHOOSE(CONTROL!$C$19, $C$13, 100%, $E$13)</f>
        <v>3.782</v>
      </c>
    </row>
    <row r="183" spans="1:11" ht="15">
      <c r="A183" s="13">
        <v>47423</v>
      </c>
      <c r="B183" s="60">
        <f>3.59 * CHOOSE(CONTROL!$C$19, $C$13, 100%, $E$13)</f>
        <v>3.59</v>
      </c>
      <c r="C183" s="60">
        <f>3.59 * CHOOSE(CONTROL!$C$19, $C$13, 100%, $E$13)</f>
        <v>3.59</v>
      </c>
      <c r="D183" s="60">
        <f>3.6068 * CHOOSE(CONTROL!$C$19, $C$13, 100%, $E$13)</f>
        <v>3.6067999999999998</v>
      </c>
      <c r="E183" s="61">
        <f>3.7951 * CHOOSE(CONTROL!$C$19, $C$13, 100%, $E$13)</f>
        <v>3.7951000000000001</v>
      </c>
      <c r="F183" s="61">
        <f>3.7951 * CHOOSE(CONTROL!$C$19, $C$13, 100%, $E$13)</f>
        <v>3.7951000000000001</v>
      </c>
      <c r="G183" s="61">
        <f>3.7953 * CHOOSE(CONTROL!$C$19, $C$13, 100%, $E$13)</f>
        <v>3.7953000000000001</v>
      </c>
      <c r="H183" s="61">
        <f>5.8948* CHOOSE(CONTROL!$C$19, $C$13, 100%, $E$13)</f>
        <v>5.8948</v>
      </c>
      <c r="I183" s="61">
        <f>5.895 * CHOOSE(CONTROL!$C$19, $C$13, 100%, $E$13)</f>
        <v>5.8949999999999996</v>
      </c>
      <c r="J183" s="61">
        <f>3.7951 * CHOOSE(CONTROL!$C$19, $C$13, 100%, $E$13)</f>
        <v>3.7951000000000001</v>
      </c>
      <c r="K183" s="61">
        <f>3.7953 * CHOOSE(CONTROL!$C$19, $C$13, 100%, $E$13)</f>
        <v>3.7953000000000001</v>
      </c>
    </row>
    <row r="184" spans="1:11" ht="15">
      <c r="A184" s="13">
        <v>47453</v>
      </c>
      <c r="B184" s="60">
        <f>3.59 * CHOOSE(CONTROL!$C$19, $C$13, 100%, $E$13)</f>
        <v>3.59</v>
      </c>
      <c r="C184" s="60">
        <f>3.59 * CHOOSE(CONTROL!$C$19, $C$13, 100%, $E$13)</f>
        <v>3.59</v>
      </c>
      <c r="D184" s="60">
        <f>3.6068 * CHOOSE(CONTROL!$C$19, $C$13, 100%, $E$13)</f>
        <v>3.6067999999999998</v>
      </c>
      <c r="E184" s="61">
        <f>3.7673 * CHOOSE(CONTROL!$C$19, $C$13, 100%, $E$13)</f>
        <v>3.7673000000000001</v>
      </c>
      <c r="F184" s="61">
        <f>3.7673 * CHOOSE(CONTROL!$C$19, $C$13, 100%, $E$13)</f>
        <v>3.7673000000000001</v>
      </c>
      <c r="G184" s="61">
        <f>3.7675 * CHOOSE(CONTROL!$C$19, $C$13, 100%, $E$13)</f>
        <v>3.7675000000000001</v>
      </c>
      <c r="H184" s="61">
        <f>5.9071* CHOOSE(CONTROL!$C$19, $C$13, 100%, $E$13)</f>
        <v>5.9070999999999998</v>
      </c>
      <c r="I184" s="61">
        <f>5.9073 * CHOOSE(CONTROL!$C$19, $C$13, 100%, $E$13)</f>
        <v>5.9073000000000002</v>
      </c>
      <c r="J184" s="61">
        <f>3.7673 * CHOOSE(CONTROL!$C$19, $C$13, 100%, $E$13)</f>
        <v>3.7673000000000001</v>
      </c>
      <c r="K184" s="61">
        <f>3.7675 * CHOOSE(CONTROL!$C$19, $C$13, 100%, $E$13)</f>
        <v>3.7675000000000001</v>
      </c>
    </row>
    <row r="185" spans="1:11" ht="15">
      <c r="A185" s="13">
        <v>47484</v>
      </c>
      <c r="B185" s="60">
        <f>3.6254 * CHOOSE(CONTROL!$C$19, $C$13, 100%, $E$13)</f>
        <v>3.6254</v>
      </c>
      <c r="C185" s="60">
        <f>3.6254 * CHOOSE(CONTROL!$C$19, $C$13, 100%, $E$13)</f>
        <v>3.6254</v>
      </c>
      <c r="D185" s="60">
        <f>3.6422 * CHOOSE(CONTROL!$C$19, $C$13, 100%, $E$13)</f>
        <v>3.6421999999999999</v>
      </c>
      <c r="E185" s="61">
        <f>3.8175 * CHOOSE(CONTROL!$C$19, $C$13, 100%, $E$13)</f>
        <v>3.8174999999999999</v>
      </c>
      <c r="F185" s="61">
        <f>3.8175 * CHOOSE(CONTROL!$C$19, $C$13, 100%, $E$13)</f>
        <v>3.8174999999999999</v>
      </c>
      <c r="G185" s="61">
        <f>3.8177 * CHOOSE(CONTROL!$C$19, $C$13, 100%, $E$13)</f>
        <v>3.8176999999999999</v>
      </c>
      <c r="H185" s="61">
        <f>5.9194* CHOOSE(CONTROL!$C$19, $C$13, 100%, $E$13)</f>
        <v>5.9194000000000004</v>
      </c>
      <c r="I185" s="61">
        <f>5.9196 * CHOOSE(CONTROL!$C$19, $C$13, 100%, $E$13)</f>
        <v>5.9196</v>
      </c>
      <c r="J185" s="61">
        <f>3.8175 * CHOOSE(CONTROL!$C$19, $C$13, 100%, $E$13)</f>
        <v>3.8174999999999999</v>
      </c>
      <c r="K185" s="61">
        <f>3.8177 * CHOOSE(CONTROL!$C$19, $C$13, 100%, $E$13)</f>
        <v>3.8176999999999999</v>
      </c>
    </row>
    <row r="186" spans="1:11" ht="15">
      <c r="A186" s="13">
        <v>47515</v>
      </c>
      <c r="B186" s="60">
        <f>3.6224 * CHOOSE(CONTROL!$C$19, $C$13, 100%, $E$13)</f>
        <v>3.6223999999999998</v>
      </c>
      <c r="C186" s="60">
        <f>3.6224 * CHOOSE(CONTROL!$C$19, $C$13, 100%, $E$13)</f>
        <v>3.6223999999999998</v>
      </c>
      <c r="D186" s="60">
        <f>3.6392 * CHOOSE(CONTROL!$C$19, $C$13, 100%, $E$13)</f>
        <v>3.6392000000000002</v>
      </c>
      <c r="E186" s="61">
        <f>3.7611 * CHOOSE(CONTROL!$C$19, $C$13, 100%, $E$13)</f>
        <v>3.7610999999999999</v>
      </c>
      <c r="F186" s="61">
        <f>3.7611 * CHOOSE(CONTROL!$C$19, $C$13, 100%, $E$13)</f>
        <v>3.7610999999999999</v>
      </c>
      <c r="G186" s="61">
        <f>3.7612 * CHOOSE(CONTROL!$C$19, $C$13, 100%, $E$13)</f>
        <v>3.7612000000000001</v>
      </c>
      <c r="H186" s="61">
        <f>5.9318* CHOOSE(CONTROL!$C$19, $C$13, 100%, $E$13)</f>
        <v>5.9318</v>
      </c>
      <c r="I186" s="61">
        <f>5.9319 * CHOOSE(CONTROL!$C$19, $C$13, 100%, $E$13)</f>
        <v>5.9318999999999997</v>
      </c>
      <c r="J186" s="61">
        <f>3.7611 * CHOOSE(CONTROL!$C$19, $C$13, 100%, $E$13)</f>
        <v>3.7610999999999999</v>
      </c>
      <c r="K186" s="61">
        <f>3.7612 * CHOOSE(CONTROL!$C$19, $C$13, 100%, $E$13)</f>
        <v>3.7612000000000001</v>
      </c>
    </row>
    <row r="187" spans="1:11" ht="15">
      <c r="A187" s="13">
        <v>47543</v>
      </c>
      <c r="B187" s="60">
        <f>3.6193 * CHOOSE(CONTROL!$C$19, $C$13, 100%, $E$13)</f>
        <v>3.6193</v>
      </c>
      <c r="C187" s="60">
        <f>3.6193 * CHOOSE(CONTROL!$C$19, $C$13, 100%, $E$13)</f>
        <v>3.6193</v>
      </c>
      <c r="D187" s="60">
        <f>3.6362 * CHOOSE(CONTROL!$C$19, $C$13, 100%, $E$13)</f>
        <v>3.6362000000000001</v>
      </c>
      <c r="E187" s="61">
        <f>3.8018 * CHOOSE(CONTROL!$C$19, $C$13, 100%, $E$13)</f>
        <v>3.8018000000000001</v>
      </c>
      <c r="F187" s="61">
        <f>3.8018 * CHOOSE(CONTROL!$C$19, $C$13, 100%, $E$13)</f>
        <v>3.8018000000000001</v>
      </c>
      <c r="G187" s="61">
        <f>3.802 * CHOOSE(CONTROL!$C$19, $C$13, 100%, $E$13)</f>
        <v>3.802</v>
      </c>
      <c r="H187" s="61">
        <f>5.9441* CHOOSE(CONTROL!$C$19, $C$13, 100%, $E$13)</f>
        <v>5.9440999999999997</v>
      </c>
      <c r="I187" s="61">
        <f>5.9443 * CHOOSE(CONTROL!$C$19, $C$13, 100%, $E$13)</f>
        <v>5.9443000000000001</v>
      </c>
      <c r="J187" s="61">
        <f>3.8018 * CHOOSE(CONTROL!$C$19, $C$13, 100%, $E$13)</f>
        <v>3.8018000000000001</v>
      </c>
      <c r="K187" s="61">
        <f>3.802 * CHOOSE(CONTROL!$C$19, $C$13, 100%, $E$13)</f>
        <v>3.802</v>
      </c>
    </row>
    <row r="188" spans="1:11" ht="15">
      <c r="A188" s="13">
        <v>47574</v>
      </c>
      <c r="B188" s="60">
        <f>3.6166 * CHOOSE(CONTROL!$C$19, $C$13, 100%, $E$13)</f>
        <v>3.6166</v>
      </c>
      <c r="C188" s="60">
        <f>3.6166 * CHOOSE(CONTROL!$C$19, $C$13, 100%, $E$13)</f>
        <v>3.6166</v>
      </c>
      <c r="D188" s="60">
        <f>3.6335 * CHOOSE(CONTROL!$C$19, $C$13, 100%, $E$13)</f>
        <v>3.6335000000000002</v>
      </c>
      <c r="E188" s="61">
        <f>3.8436 * CHOOSE(CONTROL!$C$19, $C$13, 100%, $E$13)</f>
        <v>3.8435999999999999</v>
      </c>
      <c r="F188" s="61">
        <f>3.8436 * CHOOSE(CONTROL!$C$19, $C$13, 100%, $E$13)</f>
        <v>3.8435999999999999</v>
      </c>
      <c r="G188" s="61">
        <f>3.8437 * CHOOSE(CONTROL!$C$19, $C$13, 100%, $E$13)</f>
        <v>3.8437000000000001</v>
      </c>
      <c r="H188" s="61">
        <f>5.9565* CHOOSE(CONTROL!$C$19, $C$13, 100%, $E$13)</f>
        <v>5.9565000000000001</v>
      </c>
      <c r="I188" s="61">
        <f>5.9567 * CHOOSE(CONTROL!$C$19, $C$13, 100%, $E$13)</f>
        <v>5.9566999999999997</v>
      </c>
      <c r="J188" s="61">
        <f>3.8436 * CHOOSE(CONTROL!$C$19, $C$13, 100%, $E$13)</f>
        <v>3.8435999999999999</v>
      </c>
      <c r="K188" s="61">
        <f>3.8437 * CHOOSE(CONTROL!$C$19, $C$13, 100%, $E$13)</f>
        <v>3.8437000000000001</v>
      </c>
    </row>
    <row r="189" spans="1:11" ht="15">
      <c r="A189" s="13">
        <v>47604</v>
      </c>
      <c r="B189" s="60">
        <f>3.6166 * CHOOSE(CONTROL!$C$19, $C$13, 100%, $E$13)</f>
        <v>3.6166</v>
      </c>
      <c r="C189" s="60">
        <f>3.6166 * CHOOSE(CONTROL!$C$19, $C$13, 100%, $E$13)</f>
        <v>3.6166</v>
      </c>
      <c r="D189" s="60">
        <f>3.6503 * CHOOSE(CONTROL!$C$19, $C$13, 100%, $E$13)</f>
        <v>3.6503000000000001</v>
      </c>
      <c r="E189" s="61">
        <f>3.8608 * CHOOSE(CONTROL!$C$19, $C$13, 100%, $E$13)</f>
        <v>3.8607999999999998</v>
      </c>
      <c r="F189" s="61">
        <f>3.8608 * CHOOSE(CONTROL!$C$19, $C$13, 100%, $E$13)</f>
        <v>3.8607999999999998</v>
      </c>
      <c r="G189" s="61">
        <f>3.8629 * CHOOSE(CONTROL!$C$19, $C$13, 100%, $E$13)</f>
        <v>3.8628999999999998</v>
      </c>
      <c r="H189" s="61">
        <f>5.9689* CHOOSE(CONTROL!$C$19, $C$13, 100%, $E$13)</f>
        <v>5.9688999999999997</v>
      </c>
      <c r="I189" s="61">
        <f>5.971 * CHOOSE(CONTROL!$C$19, $C$13, 100%, $E$13)</f>
        <v>5.9710000000000001</v>
      </c>
      <c r="J189" s="61">
        <f>3.8608 * CHOOSE(CONTROL!$C$19, $C$13, 100%, $E$13)</f>
        <v>3.8607999999999998</v>
      </c>
      <c r="K189" s="61">
        <f>3.8629 * CHOOSE(CONTROL!$C$19, $C$13, 100%, $E$13)</f>
        <v>3.8628999999999998</v>
      </c>
    </row>
    <row r="190" spans="1:11" ht="15">
      <c r="A190" s="13">
        <v>47635</v>
      </c>
      <c r="B190" s="60">
        <f>3.6227 * CHOOSE(CONTROL!$C$19, $C$13, 100%, $E$13)</f>
        <v>3.6227</v>
      </c>
      <c r="C190" s="60">
        <f>3.6227 * CHOOSE(CONTROL!$C$19, $C$13, 100%, $E$13)</f>
        <v>3.6227</v>
      </c>
      <c r="D190" s="60">
        <f>3.6564 * CHOOSE(CONTROL!$C$19, $C$13, 100%, $E$13)</f>
        <v>3.6564000000000001</v>
      </c>
      <c r="E190" s="61">
        <f>3.8478 * CHOOSE(CONTROL!$C$19, $C$13, 100%, $E$13)</f>
        <v>3.8477999999999999</v>
      </c>
      <c r="F190" s="61">
        <f>3.8478 * CHOOSE(CONTROL!$C$19, $C$13, 100%, $E$13)</f>
        <v>3.8477999999999999</v>
      </c>
      <c r="G190" s="61">
        <f>3.8499 * CHOOSE(CONTROL!$C$19, $C$13, 100%, $E$13)</f>
        <v>3.8498999999999999</v>
      </c>
      <c r="H190" s="61">
        <f>5.9813* CHOOSE(CONTROL!$C$19, $C$13, 100%, $E$13)</f>
        <v>5.9813000000000001</v>
      </c>
      <c r="I190" s="61">
        <f>5.9834 * CHOOSE(CONTROL!$C$19, $C$13, 100%, $E$13)</f>
        <v>5.9833999999999996</v>
      </c>
      <c r="J190" s="61">
        <f>3.8478 * CHOOSE(CONTROL!$C$19, $C$13, 100%, $E$13)</f>
        <v>3.8477999999999999</v>
      </c>
      <c r="K190" s="61">
        <f>3.8499 * CHOOSE(CONTROL!$C$19, $C$13, 100%, $E$13)</f>
        <v>3.8498999999999999</v>
      </c>
    </row>
    <row r="191" spans="1:11" ht="15">
      <c r="A191" s="13">
        <v>47665</v>
      </c>
      <c r="B191" s="60">
        <f>3.6908 * CHOOSE(CONTROL!$C$19, $C$13, 100%, $E$13)</f>
        <v>3.6907999999999999</v>
      </c>
      <c r="C191" s="60">
        <f>3.6908 * CHOOSE(CONTROL!$C$19, $C$13, 100%, $E$13)</f>
        <v>3.6907999999999999</v>
      </c>
      <c r="D191" s="60">
        <f>3.7245 * CHOOSE(CONTROL!$C$19, $C$13, 100%, $E$13)</f>
        <v>3.7244999999999999</v>
      </c>
      <c r="E191" s="61">
        <f>3.9043 * CHOOSE(CONTROL!$C$19, $C$13, 100%, $E$13)</f>
        <v>3.9043000000000001</v>
      </c>
      <c r="F191" s="61">
        <f>3.9043 * CHOOSE(CONTROL!$C$19, $C$13, 100%, $E$13)</f>
        <v>3.9043000000000001</v>
      </c>
      <c r="G191" s="61">
        <f>3.9064 * CHOOSE(CONTROL!$C$19, $C$13, 100%, $E$13)</f>
        <v>3.9064000000000001</v>
      </c>
      <c r="H191" s="61">
        <f>5.9938* CHOOSE(CONTROL!$C$19, $C$13, 100%, $E$13)</f>
        <v>5.9938000000000002</v>
      </c>
      <c r="I191" s="61">
        <f>5.9959 * CHOOSE(CONTROL!$C$19, $C$13, 100%, $E$13)</f>
        <v>5.9958999999999998</v>
      </c>
      <c r="J191" s="61">
        <f>3.9043 * CHOOSE(CONTROL!$C$19, $C$13, 100%, $E$13)</f>
        <v>3.9043000000000001</v>
      </c>
      <c r="K191" s="61">
        <f>3.9064 * CHOOSE(CONTROL!$C$19, $C$13, 100%, $E$13)</f>
        <v>3.9064000000000001</v>
      </c>
    </row>
    <row r="192" spans="1:11" ht="15">
      <c r="A192" s="13">
        <v>47696</v>
      </c>
      <c r="B192" s="60">
        <f>3.6975 * CHOOSE(CONTROL!$C$19, $C$13, 100%, $E$13)</f>
        <v>3.6974999999999998</v>
      </c>
      <c r="C192" s="60">
        <f>3.6975 * CHOOSE(CONTROL!$C$19, $C$13, 100%, $E$13)</f>
        <v>3.6974999999999998</v>
      </c>
      <c r="D192" s="60">
        <f>3.7312 * CHOOSE(CONTROL!$C$19, $C$13, 100%, $E$13)</f>
        <v>3.7311999999999999</v>
      </c>
      <c r="E192" s="61">
        <f>3.8572 * CHOOSE(CONTROL!$C$19, $C$13, 100%, $E$13)</f>
        <v>3.8572000000000002</v>
      </c>
      <c r="F192" s="61">
        <f>3.8572 * CHOOSE(CONTROL!$C$19, $C$13, 100%, $E$13)</f>
        <v>3.8572000000000002</v>
      </c>
      <c r="G192" s="61">
        <f>3.8593 * CHOOSE(CONTROL!$C$19, $C$13, 100%, $E$13)</f>
        <v>3.8593000000000002</v>
      </c>
      <c r="H192" s="61">
        <f>6.0063* CHOOSE(CONTROL!$C$19, $C$13, 100%, $E$13)</f>
        <v>6.0063000000000004</v>
      </c>
      <c r="I192" s="61">
        <f>6.0084 * CHOOSE(CONTROL!$C$19, $C$13, 100%, $E$13)</f>
        <v>6.0084</v>
      </c>
      <c r="J192" s="61">
        <f>3.8572 * CHOOSE(CONTROL!$C$19, $C$13, 100%, $E$13)</f>
        <v>3.8572000000000002</v>
      </c>
      <c r="K192" s="61">
        <f>3.8593 * CHOOSE(CONTROL!$C$19, $C$13, 100%, $E$13)</f>
        <v>3.8593000000000002</v>
      </c>
    </row>
    <row r="193" spans="1:11" ht="15">
      <c r="A193" s="13">
        <v>47727</v>
      </c>
      <c r="B193" s="60">
        <f>3.6945 * CHOOSE(CONTROL!$C$19, $C$13, 100%, $E$13)</f>
        <v>3.6945000000000001</v>
      </c>
      <c r="C193" s="60">
        <f>3.6945 * CHOOSE(CONTROL!$C$19, $C$13, 100%, $E$13)</f>
        <v>3.6945000000000001</v>
      </c>
      <c r="D193" s="60">
        <f>3.7281 * CHOOSE(CONTROL!$C$19, $C$13, 100%, $E$13)</f>
        <v>3.7281</v>
      </c>
      <c r="E193" s="61">
        <f>3.8493 * CHOOSE(CONTROL!$C$19, $C$13, 100%, $E$13)</f>
        <v>3.8492999999999999</v>
      </c>
      <c r="F193" s="61">
        <f>3.8493 * CHOOSE(CONTROL!$C$19, $C$13, 100%, $E$13)</f>
        <v>3.8492999999999999</v>
      </c>
      <c r="G193" s="61">
        <f>3.8514 * CHOOSE(CONTROL!$C$19, $C$13, 100%, $E$13)</f>
        <v>3.8513999999999999</v>
      </c>
      <c r="H193" s="61">
        <f>6.0188* CHOOSE(CONTROL!$C$19, $C$13, 100%, $E$13)</f>
        <v>6.0187999999999997</v>
      </c>
      <c r="I193" s="61">
        <f>6.0209 * CHOOSE(CONTROL!$C$19, $C$13, 100%, $E$13)</f>
        <v>6.0209000000000001</v>
      </c>
      <c r="J193" s="61">
        <f>3.8493 * CHOOSE(CONTROL!$C$19, $C$13, 100%, $E$13)</f>
        <v>3.8492999999999999</v>
      </c>
      <c r="K193" s="61">
        <f>3.8514 * CHOOSE(CONTROL!$C$19, $C$13, 100%, $E$13)</f>
        <v>3.8513999999999999</v>
      </c>
    </row>
    <row r="194" spans="1:11" ht="15">
      <c r="A194" s="13">
        <v>47757</v>
      </c>
      <c r="B194" s="60">
        <f>3.6884 * CHOOSE(CONTROL!$C$19, $C$13, 100%, $E$13)</f>
        <v>3.6884000000000001</v>
      </c>
      <c r="C194" s="60">
        <f>3.6884 * CHOOSE(CONTROL!$C$19, $C$13, 100%, $E$13)</f>
        <v>3.6884000000000001</v>
      </c>
      <c r="D194" s="60">
        <f>3.7053 * CHOOSE(CONTROL!$C$19, $C$13, 100%, $E$13)</f>
        <v>3.7052999999999998</v>
      </c>
      <c r="E194" s="61">
        <f>3.8589 * CHOOSE(CONTROL!$C$19, $C$13, 100%, $E$13)</f>
        <v>3.8589000000000002</v>
      </c>
      <c r="F194" s="61">
        <f>3.8589 * CHOOSE(CONTROL!$C$19, $C$13, 100%, $E$13)</f>
        <v>3.8589000000000002</v>
      </c>
      <c r="G194" s="61">
        <f>3.8591 * CHOOSE(CONTROL!$C$19, $C$13, 100%, $E$13)</f>
        <v>3.8591000000000002</v>
      </c>
      <c r="H194" s="61">
        <f>6.0313* CHOOSE(CONTROL!$C$19, $C$13, 100%, $E$13)</f>
        <v>6.0312999999999999</v>
      </c>
      <c r="I194" s="61">
        <f>6.0315 * CHOOSE(CONTROL!$C$19, $C$13, 100%, $E$13)</f>
        <v>6.0315000000000003</v>
      </c>
      <c r="J194" s="61">
        <f>3.8589 * CHOOSE(CONTROL!$C$19, $C$13, 100%, $E$13)</f>
        <v>3.8589000000000002</v>
      </c>
      <c r="K194" s="61">
        <f>3.8591 * CHOOSE(CONTROL!$C$19, $C$13, 100%, $E$13)</f>
        <v>3.8591000000000002</v>
      </c>
    </row>
    <row r="195" spans="1:11" ht="15">
      <c r="A195" s="13">
        <v>47788</v>
      </c>
      <c r="B195" s="60">
        <f>3.6915 * CHOOSE(CONTROL!$C$19, $C$13, 100%, $E$13)</f>
        <v>3.6915</v>
      </c>
      <c r="C195" s="60">
        <f>3.6915 * CHOOSE(CONTROL!$C$19, $C$13, 100%, $E$13)</f>
        <v>3.6915</v>
      </c>
      <c r="D195" s="60">
        <f>3.7083 * CHOOSE(CONTROL!$C$19, $C$13, 100%, $E$13)</f>
        <v>3.7082999999999999</v>
      </c>
      <c r="E195" s="61">
        <f>3.8725 * CHOOSE(CONTROL!$C$19, $C$13, 100%, $E$13)</f>
        <v>3.8725000000000001</v>
      </c>
      <c r="F195" s="61">
        <f>3.8725 * CHOOSE(CONTROL!$C$19, $C$13, 100%, $E$13)</f>
        <v>3.8725000000000001</v>
      </c>
      <c r="G195" s="61">
        <f>3.8727 * CHOOSE(CONTROL!$C$19, $C$13, 100%, $E$13)</f>
        <v>3.8727</v>
      </c>
      <c r="H195" s="61">
        <f>6.0439* CHOOSE(CONTROL!$C$19, $C$13, 100%, $E$13)</f>
        <v>6.0438999999999998</v>
      </c>
      <c r="I195" s="61">
        <f>6.0441 * CHOOSE(CONTROL!$C$19, $C$13, 100%, $E$13)</f>
        <v>6.0441000000000003</v>
      </c>
      <c r="J195" s="61">
        <f>3.8725 * CHOOSE(CONTROL!$C$19, $C$13, 100%, $E$13)</f>
        <v>3.8725000000000001</v>
      </c>
      <c r="K195" s="61">
        <f>3.8727 * CHOOSE(CONTROL!$C$19, $C$13, 100%, $E$13)</f>
        <v>3.8727</v>
      </c>
    </row>
    <row r="196" spans="1:11" ht="15">
      <c r="A196" s="13">
        <v>47818</v>
      </c>
      <c r="B196" s="60">
        <f>3.6915 * CHOOSE(CONTROL!$C$19, $C$13, 100%, $E$13)</f>
        <v>3.6915</v>
      </c>
      <c r="C196" s="60">
        <f>3.6915 * CHOOSE(CONTROL!$C$19, $C$13, 100%, $E$13)</f>
        <v>3.6915</v>
      </c>
      <c r="D196" s="60">
        <f>3.7083 * CHOOSE(CONTROL!$C$19, $C$13, 100%, $E$13)</f>
        <v>3.7082999999999999</v>
      </c>
      <c r="E196" s="61">
        <f>3.8438 * CHOOSE(CONTROL!$C$19, $C$13, 100%, $E$13)</f>
        <v>3.8437999999999999</v>
      </c>
      <c r="F196" s="61">
        <f>3.8438 * CHOOSE(CONTROL!$C$19, $C$13, 100%, $E$13)</f>
        <v>3.8437999999999999</v>
      </c>
      <c r="G196" s="61">
        <f>3.8439 * CHOOSE(CONTROL!$C$19, $C$13, 100%, $E$13)</f>
        <v>3.8439000000000001</v>
      </c>
      <c r="H196" s="61">
        <f>6.0565* CHOOSE(CONTROL!$C$19, $C$13, 100%, $E$13)</f>
        <v>6.0564999999999998</v>
      </c>
      <c r="I196" s="61">
        <f>6.0567 * CHOOSE(CONTROL!$C$19, $C$13, 100%, $E$13)</f>
        <v>6.0567000000000002</v>
      </c>
      <c r="J196" s="61">
        <f>3.8438 * CHOOSE(CONTROL!$C$19, $C$13, 100%, $E$13)</f>
        <v>3.8437999999999999</v>
      </c>
      <c r="K196" s="61">
        <f>3.8439 * CHOOSE(CONTROL!$C$19, $C$13, 100%, $E$13)</f>
        <v>3.8439000000000001</v>
      </c>
    </row>
    <row r="197" spans="1:11" ht="15">
      <c r="A197" s="13">
        <v>47849</v>
      </c>
      <c r="B197" s="60">
        <f>3.7181 * CHOOSE(CONTROL!$C$19, $C$13, 100%, $E$13)</f>
        <v>3.7181000000000002</v>
      </c>
      <c r="C197" s="60">
        <f>3.7181 * CHOOSE(CONTROL!$C$19, $C$13, 100%, $E$13)</f>
        <v>3.7181000000000002</v>
      </c>
      <c r="D197" s="60">
        <f>3.7349 * CHOOSE(CONTROL!$C$19, $C$13, 100%, $E$13)</f>
        <v>3.7349000000000001</v>
      </c>
      <c r="E197" s="61">
        <f>3.9078 * CHOOSE(CONTROL!$C$19, $C$13, 100%, $E$13)</f>
        <v>3.9077999999999999</v>
      </c>
      <c r="F197" s="61">
        <f>3.9078 * CHOOSE(CONTROL!$C$19, $C$13, 100%, $E$13)</f>
        <v>3.9077999999999999</v>
      </c>
      <c r="G197" s="61">
        <f>3.908 * CHOOSE(CONTROL!$C$19, $C$13, 100%, $E$13)</f>
        <v>3.9079999999999999</v>
      </c>
      <c r="H197" s="61">
        <f>6.0691* CHOOSE(CONTROL!$C$19, $C$13, 100%, $E$13)</f>
        <v>6.0690999999999997</v>
      </c>
      <c r="I197" s="61">
        <f>6.0693 * CHOOSE(CONTROL!$C$19, $C$13, 100%, $E$13)</f>
        <v>6.0693000000000001</v>
      </c>
      <c r="J197" s="61">
        <f>3.9078 * CHOOSE(CONTROL!$C$19, $C$13, 100%, $E$13)</f>
        <v>3.9077999999999999</v>
      </c>
      <c r="K197" s="61">
        <f>3.908 * CHOOSE(CONTROL!$C$19, $C$13, 100%, $E$13)</f>
        <v>3.9079999999999999</v>
      </c>
    </row>
    <row r="198" spans="1:11" ht="15">
      <c r="A198" s="13">
        <v>47880</v>
      </c>
      <c r="B198" s="60">
        <f>3.715 * CHOOSE(CONTROL!$C$19, $C$13, 100%, $E$13)</f>
        <v>3.7149999999999999</v>
      </c>
      <c r="C198" s="60">
        <f>3.715 * CHOOSE(CONTROL!$C$19, $C$13, 100%, $E$13)</f>
        <v>3.7149999999999999</v>
      </c>
      <c r="D198" s="60">
        <f>3.7319 * CHOOSE(CONTROL!$C$19, $C$13, 100%, $E$13)</f>
        <v>3.7319</v>
      </c>
      <c r="E198" s="61">
        <f>3.8497 * CHOOSE(CONTROL!$C$19, $C$13, 100%, $E$13)</f>
        <v>3.8496999999999999</v>
      </c>
      <c r="F198" s="61">
        <f>3.8497 * CHOOSE(CONTROL!$C$19, $C$13, 100%, $E$13)</f>
        <v>3.8496999999999999</v>
      </c>
      <c r="G198" s="61">
        <f>3.8498 * CHOOSE(CONTROL!$C$19, $C$13, 100%, $E$13)</f>
        <v>3.8498000000000001</v>
      </c>
      <c r="H198" s="61">
        <f>6.0818* CHOOSE(CONTROL!$C$19, $C$13, 100%, $E$13)</f>
        <v>6.0818000000000003</v>
      </c>
      <c r="I198" s="61">
        <f>6.0819 * CHOOSE(CONTROL!$C$19, $C$13, 100%, $E$13)</f>
        <v>6.0819000000000001</v>
      </c>
      <c r="J198" s="61">
        <f>3.8497 * CHOOSE(CONTROL!$C$19, $C$13, 100%, $E$13)</f>
        <v>3.8496999999999999</v>
      </c>
      <c r="K198" s="61">
        <f>3.8498 * CHOOSE(CONTROL!$C$19, $C$13, 100%, $E$13)</f>
        <v>3.8498000000000001</v>
      </c>
    </row>
    <row r="199" spans="1:11" ht="15">
      <c r="A199" s="13">
        <v>47908</v>
      </c>
      <c r="B199" s="60">
        <f>3.712 * CHOOSE(CONTROL!$C$19, $C$13, 100%, $E$13)</f>
        <v>3.7120000000000002</v>
      </c>
      <c r="C199" s="60">
        <f>3.712 * CHOOSE(CONTROL!$C$19, $C$13, 100%, $E$13)</f>
        <v>3.7120000000000002</v>
      </c>
      <c r="D199" s="60">
        <f>3.7288 * CHOOSE(CONTROL!$C$19, $C$13, 100%, $E$13)</f>
        <v>3.7288000000000001</v>
      </c>
      <c r="E199" s="61">
        <f>3.8917 * CHOOSE(CONTROL!$C$19, $C$13, 100%, $E$13)</f>
        <v>3.8917000000000002</v>
      </c>
      <c r="F199" s="61">
        <f>3.8917 * CHOOSE(CONTROL!$C$19, $C$13, 100%, $E$13)</f>
        <v>3.8917000000000002</v>
      </c>
      <c r="G199" s="61">
        <f>3.8919 * CHOOSE(CONTROL!$C$19, $C$13, 100%, $E$13)</f>
        <v>3.8919000000000001</v>
      </c>
      <c r="H199" s="61">
        <f>6.0944* CHOOSE(CONTROL!$C$19, $C$13, 100%, $E$13)</f>
        <v>6.0944000000000003</v>
      </c>
      <c r="I199" s="61">
        <f>6.0946 * CHOOSE(CONTROL!$C$19, $C$13, 100%, $E$13)</f>
        <v>6.0945999999999998</v>
      </c>
      <c r="J199" s="61">
        <f>3.8917 * CHOOSE(CONTROL!$C$19, $C$13, 100%, $E$13)</f>
        <v>3.8917000000000002</v>
      </c>
      <c r="K199" s="61">
        <f>3.8919 * CHOOSE(CONTROL!$C$19, $C$13, 100%, $E$13)</f>
        <v>3.8919000000000001</v>
      </c>
    </row>
    <row r="200" spans="1:11" ht="15">
      <c r="A200" s="13">
        <v>47939</v>
      </c>
      <c r="B200" s="60">
        <f>3.7094 * CHOOSE(CONTROL!$C$19, $C$13, 100%, $E$13)</f>
        <v>3.7094</v>
      </c>
      <c r="C200" s="60">
        <f>3.7094 * CHOOSE(CONTROL!$C$19, $C$13, 100%, $E$13)</f>
        <v>3.7094</v>
      </c>
      <c r="D200" s="60">
        <f>3.7262 * CHOOSE(CONTROL!$C$19, $C$13, 100%, $E$13)</f>
        <v>3.7262</v>
      </c>
      <c r="E200" s="61">
        <f>3.9349 * CHOOSE(CONTROL!$C$19, $C$13, 100%, $E$13)</f>
        <v>3.9348999999999998</v>
      </c>
      <c r="F200" s="61">
        <f>3.9349 * CHOOSE(CONTROL!$C$19, $C$13, 100%, $E$13)</f>
        <v>3.9348999999999998</v>
      </c>
      <c r="G200" s="61">
        <f>3.9351 * CHOOSE(CONTROL!$C$19, $C$13, 100%, $E$13)</f>
        <v>3.9350999999999998</v>
      </c>
      <c r="H200" s="61">
        <f>6.1071* CHOOSE(CONTROL!$C$19, $C$13, 100%, $E$13)</f>
        <v>6.1071</v>
      </c>
      <c r="I200" s="61">
        <f>6.1073 * CHOOSE(CONTROL!$C$19, $C$13, 100%, $E$13)</f>
        <v>6.1073000000000004</v>
      </c>
      <c r="J200" s="61">
        <f>3.9349 * CHOOSE(CONTROL!$C$19, $C$13, 100%, $E$13)</f>
        <v>3.9348999999999998</v>
      </c>
      <c r="K200" s="61">
        <f>3.9351 * CHOOSE(CONTROL!$C$19, $C$13, 100%, $E$13)</f>
        <v>3.9350999999999998</v>
      </c>
    </row>
    <row r="201" spans="1:11" ht="15">
      <c r="A201" s="13">
        <v>47969</v>
      </c>
      <c r="B201" s="60">
        <f>3.7094 * CHOOSE(CONTROL!$C$19, $C$13, 100%, $E$13)</f>
        <v>3.7094</v>
      </c>
      <c r="C201" s="60">
        <f>3.7094 * CHOOSE(CONTROL!$C$19, $C$13, 100%, $E$13)</f>
        <v>3.7094</v>
      </c>
      <c r="D201" s="60">
        <f>3.7431 * CHOOSE(CONTROL!$C$19, $C$13, 100%, $E$13)</f>
        <v>3.7431000000000001</v>
      </c>
      <c r="E201" s="61">
        <f>3.9527 * CHOOSE(CONTROL!$C$19, $C$13, 100%, $E$13)</f>
        <v>3.9527000000000001</v>
      </c>
      <c r="F201" s="61">
        <f>3.9527 * CHOOSE(CONTROL!$C$19, $C$13, 100%, $E$13)</f>
        <v>3.9527000000000001</v>
      </c>
      <c r="G201" s="61">
        <f>3.9548 * CHOOSE(CONTROL!$C$19, $C$13, 100%, $E$13)</f>
        <v>3.9548000000000001</v>
      </c>
      <c r="H201" s="61">
        <f>6.1198* CHOOSE(CONTROL!$C$19, $C$13, 100%, $E$13)</f>
        <v>6.1197999999999997</v>
      </c>
      <c r="I201" s="61">
        <f>6.1219 * CHOOSE(CONTROL!$C$19, $C$13, 100%, $E$13)</f>
        <v>6.1219000000000001</v>
      </c>
      <c r="J201" s="61">
        <f>3.9527 * CHOOSE(CONTROL!$C$19, $C$13, 100%, $E$13)</f>
        <v>3.9527000000000001</v>
      </c>
      <c r="K201" s="61">
        <f>3.9548 * CHOOSE(CONTROL!$C$19, $C$13, 100%, $E$13)</f>
        <v>3.9548000000000001</v>
      </c>
    </row>
    <row r="202" spans="1:11" ht="15">
      <c r="A202" s="13">
        <v>48000</v>
      </c>
      <c r="B202" s="60">
        <f>3.7155 * CHOOSE(CONTROL!$C$19, $C$13, 100%, $E$13)</f>
        <v>3.7155</v>
      </c>
      <c r="C202" s="60">
        <f>3.7155 * CHOOSE(CONTROL!$C$19, $C$13, 100%, $E$13)</f>
        <v>3.7155</v>
      </c>
      <c r="D202" s="60">
        <f>3.7491 * CHOOSE(CONTROL!$C$19, $C$13, 100%, $E$13)</f>
        <v>3.7490999999999999</v>
      </c>
      <c r="E202" s="61">
        <f>3.9392 * CHOOSE(CONTROL!$C$19, $C$13, 100%, $E$13)</f>
        <v>3.9392</v>
      </c>
      <c r="F202" s="61">
        <f>3.9392 * CHOOSE(CONTROL!$C$19, $C$13, 100%, $E$13)</f>
        <v>3.9392</v>
      </c>
      <c r="G202" s="61">
        <f>3.9413 * CHOOSE(CONTROL!$C$19, $C$13, 100%, $E$13)</f>
        <v>3.9413</v>
      </c>
      <c r="H202" s="61">
        <f>6.1326* CHOOSE(CONTROL!$C$19, $C$13, 100%, $E$13)</f>
        <v>6.1326000000000001</v>
      </c>
      <c r="I202" s="61">
        <f>6.1347 * CHOOSE(CONTROL!$C$19, $C$13, 100%, $E$13)</f>
        <v>6.1346999999999996</v>
      </c>
      <c r="J202" s="61">
        <f>3.9392 * CHOOSE(CONTROL!$C$19, $C$13, 100%, $E$13)</f>
        <v>3.9392</v>
      </c>
      <c r="K202" s="61">
        <f>3.9413 * CHOOSE(CONTROL!$C$19, $C$13, 100%, $E$13)</f>
        <v>3.9413</v>
      </c>
    </row>
    <row r="203" spans="1:11" ht="15">
      <c r="A203" s="13">
        <v>48030</v>
      </c>
      <c r="B203" s="60">
        <f>3.7619 * CHOOSE(CONTROL!$C$19, $C$13, 100%, $E$13)</f>
        <v>3.7618999999999998</v>
      </c>
      <c r="C203" s="60">
        <f>3.7619 * CHOOSE(CONTROL!$C$19, $C$13, 100%, $E$13)</f>
        <v>3.7618999999999998</v>
      </c>
      <c r="D203" s="60">
        <f>3.7955 * CHOOSE(CONTROL!$C$19, $C$13, 100%, $E$13)</f>
        <v>3.7955000000000001</v>
      </c>
      <c r="E203" s="61">
        <f>4.0315 * CHOOSE(CONTROL!$C$19, $C$13, 100%, $E$13)</f>
        <v>4.0315000000000003</v>
      </c>
      <c r="F203" s="61">
        <f>4.0315 * CHOOSE(CONTROL!$C$19, $C$13, 100%, $E$13)</f>
        <v>4.0315000000000003</v>
      </c>
      <c r="G203" s="61">
        <f>4.0336 * CHOOSE(CONTROL!$C$19, $C$13, 100%, $E$13)</f>
        <v>4.0335999999999999</v>
      </c>
      <c r="H203" s="61">
        <f>6.1454* CHOOSE(CONTROL!$C$19, $C$13, 100%, $E$13)</f>
        <v>6.1454000000000004</v>
      </c>
      <c r="I203" s="61">
        <f>6.1475 * CHOOSE(CONTROL!$C$19, $C$13, 100%, $E$13)</f>
        <v>6.1475</v>
      </c>
      <c r="J203" s="61">
        <f>4.0315 * CHOOSE(CONTROL!$C$19, $C$13, 100%, $E$13)</f>
        <v>4.0315000000000003</v>
      </c>
      <c r="K203" s="61">
        <f>4.0336 * CHOOSE(CONTROL!$C$19, $C$13, 100%, $E$13)</f>
        <v>4.0335999999999999</v>
      </c>
    </row>
    <row r="204" spans="1:11" ht="15">
      <c r="A204" s="13">
        <v>48061</v>
      </c>
      <c r="B204" s="60">
        <f>3.7686 * CHOOSE(CONTROL!$C$19, $C$13, 100%, $E$13)</f>
        <v>3.7686000000000002</v>
      </c>
      <c r="C204" s="60">
        <f>3.7686 * CHOOSE(CONTROL!$C$19, $C$13, 100%, $E$13)</f>
        <v>3.7686000000000002</v>
      </c>
      <c r="D204" s="60">
        <f>3.8022 * CHOOSE(CONTROL!$C$19, $C$13, 100%, $E$13)</f>
        <v>3.8022</v>
      </c>
      <c r="E204" s="61">
        <f>3.9828 * CHOOSE(CONTROL!$C$19, $C$13, 100%, $E$13)</f>
        <v>3.9828000000000001</v>
      </c>
      <c r="F204" s="61">
        <f>3.9828 * CHOOSE(CONTROL!$C$19, $C$13, 100%, $E$13)</f>
        <v>3.9828000000000001</v>
      </c>
      <c r="G204" s="61">
        <f>3.9849 * CHOOSE(CONTROL!$C$19, $C$13, 100%, $E$13)</f>
        <v>3.9849000000000001</v>
      </c>
      <c r="H204" s="61">
        <f>6.1582* CHOOSE(CONTROL!$C$19, $C$13, 100%, $E$13)</f>
        <v>6.1581999999999999</v>
      </c>
      <c r="I204" s="61">
        <f>6.1603 * CHOOSE(CONTROL!$C$19, $C$13, 100%, $E$13)</f>
        <v>6.1603000000000003</v>
      </c>
      <c r="J204" s="61">
        <f>3.9828 * CHOOSE(CONTROL!$C$19, $C$13, 100%, $E$13)</f>
        <v>3.9828000000000001</v>
      </c>
      <c r="K204" s="61">
        <f>3.9849 * CHOOSE(CONTROL!$C$19, $C$13, 100%, $E$13)</f>
        <v>3.9849000000000001</v>
      </c>
    </row>
    <row r="205" spans="1:11" ht="15">
      <c r="A205" s="13">
        <v>48092</v>
      </c>
      <c r="B205" s="60">
        <f>3.7655 * CHOOSE(CONTROL!$C$19, $C$13, 100%, $E$13)</f>
        <v>3.7654999999999998</v>
      </c>
      <c r="C205" s="60">
        <f>3.7655 * CHOOSE(CONTROL!$C$19, $C$13, 100%, $E$13)</f>
        <v>3.7654999999999998</v>
      </c>
      <c r="D205" s="60">
        <f>3.7992 * CHOOSE(CONTROL!$C$19, $C$13, 100%, $E$13)</f>
        <v>3.7991999999999999</v>
      </c>
      <c r="E205" s="61">
        <f>3.9748 * CHOOSE(CONTROL!$C$19, $C$13, 100%, $E$13)</f>
        <v>3.9748000000000001</v>
      </c>
      <c r="F205" s="61">
        <f>3.9748 * CHOOSE(CONTROL!$C$19, $C$13, 100%, $E$13)</f>
        <v>3.9748000000000001</v>
      </c>
      <c r="G205" s="61">
        <f>3.9768 * CHOOSE(CONTROL!$C$19, $C$13, 100%, $E$13)</f>
        <v>3.9767999999999999</v>
      </c>
      <c r="H205" s="61">
        <f>6.171* CHOOSE(CONTROL!$C$19, $C$13, 100%, $E$13)</f>
        <v>6.1710000000000003</v>
      </c>
      <c r="I205" s="61">
        <f>6.1731 * CHOOSE(CONTROL!$C$19, $C$13, 100%, $E$13)</f>
        <v>6.1730999999999998</v>
      </c>
      <c r="J205" s="61">
        <f>3.9748 * CHOOSE(CONTROL!$C$19, $C$13, 100%, $E$13)</f>
        <v>3.9748000000000001</v>
      </c>
      <c r="K205" s="61">
        <f>3.9768 * CHOOSE(CONTROL!$C$19, $C$13, 100%, $E$13)</f>
        <v>3.9767999999999999</v>
      </c>
    </row>
    <row r="206" spans="1:11" ht="15">
      <c r="A206" s="13">
        <v>48122</v>
      </c>
      <c r="B206" s="60">
        <f>3.7598 * CHOOSE(CONTROL!$C$19, $C$13, 100%, $E$13)</f>
        <v>3.7597999999999998</v>
      </c>
      <c r="C206" s="60">
        <f>3.7598 * CHOOSE(CONTROL!$C$19, $C$13, 100%, $E$13)</f>
        <v>3.7597999999999998</v>
      </c>
      <c r="D206" s="60">
        <f>3.7766 * CHOOSE(CONTROL!$C$19, $C$13, 100%, $E$13)</f>
        <v>3.7766000000000002</v>
      </c>
      <c r="E206" s="61">
        <f>3.9851 * CHOOSE(CONTROL!$C$19, $C$13, 100%, $E$13)</f>
        <v>3.9851000000000001</v>
      </c>
      <c r="F206" s="61">
        <f>3.9851 * CHOOSE(CONTROL!$C$19, $C$13, 100%, $E$13)</f>
        <v>3.9851000000000001</v>
      </c>
      <c r="G206" s="61">
        <f>3.9852 * CHOOSE(CONTROL!$C$19, $C$13, 100%, $E$13)</f>
        <v>3.9851999999999999</v>
      </c>
      <c r="H206" s="61">
        <f>6.1839* CHOOSE(CONTROL!$C$19, $C$13, 100%, $E$13)</f>
        <v>6.1839000000000004</v>
      </c>
      <c r="I206" s="61">
        <f>6.184 * CHOOSE(CONTROL!$C$19, $C$13, 100%, $E$13)</f>
        <v>6.1840000000000002</v>
      </c>
      <c r="J206" s="61">
        <f>3.9851 * CHOOSE(CONTROL!$C$19, $C$13, 100%, $E$13)</f>
        <v>3.9851000000000001</v>
      </c>
      <c r="K206" s="61">
        <f>3.9852 * CHOOSE(CONTROL!$C$19, $C$13, 100%, $E$13)</f>
        <v>3.9851999999999999</v>
      </c>
    </row>
    <row r="207" spans="1:11" ht="15">
      <c r="A207" s="13">
        <v>48153</v>
      </c>
      <c r="B207" s="60">
        <f>3.7628 * CHOOSE(CONTROL!$C$19, $C$13, 100%, $E$13)</f>
        <v>3.7627999999999999</v>
      </c>
      <c r="C207" s="60">
        <f>3.7628 * CHOOSE(CONTROL!$C$19, $C$13, 100%, $E$13)</f>
        <v>3.7627999999999999</v>
      </c>
      <c r="D207" s="60">
        <f>3.7797 * CHOOSE(CONTROL!$C$19, $C$13, 100%, $E$13)</f>
        <v>3.7797000000000001</v>
      </c>
      <c r="E207" s="61">
        <f>3.9991 * CHOOSE(CONTROL!$C$19, $C$13, 100%, $E$13)</f>
        <v>3.9990999999999999</v>
      </c>
      <c r="F207" s="61">
        <f>3.9991 * CHOOSE(CONTROL!$C$19, $C$13, 100%, $E$13)</f>
        <v>3.9990999999999999</v>
      </c>
      <c r="G207" s="61">
        <f>3.9992 * CHOOSE(CONTROL!$C$19, $C$13, 100%, $E$13)</f>
        <v>3.9992000000000001</v>
      </c>
      <c r="H207" s="61">
        <f>6.1967* CHOOSE(CONTROL!$C$19, $C$13, 100%, $E$13)</f>
        <v>6.1966999999999999</v>
      </c>
      <c r="I207" s="61">
        <f>6.1969 * CHOOSE(CONTROL!$C$19, $C$13, 100%, $E$13)</f>
        <v>6.1969000000000003</v>
      </c>
      <c r="J207" s="61">
        <f>3.9991 * CHOOSE(CONTROL!$C$19, $C$13, 100%, $E$13)</f>
        <v>3.9990999999999999</v>
      </c>
      <c r="K207" s="61">
        <f>3.9992 * CHOOSE(CONTROL!$C$19, $C$13, 100%, $E$13)</f>
        <v>3.9992000000000001</v>
      </c>
    </row>
    <row r="208" spans="1:11" ht="15">
      <c r="A208" s="13">
        <v>48183</v>
      </c>
      <c r="B208" s="60">
        <f>3.7628 * CHOOSE(CONTROL!$C$19, $C$13, 100%, $E$13)</f>
        <v>3.7627999999999999</v>
      </c>
      <c r="C208" s="60">
        <f>3.7628 * CHOOSE(CONTROL!$C$19, $C$13, 100%, $E$13)</f>
        <v>3.7627999999999999</v>
      </c>
      <c r="D208" s="60">
        <f>3.7797 * CHOOSE(CONTROL!$C$19, $C$13, 100%, $E$13)</f>
        <v>3.7797000000000001</v>
      </c>
      <c r="E208" s="61">
        <f>3.9694 * CHOOSE(CONTROL!$C$19, $C$13, 100%, $E$13)</f>
        <v>3.9693999999999998</v>
      </c>
      <c r="F208" s="61">
        <f>3.9694 * CHOOSE(CONTROL!$C$19, $C$13, 100%, $E$13)</f>
        <v>3.9693999999999998</v>
      </c>
      <c r="G208" s="61">
        <f>3.9696 * CHOOSE(CONTROL!$C$19, $C$13, 100%, $E$13)</f>
        <v>3.9695999999999998</v>
      </c>
      <c r="H208" s="61">
        <f>6.2097* CHOOSE(CONTROL!$C$19, $C$13, 100%, $E$13)</f>
        <v>6.2096999999999998</v>
      </c>
      <c r="I208" s="61">
        <f>6.2098 * CHOOSE(CONTROL!$C$19, $C$13, 100%, $E$13)</f>
        <v>6.2098000000000004</v>
      </c>
      <c r="J208" s="61">
        <f>3.9694 * CHOOSE(CONTROL!$C$19, $C$13, 100%, $E$13)</f>
        <v>3.9693999999999998</v>
      </c>
      <c r="K208" s="61">
        <f>3.9696 * CHOOSE(CONTROL!$C$19, $C$13, 100%, $E$13)</f>
        <v>3.9695999999999998</v>
      </c>
    </row>
    <row r="209" spans="1:11" ht="15">
      <c r="A209" s="13">
        <v>48214</v>
      </c>
      <c r="B209" s="60">
        <f>3.7955 * CHOOSE(CONTROL!$C$19, $C$13, 100%, $E$13)</f>
        <v>3.7955000000000001</v>
      </c>
      <c r="C209" s="60">
        <f>3.7955 * CHOOSE(CONTROL!$C$19, $C$13, 100%, $E$13)</f>
        <v>3.7955000000000001</v>
      </c>
      <c r="D209" s="60">
        <f>3.8123 * CHOOSE(CONTROL!$C$19, $C$13, 100%, $E$13)</f>
        <v>3.8123</v>
      </c>
      <c r="E209" s="61">
        <f>4.0264 * CHOOSE(CONTROL!$C$19, $C$13, 100%, $E$13)</f>
        <v>4.0263999999999998</v>
      </c>
      <c r="F209" s="61">
        <f>4.0264 * CHOOSE(CONTROL!$C$19, $C$13, 100%, $E$13)</f>
        <v>4.0263999999999998</v>
      </c>
      <c r="G209" s="61">
        <f>4.0266 * CHOOSE(CONTROL!$C$19, $C$13, 100%, $E$13)</f>
        <v>4.0266000000000002</v>
      </c>
      <c r="H209" s="61">
        <f>6.2226* CHOOSE(CONTROL!$C$19, $C$13, 100%, $E$13)</f>
        <v>6.2225999999999999</v>
      </c>
      <c r="I209" s="61">
        <f>6.2228 * CHOOSE(CONTROL!$C$19, $C$13, 100%, $E$13)</f>
        <v>6.2228000000000003</v>
      </c>
      <c r="J209" s="61">
        <f>4.0264 * CHOOSE(CONTROL!$C$19, $C$13, 100%, $E$13)</f>
        <v>4.0263999999999998</v>
      </c>
      <c r="K209" s="61">
        <f>4.0266 * CHOOSE(CONTROL!$C$19, $C$13, 100%, $E$13)</f>
        <v>4.0266000000000002</v>
      </c>
    </row>
    <row r="210" spans="1:11" ht="15">
      <c r="A210" s="13">
        <v>48245</v>
      </c>
      <c r="B210" s="60">
        <f>3.7924 * CHOOSE(CONTROL!$C$19, $C$13, 100%, $E$13)</f>
        <v>3.7924000000000002</v>
      </c>
      <c r="C210" s="60">
        <f>3.7924 * CHOOSE(CONTROL!$C$19, $C$13, 100%, $E$13)</f>
        <v>3.7924000000000002</v>
      </c>
      <c r="D210" s="60">
        <f>3.8093 * CHOOSE(CONTROL!$C$19, $C$13, 100%, $E$13)</f>
        <v>3.8092999999999999</v>
      </c>
      <c r="E210" s="61">
        <f>3.9666 * CHOOSE(CONTROL!$C$19, $C$13, 100%, $E$13)</f>
        <v>3.9666000000000001</v>
      </c>
      <c r="F210" s="61">
        <f>3.9666 * CHOOSE(CONTROL!$C$19, $C$13, 100%, $E$13)</f>
        <v>3.9666000000000001</v>
      </c>
      <c r="G210" s="61">
        <f>3.9668 * CHOOSE(CONTROL!$C$19, $C$13, 100%, $E$13)</f>
        <v>3.9668000000000001</v>
      </c>
      <c r="H210" s="61">
        <f>6.2356* CHOOSE(CONTROL!$C$19, $C$13, 100%, $E$13)</f>
        <v>6.2355999999999998</v>
      </c>
      <c r="I210" s="61">
        <f>6.2357 * CHOOSE(CONTROL!$C$19, $C$13, 100%, $E$13)</f>
        <v>6.2356999999999996</v>
      </c>
      <c r="J210" s="61">
        <f>3.9666 * CHOOSE(CONTROL!$C$19, $C$13, 100%, $E$13)</f>
        <v>3.9666000000000001</v>
      </c>
      <c r="K210" s="61">
        <f>3.9668 * CHOOSE(CONTROL!$C$19, $C$13, 100%, $E$13)</f>
        <v>3.9668000000000001</v>
      </c>
    </row>
    <row r="211" spans="1:11" ht="15">
      <c r="A211" s="13">
        <v>48274</v>
      </c>
      <c r="B211" s="60">
        <f>3.7894 * CHOOSE(CONTROL!$C$19, $C$13, 100%, $E$13)</f>
        <v>3.7894000000000001</v>
      </c>
      <c r="C211" s="60">
        <f>3.7894 * CHOOSE(CONTROL!$C$19, $C$13, 100%, $E$13)</f>
        <v>3.7894000000000001</v>
      </c>
      <c r="D211" s="60">
        <f>3.8062 * CHOOSE(CONTROL!$C$19, $C$13, 100%, $E$13)</f>
        <v>3.8062</v>
      </c>
      <c r="E211" s="61">
        <f>4.01 * CHOOSE(CONTROL!$C$19, $C$13, 100%, $E$13)</f>
        <v>4.01</v>
      </c>
      <c r="F211" s="61">
        <f>4.01 * CHOOSE(CONTROL!$C$19, $C$13, 100%, $E$13)</f>
        <v>4.01</v>
      </c>
      <c r="G211" s="61">
        <f>4.0101 * CHOOSE(CONTROL!$C$19, $C$13, 100%, $E$13)</f>
        <v>4.0101000000000004</v>
      </c>
      <c r="H211" s="61">
        <f>6.2485* CHOOSE(CONTROL!$C$19, $C$13, 100%, $E$13)</f>
        <v>6.2484999999999999</v>
      </c>
      <c r="I211" s="61">
        <f>6.2487 * CHOOSE(CONTROL!$C$19, $C$13, 100%, $E$13)</f>
        <v>6.2487000000000004</v>
      </c>
      <c r="J211" s="61">
        <f>4.01 * CHOOSE(CONTROL!$C$19, $C$13, 100%, $E$13)</f>
        <v>4.01</v>
      </c>
      <c r="K211" s="61">
        <f>4.0101 * CHOOSE(CONTROL!$C$19, $C$13, 100%, $E$13)</f>
        <v>4.0101000000000004</v>
      </c>
    </row>
    <row r="212" spans="1:11" ht="15">
      <c r="A212" s="13">
        <v>48305</v>
      </c>
      <c r="B212" s="60">
        <f>3.7869 * CHOOSE(CONTROL!$C$19, $C$13, 100%, $E$13)</f>
        <v>3.7869000000000002</v>
      </c>
      <c r="C212" s="60">
        <f>3.7869 * CHOOSE(CONTROL!$C$19, $C$13, 100%, $E$13)</f>
        <v>3.7869000000000002</v>
      </c>
      <c r="D212" s="60">
        <f>3.8037 * CHOOSE(CONTROL!$C$19, $C$13, 100%, $E$13)</f>
        <v>3.8037000000000001</v>
      </c>
      <c r="E212" s="61">
        <f>4.0546 * CHOOSE(CONTROL!$C$19, $C$13, 100%, $E$13)</f>
        <v>4.0545999999999998</v>
      </c>
      <c r="F212" s="61">
        <f>4.0546 * CHOOSE(CONTROL!$C$19, $C$13, 100%, $E$13)</f>
        <v>4.0545999999999998</v>
      </c>
      <c r="G212" s="61">
        <f>4.0548 * CHOOSE(CONTROL!$C$19, $C$13, 100%, $E$13)</f>
        <v>4.0548000000000002</v>
      </c>
      <c r="H212" s="61">
        <f>6.2616* CHOOSE(CONTROL!$C$19, $C$13, 100%, $E$13)</f>
        <v>6.2615999999999996</v>
      </c>
      <c r="I212" s="61">
        <f>6.2617 * CHOOSE(CONTROL!$C$19, $C$13, 100%, $E$13)</f>
        <v>6.2617000000000003</v>
      </c>
      <c r="J212" s="61">
        <f>4.0546 * CHOOSE(CONTROL!$C$19, $C$13, 100%, $E$13)</f>
        <v>4.0545999999999998</v>
      </c>
      <c r="K212" s="61">
        <f>4.0548 * CHOOSE(CONTROL!$C$19, $C$13, 100%, $E$13)</f>
        <v>4.0548000000000002</v>
      </c>
    </row>
    <row r="213" spans="1:11" ht="15">
      <c r="A213" s="13">
        <v>48335</v>
      </c>
      <c r="B213" s="60">
        <f>3.7869 * CHOOSE(CONTROL!$C$19, $C$13, 100%, $E$13)</f>
        <v>3.7869000000000002</v>
      </c>
      <c r="C213" s="60">
        <f>3.7869 * CHOOSE(CONTROL!$C$19, $C$13, 100%, $E$13)</f>
        <v>3.7869000000000002</v>
      </c>
      <c r="D213" s="60">
        <f>3.8205 * CHOOSE(CONTROL!$C$19, $C$13, 100%, $E$13)</f>
        <v>3.8205</v>
      </c>
      <c r="E213" s="61">
        <f>4.0729 * CHOOSE(CONTROL!$C$19, $C$13, 100%, $E$13)</f>
        <v>4.0728999999999997</v>
      </c>
      <c r="F213" s="61">
        <f>4.0729 * CHOOSE(CONTROL!$C$19, $C$13, 100%, $E$13)</f>
        <v>4.0728999999999997</v>
      </c>
      <c r="G213" s="61">
        <f>4.075 * CHOOSE(CONTROL!$C$19, $C$13, 100%, $E$13)</f>
        <v>4.0750000000000002</v>
      </c>
      <c r="H213" s="61">
        <f>6.2746* CHOOSE(CONTROL!$C$19, $C$13, 100%, $E$13)</f>
        <v>6.2746000000000004</v>
      </c>
      <c r="I213" s="61">
        <f>6.2767 * CHOOSE(CONTROL!$C$19, $C$13, 100%, $E$13)</f>
        <v>6.2766999999999999</v>
      </c>
      <c r="J213" s="61">
        <f>4.0729 * CHOOSE(CONTROL!$C$19, $C$13, 100%, $E$13)</f>
        <v>4.0728999999999997</v>
      </c>
      <c r="K213" s="61">
        <f>4.075 * CHOOSE(CONTROL!$C$19, $C$13, 100%, $E$13)</f>
        <v>4.0750000000000002</v>
      </c>
    </row>
    <row r="214" spans="1:11" ht="15">
      <c r="A214" s="13">
        <v>48366</v>
      </c>
      <c r="B214" s="60">
        <f>3.793 * CHOOSE(CONTROL!$C$19, $C$13, 100%, $E$13)</f>
        <v>3.7930000000000001</v>
      </c>
      <c r="C214" s="60">
        <f>3.793 * CHOOSE(CONTROL!$C$19, $C$13, 100%, $E$13)</f>
        <v>3.7930000000000001</v>
      </c>
      <c r="D214" s="60">
        <f>3.8266 * CHOOSE(CONTROL!$C$19, $C$13, 100%, $E$13)</f>
        <v>3.8266</v>
      </c>
      <c r="E214" s="61">
        <f>4.0588 * CHOOSE(CONTROL!$C$19, $C$13, 100%, $E$13)</f>
        <v>4.0587999999999997</v>
      </c>
      <c r="F214" s="61">
        <f>4.0588 * CHOOSE(CONTROL!$C$19, $C$13, 100%, $E$13)</f>
        <v>4.0587999999999997</v>
      </c>
      <c r="G214" s="61">
        <f>4.0609 * CHOOSE(CONTROL!$C$19, $C$13, 100%, $E$13)</f>
        <v>4.0609000000000002</v>
      </c>
      <c r="H214" s="61">
        <f>6.2877* CHOOSE(CONTROL!$C$19, $C$13, 100%, $E$13)</f>
        <v>6.2877000000000001</v>
      </c>
      <c r="I214" s="61">
        <f>6.2898 * CHOOSE(CONTROL!$C$19, $C$13, 100%, $E$13)</f>
        <v>6.2897999999999996</v>
      </c>
      <c r="J214" s="61">
        <f>4.0588 * CHOOSE(CONTROL!$C$19, $C$13, 100%, $E$13)</f>
        <v>4.0587999999999997</v>
      </c>
      <c r="K214" s="61">
        <f>4.0609 * CHOOSE(CONTROL!$C$19, $C$13, 100%, $E$13)</f>
        <v>4.0609000000000002</v>
      </c>
    </row>
    <row r="215" spans="1:11" ht="15">
      <c r="A215" s="13">
        <v>48396</v>
      </c>
      <c r="B215" s="60">
        <f>3.8532 * CHOOSE(CONTROL!$C$19, $C$13, 100%, $E$13)</f>
        <v>3.8532000000000002</v>
      </c>
      <c r="C215" s="60">
        <f>3.8532 * CHOOSE(CONTROL!$C$19, $C$13, 100%, $E$13)</f>
        <v>3.8532000000000002</v>
      </c>
      <c r="D215" s="60">
        <f>3.8869 * CHOOSE(CONTROL!$C$19, $C$13, 100%, $E$13)</f>
        <v>3.8868999999999998</v>
      </c>
      <c r="E215" s="61">
        <f>4.1344 * CHOOSE(CONTROL!$C$19, $C$13, 100%, $E$13)</f>
        <v>4.1344000000000003</v>
      </c>
      <c r="F215" s="61">
        <f>4.1344 * CHOOSE(CONTROL!$C$19, $C$13, 100%, $E$13)</f>
        <v>4.1344000000000003</v>
      </c>
      <c r="G215" s="61">
        <f>4.1365 * CHOOSE(CONTROL!$C$19, $C$13, 100%, $E$13)</f>
        <v>4.1364999999999998</v>
      </c>
      <c r="H215" s="61">
        <f>6.3008* CHOOSE(CONTROL!$C$19, $C$13, 100%, $E$13)</f>
        <v>6.3007999999999997</v>
      </c>
      <c r="I215" s="61">
        <f>6.3029 * CHOOSE(CONTROL!$C$19, $C$13, 100%, $E$13)</f>
        <v>6.3029000000000002</v>
      </c>
      <c r="J215" s="61">
        <f>4.1344 * CHOOSE(CONTROL!$C$19, $C$13, 100%, $E$13)</f>
        <v>4.1344000000000003</v>
      </c>
      <c r="K215" s="61">
        <f>4.1365 * CHOOSE(CONTROL!$C$19, $C$13, 100%, $E$13)</f>
        <v>4.1364999999999998</v>
      </c>
    </row>
    <row r="216" spans="1:11" ht="15">
      <c r="A216" s="13">
        <v>48427</v>
      </c>
      <c r="B216" s="60">
        <f>3.8599 * CHOOSE(CONTROL!$C$19, $C$13, 100%, $E$13)</f>
        <v>3.8599000000000001</v>
      </c>
      <c r="C216" s="60">
        <f>3.8599 * CHOOSE(CONTROL!$C$19, $C$13, 100%, $E$13)</f>
        <v>3.8599000000000001</v>
      </c>
      <c r="D216" s="60">
        <f>3.8936 * CHOOSE(CONTROL!$C$19, $C$13, 100%, $E$13)</f>
        <v>3.8936000000000002</v>
      </c>
      <c r="E216" s="61">
        <f>4.0841 * CHOOSE(CONTROL!$C$19, $C$13, 100%, $E$13)</f>
        <v>4.0841000000000003</v>
      </c>
      <c r="F216" s="61">
        <f>4.0841 * CHOOSE(CONTROL!$C$19, $C$13, 100%, $E$13)</f>
        <v>4.0841000000000003</v>
      </c>
      <c r="G216" s="61">
        <f>4.0861 * CHOOSE(CONTROL!$C$19, $C$13, 100%, $E$13)</f>
        <v>4.0861000000000001</v>
      </c>
      <c r="H216" s="61">
        <f>6.3139* CHOOSE(CONTROL!$C$19, $C$13, 100%, $E$13)</f>
        <v>6.3139000000000003</v>
      </c>
      <c r="I216" s="61">
        <f>6.316 * CHOOSE(CONTROL!$C$19, $C$13, 100%, $E$13)</f>
        <v>6.3159999999999998</v>
      </c>
      <c r="J216" s="61">
        <f>4.0841 * CHOOSE(CONTROL!$C$19, $C$13, 100%, $E$13)</f>
        <v>4.0841000000000003</v>
      </c>
      <c r="K216" s="61">
        <f>4.0861 * CHOOSE(CONTROL!$C$19, $C$13, 100%, $E$13)</f>
        <v>4.0861000000000001</v>
      </c>
    </row>
    <row r="217" spans="1:11" ht="15">
      <c r="A217" s="13">
        <v>48458</v>
      </c>
      <c r="B217" s="60">
        <f>3.8569 * CHOOSE(CONTROL!$C$19, $C$13, 100%, $E$13)</f>
        <v>3.8569</v>
      </c>
      <c r="C217" s="60">
        <f>3.8569 * CHOOSE(CONTROL!$C$19, $C$13, 100%, $E$13)</f>
        <v>3.8569</v>
      </c>
      <c r="D217" s="60">
        <f>3.8905 * CHOOSE(CONTROL!$C$19, $C$13, 100%, $E$13)</f>
        <v>3.8904999999999998</v>
      </c>
      <c r="E217" s="61">
        <f>4.0758 * CHOOSE(CONTROL!$C$19, $C$13, 100%, $E$13)</f>
        <v>4.0758000000000001</v>
      </c>
      <c r="F217" s="61">
        <f>4.0758 * CHOOSE(CONTROL!$C$19, $C$13, 100%, $E$13)</f>
        <v>4.0758000000000001</v>
      </c>
      <c r="G217" s="61">
        <f>4.0779 * CHOOSE(CONTROL!$C$19, $C$13, 100%, $E$13)</f>
        <v>4.0778999999999996</v>
      </c>
      <c r="H217" s="61">
        <f>6.3271* CHOOSE(CONTROL!$C$19, $C$13, 100%, $E$13)</f>
        <v>6.3270999999999997</v>
      </c>
      <c r="I217" s="61">
        <f>6.3292 * CHOOSE(CONTROL!$C$19, $C$13, 100%, $E$13)</f>
        <v>6.3292000000000002</v>
      </c>
      <c r="J217" s="61">
        <f>4.0758 * CHOOSE(CONTROL!$C$19, $C$13, 100%, $E$13)</f>
        <v>4.0758000000000001</v>
      </c>
      <c r="K217" s="61">
        <f>4.0779 * CHOOSE(CONTROL!$C$19, $C$13, 100%, $E$13)</f>
        <v>4.0778999999999996</v>
      </c>
    </row>
    <row r="218" spans="1:11" ht="15">
      <c r="A218" s="13">
        <v>48488</v>
      </c>
      <c r="B218" s="60">
        <f>3.8515 * CHOOSE(CONTROL!$C$19, $C$13, 100%, $E$13)</f>
        <v>3.8515000000000001</v>
      </c>
      <c r="C218" s="60">
        <f>3.8515 * CHOOSE(CONTROL!$C$19, $C$13, 100%, $E$13)</f>
        <v>3.8515000000000001</v>
      </c>
      <c r="D218" s="60">
        <f>3.8683 * CHOOSE(CONTROL!$C$19, $C$13, 100%, $E$13)</f>
        <v>3.8683000000000001</v>
      </c>
      <c r="E218" s="61">
        <f>4.0868 * CHOOSE(CONTROL!$C$19, $C$13, 100%, $E$13)</f>
        <v>4.0868000000000002</v>
      </c>
      <c r="F218" s="61">
        <f>4.0868 * CHOOSE(CONTROL!$C$19, $C$13, 100%, $E$13)</f>
        <v>4.0868000000000002</v>
      </c>
      <c r="G218" s="61">
        <f>4.087 * CHOOSE(CONTROL!$C$19, $C$13, 100%, $E$13)</f>
        <v>4.0869999999999997</v>
      </c>
      <c r="H218" s="61">
        <f>6.3402* CHOOSE(CONTROL!$C$19, $C$13, 100%, $E$13)</f>
        <v>6.3402000000000003</v>
      </c>
      <c r="I218" s="61">
        <f>6.3404 * CHOOSE(CONTROL!$C$19, $C$13, 100%, $E$13)</f>
        <v>6.3403999999999998</v>
      </c>
      <c r="J218" s="61">
        <f>4.0868 * CHOOSE(CONTROL!$C$19, $C$13, 100%, $E$13)</f>
        <v>4.0868000000000002</v>
      </c>
      <c r="K218" s="61">
        <f>4.087 * CHOOSE(CONTROL!$C$19, $C$13, 100%, $E$13)</f>
        <v>4.0869999999999997</v>
      </c>
    </row>
    <row r="219" spans="1:11" ht="15">
      <c r="A219" s="13">
        <v>48519</v>
      </c>
      <c r="B219" s="60">
        <f>3.8545 * CHOOSE(CONTROL!$C$19, $C$13, 100%, $E$13)</f>
        <v>3.8544999999999998</v>
      </c>
      <c r="C219" s="60">
        <f>3.8545 * CHOOSE(CONTROL!$C$19, $C$13, 100%, $E$13)</f>
        <v>3.8544999999999998</v>
      </c>
      <c r="D219" s="60">
        <f>3.8713 * CHOOSE(CONTROL!$C$19, $C$13, 100%, $E$13)</f>
        <v>3.8713000000000002</v>
      </c>
      <c r="E219" s="61">
        <f>4.1012 * CHOOSE(CONTROL!$C$19, $C$13, 100%, $E$13)</f>
        <v>4.1012000000000004</v>
      </c>
      <c r="F219" s="61">
        <f>4.1012 * CHOOSE(CONTROL!$C$19, $C$13, 100%, $E$13)</f>
        <v>4.1012000000000004</v>
      </c>
      <c r="G219" s="61">
        <f>4.1014 * CHOOSE(CONTROL!$C$19, $C$13, 100%, $E$13)</f>
        <v>4.1013999999999999</v>
      </c>
      <c r="H219" s="61">
        <f>6.3535* CHOOSE(CONTROL!$C$19, $C$13, 100%, $E$13)</f>
        <v>6.3535000000000004</v>
      </c>
      <c r="I219" s="61">
        <f>6.3536 * CHOOSE(CONTROL!$C$19, $C$13, 100%, $E$13)</f>
        <v>6.3536000000000001</v>
      </c>
      <c r="J219" s="61">
        <f>4.1012 * CHOOSE(CONTROL!$C$19, $C$13, 100%, $E$13)</f>
        <v>4.1012000000000004</v>
      </c>
      <c r="K219" s="61">
        <f>4.1014 * CHOOSE(CONTROL!$C$19, $C$13, 100%, $E$13)</f>
        <v>4.1013999999999999</v>
      </c>
    </row>
    <row r="220" spans="1:11" ht="15">
      <c r="A220" s="13">
        <v>48549</v>
      </c>
      <c r="B220" s="60">
        <f>3.8545 * CHOOSE(CONTROL!$C$19, $C$13, 100%, $E$13)</f>
        <v>3.8544999999999998</v>
      </c>
      <c r="C220" s="60">
        <f>3.8545 * CHOOSE(CONTROL!$C$19, $C$13, 100%, $E$13)</f>
        <v>3.8544999999999998</v>
      </c>
      <c r="D220" s="60">
        <f>3.8713 * CHOOSE(CONTROL!$C$19, $C$13, 100%, $E$13)</f>
        <v>3.8713000000000002</v>
      </c>
      <c r="E220" s="61">
        <f>4.0706 * CHOOSE(CONTROL!$C$19, $C$13, 100%, $E$13)</f>
        <v>4.0705999999999998</v>
      </c>
      <c r="F220" s="61">
        <f>4.0706 * CHOOSE(CONTROL!$C$19, $C$13, 100%, $E$13)</f>
        <v>4.0705999999999998</v>
      </c>
      <c r="G220" s="61">
        <f>4.0708 * CHOOSE(CONTROL!$C$19, $C$13, 100%, $E$13)</f>
        <v>4.0708000000000002</v>
      </c>
      <c r="H220" s="61">
        <f>6.3667* CHOOSE(CONTROL!$C$19, $C$13, 100%, $E$13)</f>
        <v>6.3666999999999998</v>
      </c>
      <c r="I220" s="61">
        <f>6.3669 * CHOOSE(CONTROL!$C$19, $C$13, 100%, $E$13)</f>
        <v>6.3669000000000002</v>
      </c>
      <c r="J220" s="61">
        <f>4.0706 * CHOOSE(CONTROL!$C$19, $C$13, 100%, $E$13)</f>
        <v>4.0705999999999998</v>
      </c>
      <c r="K220" s="61">
        <f>4.0708 * CHOOSE(CONTROL!$C$19, $C$13, 100%, $E$13)</f>
        <v>4.0708000000000002</v>
      </c>
    </row>
    <row r="221" spans="1:11" ht="15">
      <c r="A221" s="13">
        <v>48580</v>
      </c>
      <c r="B221" s="60">
        <f>3.8808 * CHOOSE(CONTROL!$C$19, $C$13, 100%, $E$13)</f>
        <v>3.8807999999999998</v>
      </c>
      <c r="C221" s="60">
        <f>3.8808 * CHOOSE(CONTROL!$C$19, $C$13, 100%, $E$13)</f>
        <v>3.8807999999999998</v>
      </c>
      <c r="D221" s="60">
        <f>3.8977 * CHOOSE(CONTROL!$C$19, $C$13, 100%, $E$13)</f>
        <v>3.8976999999999999</v>
      </c>
      <c r="E221" s="61">
        <f>4.1331 * CHOOSE(CONTROL!$C$19, $C$13, 100%, $E$13)</f>
        <v>4.1330999999999998</v>
      </c>
      <c r="F221" s="61">
        <f>4.1331 * CHOOSE(CONTROL!$C$19, $C$13, 100%, $E$13)</f>
        <v>4.1330999999999998</v>
      </c>
      <c r="G221" s="61">
        <f>4.1333 * CHOOSE(CONTROL!$C$19, $C$13, 100%, $E$13)</f>
        <v>4.1333000000000002</v>
      </c>
      <c r="H221" s="61">
        <f>6.38* CHOOSE(CONTROL!$C$19, $C$13, 100%, $E$13)</f>
        <v>6.38</v>
      </c>
      <c r="I221" s="61">
        <f>6.3801 * CHOOSE(CONTROL!$C$19, $C$13, 100%, $E$13)</f>
        <v>6.3800999999999997</v>
      </c>
      <c r="J221" s="61">
        <f>4.1331 * CHOOSE(CONTROL!$C$19, $C$13, 100%, $E$13)</f>
        <v>4.1330999999999998</v>
      </c>
      <c r="K221" s="61">
        <f>4.1333 * CHOOSE(CONTROL!$C$19, $C$13, 100%, $E$13)</f>
        <v>4.1333000000000002</v>
      </c>
    </row>
    <row r="222" spans="1:11" ht="15">
      <c r="A222" s="13">
        <v>48611</v>
      </c>
      <c r="B222" s="60">
        <f>3.8778 * CHOOSE(CONTROL!$C$19, $C$13, 100%, $E$13)</f>
        <v>3.8778000000000001</v>
      </c>
      <c r="C222" s="60">
        <f>3.8778 * CHOOSE(CONTROL!$C$19, $C$13, 100%, $E$13)</f>
        <v>3.8778000000000001</v>
      </c>
      <c r="D222" s="60">
        <f>3.8946 * CHOOSE(CONTROL!$C$19, $C$13, 100%, $E$13)</f>
        <v>3.8946000000000001</v>
      </c>
      <c r="E222" s="61">
        <f>4.0716 * CHOOSE(CONTROL!$C$19, $C$13, 100%, $E$13)</f>
        <v>4.0716000000000001</v>
      </c>
      <c r="F222" s="61">
        <f>4.0716 * CHOOSE(CONTROL!$C$19, $C$13, 100%, $E$13)</f>
        <v>4.0716000000000001</v>
      </c>
      <c r="G222" s="61">
        <f>4.0718 * CHOOSE(CONTROL!$C$19, $C$13, 100%, $E$13)</f>
        <v>4.0717999999999996</v>
      </c>
      <c r="H222" s="61">
        <f>6.3932* CHOOSE(CONTROL!$C$19, $C$13, 100%, $E$13)</f>
        <v>6.3932000000000002</v>
      </c>
      <c r="I222" s="61">
        <f>6.3934 * CHOOSE(CONTROL!$C$19, $C$13, 100%, $E$13)</f>
        <v>6.3933999999999997</v>
      </c>
      <c r="J222" s="61">
        <f>4.0716 * CHOOSE(CONTROL!$C$19, $C$13, 100%, $E$13)</f>
        <v>4.0716000000000001</v>
      </c>
      <c r="K222" s="61">
        <f>4.0718 * CHOOSE(CONTROL!$C$19, $C$13, 100%, $E$13)</f>
        <v>4.0717999999999996</v>
      </c>
    </row>
    <row r="223" spans="1:11" ht="15">
      <c r="A223" s="13">
        <v>48639</v>
      </c>
      <c r="B223" s="60">
        <f>3.8747 * CHOOSE(CONTROL!$C$19, $C$13, 100%, $E$13)</f>
        <v>3.8746999999999998</v>
      </c>
      <c r="C223" s="60">
        <f>3.8747 * CHOOSE(CONTROL!$C$19, $C$13, 100%, $E$13)</f>
        <v>3.8746999999999998</v>
      </c>
      <c r="D223" s="60">
        <f>3.8916 * CHOOSE(CONTROL!$C$19, $C$13, 100%, $E$13)</f>
        <v>3.8915999999999999</v>
      </c>
      <c r="E223" s="61">
        <f>4.1163 * CHOOSE(CONTROL!$C$19, $C$13, 100%, $E$13)</f>
        <v>4.1162999999999998</v>
      </c>
      <c r="F223" s="61">
        <f>4.1163 * CHOOSE(CONTROL!$C$19, $C$13, 100%, $E$13)</f>
        <v>4.1162999999999998</v>
      </c>
      <c r="G223" s="61">
        <f>4.1165 * CHOOSE(CONTROL!$C$19, $C$13, 100%, $E$13)</f>
        <v>4.1165000000000003</v>
      </c>
      <c r="H223" s="61">
        <f>6.4066* CHOOSE(CONTROL!$C$19, $C$13, 100%, $E$13)</f>
        <v>6.4066000000000001</v>
      </c>
      <c r="I223" s="61">
        <f>6.4067 * CHOOSE(CONTROL!$C$19, $C$13, 100%, $E$13)</f>
        <v>6.4066999999999998</v>
      </c>
      <c r="J223" s="61">
        <f>4.1163 * CHOOSE(CONTROL!$C$19, $C$13, 100%, $E$13)</f>
        <v>4.1162999999999998</v>
      </c>
      <c r="K223" s="61">
        <f>4.1165 * CHOOSE(CONTROL!$C$19, $C$13, 100%, $E$13)</f>
        <v>4.1165000000000003</v>
      </c>
    </row>
    <row r="224" spans="1:11" ht="15">
      <c r="A224" s="13">
        <v>48670</v>
      </c>
      <c r="B224" s="60">
        <f>3.8723 * CHOOSE(CONTROL!$C$19, $C$13, 100%, $E$13)</f>
        <v>3.8723000000000001</v>
      </c>
      <c r="C224" s="60">
        <f>3.8723 * CHOOSE(CONTROL!$C$19, $C$13, 100%, $E$13)</f>
        <v>3.8723000000000001</v>
      </c>
      <c r="D224" s="60">
        <f>3.8891 * CHOOSE(CONTROL!$C$19, $C$13, 100%, $E$13)</f>
        <v>3.8891</v>
      </c>
      <c r="E224" s="61">
        <f>4.1624 * CHOOSE(CONTROL!$C$19, $C$13, 100%, $E$13)</f>
        <v>4.1623999999999999</v>
      </c>
      <c r="F224" s="61">
        <f>4.1624 * CHOOSE(CONTROL!$C$19, $C$13, 100%, $E$13)</f>
        <v>4.1623999999999999</v>
      </c>
      <c r="G224" s="61">
        <f>4.1625 * CHOOSE(CONTROL!$C$19, $C$13, 100%, $E$13)</f>
        <v>4.1624999999999996</v>
      </c>
      <c r="H224" s="61">
        <f>6.4199* CHOOSE(CONTROL!$C$19, $C$13, 100%, $E$13)</f>
        <v>6.4199000000000002</v>
      </c>
      <c r="I224" s="61">
        <f>6.4201 * CHOOSE(CONTROL!$C$19, $C$13, 100%, $E$13)</f>
        <v>6.4200999999999997</v>
      </c>
      <c r="J224" s="61">
        <f>4.1624 * CHOOSE(CONTROL!$C$19, $C$13, 100%, $E$13)</f>
        <v>4.1623999999999999</v>
      </c>
      <c r="K224" s="61">
        <f>4.1625 * CHOOSE(CONTROL!$C$19, $C$13, 100%, $E$13)</f>
        <v>4.1624999999999996</v>
      </c>
    </row>
    <row r="225" spans="1:11" ht="15">
      <c r="A225" s="13">
        <v>48700</v>
      </c>
      <c r="B225" s="60">
        <f>3.8723 * CHOOSE(CONTROL!$C$19, $C$13, 100%, $E$13)</f>
        <v>3.8723000000000001</v>
      </c>
      <c r="C225" s="60">
        <f>3.8723 * CHOOSE(CONTROL!$C$19, $C$13, 100%, $E$13)</f>
        <v>3.8723000000000001</v>
      </c>
      <c r="D225" s="60">
        <f>3.906 * CHOOSE(CONTROL!$C$19, $C$13, 100%, $E$13)</f>
        <v>3.9060000000000001</v>
      </c>
      <c r="E225" s="61">
        <f>4.1812 * CHOOSE(CONTROL!$C$19, $C$13, 100%, $E$13)</f>
        <v>4.1811999999999996</v>
      </c>
      <c r="F225" s="61">
        <f>4.1812 * CHOOSE(CONTROL!$C$19, $C$13, 100%, $E$13)</f>
        <v>4.1811999999999996</v>
      </c>
      <c r="G225" s="61">
        <f>4.1833 * CHOOSE(CONTROL!$C$19, $C$13, 100%, $E$13)</f>
        <v>4.1833</v>
      </c>
      <c r="H225" s="61">
        <f>6.4333* CHOOSE(CONTROL!$C$19, $C$13, 100%, $E$13)</f>
        <v>6.4333</v>
      </c>
      <c r="I225" s="61">
        <f>6.4354 * CHOOSE(CONTROL!$C$19, $C$13, 100%, $E$13)</f>
        <v>6.4353999999999996</v>
      </c>
      <c r="J225" s="61">
        <f>4.1812 * CHOOSE(CONTROL!$C$19, $C$13, 100%, $E$13)</f>
        <v>4.1811999999999996</v>
      </c>
      <c r="K225" s="61">
        <f>4.1833 * CHOOSE(CONTROL!$C$19, $C$13, 100%, $E$13)</f>
        <v>4.1833</v>
      </c>
    </row>
    <row r="226" spans="1:11" ht="15">
      <c r="A226" s="13">
        <v>48731</v>
      </c>
      <c r="B226" s="60">
        <f>3.8784 * CHOOSE(CONTROL!$C$19, $C$13, 100%, $E$13)</f>
        <v>3.8784000000000001</v>
      </c>
      <c r="C226" s="60">
        <f>3.8784 * CHOOSE(CONTROL!$C$19, $C$13, 100%, $E$13)</f>
        <v>3.8784000000000001</v>
      </c>
      <c r="D226" s="60">
        <f>3.912 * CHOOSE(CONTROL!$C$19, $C$13, 100%, $E$13)</f>
        <v>3.9119999999999999</v>
      </c>
      <c r="E226" s="61">
        <f>4.1666 * CHOOSE(CONTROL!$C$19, $C$13, 100%, $E$13)</f>
        <v>4.1665999999999999</v>
      </c>
      <c r="F226" s="61">
        <f>4.1666 * CHOOSE(CONTROL!$C$19, $C$13, 100%, $E$13)</f>
        <v>4.1665999999999999</v>
      </c>
      <c r="G226" s="61">
        <f>4.1687 * CHOOSE(CONTROL!$C$19, $C$13, 100%, $E$13)</f>
        <v>4.1687000000000003</v>
      </c>
      <c r="H226" s="61">
        <f>6.4467* CHOOSE(CONTROL!$C$19, $C$13, 100%, $E$13)</f>
        <v>6.4466999999999999</v>
      </c>
      <c r="I226" s="61">
        <f>6.4488 * CHOOSE(CONTROL!$C$19, $C$13, 100%, $E$13)</f>
        <v>6.4488000000000003</v>
      </c>
      <c r="J226" s="61">
        <f>4.1666 * CHOOSE(CONTROL!$C$19, $C$13, 100%, $E$13)</f>
        <v>4.1665999999999999</v>
      </c>
      <c r="K226" s="61">
        <f>4.1687 * CHOOSE(CONTROL!$C$19, $C$13, 100%, $E$13)</f>
        <v>4.1687000000000003</v>
      </c>
    </row>
    <row r="227" spans="1:11" ht="15">
      <c r="A227" s="13">
        <v>48761</v>
      </c>
      <c r="B227" s="60">
        <f>3.9231 * CHOOSE(CONTROL!$C$19, $C$13, 100%, $E$13)</f>
        <v>3.9230999999999998</v>
      </c>
      <c r="C227" s="60">
        <f>3.9231 * CHOOSE(CONTROL!$C$19, $C$13, 100%, $E$13)</f>
        <v>3.9230999999999998</v>
      </c>
      <c r="D227" s="60">
        <f>3.9568 * CHOOSE(CONTROL!$C$19, $C$13, 100%, $E$13)</f>
        <v>3.9567999999999999</v>
      </c>
      <c r="E227" s="61">
        <f>4.2544 * CHOOSE(CONTROL!$C$19, $C$13, 100%, $E$13)</f>
        <v>4.2544000000000004</v>
      </c>
      <c r="F227" s="61">
        <f>4.2544 * CHOOSE(CONTROL!$C$19, $C$13, 100%, $E$13)</f>
        <v>4.2544000000000004</v>
      </c>
      <c r="G227" s="61">
        <f>4.2565 * CHOOSE(CONTROL!$C$19, $C$13, 100%, $E$13)</f>
        <v>4.2565</v>
      </c>
      <c r="H227" s="61">
        <f>6.4601* CHOOSE(CONTROL!$C$19, $C$13, 100%, $E$13)</f>
        <v>6.4600999999999997</v>
      </c>
      <c r="I227" s="61">
        <f>6.4622 * CHOOSE(CONTROL!$C$19, $C$13, 100%, $E$13)</f>
        <v>6.4622000000000002</v>
      </c>
      <c r="J227" s="61">
        <f>4.2544 * CHOOSE(CONTROL!$C$19, $C$13, 100%, $E$13)</f>
        <v>4.2544000000000004</v>
      </c>
      <c r="K227" s="61">
        <f>4.2565 * CHOOSE(CONTROL!$C$19, $C$13, 100%, $E$13)</f>
        <v>4.2565</v>
      </c>
    </row>
    <row r="228" spans="1:11" ht="15">
      <c r="A228" s="13">
        <v>48792</v>
      </c>
      <c r="B228" s="60">
        <f>3.9298 * CHOOSE(CONTROL!$C$19, $C$13, 100%, $E$13)</f>
        <v>3.9298000000000002</v>
      </c>
      <c r="C228" s="60">
        <f>3.9298 * CHOOSE(CONTROL!$C$19, $C$13, 100%, $E$13)</f>
        <v>3.9298000000000002</v>
      </c>
      <c r="D228" s="60">
        <f>3.9635 * CHOOSE(CONTROL!$C$19, $C$13, 100%, $E$13)</f>
        <v>3.9634999999999998</v>
      </c>
      <c r="E228" s="61">
        <f>4.2025 * CHOOSE(CONTROL!$C$19, $C$13, 100%, $E$13)</f>
        <v>4.2024999999999997</v>
      </c>
      <c r="F228" s="61">
        <f>4.2025 * CHOOSE(CONTROL!$C$19, $C$13, 100%, $E$13)</f>
        <v>4.2024999999999997</v>
      </c>
      <c r="G228" s="61">
        <f>4.2046 * CHOOSE(CONTROL!$C$19, $C$13, 100%, $E$13)</f>
        <v>4.2046000000000001</v>
      </c>
      <c r="H228" s="61">
        <f>6.4736* CHOOSE(CONTROL!$C$19, $C$13, 100%, $E$13)</f>
        <v>6.4736000000000002</v>
      </c>
      <c r="I228" s="61">
        <f>6.4757 * CHOOSE(CONTROL!$C$19, $C$13, 100%, $E$13)</f>
        <v>6.4756999999999998</v>
      </c>
      <c r="J228" s="61">
        <f>4.2025 * CHOOSE(CONTROL!$C$19, $C$13, 100%, $E$13)</f>
        <v>4.2024999999999997</v>
      </c>
      <c r="K228" s="61">
        <f>4.2046 * CHOOSE(CONTROL!$C$19, $C$13, 100%, $E$13)</f>
        <v>4.2046000000000001</v>
      </c>
    </row>
    <row r="229" spans="1:11" ht="15">
      <c r="A229" s="13">
        <v>48823</v>
      </c>
      <c r="B229" s="60">
        <f>3.9268 * CHOOSE(CONTROL!$C$19, $C$13, 100%, $E$13)</f>
        <v>3.9268000000000001</v>
      </c>
      <c r="C229" s="60">
        <f>3.9268 * CHOOSE(CONTROL!$C$19, $C$13, 100%, $E$13)</f>
        <v>3.9268000000000001</v>
      </c>
      <c r="D229" s="60">
        <f>3.9604 * CHOOSE(CONTROL!$C$19, $C$13, 100%, $E$13)</f>
        <v>3.9603999999999999</v>
      </c>
      <c r="E229" s="61">
        <f>4.1941 * CHOOSE(CONTROL!$C$19, $C$13, 100%, $E$13)</f>
        <v>4.1940999999999997</v>
      </c>
      <c r="F229" s="61">
        <f>4.1941 * CHOOSE(CONTROL!$C$19, $C$13, 100%, $E$13)</f>
        <v>4.1940999999999997</v>
      </c>
      <c r="G229" s="61">
        <f>4.1961 * CHOOSE(CONTROL!$C$19, $C$13, 100%, $E$13)</f>
        <v>4.1961000000000004</v>
      </c>
      <c r="H229" s="61">
        <f>6.4871* CHOOSE(CONTROL!$C$19, $C$13, 100%, $E$13)</f>
        <v>6.4870999999999999</v>
      </c>
      <c r="I229" s="61">
        <f>6.4892 * CHOOSE(CONTROL!$C$19, $C$13, 100%, $E$13)</f>
        <v>6.4892000000000003</v>
      </c>
      <c r="J229" s="61">
        <f>4.1941 * CHOOSE(CONTROL!$C$19, $C$13, 100%, $E$13)</f>
        <v>4.1940999999999997</v>
      </c>
      <c r="K229" s="61">
        <f>4.1961 * CHOOSE(CONTROL!$C$19, $C$13, 100%, $E$13)</f>
        <v>4.1961000000000004</v>
      </c>
    </row>
    <row r="230" spans="1:11" ht="15">
      <c r="A230" s="13">
        <v>48853</v>
      </c>
      <c r="B230" s="60">
        <f>3.9217 * CHOOSE(CONTROL!$C$19, $C$13, 100%, $E$13)</f>
        <v>3.9217</v>
      </c>
      <c r="C230" s="60">
        <f>3.9217 * CHOOSE(CONTROL!$C$19, $C$13, 100%, $E$13)</f>
        <v>3.9217</v>
      </c>
      <c r="D230" s="60">
        <f>3.9386 * CHOOSE(CONTROL!$C$19, $C$13, 100%, $E$13)</f>
        <v>3.9386000000000001</v>
      </c>
      <c r="E230" s="61">
        <f>4.2058 * CHOOSE(CONTROL!$C$19, $C$13, 100%, $E$13)</f>
        <v>4.2058</v>
      </c>
      <c r="F230" s="61">
        <f>4.2058 * CHOOSE(CONTROL!$C$19, $C$13, 100%, $E$13)</f>
        <v>4.2058</v>
      </c>
      <c r="G230" s="61">
        <f>4.206 * CHOOSE(CONTROL!$C$19, $C$13, 100%, $E$13)</f>
        <v>4.2060000000000004</v>
      </c>
      <c r="H230" s="61">
        <f>6.5006* CHOOSE(CONTROL!$C$19, $C$13, 100%, $E$13)</f>
        <v>6.5006000000000004</v>
      </c>
      <c r="I230" s="61">
        <f>6.5008 * CHOOSE(CONTROL!$C$19, $C$13, 100%, $E$13)</f>
        <v>6.5007999999999999</v>
      </c>
      <c r="J230" s="61">
        <f>4.2058 * CHOOSE(CONTROL!$C$19, $C$13, 100%, $E$13)</f>
        <v>4.2058</v>
      </c>
      <c r="K230" s="61">
        <f>4.206 * CHOOSE(CONTROL!$C$19, $C$13, 100%, $E$13)</f>
        <v>4.2060000000000004</v>
      </c>
    </row>
    <row r="231" spans="1:11" ht="15">
      <c r="A231" s="13">
        <v>48884</v>
      </c>
      <c r="B231" s="60">
        <f>3.9248 * CHOOSE(CONTROL!$C$19, $C$13, 100%, $E$13)</f>
        <v>3.9247999999999998</v>
      </c>
      <c r="C231" s="60">
        <f>3.9248 * CHOOSE(CONTROL!$C$19, $C$13, 100%, $E$13)</f>
        <v>3.9247999999999998</v>
      </c>
      <c r="D231" s="60">
        <f>3.9416 * CHOOSE(CONTROL!$C$19, $C$13, 100%, $E$13)</f>
        <v>3.9416000000000002</v>
      </c>
      <c r="E231" s="61">
        <f>4.2205 * CHOOSE(CONTROL!$C$19, $C$13, 100%, $E$13)</f>
        <v>4.2205000000000004</v>
      </c>
      <c r="F231" s="61">
        <f>4.2205 * CHOOSE(CONTROL!$C$19, $C$13, 100%, $E$13)</f>
        <v>4.2205000000000004</v>
      </c>
      <c r="G231" s="61">
        <f>4.2207 * CHOOSE(CONTROL!$C$19, $C$13, 100%, $E$13)</f>
        <v>4.2206999999999999</v>
      </c>
      <c r="H231" s="61">
        <f>6.5141* CHOOSE(CONTROL!$C$19, $C$13, 100%, $E$13)</f>
        <v>6.5141</v>
      </c>
      <c r="I231" s="61">
        <f>6.5143 * CHOOSE(CONTROL!$C$19, $C$13, 100%, $E$13)</f>
        <v>6.5143000000000004</v>
      </c>
      <c r="J231" s="61">
        <f>4.2205 * CHOOSE(CONTROL!$C$19, $C$13, 100%, $E$13)</f>
        <v>4.2205000000000004</v>
      </c>
      <c r="K231" s="61">
        <f>4.2207 * CHOOSE(CONTROL!$C$19, $C$13, 100%, $E$13)</f>
        <v>4.2206999999999999</v>
      </c>
    </row>
    <row r="232" spans="1:11" ht="15">
      <c r="A232" s="13">
        <v>48914</v>
      </c>
      <c r="B232" s="60">
        <f>3.9248 * CHOOSE(CONTROL!$C$19, $C$13, 100%, $E$13)</f>
        <v>3.9247999999999998</v>
      </c>
      <c r="C232" s="60">
        <f>3.9248 * CHOOSE(CONTROL!$C$19, $C$13, 100%, $E$13)</f>
        <v>3.9247999999999998</v>
      </c>
      <c r="D232" s="60">
        <f>3.9416 * CHOOSE(CONTROL!$C$19, $C$13, 100%, $E$13)</f>
        <v>3.9416000000000002</v>
      </c>
      <c r="E232" s="61">
        <f>4.189 * CHOOSE(CONTROL!$C$19, $C$13, 100%, $E$13)</f>
        <v>4.1890000000000001</v>
      </c>
      <c r="F232" s="61">
        <f>4.189 * CHOOSE(CONTROL!$C$19, $C$13, 100%, $E$13)</f>
        <v>4.1890000000000001</v>
      </c>
      <c r="G232" s="61">
        <f>4.1892 * CHOOSE(CONTROL!$C$19, $C$13, 100%, $E$13)</f>
        <v>4.1891999999999996</v>
      </c>
      <c r="H232" s="61">
        <f>6.5277* CHOOSE(CONTROL!$C$19, $C$13, 100%, $E$13)</f>
        <v>6.5277000000000003</v>
      </c>
      <c r="I232" s="61">
        <f>6.5279 * CHOOSE(CONTROL!$C$19, $C$13, 100%, $E$13)</f>
        <v>6.5278999999999998</v>
      </c>
      <c r="J232" s="61">
        <f>4.189 * CHOOSE(CONTROL!$C$19, $C$13, 100%, $E$13)</f>
        <v>4.1890000000000001</v>
      </c>
      <c r="K232" s="61">
        <f>4.1892 * CHOOSE(CONTROL!$C$19, $C$13, 100%, $E$13)</f>
        <v>4.1891999999999996</v>
      </c>
    </row>
    <row r="233" spans="1:11" ht="15">
      <c r="A233" s="13">
        <v>48945</v>
      </c>
      <c r="B233" s="60">
        <f>3.9588 * CHOOSE(CONTROL!$C$19, $C$13, 100%, $E$13)</f>
        <v>3.9588000000000001</v>
      </c>
      <c r="C233" s="60">
        <f>3.9588 * CHOOSE(CONTROL!$C$19, $C$13, 100%, $E$13)</f>
        <v>3.9588000000000001</v>
      </c>
      <c r="D233" s="60">
        <f>3.9757 * CHOOSE(CONTROL!$C$19, $C$13, 100%, $E$13)</f>
        <v>3.9756999999999998</v>
      </c>
      <c r="E233" s="61">
        <f>4.2511 * CHOOSE(CONTROL!$C$19, $C$13, 100%, $E$13)</f>
        <v>4.2511000000000001</v>
      </c>
      <c r="F233" s="61">
        <f>4.2511 * CHOOSE(CONTROL!$C$19, $C$13, 100%, $E$13)</f>
        <v>4.2511000000000001</v>
      </c>
      <c r="G233" s="61">
        <f>4.2513 * CHOOSE(CONTROL!$C$19, $C$13, 100%, $E$13)</f>
        <v>4.2512999999999996</v>
      </c>
      <c r="H233" s="61">
        <f>6.5413* CHOOSE(CONTROL!$C$19, $C$13, 100%, $E$13)</f>
        <v>6.5412999999999997</v>
      </c>
      <c r="I233" s="61">
        <f>6.5415 * CHOOSE(CONTROL!$C$19, $C$13, 100%, $E$13)</f>
        <v>6.5415000000000001</v>
      </c>
      <c r="J233" s="61">
        <f>4.2511 * CHOOSE(CONTROL!$C$19, $C$13, 100%, $E$13)</f>
        <v>4.2511000000000001</v>
      </c>
      <c r="K233" s="61">
        <f>4.2513 * CHOOSE(CONTROL!$C$19, $C$13, 100%, $E$13)</f>
        <v>4.2512999999999996</v>
      </c>
    </row>
    <row r="234" spans="1:11" ht="15">
      <c r="A234" s="13">
        <v>48976</v>
      </c>
      <c r="B234" s="60">
        <f>3.9558 * CHOOSE(CONTROL!$C$19, $C$13, 100%, $E$13)</f>
        <v>3.9558</v>
      </c>
      <c r="C234" s="60">
        <f>3.9558 * CHOOSE(CONTROL!$C$19, $C$13, 100%, $E$13)</f>
        <v>3.9558</v>
      </c>
      <c r="D234" s="60">
        <f>3.9726 * CHOOSE(CONTROL!$C$19, $C$13, 100%, $E$13)</f>
        <v>3.9725999999999999</v>
      </c>
      <c r="E234" s="61">
        <f>4.1879 * CHOOSE(CONTROL!$C$19, $C$13, 100%, $E$13)</f>
        <v>4.1879</v>
      </c>
      <c r="F234" s="61">
        <f>4.1879 * CHOOSE(CONTROL!$C$19, $C$13, 100%, $E$13)</f>
        <v>4.1879</v>
      </c>
      <c r="G234" s="61">
        <f>4.188 * CHOOSE(CONTROL!$C$19, $C$13, 100%, $E$13)</f>
        <v>4.1879999999999997</v>
      </c>
      <c r="H234" s="61">
        <f>6.5549* CHOOSE(CONTROL!$C$19, $C$13, 100%, $E$13)</f>
        <v>6.5548999999999999</v>
      </c>
      <c r="I234" s="61">
        <f>6.5551 * CHOOSE(CONTROL!$C$19, $C$13, 100%, $E$13)</f>
        <v>6.5551000000000004</v>
      </c>
      <c r="J234" s="61">
        <f>4.1879 * CHOOSE(CONTROL!$C$19, $C$13, 100%, $E$13)</f>
        <v>4.1879</v>
      </c>
      <c r="K234" s="61">
        <f>4.188 * CHOOSE(CONTROL!$C$19, $C$13, 100%, $E$13)</f>
        <v>4.1879999999999997</v>
      </c>
    </row>
    <row r="235" spans="1:11" ht="15">
      <c r="A235" s="13">
        <v>49004</v>
      </c>
      <c r="B235" s="60">
        <f>3.9527 * CHOOSE(CONTROL!$C$19, $C$13, 100%, $E$13)</f>
        <v>3.9527000000000001</v>
      </c>
      <c r="C235" s="60">
        <f>3.9527 * CHOOSE(CONTROL!$C$19, $C$13, 100%, $E$13)</f>
        <v>3.9527000000000001</v>
      </c>
      <c r="D235" s="60">
        <f>3.9696 * CHOOSE(CONTROL!$C$19, $C$13, 100%, $E$13)</f>
        <v>3.9695999999999998</v>
      </c>
      <c r="E235" s="61">
        <f>4.234 * CHOOSE(CONTROL!$C$19, $C$13, 100%, $E$13)</f>
        <v>4.234</v>
      </c>
      <c r="F235" s="61">
        <f>4.234 * CHOOSE(CONTROL!$C$19, $C$13, 100%, $E$13)</f>
        <v>4.234</v>
      </c>
      <c r="G235" s="61">
        <f>4.2341 * CHOOSE(CONTROL!$C$19, $C$13, 100%, $E$13)</f>
        <v>4.2340999999999998</v>
      </c>
      <c r="H235" s="61">
        <f>6.5686* CHOOSE(CONTROL!$C$19, $C$13, 100%, $E$13)</f>
        <v>6.5686</v>
      </c>
      <c r="I235" s="61">
        <f>6.5688 * CHOOSE(CONTROL!$C$19, $C$13, 100%, $E$13)</f>
        <v>6.5688000000000004</v>
      </c>
      <c r="J235" s="61">
        <f>4.234 * CHOOSE(CONTROL!$C$19, $C$13, 100%, $E$13)</f>
        <v>4.234</v>
      </c>
      <c r="K235" s="61">
        <f>4.2341 * CHOOSE(CONTROL!$C$19, $C$13, 100%, $E$13)</f>
        <v>4.2340999999999998</v>
      </c>
    </row>
    <row r="236" spans="1:11" ht="15">
      <c r="A236" s="13">
        <v>49035</v>
      </c>
      <c r="B236" s="60">
        <f>3.9504 * CHOOSE(CONTROL!$C$19, $C$13, 100%, $E$13)</f>
        <v>3.9504000000000001</v>
      </c>
      <c r="C236" s="60">
        <f>3.9504 * CHOOSE(CONTROL!$C$19, $C$13, 100%, $E$13)</f>
        <v>3.9504000000000001</v>
      </c>
      <c r="D236" s="60">
        <f>3.9672 * CHOOSE(CONTROL!$C$19, $C$13, 100%, $E$13)</f>
        <v>3.9672000000000001</v>
      </c>
      <c r="E236" s="61">
        <f>4.2815 * CHOOSE(CONTROL!$C$19, $C$13, 100%, $E$13)</f>
        <v>4.2815000000000003</v>
      </c>
      <c r="F236" s="61">
        <f>4.2815 * CHOOSE(CONTROL!$C$19, $C$13, 100%, $E$13)</f>
        <v>4.2815000000000003</v>
      </c>
      <c r="G236" s="61">
        <f>4.2817 * CHOOSE(CONTROL!$C$19, $C$13, 100%, $E$13)</f>
        <v>4.2816999999999998</v>
      </c>
      <c r="H236" s="61">
        <f>6.5823* CHOOSE(CONTROL!$C$19, $C$13, 100%, $E$13)</f>
        <v>6.5823</v>
      </c>
      <c r="I236" s="61">
        <f>6.5824 * CHOOSE(CONTROL!$C$19, $C$13, 100%, $E$13)</f>
        <v>6.5823999999999998</v>
      </c>
      <c r="J236" s="61">
        <f>4.2815 * CHOOSE(CONTROL!$C$19, $C$13, 100%, $E$13)</f>
        <v>4.2815000000000003</v>
      </c>
      <c r="K236" s="61">
        <f>4.2817 * CHOOSE(CONTROL!$C$19, $C$13, 100%, $E$13)</f>
        <v>4.2816999999999998</v>
      </c>
    </row>
    <row r="237" spans="1:11" ht="15">
      <c r="A237" s="13">
        <v>49065</v>
      </c>
      <c r="B237" s="60">
        <f>3.9504 * CHOOSE(CONTROL!$C$19, $C$13, 100%, $E$13)</f>
        <v>3.9504000000000001</v>
      </c>
      <c r="C237" s="60">
        <f>3.9504 * CHOOSE(CONTROL!$C$19, $C$13, 100%, $E$13)</f>
        <v>3.9504000000000001</v>
      </c>
      <c r="D237" s="60">
        <f>3.9841 * CHOOSE(CONTROL!$C$19, $C$13, 100%, $E$13)</f>
        <v>3.9841000000000002</v>
      </c>
      <c r="E237" s="61">
        <f>4.3009 * CHOOSE(CONTROL!$C$19, $C$13, 100%, $E$13)</f>
        <v>4.3009000000000004</v>
      </c>
      <c r="F237" s="61">
        <f>4.3009 * CHOOSE(CONTROL!$C$19, $C$13, 100%, $E$13)</f>
        <v>4.3009000000000004</v>
      </c>
      <c r="G237" s="61">
        <f>4.303 * CHOOSE(CONTROL!$C$19, $C$13, 100%, $E$13)</f>
        <v>4.3029999999999999</v>
      </c>
      <c r="H237" s="61">
        <f>6.596* CHOOSE(CONTROL!$C$19, $C$13, 100%, $E$13)</f>
        <v>6.5960000000000001</v>
      </c>
      <c r="I237" s="61">
        <f>6.5981 * CHOOSE(CONTROL!$C$19, $C$13, 100%, $E$13)</f>
        <v>6.5980999999999996</v>
      </c>
      <c r="J237" s="61">
        <f>4.3009 * CHOOSE(CONTROL!$C$19, $C$13, 100%, $E$13)</f>
        <v>4.3009000000000004</v>
      </c>
      <c r="K237" s="61">
        <f>4.303 * CHOOSE(CONTROL!$C$19, $C$13, 100%, $E$13)</f>
        <v>4.3029999999999999</v>
      </c>
    </row>
    <row r="238" spans="1:11" ht="15">
      <c r="A238" s="13">
        <v>49096</v>
      </c>
      <c r="B238" s="60">
        <f>3.9565 * CHOOSE(CONTROL!$C$19, $C$13, 100%, $E$13)</f>
        <v>3.9565000000000001</v>
      </c>
      <c r="C238" s="60">
        <f>3.9565 * CHOOSE(CONTROL!$C$19, $C$13, 100%, $E$13)</f>
        <v>3.9565000000000001</v>
      </c>
      <c r="D238" s="60">
        <f>3.9901 * CHOOSE(CONTROL!$C$19, $C$13, 100%, $E$13)</f>
        <v>3.9901</v>
      </c>
      <c r="E238" s="61">
        <f>4.2857 * CHOOSE(CONTROL!$C$19, $C$13, 100%, $E$13)</f>
        <v>4.2857000000000003</v>
      </c>
      <c r="F238" s="61">
        <f>4.2857 * CHOOSE(CONTROL!$C$19, $C$13, 100%, $E$13)</f>
        <v>4.2857000000000003</v>
      </c>
      <c r="G238" s="61">
        <f>4.2878 * CHOOSE(CONTROL!$C$19, $C$13, 100%, $E$13)</f>
        <v>4.2877999999999998</v>
      </c>
      <c r="H238" s="61">
        <f>6.6097* CHOOSE(CONTROL!$C$19, $C$13, 100%, $E$13)</f>
        <v>6.6097000000000001</v>
      </c>
      <c r="I238" s="61">
        <f>6.6118 * CHOOSE(CONTROL!$C$19, $C$13, 100%, $E$13)</f>
        <v>6.6117999999999997</v>
      </c>
      <c r="J238" s="61">
        <f>4.2857 * CHOOSE(CONTROL!$C$19, $C$13, 100%, $E$13)</f>
        <v>4.2857000000000003</v>
      </c>
      <c r="K238" s="61">
        <f>4.2878 * CHOOSE(CONTROL!$C$19, $C$13, 100%, $E$13)</f>
        <v>4.2877999999999998</v>
      </c>
    </row>
    <row r="239" spans="1:11" ht="15">
      <c r="A239" s="13">
        <v>49126</v>
      </c>
      <c r="B239" s="60">
        <f>4.0191 * CHOOSE(CONTROL!$C$19, $C$13, 100%, $E$13)</f>
        <v>4.0190999999999999</v>
      </c>
      <c r="C239" s="60">
        <f>4.0191 * CHOOSE(CONTROL!$C$19, $C$13, 100%, $E$13)</f>
        <v>4.0190999999999999</v>
      </c>
      <c r="D239" s="60">
        <f>4.0528 * CHOOSE(CONTROL!$C$19, $C$13, 100%, $E$13)</f>
        <v>4.0528000000000004</v>
      </c>
      <c r="E239" s="61">
        <f>4.3698 * CHOOSE(CONTROL!$C$19, $C$13, 100%, $E$13)</f>
        <v>4.3697999999999997</v>
      </c>
      <c r="F239" s="61">
        <f>4.3698 * CHOOSE(CONTROL!$C$19, $C$13, 100%, $E$13)</f>
        <v>4.3697999999999997</v>
      </c>
      <c r="G239" s="61">
        <f>4.3719 * CHOOSE(CONTROL!$C$19, $C$13, 100%, $E$13)</f>
        <v>4.3719000000000001</v>
      </c>
      <c r="H239" s="61">
        <f>6.6235* CHOOSE(CONTROL!$C$19, $C$13, 100%, $E$13)</f>
        <v>6.6234999999999999</v>
      </c>
      <c r="I239" s="61">
        <f>6.6256 * CHOOSE(CONTROL!$C$19, $C$13, 100%, $E$13)</f>
        <v>6.6256000000000004</v>
      </c>
      <c r="J239" s="61">
        <f>4.3698 * CHOOSE(CONTROL!$C$19, $C$13, 100%, $E$13)</f>
        <v>4.3697999999999997</v>
      </c>
      <c r="K239" s="61">
        <f>4.3719 * CHOOSE(CONTROL!$C$19, $C$13, 100%, $E$13)</f>
        <v>4.3719000000000001</v>
      </c>
    </row>
    <row r="240" spans="1:11" ht="15">
      <c r="A240" s="13">
        <v>49157</v>
      </c>
      <c r="B240" s="60">
        <f>4.0258 * CHOOSE(CONTROL!$C$19, $C$13, 100%, $E$13)</f>
        <v>4.0258000000000003</v>
      </c>
      <c r="C240" s="60">
        <f>4.0258 * CHOOSE(CONTROL!$C$19, $C$13, 100%, $E$13)</f>
        <v>4.0258000000000003</v>
      </c>
      <c r="D240" s="60">
        <f>4.0594 * CHOOSE(CONTROL!$C$19, $C$13, 100%, $E$13)</f>
        <v>4.0594000000000001</v>
      </c>
      <c r="E240" s="61">
        <f>4.3162 * CHOOSE(CONTROL!$C$19, $C$13, 100%, $E$13)</f>
        <v>4.3162000000000003</v>
      </c>
      <c r="F240" s="61">
        <f>4.3162 * CHOOSE(CONTROL!$C$19, $C$13, 100%, $E$13)</f>
        <v>4.3162000000000003</v>
      </c>
      <c r="G240" s="61">
        <f>4.3183 * CHOOSE(CONTROL!$C$19, $C$13, 100%, $E$13)</f>
        <v>4.3182999999999998</v>
      </c>
      <c r="H240" s="61">
        <f>6.6373* CHOOSE(CONTROL!$C$19, $C$13, 100%, $E$13)</f>
        <v>6.6372999999999998</v>
      </c>
      <c r="I240" s="61">
        <f>6.6394 * CHOOSE(CONTROL!$C$19, $C$13, 100%, $E$13)</f>
        <v>6.6394000000000002</v>
      </c>
      <c r="J240" s="61">
        <f>4.3162 * CHOOSE(CONTROL!$C$19, $C$13, 100%, $E$13)</f>
        <v>4.3162000000000003</v>
      </c>
      <c r="K240" s="61">
        <f>4.3183 * CHOOSE(CONTROL!$C$19, $C$13, 100%, $E$13)</f>
        <v>4.3182999999999998</v>
      </c>
    </row>
    <row r="241" spans="1:11" ht="15">
      <c r="A241" s="13">
        <v>49188</v>
      </c>
      <c r="B241" s="60">
        <f>4.0227 * CHOOSE(CONTROL!$C$19, $C$13, 100%, $E$13)</f>
        <v>4.0227000000000004</v>
      </c>
      <c r="C241" s="60">
        <f>4.0227 * CHOOSE(CONTROL!$C$19, $C$13, 100%, $E$13)</f>
        <v>4.0227000000000004</v>
      </c>
      <c r="D241" s="60">
        <f>4.0564 * CHOOSE(CONTROL!$C$19, $C$13, 100%, $E$13)</f>
        <v>4.0564</v>
      </c>
      <c r="E241" s="61">
        <f>4.3077 * CHOOSE(CONTROL!$C$19, $C$13, 100%, $E$13)</f>
        <v>4.3076999999999996</v>
      </c>
      <c r="F241" s="61">
        <f>4.3077 * CHOOSE(CONTROL!$C$19, $C$13, 100%, $E$13)</f>
        <v>4.3076999999999996</v>
      </c>
      <c r="G241" s="61">
        <f>4.3097 * CHOOSE(CONTROL!$C$19, $C$13, 100%, $E$13)</f>
        <v>4.3097000000000003</v>
      </c>
      <c r="H241" s="61">
        <f>6.6511* CHOOSE(CONTROL!$C$19, $C$13, 100%, $E$13)</f>
        <v>6.6510999999999996</v>
      </c>
      <c r="I241" s="61">
        <f>6.6532 * CHOOSE(CONTROL!$C$19, $C$13, 100%, $E$13)</f>
        <v>6.6532</v>
      </c>
      <c r="J241" s="61">
        <f>4.3077 * CHOOSE(CONTROL!$C$19, $C$13, 100%, $E$13)</f>
        <v>4.3076999999999996</v>
      </c>
      <c r="K241" s="61">
        <f>4.3097 * CHOOSE(CONTROL!$C$19, $C$13, 100%, $E$13)</f>
        <v>4.3097000000000003</v>
      </c>
    </row>
    <row r="242" spans="1:11" ht="15">
      <c r="A242" s="13">
        <v>49218</v>
      </c>
      <c r="B242" s="60">
        <f>4.0181 * CHOOSE(CONTROL!$C$19, $C$13, 100%, $E$13)</f>
        <v>4.0180999999999996</v>
      </c>
      <c r="C242" s="60">
        <f>4.0181 * CHOOSE(CONTROL!$C$19, $C$13, 100%, $E$13)</f>
        <v>4.0180999999999996</v>
      </c>
      <c r="D242" s="60">
        <f>4.0349 * CHOOSE(CONTROL!$C$19, $C$13, 100%, $E$13)</f>
        <v>4.0349000000000004</v>
      </c>
      <c r="E242" s="61">
        <f>4.3201 * CHOOSE(CONTROL!$C$19, $C$13, 100%, $E$13)</f>
        <v>4.3201000000000001</v>
      </c>
      <c r="F242" s="61">
        <f>4.3201 * CHOOSE(CONTROL!$C$19, $C$13, 100%, $E$13)</f>
        <v>4.3201000000000001</v>
      </c>
      <c r="G242" s="61">
        <f>4.3203 * CHOOSE(CONTROL!$C$19, $C$13, 100%, $E$13)</f>
        <v>4.3202999999999996</v>
      </c>
      <c r="H242" s="61">
        <f>6.665* CHOOSE(CONTROL!$C$19, $C$13, 100%, $E$13)</f>
        <v>6.665</v>
      </c>
      <c r="I242" s="61">
        <f>6.6651 * CHOOSE(CONTROL!$C$19, $C$13, 100%, $E$13)</f>
        <v>6.6650999999999998</v>
      </c>
      <c r="J242" s="61">
        <f>4.3201 * CHOOSE(CONTROL!$C$19, $C$13, 100%, $E$13)</f>
        <v>4.3201000000000001</v>
      </c>
      <c r="K242" s="61">
        <f>4.3203 * CHOOSE(CONTROL!$C$19, $C$13, 100%, $E$13)</f>
        <v>4.3202999999999996</v>
      </c>
    </row>
    <row r="243" spans="1:11" ht="15">
      <c r="A243" s="13">
        <v>49249</v>
      </c>
      <c r="B243" s="60">
        <f>4.0211 * CHOOSE(CONTROL!$C$19, $C$13, 100%, $E$13)</f>
        <v>4.0210999999999997</v>
      </c>
      <c r="C243" s="60">
        <f>4.0211 * CHOOSE(CONTROL!$C$19, $C$13, 100%, $E$13)</f>
        <v>4.0210999999999997</v>
      </c>
      <c r="D243" s="60">
        <f>4.0379 * CHOOSE(CONTROL!$C$19, $C$13, 100%, $E$13)</f>
        <v>4.0378999999999996</v>
      </c>
      <c r="E243" s="61">
        <f>4.3352 * CHOOSE(CONTROL!$C$19, $C$13, 100%, $E$13)</f>
        <v>4.3352000000000004</v>
      </c>
      <c r="F243" s="61">
        <f>4.3352 * CHOOSE(CONTROL!$C$19, $C$13, 100%, $E$13)</f>
        <v>4.3352000000000004</v>
      </c>
      <c r="G243" s="61">
        <f>4.3354 * CHOOSE(CONTROL!$C$19, $C$13, 100%, $E$13)</f>
        <v>4.3353999999999999</v>
      </c>
      <c r="H243" s="61">
        <f>6.6789* CHOOSE(CONTROL!$C$19, $C$13, 100%, $E$13)</f>
        <v>6.6788999999999996</v>
      </c>
      <c r="I243" s="61">
        <f>6.679 * CHOOSE(CONTROL!$C$19, $C$13, 100%, $E$13)</f>
        <v>6.6790000000000003</v>
      </c>
      <c r="J243" s="61">
        <f>4.3352 * CHOOSE(CONTROL!$C$19, $C$13, 100%, $E$13)</f>
        <v>4.3352000000000004</v>
      </c>
      <c r="K243" s="61">
        <f>4.3354 * CHOOSE(CONTROL!$C$19, $C$13, 100%, $E$13)</f>
        <v>4.3353999999999999</v>
      </c>
    </row>
    <row r="244" spans="1:11" ht="15">
      <c r="A244" s="13">
        <v>49279</v>
      </c>
      <c r="B244" s="60">
        <f>4.0211 * CHOOSE(CONTROL!$C$19, $C$13, 100%, $E$13)</f>
        <v>4.0210999999999997</v>
      </c>
      <c r="C244" s="60">
        <f>4.0211 * CHOOSE(CONTROL!$C$19, $C$13, 100%, $E$13)</f>
        <v>4.0210999999999997</v>
      </c>
      <c r="D244" s="60">
        <f>4.0379 * CHOOSE(CONTROL!$C$19, $C$13, 100%, $E$13)</f>
        <v>4.0378999999999996</v>
      </c>
      <c r="E244" s="61">
        <f>4.3028 * CHOOSE(CONTROL!$C$19, $C$13, 100%, $E$13)</f>
        <v>4.3028000000000004</v>
      </c>
      <c r="F244" s="61">
        <f>4.3028 * CHOOSE(CONTROL!$C$19, $C$13, 100%, $E$13)</f>
        <v>4.3028000000000004</v>
      </c>
      <c r="G244" s="61">
        <f>4.303 * CHOOSE(CONTROL!$C$19, $C$13, 100%, $E$13)</f>
        <v>4.3029999999999999</v>
      </c>
      <c r="H244" s="61">
        <f>6.6928* CHOOSE(CONTROL!$C$19, $C$13, 100%, $E$13)</f>
        <v>6.6928000000000001</v>
      </c>
      <c r="I244" s="61">
        <f>6.6929 * CHOOSE(CONTROL!$C$19, $C$13, 100%, $E$13)</f>
        <v>6.6928999999999998</v>
      </c>
      <c r="J244" s="61">
        <f>4.3028 * CHOOSE(CONTROL!$C$19, $C$13, 100%, $E$13)</f>
        <v>4.3028000000000004</v>
      </c>
      <c r="K244" s="61">
        <f>4.303 * CHOOSE(CONTROL!$C$19, $C$13, 100%, $E$13)</f>
        <v>4.3029999999999999</v>
      </c>
    </row>
    <row r="245" spans="1:11" ht="15">
      <c r="A245" s="13">
        <v>49310</v>
      </c>
      <c r="B245" s="60">
        <f>4.0548 * CHOOSE(CONTROL!$C$19, $C$13, 100%, $E$13)</f>
        <v>4.0548000000000002</v>
      </c>
      <c r="C245" s="60">
        <f>4.0548 * CHOOSE(CONTROL!$C$19, $C$13, 100%, $E$13)</f>
        <v>4.0548000000000002</v>
      </c>
      <c r="D245" s="60">
        <f>4.0716 * CHOOSE(CONTROL!$C$19, $C$13, 100%, $E$13)</f>
        <v>4.0716000000000001</v>
      </c>
      <c r="E245" s="61">
        <f>4.3682 * CHOOSE(CONTROL!$C$19, $C$13, 100%, $E$13)</f>
        <v>4.3681999999999999</v>
      </c>
      <c r="F245" s="61">
        <f>4.3682 * CHOOSE(CONTROL!$C$19, $C$13, 100%, $E$13)</f>
        <v>4.3681999999999999</v>
      </c>
      <c r="G245" s="61">
        <f>4.3683 * CHOOSE(CONTROL!$C$19, $C$13, 100%, $E$13)</f>
        <v>4.3682999999999996</v>
      </c>
      <c r="H245" s="61">
        <f>6.7067* CHOOSE(CONTROL!$C$19, $C$13, 100%, $E$13)</f>
        <v>6.7066999999999997</v>
      </c>
      <c r="I245" s="61">
        <f>6.7069 * CHOOSE(CONTROL!$C$19, $C$13, 100%, $E$13)</f>
        <v>6.7069000000000001</v>
      </c>
      <c r="J245" s="61">
        <f>4.3682 * CHOOSE(CONTROL!$C$19, $C$13, 100%, $E$13)</f>
        <v>4.3681999999999999</v>
      </c>
      <c r="K245" s="61">
        <f>4.3683 * CHOOSE(CONTROL!$C$19, $C$13, 100%, $E$13)</f>
        <v>4.3682999999999996</v>
      </c>
    </row>
    <row r="246" spans="1:11" ht="15">
      <c r="A246" s="13">
        <v>49341</v>
      </c>
      <c r="B246" s="60">
        <f>4.0517 * CHOOSE(CONTROL!$C$19, $C$13, 100%, $E$13)</f>
        <v>4.0517000000000003</v>
      </c>
      <c r="C246" s="60">
        <f>4.0517 * CHOOSE(CONTROL!$C$19, $C$13, 100%, $E$13)</f>
        <v>4.0517000000000003</v>
      </c>
      <c r="D246" s="60">
        <f>4.0686 * CHOOSE(CONTROL!$C$19, $C$13, 100%, $E$13)</f>
        <v>4.0686</v>
      </c>
      <c r="E246" s="61">
        <f>4.3031 * CHOOSE(CONTROL!$C$19, $C$13, 100%, $E$13)</f>
        <v>4.3030999999999997</v>
      </c>
      <c r="F246" s="61">
        <f>4.3031 * CHOOSE(CONTROL!$C$19, $C$13, 100%, $E$13)</f>
        <v>4.3030999999999997</v>
      </c>
      <c r="G246" s="61">
        <f>4.3032 * CHOOSE(CONTROL!$C$19, $C$13, 100%, $E$13)</f>
        <v>4.3032000000000004</v>
      </c>
      <c r="H246" s="61">
        <f>6.7207* CHOOSE(CONTROL!$C$19, $C$13, 100%, $E$13)</f>
        <v>6.7206999999999999</v>
      </c>
      <c r="I246" s="61">
        <f>6.7209 * CHOOSE(CONTROL!$C$19, $C$13, 100%, $E$13)</f>
        <v>6.7209000000000003</v>
      </c>
      <c r="J246" s="61">
        <f>4.3031 * CHOOSE(CONTROL!$C$19, $C$13, 100%, $E$13)</f>
        <v>4.3030999999999997</v>
      </c>
      <c r="K246" s="61">
        <f>4.3032 * CHOOSE(CONTROL!$C$19, $C$13, 100%, $E$13)</f>
        <v>4.3032000000000004</v>
      </c>
    </row>
    <row r="247" spans="1:11" ht="15">
      <c r="A247" s="13">
        <v>49369</v>
      </c>
      <c r="B247" s="60">
        <f>4.0487 * CHOOSE(CONTROL!$C$19, $C$13, 100%, $E$13)</f>
        <v>4.0487000000000002</v>
      </c>
      <c r="C247" s="60">
        <f>4.0487 * CHOOSE(CONTROL!$C$19, $C$13, 100%, $E$13)</f>
        <v>4.0487000000000002</v>
      </c>
      <c r="D247" s="60">
        <f>4.0655 * CHOOSE(CONTROL!$C$19, $C$13, 100%, $E$13)</f>
        <v>4.0655000000000001</v>
      </c>
      <c r="E247" s="61">
        <f>4.3506 * CHOOSE(CONTROL!$C$19, $C$13, 100%, $E$13)</f>
        <v>4.3506</v>
      </c>
      <c r="F247" s="61">
        <f>4.3506 * CHOOSE(CONTROL!$C$19, $C$13, 100%, $E$13)</f>
        <v>4.3506</v>
      </c>
      <c r="G247" s="61">
        <f>4.3508 * CHOOSE(CONTROL!$C$19, $C$13, 100%, $E$13)</f>
        <v>4.3507999999999996</v>
      </c>
      <c r="H247" s="61">
        <f>6.7347* CHOOSE(CONTROL!$C$19, $C$13, 100%, $E$13)</f>
        <v>6.7347000000000001</v>
      </c>
      <c r="I247" s="61">
        <f>6.7349 * CHOOSE(CONTROL!$C$19, $C$13, 100%, $E$13)</f>
        <v>6.7348999999999997</v>
      </c>
      <c r="J247" s="61">
        <f>4.3506 * CHOOSE(CONTROL!$C$19, $C$13, 100%, $E$13)</f>
        <v>4.3506</v>
      </c>
      <c r="K247" s="61">
        <f>4.3508 * CHOOSE(CONTROL!$C$19, $C$13, 100%, $E$13)</f>
        <v>4.3507999999999996</v>
      </c>
    </row>
    <row r="248" spans="1:11" ht="15">
      <c r="A248" s="13">
        <v>49400</v>
      </c>
      <c r="B248" s="60">
        <f>4.0465 * CHOOSE(CONTROL!$C$19, $C$13, 100%, $E$13)</f>
        <v>4.0465</v>
      </c>
      <c r="C248" s="60">
        <f>4.0465 * CHOOSE(CONTROL!$C$19, $C$13, 100%, $E$13)</f>
        <v>4.0465</v>
      </c>
      <c r="D248" s="60">
        <f>4.0633 * CHOOSE(CONTROL!$C$19, $C$13, 100%, $E$13)</f>
        <v>4.0632999999999999</v>
      </c>
      <c r="E248" s="61">
        <f>4.3997 * CHOOSE(CONTROL!$C$19, $C$13, 100%, $E$13)</f>
        <v>4.3997000000000002</v>
      </c>
      <c r="F248" s="61">
        <f>4.3997 * CHOOSE(CONTROL!$C$19, $C$13, 100%, $E$13)</f>
        <v>4.3997000000000002</v>
      </c>
      <c r="G248" s="61">
        <f>4.3999 * CHOOSE(CONTROL!$C$19, $C$13, 100%, $E$13)</f>
        <v>4.3998999999999997</v>
      </c>
      <c r="H248" s="61">
        <f>6.7487* CHOOSE(CONTROL!$C$19, $C$13, 100%, $E$13)</f>
        <v>6.7487000000000004</v>
      </c>
      <c r="I248" s="61">
        <f>6.7489 * CHOOSE(CONTROL!$C$19, $C$13, 100%, $E$13)</f>
        <v>6.7488999999999999</v>
      </c>
      <c r="J248" s="61">
        <f>4.3997 * CHOOSE(CONTROL!$C$19, $C$13, 100%, $E$13)</f>
        <v>4.3997000000000002</v>
      </c>
      <c r="K248" s="61">
        <f>4.3999 * CHOOSE(CONTROL!$C$19, $C$13, 100%, $E$13)</f>
        <v>4.3998999999999997</v>
      </c>
    </row>
    <row r="249" spans="1:11" ht="15">
      <c r="A249" s="13">
        <v>49430</v>
      </c>
      <c r="B249" s="60">
        <f>4.0465 * CHOOSE(CONTROL!$C$19, $C$13, 100%, $E$13)</f>
        <v>4.0465</v>
      </c>
      <c r="C249" s="60">
        <f>4.0465 * CHOOSE(CONTROL!$C$19, $C$13, 100%, $E$13)</f>
        <v>4.0465</v>
      </c>
      <c r="D249" s="60">
        <f>4.0801 * CHOOSE(CONTROL!$C$19, $C$13, 100%, $E$13)</f>
        <v>4.0800999999999998</v>
      </c>
      <c r="E249" s="61">
        <f>4.4197 * CHOOSE(CONTROL!$C$19, $C$13, 100%, $E$13)</f>
        <v>4.4196999999999997</v>
      </c>
      <c r="F249" s="61">
        <f>4.4197 * CHOOSE(CONTROL!$C$19, $C$13, 100%, $E$13)</f>
        <v>4.4196999999999997</v>
      </c>
      <c r="G249" s="61">
        <f>4.4218 * CHOOSE(CONTROL!$C$19, $C$13, 100%, $E$13)</f>
        <v>4.4218000000000002</v>
      </c>
      <c r="H249" s="61">
        <f>6.7628* CHOOSE(CONTROL!$C$19, $C$13, 100%, $E$13)</f>
        <v>6.7628000000000004</v>
      </c>
      <c r="I249" s="61">
        <f>6.7649 * CHOOSE(CONTROL!$C$19, $C$13, 100%, $E$13)</f>
        <v>6.7648999999999999</v>
      </c>
      <c r="J249" s="61">
        <f>4.4197 * CHOOSE(CONTROL!$C$19, $C$13, 100%, $E$13)</f>
        <v>4.4196999999999997</v>
      </c>
      <c r="K249" s="61">
        <f>4.4218 * CHOOSE(CONTROL!$C$19, $C$13, 100%, $E$13)</f>
        <v>4.4218000000000002</v>
      </c>
    </row>
    <row r="250" spans="1:11" ht="15">
      <c r="A250" s="13">
        <v>49461</v>
      </c>
      <c r="B250" s="60">
        <f>4.0525 * CHOOSE(CONTROL!$C$19, $C$13, 100%, $E$13)</f>
        <v>4.0525000000000002</v>
      </c>
      <c r="C250" s="60">
        <f>4.0525 * CHOOSE(CONTROL!$C$19, $C$13, 100%, $E$13)</f>
        <v>4.0525000000000002</v>
      </c>
      <c r="D250" s="60">
        <f>4.0862 * CHOOSE(CONTROL!$C$19, $C$13, 100%, $E$13)</f>
        <v>4.0861999999999998</v>
      </c>
      <c r="E250" s="61">
        <f>4.4039 * CHOOSE(CONTROL!$C$19, $C$13, 100%, $E$13)</f>
        <v>4.4039000000000001</v>
      </c>
      <c r="F250" s="61">
        <f>4.4039 * CHOOSE(CONTROL!$C$19, $C$13, 100%, $E$13)</f>
        <v>4.4039000000000001</v>
      </c>
      <c r="G250" s="61">
        <f>4.406 * CHOOSE(CONTROL!$C$19, $C$13, 100%, $E$13)</f>
        <v>4.4059999999999997</v>
      </c>
      <c r="H250" s="61">
        <f>6.7769* CHOOSE(CONTROL!$C$19, $C$13, 100%, $E$13)</f>
        <v>6.7769000000000004</v>
      </c>
      <c r="I250" s="61">
        <f>6.779 * CHOOSE(CONTROL!$C$19, $C$13, 100%, $E$13)</f>
        <v>6.7789999999999999</v>
      </c>
      <c r="J250" s="61">
        <f>4.4039 * CHOOSE(CONTROL!$C$19, $C$13, 100%, $E$13)</f>
        <v>4.4039000000000001</v>
      </c>
      <c r="K250" s="61">
        <f>4.406 * CHOOSE(CONTROL!$C$19, $C$13, 100%, $E$13)</f>
        <v>4.4059999999999997</v>
      </c>
    </row>
    <row r="251" spans="1:11" ht="15">
      <c r="A251" s="13">
        <v>49491</v>
      </c>
      <c r="B251" s="60">
        <f>4.1138 * CHOOSE(CONTROL!$C$19, $C$13, 100%, $E$13)</f>
        <v>4.1138000000000003</v>
      </c>
      <c r="C251" s="60">
        <f>4.1138 * CHOOSE(CONTROL!$C$19, $C$13, 100%, $E$13)</f>
        <v>4.1138000000000003</v>
      </c>
      <c r="D251" s="60">
        <f>4.1475 * CHOOSE(CONTROL!$C$19, $C$13, 100%, $E$13)</f>
        <v>4.1475</v>
      </c>
      <c r="E251" s="61">
        <f>4.4932 * CHOOSE(CONTROL!$C$19, $C$13, 100%, $E$13)</f>
        <v>4.4931999999999999</v>
      </c>
      <c r="F251" s="61">
        <f>4.4932 * CHOOSE(CONTROL!$C$19, $C$13, 100%, $E$13)</f>
        <v>4.4931999999999999</v>
      </c>
      <c r="G251" s="61">
        <f>4.4953 * CHOOSE(CONTROL!$C$19, $C$13, 100%, $E$13)</f>
        <v>4.4953000000000003</v>
      </c>
      <c r="H251" s="61">
        <f>6.791* CHOOSE(CONTROL!$C$19, $C$13, 100%, $E$13)</f>
        <v>6.7910000000000004</v>
      </c>
      <c r="I251" s="61">
        <f>6.7931 * CHOOSE(CONTROL!$C$19, $C$13, 100%, $E$13)</f>
        <v>6.7930999999999999</v>
      </c>
      <c r="J251" s="61">
        <f>4.4932 * CHOOSE(CONTROL!$C$19, $C$13, 100%, $E$13)</f>
        <v>4.4931999999999999</v>
      </c>
      <c r="K251" s="61">
        <f>4.4953 * CHOOSE(CONTROL!$C$19, $C$13, 100%, $E$13)</f>
        <v>4.4953000000000003</v>
      </c>
    </row>
    <row r="252" spans="1:11" ht="15">
      <c r="A252" s="13">
        <v>49522</v>
      </c>
      <c r="B252" s="60">
        <f>4.1205 * CHOOSE(CONTROL!$C$19, $C$13, 100%, $E$13)</f>
        <v>4.1204999999999998</v>
      </c>
      <c r="C252" s="60">
        <f>4.1205 * CHOOSE(CONTROL!$C$19, $C$13, 100%, $E$13)</f>
        <v>4.1204999999999998</v>
      </c>
      <c r="D252" s="60">
        <f>4.1541 * CHOOSE(CONTROL!$C$19, $C$13, 100%, $E$13)</f>
        <v>4.1540999999999997</v>
      </c>
      <c r="E252" s="61">
        <f>4.4378 * CHOOSE(CONTROL!$C$19, $C$13, 100%, $E$13)</f>
        <v>4.4378000000000002</v>
      </c>
      <c r="F252" s="61">
        <f>4.4378 * CHOOSE(CONTROL!$C$19, $C$13, 100%, $E$13)</f>
        <v>4.4378000000000002</v>
      </c>
      <c r="G252" s="61">
        <f>4.4399 * CHOOSE(CONTROL!$C$19, $C$13, 100%, $E$13)</f>
        <v>4.4398999999999997</v>
      </c>
      <c r="H252" s="61">
        <f>6.8051* CHOOSE(CONTROL!$C$19, $C$13, 100%, $E$13)</f>
        <v>6.8051000000000004</v>
      </c>
      <c r="I252" s="61">
        <f>6.8072 * CHOOSE(CONTROL!$C$19, $C$13, 100%, $E$13)</f>
        <v>6.8071999999999999</v>
      </c>
      <c r="J252" s="61">
        <f>4.4378 * CHOOSE(CONTROL!$C$19, $C$13, 100%, $E$13)</f>
        <v>4.4378000000000002</v>
      </c>
      <c r="K252" s="61">
        <f>4.4399 * CHOOSE(CONTROL!$C$19, $C$13, 100%, $E$13)</f>
        <v>4.4398999999999997</v>
      </c>
    </row>
    <row r="253" spans="1:11" ht="15">
      <c r="A253" s="13">
        <v>49553</v>
      </c>
      <c r="B253" s="60">
        <f>4.1174 * CHOOSE(CONTROL!$C$19, $C$13, 100%, $E$13)</f>
        <v>4.1173999999999999</v>
      </c>
      <c r="C253" s="60">
        <f>4.1174 * CHOOSE(CONTROL!$C$19, $C$13, 100%, $E$13)</f>
        <v>4.1173999999999999</v>
      </c>
      <c r="D253" s="60">
        <f>4.1511 * CHOOSE(CONTROL!$C$19, $C$13, 100%, $E$13)</f>
        <v>4.1510999999999996</v>
      </c>
      <c r="E253" s="61">
        <f>4.4291 * CHOOSE(CONTROL!$C$19, $C$13, 100%, $E$13)</f>
        <v>4.4291</v>
      </c>
      <c r="F253" s="61">
        <f>4.4291 * CHOOSE(CONTROL!$C$19, $C$13, 100%, $E$13)</f>
        <v>4.4291</v>
      </c>
      <c r="G253" s="61">
        <f>4.4312 * CHOOSE(CONTROL!$C$19, $C$13, 100%, $E$13)</f>
        <v>4.4311999999999996</v>
      </c>
      <c r="H253" s="61">
        <f>6.8193* CHOOSE(CONTROL!$C$19, $C$13, 100%, $E$13)</f>
        <v>6.8193000000000001</v>
      </c>
      <c r="I253" s="61">
        <f>6.8214 * CHOOSE(CONTROL!$C$19, $C$13, 100%, $E$13)</f>
        <v>6.8213999999999997</v>
      </c>
      <c r="J253" s="61">
        <f>4.4291 * CHOOSE(CONTROL!$C$19, $C$13, 100%, $E$13)</f>
        <v>4.4291</v>
      </c>
      <c r="K253" s="61">
        <f>4.4312 * CHOOSE(CONTROL!$C$19, $C$13, 100%, $E$13)</f>
        <v>4.4311999999999996</v>
      </c>
    </row>
    <row r="254" spans="1:11" ht="15">
      <c r="A254" s="13">
        <v>49583</v>
      </c>
      <c r="B254" s="60">
        <f>4.1131 * CHOOSE(CONTROL!$C$19, $C$13, 100%, $E$13)</f>
        <v>4.1131000000000002</v>
      </c>
      <c r="C254" s="60">
        <f>4.1131 * CHOOSE(CONTROL!$C$19, $C$13, 100%, $E$13)</f>
        <v>4.1131000000000002</v>
      </c>
      <c r="D254" s="60">
        <f>4.13 * CHOOSE(CONTROL!$C$19, $C$13, 100%, $E$13)</f>
        <v>4.13</v>
      </c>
      <c r="E254" s="61">
        <f>4.4423 * CHOOSE(CONTROL!$C$19, $C$13, 100%, $E$13)</f>
        <v>4.4423000000000004</v>
      </c>
      <c r="F254" s="61">
        <f>4.4423 * CHOOSE(CONTROL!$C$19, $C$13, 100%, $E$13)</f>
        <v>4.4423000000000004</v>
      </c>
      <c r="G254" s="61">
        <f>4.4425 * CHOOSE(CONTROL!$C$19, $C$13, 100%, $E$13)</f>
        <v>4.4424999999999999</v>
      </c>
      <c r="H254" s="61">
        <f>6.8335* CHOOSE(CONTROL!$C$19, $C$13, 100%, $E$13)</f>
        <v>6.8334999999999999</v>
      </c>
      <c r="I254" s="61">
        <f>6.8337 * CHOOSE(CONTROL!$C$19, $C$13, 100%, $E$13)</f>
        <v>6.8337000000000003</v>
      </c>
      <c r="J254" s="61">
        <f>4.4423 * CHOOSE(CONTROL!$C$19, $C$13, 100%, $E$13)</f>
        <v>4.4423000000000004</v>
      </c>
      <c r="K254" s="61">
        <f>4.4425 * CHOOSE(CONTROL!$C$19, $C$13, 100%, $E$13)</f>
        <v>4.4424999999999999</v>
      </c>
    </row>
    <row r="255" spans="1:11" ht="15">
      <c r="A255" s="13">
        <v>49614</v>
      </c>
      <c r="B255" s="60">
        <f>4.1162 * CHOOSE(CONTROL!$C$19, $C$13, 100%, $E$13)</f>
        <v>4.1162000000000001</v>
      </c>
      <c r="C255" s="60">
        <f>4.1162 * CHOOSE(CONTROL!$C$19, $C$13, 100%, $E$13)</f>
        <v>4.1162000000000001</v>
      </c>
      <c r="D255" s="60">
        <f>4.133 * CHOOSE(CONTROL!$C$19, $C$13, 100%, $E$13)</f>
        <v>4.133</v>
      </c>
      <c r="E255" s="61">
        <f>4.4578 * CHOOSE(CONTROL!$C$19, $C$13, 100%, $E$13)</f>
        <v>4.4577999999999998</v>
      </c>
      <c r="F255" s="61">
        <f>4.4578 * CHOOSE(CONTROL!$C$19, $C$13, 100%, $E$13)</f>
        <v>4.4577999999999998</v>
      </c>
      <c r="G255" s="61">
        <f>4.4579 * CHOOSE(CONTROL!$C$19, $C$13, 100%, $E$13)</f>
        <v>4.4579000000000004</v>
      </c>
      <c r="H255" s="61">
        <f>6.8478* CHOOSE(CONTROL!$C$19, $C$13, 100%, $E$13)</f>
        <v>6.8478000000000003</v>
      </c>
      <c r="I255" s="61">
        <f>6.8479 * CHOOSE(CONTROL!$C$19, $C$13, 100%, $E$13)</f>
        <v>6.8479000000000001</v>
      </c>
      <c r="J255" s="61">
        <f>4.4578 * CHOOSE(CONTROL!$C$19, $C$13, 100%, $E$13)</f>
        <v>4.4577999999999998</v>
      </c>
      <c r="K255" s="61">
        <f>4.4579 * CHOOSE(CONTROL!$C$19, $C$13, 100%, $E$13)</f>
        <v>4.4579000000000004</v>
      </c>
    </row>
    <row r="256" spans="1:11" ht="15">
      <c r="A256" s="13">
        <v>49644</v>
      </c>
      <c r="B256" s="60">
        <f>4.1162 * CHOOSE(CONTROL!$C$19, $C$13, 100%, $E$13)</f>
        <v>4.1162000000000001</v>
      </c>
      <c r="C256" s="60">
        <f>4.1162 * CHOOSE(CONTROL!$C$19, $C$13, 100%, $E$13)</f>
        <v>4.1162000000000001</v>
      </c>
      <c r="D256" s="60">
        <f>4.133 * CHOOSE(CONTROL!$C$19, $C$13, 100%, $E$13)</f>
        <v>4.133</v>
      </c>
      <c r="E256" s="61">
        <f>4.4244 * CHOOSE(CONTROL!$C$19, $C$13, 100%, $E$13)</f>
        <v>4.4244000000000003</v>
      </c>
      <c r="F256" s="61">
        <f>4.4244 * CHOOSE(CONTROL!$C$19, $C$13, 100%, $E$13)</f>
        <v>4.4244000000000003</v>
      </c>
      <c r="G256" s="61">
        <f>4.4246 * CHOOSE(CONTROL!$C$19, $C$13, 100%, $E$13)</f>
        <v>4.4245999999999999</v>
      </c>
      <c r="H256" s="61">
        <f>6.862* CHOOSE(CONTROL!$C$19, $C$13, 100%, $E$13)</f>
        <v>6.8620000000000001</v>
      </c>
      <c r="I256" s="61">
        <f>6.8622 * CHOOSE(CONTROL!$C$19, $C$13, 100%, $E$13)</f>
        <v>6.8621999999999996</v>
      </c>
      <c r="J256" s="61">
        <f>4.4244 * CHOOSE(CONTROL!$C$19, $C$13, 100%, $E$13)</f>
        <v>4.4244000000000003</v>
      </c>
      <c r="K256" s="61">
        <f>4.4246 * CHOOSE(CONTROL!$C$19, $C$13, 100%, $E$13)</f>
        <v>4.4245999999999999</v>
      </c>
    </row>
    <row r="257" spans="1:11" ht="15">
      <c r="A257" s="13">
        <v>49675</v>
      </c>
      <c r="B257" s="60">
        <f>4.1517 * CHOOSE(CONTROL!$C$19, $C$13, 100%, $E$13)</f>
        <v>4.1516999999999999</v>
      </c>
      <c r="C257" s="60">
        <f>4.1517 * CHOOSE(CONTROL!$C$19, $C$13, 100%, $E$13)</f>
        <v>4.1516999999999999</v>
      </c>
      <c r="D257" s="60">
        <f>4.1685 * CHOOSE(CONTROL!$C$19, $C$13, 100%, $E$13)</f>
        <v>4.1684999999999999</v>
      </c>
      <c r="E257" s="61">
        <f>4.4874 * CHOOSE(CONTROL!$C$19, $C$13, 100%, $E$13)</f>
        <v>4.4874000000000001</v>
      </c>
      <c r="F257" s="61">
        <f>4.4874 * CHOOSE(CONTROL!$C$19, $C$13, 100%, $E$13)</f>
        <v>4.4874000000000001</v>
      </c>
      <c r="G257" s="61">
        <f>4.4876 * CHOOSE(CONTROL!$C$19, $C$13, 100%, $E$13)</f>
        <v>4.4875999999999996</v>
      </c>
      <c r="H257" s="61">
        <f>6.8763* CHOOSE(CONTROL!$C$19, $C$13, 100%, $E$13)</f>
        <v>6.8762999999999996</v>
      </c>
      <c r="I257" s="61">
        <f>6.8765 * CHOOSE(CONTROL!$C$19, $C$13, 100%, $E$13)</f>
        <v>6.8765000000000001</v>
      </c>
      <c r="J257" s="61">
        <f>4.4874 * CHOOSE(CONTROL!$C$19, $C$13, 100%, $E$13)</f>
        <v>4.4874000000000001</v>
      </c>
      <c r="K257" s="61">
        <f>4.4876 * CHOOSE(CONTROL!$C$19, $C$13, 100%, $E$13)</f>
        <v>4.4875999999999996</v>
      </c>
    </row>
    <row r="258" spans="1:11" ht="15">
      <c r="A258" s="13">
        <v>49706</v>
      </c>
      <c r="B258" s="60">
        <f>4.1486 * CHOOSE(CONTROL!$C$19, $C$13, 100%, $E$13)</f>
        <v>4.1486000000000001</v>
      </c>
      <c r="C258" s="60">
        <f>4.1486 * CHOOSE(CONTROL!$C$19, $C$13, 100%, $E$13)</f>
        <v>4.1486000000000001</v>
      </c>
      <c r="D258" s="60">
        <f>4.1655 * CHOOSE(CONTROL!$C$19, $C$13, 100%, $E$13)</f>
        <v>4.1654999999999998</v>
      </c>
      <c r="E258" s="61">
        <f>4.4208 * CHOOSE(CONTROL!$C$19, $C$13, 100%, $E$13)</f>
        <v>4.4207999999999998</v>
      </c>
      <c r="F258" s="61">
        <f>4.4208 * CHOOSE(CONTROL!$C$19, $C$13, 100%, $E$13)</f>
        <v>4.4207999999999998</v>
      </c>
      <c r="G258" s="61">
        <f>4.4209 * CHOOSE(CONTROL!$C$19, $C$13, 100%, $E$13)</f>
        <v>4.4208999999999996</v>
      </c>
      <c r="H258" s="61">
        <f>6.8906* CHOOSE(CONTROL!$C$19, $C$13, 100%, $E$13)</f>
        <v>6.8906000000000001</v>
      </c>
      <c r="I258" s="61">
        <f>6.8908 * CHOOSE(CONTROL!$C$19, $C$13, 100%, $E$13)</f>
        <v>6.8907999999999996</v>
      </c>
      <c r="J258" s="61">
        <f>4.4208 * CHOOSE(CONTROL!$C$19, $C$13, 100%, $E$13)</f>
        <v>4.4207999999999998</v>
      </c>
      <c r="K258" s="61">
        <f>4.4209 * CHOOSE(CONTROL!$C$19, $C$13, 100%, $E$13)</f>
        <v>4.4208999999999996</v>
      </c>
    </row>
    <row r="259" spans="1:11" ht="15">
      <c r="A259" s="13">
        <v>49735</v>
      </c>
      <c r="B259" s="60">
        <f>4.1456 * CHOOSE(CONTROL!$C$19, $C$13, 100%, $E$13)</f>
        <v>4.1456</v>
      </c>
      <c r="C259" s="60">
        <f>4.1456 * CHOOSE(CONTROL!$C$19, $C$13, 100%, $E$13)</f>
        <v>4.1456</v>
      </c>
      <c r="D259" s="60">
        <f>4.1624 * CHOOSE(CONTROL!$C$19, $C$13, 100%, $E$13)</f>
        <v>4.1623999999999999</v>
      </c>
      <c r="E259" s="61">
        <f>4.4695 * CHOOSE(CONTROL!$C$19, $C$13, 100%, $E$13)</f>
        <v>4.4695</v>
      </c>
      <c r="F259" s="61">
        <f>4.4695 * CHOOSE(CONTROL!$C$19, $C$13, 100%, $E$13)</f>
        <v>4.4695</v>
      </c>
      <c r="G259" s="61">
        <f>4.4697 * CHOOSE(CONTROL!$C$19, $C$13, 100%, $E$13)</f>
        <v>4.4696999999999996</v>
      </c>
      <c r="H259" s="61">
        <f>6.905* CHOOSE(CONTROL!$C$19, $C$13, 100%, $E$13)</f>
        <v>6.9050000000000002</v>
      </c>
      <c r="I259" s="61">
        <f>6.9052 * CHOOSE(CONTROL!$C$19, $C$13, 100%, $E$13)</f>
        <v>6.9051999999999998</v>
      </c>
      <c r="J259" s="61">
        <f>4.4695 * CHOOSE(CONTROL!$C$19, $C$13, 100%, $E$13)</f>
        <v>4.4695</v>
      </c>
      <c r="K259" s="61">
        <f>4.4697 * CHOOSE(CONTROL!$C$19, $C$13, 100%, $E$13)</f>
        <v>4.4696999999999996</v>
      </c>
    </row>
    <row r="260" spans="1:11" ht="15">
      <c r="A260" s="13">
        <v>49766</v>
      </c>
      <c r="B260" s="60">
        <f>4.1434 * CHOOSE(CONTROL!$C$19, $C$13, 100%, $E$13)</f>
        <v>4.1433999999999997</v>
      </c>
      <c r="C260" s="60">
        <f>4.1434 * CHOOSE(CONTROL!$C$19, $C$13, 100%, $E$13)</f>
        <v>4.1433999999999997</v>
      </c>
      <c r="D260" s="60">
        <f>4.1603 * CHOOSE(CONTROL!$C$19, $C$13, 100%, $E$13)</f>
        <v>4.1603000000000003</v>
      </c>
      <c r="E260" s="61">
        <f>4.52 * CHOOSE(CONTROL!$C$19, $C$13, 100%, $E$13)</f>
        <v>4.5199999999999996</v>
      </c>
      <c r="F260" s="61">
        <f>4.52 * CHOOSE(CONTROL!$C$19, $C$13, 100%, $E$13)</f>
        <v>4.5199999999999996</v>
      </c>
      <c r="G260" s="61">
        <f>4.5201 * CHOOSE(CONTROL!$C$19, $C$13, 100%, $E$13)</f>
        <v>4.5201000000000002</v>
      </c>
      <c r="H260" s="61">
        <f>6.9194* CHOOSE(CONTROL!$C$19, $C$13, 100%, $E$13)</f>
        <v>6.9194000000000004</v>
      </c>
      <c r="I260" s="61">
        <f>6.9196 * CHOOSE(CONTROL!$C$19, $C$13, 100%, $E$13)</f>
        <v>6.9196</v>
      </c>
      <c r="J260" s="61">
        <f>4.52 * CHOOSE(CONTROL!$C$19, $C$13, 100%, $E$13)</f>
        <v>4.5199999999999996</v>
      </c>
      <c r="K260" s="61">
        <f>4.5201 * CHOOSE(CONTROL!$C$19, $C$13, 100%, $E$13)</f>
        <v>4.5201000000000002</v>
      </c>
    </row>
    <row r="261" spans="1:11" ht="15">
      <c r="A261" s="13">
        <v>49796</v>
      </c>
      <c r="B261" s="60">
        <f>4.1434 * CHOOSE(CONTROL!$C$19, $C$13, 100%, $E$13)</f>
        <v>4.1433999999999997</v>
      </c>
      <c r="C261" s="60">
        <f>4.1434 * CHOOSE(CONTROL!$C$19, $C$13, 100%, $E$13)</f>
        <v>4.1433999999999997</v>
      </c>
      <c r="D261" s="60">
        <f>4.1771 * CHOOSE(CONTROL!$C$19, $C$13, 100%, $E$13)</f>
        <v>4.1771000000000003</v>
      </c>
      <c r="E261" s="61">
        <f>4.5405 * CHOOSE(CONTROL!$C$19, $C$13, 100%, $E$13)</f>
        <v>4.5404999999999998</v>
      </c>
      <c r="F261" s="61">
        <f>4.5405 * CHOOSE(CONTROL!$C$19, $C$13, 100%, $E$13)</f>
        <v>4.5404999999999998</v>
      </c>
      <c r="G261" s="61">
        <f>4.5425 * CHOOSE(CONTROL!$C$19, $C$13, 100%, $E$13)</f>
        <v>4.5425000000000004</v>
      </c>
      <c r="H261" s="61">
        <f>6.9338* CHOOSE(CONTROL!$C$19, $C$13, 100%, $E$13)</f>
        <v>6.9337999999999997</v>
      </c>
      <c r="I261" s="61">
        <f>6.9359 * CHOOSE(CONTROL!$C$19, $C$13, 100%, $E$13)</f>
        <v>6.9359000000000002</v>
      </c>
      <c r="J261" s="61">
        <f>4.5405 * CHOOSE(CONTROL!$C$19, $C$13, 100%, $E$13)</f>
        <v>4.5404999999999998</v>
      </c>
      <c r="K261" s="61">
        <f>4.5425 * CHOOSE(CONTROL!$C$19, $C$13, 100%, $E$13)</f>
        <v>4.5425000000000004</v>
      </c>
    </row>
    <row r="262" spans="1:11" ht="15">
      <c r="A262" s="13">
        <v>49827</v>
      </c>
      <c r="B262" s="60">
        <f>4.1495 * CHOOSE(CONTROL!$C$19, $C$13, 100%, $E$13)</f>
        <v>4.1494999999999997</v>
      </c>
      <c r="C262" s="60">
        <f>4.1495 * CHOOSE(CONTROL!$C$19, $C$13, 100%, $E$13)</f>
        <v>4.1494999999999997</v>
      </c>
      <c r="D262" s="60">
        <f>4.1832 * CHOOSE(CONTROL!$C$19, $C$13, 100%, $E$13)</f>
        <v>4.1832000000000003</v>
      </c>
      <c r="E262" s="61">
        <f>4.5242 * CHOOSE(CONTROL!$C$19, $C$13, 100%, $E$13)</f>
        <v>4.5242000000000004</v>
      </c>
      <c r="F262" s="61">
        <f>4.5242 * CHOOSE(CONTROL!$C$19, $C$13, 100%, $E$13)</f>
        <v>4.5242000000000004</v>
      </c>
      <c r="G262" s="61">
        <f>4.5263 * CHOOSE(CONTROL!$C$19, $C$13, 100%, $E$13)</f>
        <v>4.5263</v>
      </c>
      <c r="H262" s="61">
        <f>6.9482* CHOOSE(CONTROL!$C$19, $C$13, 100%, $E$13)</f>
        <v>6.9481999999999999</v>
      </c>
      <c r="I262" s="61">
        <f>6.9503 * CHOOSE(CONTROL!$C$19, $C$13, 100%, $E$13)</f>
        <v>6.9503000000000004</v>
      </c>
      <c r="J262" s="61">
        <f>4.5242 * CHOOSE(CONTROL!$C$19, $C$13, 100%, $E$13)</f>
        <v>4.5242000000000004</v>
      </c>
      <c r="K262" s="61">
        <f>4.5263 * CHOOSE(CONTROL!$C$19, $C$13, 100%, $E$13)</f>
        <v>4.5263</v>
      </c>
    </row>
    <row r="263" spans="1:11" ht="15">
      <c r="A263" s="13">
        <v>49857</v>
      </c>
      <c r="B263" s="60">
        <f>4.2149 * CHOOSE(CONTROL!$C$19, $C$13, 100%, $E$13)</f>
        <v>4.2149000000000001</v>
      </c>
      <c r="C263" s="60">
        <f>4.2149 * CHOOSE(CONTROL!$C$19, $C$13, 100%, $E$13)</f>
        <v>4.2149000000000001</v>
      </c>
      <c r="D263" s="60">
        <f>4.2486 * CHOOSE(CONTROL!$C$19, $C$13, 100%, $E$13)</f>
        <v>4.2485999999999997</v>
      </c>
      <c r="E263" s="61">
        <f>4.6138 * CHOOSE(CONTROL!$C$19, $C$13, 100%, $E$13)</f>
        <v>4.6138000000000003</v>
      </c>
      <c r="F263" s="61">
        <f>4.6138 * CHOOSE(CONTROL!$C$19, $C$13, 100%, $E$13)</f>
        <v>4.6138000000000003</v>
      </c>
      <c r="G263" s="61">
        <f>4.6159 * CHOOSE(CONTROL!$C$19, $C$13, 100%, $E$13)</f>
        <v>4.6158999999999999</v>
      </c>
      <c r="H263" s="61">
        <f>6.9627* CHOOSE(CONTROL!$C$19, $C$13, 100%, $E$13)</f>
        <v>6.9626999999999999</v>
      </c>
      <c r="I263" s="61">
        <f>6.9648 * CHOOSE(CONTROL!$C$19, $C$13, 100%, $E$13)</f>
        <v>6.9648000000000003</v>
      </c>
      <c r="J263" s="61">
        <f>4.6138 * CHOOSE(CONTROL!$C$19, $C$13, 100%, $E$13)</f>
        <v>4.6138000000000003</v>
      </c>
      <c r="K263" s="61">
        <f>4.6159 * CHOOSE(CONTROL!$C$19, $C$13, 100%, $E$13)</f>
        <v>4.6158999999999999</v>
      </c>
    </row>
    <row r="264" spans="1:11" ht="15">
      <c r="A264" s="13">
        <v>49888</v>
      </c>
      <c r="B264" s="60">
        <f>4.2216 * CHOOSE(CONTROL!$C$19, $C$13, 100%, $E$13)</f>
        <v>4.2215999999999996</v>
      </c>
      <c r="C264" s="60">
        <f>4.2216 * CHOOSE(CONTROL!$C$19, $C$13, 100%, $E$13)</f>
        <v>4.2215999999999996</v>
      </c>
      <c r="D264" s="60">
        <f>4.2553 * CHOOSE(CONTROL!$C$19, $C$13, 100%, $E$13)</f>
        <v>4.2553000000000001</v>
      </c>
      <c r="E264" s="61">
        <f>4.557 * CHOOSE(CONTROL!$C$19, $C$13, 100%, $E$13)</f>
        <v>4.5570000000000004</v>
      </c>
      <c r="F264" s="61">
        <f>4.557 * CHOOSE(CONTROL!$C$19, $C$13, 100%, $E$13)</f>
        <v>4.5570000000000004</v>
      </c>
      <c r="G264" s="61">
        <f>4.5591 * CHOOSE(CONTROL!$C$19, $C$13, 100%, $E$13)</f>
        <v>4.5590999999999999</v>
      </c>
      <c r="H264" s="61">
        <f>6.9772* CHOOSE(CONTROL!$C$19, $C$13, 100%, $E$13)</f>
        <v>6.9771999999999998</v>
      </c>
      <c r="I264" s="61">
        <f>6.9793 * CHOOSE(CONTROL!$C$19, $C$13, 100%, $E$13)</f>
        <v>6.9793000000000003</v>
      </c>
      <c r="J264" s="61">
        <f>4.557 * CHOOSE(CONTROL!$C$19, $C$13, 100%, $E$13)</f>
        <v>4.5570000000000004</v>
      </c>
      <c r="K264" s="61">
        <f>4.5591 * CHOOSE(CONTROL!$C$19, $C$13, 100%, $E$13)</f>
        <v>4.5590999999999999</v>
      </c>
    </row>
    <row r="265" spans="1:11" ht="15">
      <c r="A265" s="13">
        <v>49919</v>
      </c>
      <c r="B265" s="60">
        <f>4.2186 * CHOOSE(CONTROL!$C$19, $C$13, 100%, $E$13)</f>
        <v>4.2186000000000003</v>
      </c>
      <c r="C265" s="60">
        <f>4.2186 * CHOOSE(CONTROL!$C$19, $C$13, 100%, $E$13)</f>
        <v>4.2186000000000003</v>
      </c>
      <c r="D265" s="60">
        <f>4.2523 * CHOOSE(CONTROL!$C$19, $C$13, 100%, $E$13)</f>
        <v>4.2523</v>
      </c>
      <c r="E265" s="61">
        <f>4.548 * CHOOSE(CONTROL!$C$19, $C$13, 100%, $E$13)</f>
        <v>4.548</v>
      </c>
      <c r="F265" s="61">
        <f>4.548 * CHOOSE(CONTROL!$C$19, $C$13, 100%, $E$13)</f>
        <v>4.548</v>
      </c>
      <c r="G265" s="61">
        <f>4.5501 * CHOOSE(CONTROL!$C$19, $C$13, 100%, $E$13)</f>
        <v>4.5500999999999996</v>
      </c>
      <c r="H265" s="61">
        <f>6.9918* CHOOSE(CONTROL!$C$19, $C$13, 100%, $E$13)</f>
        <v>6.9917999999999996</v>
      </c>
      <c r="I265" s="61">
        <f>6.9938 * CHOOSE(CONTROL!$C$19, $C$13, 100%, $E$13)</f>
        <v>6.9938000000000002</v>
      </c>
      <c r="J265" s="61">
        <f>4.548 * CHOOSE(CONTROL!$C$19, $C$13, 100%, $E$13)</f>
        <v>4.548</v>
      </c>
      <c r="K265" s="61">
        <f>4.5501 * CHOOSE(CONTROL!$C$19, $C$13, 100%, $E$13)</f>
        <v>4.5500999999999996</v>
      </c>
    </row>
    <row r="266" spans="1:11" ht="15">
      <c r="A266" s="13">
        <v>49949</v>
      </c>
      <c r="B266" s="60">
        <f>4.2146 * CHOOSE(CONTROL!$C$19, $C$13, 100%, $E$13)</f>
        <v>4.2145999999999999</v>
      </c>
      <c r="C266" s="60">
        <f>4.2146 * CHOOSE(CONTROL!$C$19, $C$13, 100%, $E$13)</f>
        <v>4.2145999999999999</v>
      </c>
      <c r="D266" s="60">
        <f>4.2315 * CHOOSE(CONTROL!$C$19, $C$13, 100%, $E$13)</f>
        <v>4.2314999999999996</v>
      </c>
      <c r="E266" s="61">
        <f>4.5619 * CHOOSE(CONTROL!$C$19, $C$13, 100%, $E$13)</f>
        <v>4.5618999999999996</v>
      </c>
      <c r="F266" s="61">
        <f>4.5619 * CHOOSE(CONTROL!$C$19, $C$13, 100%, $E$13)</f>
        <v>4.5618999999999996</v>
      </c>
      <c r="G266" s="61">
        <f>4.5621 * CHOOSE(CONTROL!$C$19, $C$13, 100%, $E$13)</f>
        <v>4.5621</v>
      </c>
      <c r="H266" s="61">
        <f>7.0063* CHOOSE(CONTROL!$C$19, $C$13, 100%, $E$13)</f>
        <v>7.0063000000000004</v>
      </c>
      <c r="I266" s="61">
        <f>7.0065 * CHOOSE(CONTROL!$C$19, $C$13, 100%, $E$13)</f>
        <v>7.0065</v>
      </c>
      <c r="J266" s="61">
        <f>4.5619 * CHOOSE(CONTROL!$C$19, $C$13, 100%, $E$13)</f>
        <v>4.5618999999999996</v>
      </c>
      <c r="K266" s="61">
        <f>4.5621 * CHOOSE(CONTROL!$C$19, $C$13, 100%, $E$13)</f>
        <v>4.5621</v>
      </c>
    </row>
    <row r="267" spans="1:11" ht="15">
      <c r="A267" s="13">
        <v>49980</v>
      </c>
      <c r="B267" s="60">
        <f>4.2177 * CHOOSE(CONTROL!$C$19, $C$13, 100%, $E$13)</f>
        <v>4.2176999999999998</v>
      </c>
      <c r="C267" s="60">
        <f>4.2177 * CHOOSE(CONTROL!$C$19, $C$13, 100%, $E$13)</f>
        <v>4.2176999999999998</v>
      </c>
      <c r="D267" s="60">
        <f>4.2345 * CHOOSE(CONTROL!$C$19, $C$13, 100%, $E$13)</f>
        <v>4.2344999999999997</v>
      </c>
      <c r="E267" s="61">
        <f>4.5777 * CHOOSE(CONTROL!$C$19, $C$13, 100%, $E$13)</f>
        <v>4.5777000000000001</v>
      </c>
      <c r="F267" s="61">
        <f>4.5777 * CHOOSE(CONTROL!$C$19, $C$13, 100%, $E$13)</f>
        <v>4.5777000000000001</v>
      </c>
      <c r="G267" s="61">
        <f>4.5779 * CHOOSE(CONTROL!$C$19, $C$13, 100%, $E$13)</f>
        <v>4.5778999999999996</v>
      </c>
      <c r="H267" s="61">
        <f>7.0209* CHOOSE(CONTROL!$C$19, $C$13, 100%, $E$13)</f>
        <v>7.0209000000000001</v>
      </c>
      <c r="I267" s="61">
        <f>7.0211 * CHOOSE(CONTROL!$C$19, $C$13, 100%, $E$13)</f>
        <v>7.0210999999999997</v>
      </c>
      <c r="J267" s="61">
        <f>4.5777 * CHOOSE(CONTROL!$C$19, $C$13, 100%, $E$13)</f>
        <v>4.5777000000000001</v>
      </c>
      <c r="K267" s="61">
        <f>4.5779 * CHOOSE(CONTROL!$C$19, $C$13, 100%, $E$13)</f>
        <v>4.5778999999999996</v>
      </c>
    </row>
    <row r="268" spans="1:11" ht="15">
      <c r="A268" s="13">
        <v>50010</v>
      </c>
      <c r="B268" s="60">
        <f>4.2177 * CHOOSE(CONTROL!$C$19, $C$13, 100%, $E$13)</f>
        <v>4.2176999999999998</v>
      </c>
      <c r="C268" s="60">
        <f>4.2177 * CHOOSE(CONTROL!$C$19, $C$13, 100%, $E$13)</f>
        <v>4.2176999999999998</v>
      </c>
      <c r="D268" s="60">
        <f>4.2345 * CHOOSE(CONTROL!$C$19, $C$13, 100%, $E$13)</f>
        <v>4.2344999999999997</v>
      </c>
      <c r="E268" s="61">
        <f>4.5436 * CHOOSE(CONTROL!$C$19, $C$13, 100%, $E$13)</f>
        <v>4.5435999999999996</v>
      </c>
      <c r="F268" s="61">
        <f>4.5436 * CHOOSE(CONTROL!$C$19, $C$13, 100%, $E$13)</f>
        <v>4.5435999999999996</v>
      </c>
      <c r="G268" s="61">
        <f>4.5437 * CHOOSE(CONTROL!$C$19, $C$13, 100%, $E$13)</f>
        <v>4.5437000000000003</v>
      </c>
      <c r="H268" s="61">
        <f>7.0355* CHOOSE(CONTROL!$C$19, $C$13, 100%, $E$13)</f>
        <v>7.0354999999999999</v>
      </c>
      <c r="I268" s="61">
        <f>7.0357 * CHOOSE(CONTROL!$C$19, $C$13, 100%, $E$13)</f>
        <v>7.0357000000000003</v>
      </c>
      <c r="J268" s="61">
        <f>4.5436 * CHOOSE(CONTROL!$C$19, $C$13, 100%, $E$13)</f>
        <v>4.5435999999999996</v>
      </c>
      <c r="K268" s="61">
        <f>4.5437 * CHOOSE(CONTROL!$C$19, $C$13, 100%, $E$13)</f>
        <v>4.5437000000000003</v>
      </c>
    </row>
    <row r="269" spans="1:11" ht="15">
      <c r="A269" s="13">
        <v>50041</v>
      </c>
      <c r="B269" s="60">
        <f>4.2529 * CHOOSE(CONTROL!$C$19, $C$13, 100%, $E$13)</f>
        <v>4.2529000000000003</v>
      </c>
      <c r="C269" s="60">
        <f>4.2529 * CHOOSE(CONTROL!$C$19, $C$13, 100%, $E$13)</f>
        <v>4.2529000000000003</v>
      </c>
      <c r="D269" s="60">
        <f>4.2698 * CHOOSE(CONTROL!$C$19, $C$13, 100%, $E$13)</f>
        <v>4.2698</v>
      </c>
      <c r="E269" s="61">
        <f>4.6099 * CHOOSE(CONTROL!$C$19, $C$13, 100%, $E$13)</f>
        <v>4.6098999999999997</v>
      </c>
      <c r="F269" s="61">
        <f>4.6099 * CHOOSE(CONTROL!$C$19, $C$13, 100%, $E$13)</f>
        <v>4.6098999999999997</v>
      </c>
      <c r="G269" s="61">
        <f>4.6101 * CHOOSE(CONTROL!$C$19, $C$13, 100%, $E$13)</f>
        <v>4.6101000000000001</v>
      </c>
      <c r="H269" s="61">
        <f>7.0502* CHOOSE(CONTROL!$C$19, $C$13, 100%, $E$13)</f>
        <v>7.0502000000000002</v>
      </c>
      <c r="I269" s="61">
        <f>7.0504 * CHOOSE(CONTROL!$C$19, $C$13, 100%, $E$13)</f>
        <v>7.0503999999999998</v>
      </c>
      <c r="J269" s="61">
        <f>4.6099 * CHOOSE(CONTROL!$C$19, $C$13, 100%, $E$13)</f>
        <v>4.6098999999999997</v>
      </c>
      <c r="K269" s="61">
        <f>4.6101 * CHOOSE(CONTROL!$C$19, $C$13, 100%, $E$13)</f>
        <v>4.6101000000000001</v>
      </c>
    </row>
    <row r="270" spans="1:11" ht="15">
      <c r="A270" s="13">
        <v>50072</v>
      </c>
      <c r="B270" s="60">
        <f>4.2499 * CHOOSE(CONTROL!$C$19, $C$13, 100%, $E$13)</f>
        <v>4.2499000000000002</v>
      </c>
      <c r="C270" s="60">
        <f>4.2499 * CHOOSE(CONTROL!$C$19, $C$13, 100%, $E$13)</f>
        <v>4.2499000000000002</v>
      </c>
      <c r="D270" s="60">
        <f>4.2667 * CHOOSE(CONTROL!$C$19, $C$13, 100%, $E$13)</f>
        <v>4.2667000000000002</v>
      </c>
      <c r="E270" s="61">
        <f>4.5415 * CHOOSE(CONTROL!$C$19, $C$13, 100%, $E$13)</f>
        <v>4.5415000000000001</v>
      </c>
      <c r="F270" s="61">
        <f>4.5415 * CHOOSE(CONTROL!$C$19, $C$13, 100%, $E$13)</f>
        <v>4.5415000000000001</v>
      </c>
      <c r="G270" s="61">
        <f>4.5416 * CHOOSE(CONTROL!$C$19, $C$13, 100%, $E$13)</f>
        <v>4.5415999999999999</v>
      </c>
      <c r="H270" s="61">
        <f>7.0649* CHOOSE(CONTROL!$C$19, $C$13, 100%, $E$13)</f>
        <v>7.0648999999999997</v>
      </c>
      <c r="I270" s="61">
        <f>7.0651 * CHOOSE(CONTROL!$C$19, $C$13, 100%, $E$13)</f>
        <v>7.0651000000000002</v>
      </c>
      <c r="J270" s="61">
        <f>4.5415 * CHOOSE(CONTROL!$C$19, $C$13, 100%, $E$13)</f>
        <v>4.5415000000000001</v>
      </c>
      <c r="K270" s="61">
        <f>4.5416 * CHOOSE(CONTROL!$C$19, $C$13, 100%, $E$13)</f>
        <v>4.5415999999999999</v>
      </c>
    </row>
    <row r="271" spans="1:11" ht="15">
      <c r="A271" s="13">
        <v>50100</v>
      </c>
      <c r="B271" s="60">
        <f>4.2468 * CHOOSE(CONTROL!$C$19, $C$13, 100%, $E$13)</f>
        <v>4.2468000000000004</v>
      </c>
      <c r="C271" s="60">
        <f>4.2468 * CHOOSE(CONTROL!$C$19, $C$13, 100%, $E$13)</f>
        <v>4.2468000000000004</v>
      </c>
      <c r="D271" s="60">
        <f>4.2637 * CHOOSE(CONTROL!$C$19, $C$13, 100%, $E$13)</f>
        <v>4.2637</v>
      </c>
      <c r="E271" s="61">
        <f>4.5916 * CHOOSE(CONTROL!$C$19, $C$13, 100%, $E$13)</f>
        <v>4.5915999999999997</v>
      </c>
      <c r="F271" s="61">
        <f>4.5916 * CHOOSE(CONTROL!$C$19, $C$13, 100%, $E$13)</f>
        <v>4.5915999999999997</v>
      </c>
      <c r="G271" s="61">
        <f>4.5918 * CHOOSE(CONTROL!$C$19, $C$13, 100%, $E$13)</f>
        <v>4.5918000000000001</v>
      </c>
      <c r="H271" s="61">
        <f>7.0796* CHOOSE(CONTROL!$C$19, $C$13, 100%, $E$13)</f>
        <v>7.0796000000000001</v>
      </c>
      <c r="I271" s="61">
        <f>7.0798 * CHOOSE(CONTROL!$C$19, $C$13, 100%, $E$13)</f>
        <v>7.0797999999999996</v>
      </c>
      <c r="J271" s="61">
        <f>4.5916 * CHOOSE(CONTROL!$C$19, $C$13, 100%, $E$13)</f>
        <v>4.5915999999999997</v>
      </c>
      <c r="K271" s="61">
        <f>4.5918 * CHOOSE(CONTROL!$C$19, $C$13, 100%, $E$13)</f>
        <v>4.5918000000000001</v>
      </c>
    </row>
    <row r="272" spans="1:11" ht="15">
      <c r="A272" s="13">
        <v>50131</v>
      </c>
      <c r="B272" s="60">
        <f>4.2448 * CHOOSE(CONTROL!$C$19, $C$13, 100%, $E$13)</f>
        <v>4.2447999999999997</v>
      </c>
      <c r="C272" s="60">
        <f>4.2448 * CHOOSE(CONTROL!$C$19, $C$13, 100%, $E$13)</f>
        <v>4.2447999999999997</v>
      </c>
      <c r="D272" s="60">
        <f>4.2616 * CHOOSE(CONTROL!$C$19, $C$13, 100%, $E$13)</f>
        <v>4.2615999999999996</v>
      </c>
      <c r="E272" s="61">
        <f>4.6435 * CHOOSE(CONTROL!$C$19, $C$13, 100%, $E$13)</f>
        <v>4.6435000000000004</v>
      </c>
      <c r="F272" s="61">
        <f>4.6435 * CHOOSE(CONTROL!$C$19, $C$13, 100%, $E$13)</f>
        <v>4.6435000000000004</v>
      </c>
      <c r="G272" s="61">
        <f>4.6437 * CHOOSE(CONTROL!$C$19, $C$13, 100%, $E$13)</f>
        <v>4.6436999999999999</v>
      </c>
      <c r="H272" s="61">
        <f>7.0944* CHOOSE(CONTROL!$C$19, $C$13, 100%, $E$13)</f>
        <v>7.0944000000000003</v>
      </c>
      <c r="I272" s="61">
        <f>7.0945 * CHOOSE(CONTROL!$C$19, $C$13, 100%, $E$13)</f>
        <v>7.0945</v>
      </c>
      <c r="J272" s="61">
        <f>4.6435 * CHOOSE(CONTROL!$C$19, $C$13, 100%, $E$13)</f>
        <v>4.6435000000000004</v>
      </c>
      <c r="K272" s="61">
        <f>4.6437 * CHOOSE(CONTROL!$C$19, $C$13, 100%, $E$13)</f>
        <v>4.6436999999999999</v>
      </c>
    </row>
    <row r="273" spans="1:11" ht="15">
      <c r="A273" s="13">
        <v>50161</v>
      </c>
      <c r="B273" s="60">
        <f>4.2448 * CHOOSE(CONTROL!$C$19, $C$13, 100%, $E$13)</f>
        <v>4.2447999999999997</v>
      </c>
      <c r="C273" s="60">
        <f>4.2448 * CHOOSE(CONTROL!$C$19, $C$13, 100%, $E$13)</f>
        <v>4.2447999999999997</v>
      </c>
      <c r="D273" s="60">
        <f>4.2784 * CHOOSE(CONTROL!$C$19, $C$13, 100%, $E$13)</f>
        <v>4.2784000000000004</v>
      </c>
      <c r="E273" s="61">
        <f>4.6646 * CHOOSE(CONTROL!$C$19, $C$13, 100%, $E$13)</f>
        <v>4.6646000000000001</v>
      </c>
      <c r="F273" s="61">
        <f>4.6646 * CHOOSE(CONTROL!$C$19, $C$13, 100%, $E$13)</f>
        <v>4.6646000000000001</v>
      </c>
      <c r="G273" s="61">
        <f>4.6666 * CHOOSE(CONTROL!$C$19, $C$13, 100%, $E$13)</f>
        <v>4.6665999999999999</v>
      </c>
      <c r="H273" s="61">
        <f>7.1091* CHOOSE(CONTROL!$C$19, $C$13, 100%, $E$13)</f>
        <v>7.1090999999999998</v>
      </c>
      <c r="I273" s="61">
        <f>7.1112 * CHOOSE(CONTROL!$C$19, $C$13, 100%, $E$13)</f>
        <v>7.1112000000000002</v>
      </c>
      <c r="J273" s="61">
        <f>4.6646 * CHOOSE(CONTROL!$C$19, $C$13, 100%, $E$13)</f>
        <v>4.6646000000000001</v>
      </c>
      <c r="K273" s="61">
        <f>4.6666 * CHOOSE(CONTROL!$C$19, $C$13, 100%, $E$13)</f>
        <v>4.6665999999999999</v>
      </c>
    </row>
    <row r="274" spans="1:11" ht="15">
      <c r="A274" s="13">
        <v>50192</v>
      </c>
      <c r="B274" s="60">
        <f>4.2509 * CHOOSE(CONTROL!$C$19, $C$13, 100%, $E$13)</f>
        <v>4.2508999999999997</v>
      </c>
      <c r="C274" s="60">
        <f>4.2509 * CHOOSE(CONTROL!$C$19, $C$13, 100%, $E$13)</f>
        <v>4.2508999999999997</v>
      </c>
      <c r="D274" s="60">
        <f>4.2845 * CHOOSE(CONTROL!$C$19, $C$13, 100%, $E$13)</f>
        <v>4.2845000000000004</v>
      </c>
      <c r="E274" s="61">
        <f>4.6477 * CHOOSE(CONTROL!$C$19, $C$13, 100%, $E$13)</f>
        <v>4.6477000000000004</v>
      </c>
      <c r="F274" s="61">
        <f>4.6477 * CHOOSE(CONTROL!$C$19, $C$13, 100%, $E$13)</f>
        <v>4.6477000000000004</v>
      </c>
      <c r="G274" s="61">
        <f>4.6498 * CHOOSE(CONTROL!$C$19, $C$13, 100%, $E$13)</f>
        <v>4.6497999999999999</v>
      </c>
      <c r="H274" s="61">
        <f>7.124* CHOOSE(CONTROL!$C$19, $C$13, 100%, $E$13)</f>
        <v>7.1239999999999997</v>
      </c>
      <c r="I274" s="61">
        <f>7.126 * CHOOSE(CONTROL!$C$19, $C$13, 100%, $E$13)</f>
        <v>7.1260000000000003</v>
      </c>
      <c r="J274" s="61">
        <f>4.6477 * CHOOSE(CONTROL!$C$19, $C$13, 100%, $E$13)</f>
        <v>4.6477000000000004</v>
      </c>
      <c r="K274" s="61">
        <f>4.6498 * CHOOSE(CONTROL!$C$19, $C$13, 100%, $E$13)</f>
        <v>4.6497999999999999</v>
      </c>
    </row>
    <row r="275" spans="1:11" ht="15">
      <c r="A275" s="13">
        <v>50222</v>
      </c>
      <c r="B275" s="60">
        <f>4.315 * CHOOSE(CONTROL!$C$19, $C$13, 100%, $E$13)</f>
        <v>4.3150000000000004</v>
      </c>
      <c r="C275" s="60">
        <f>4.315 * CHOOSE(CONTROL!$C$19, $C$13, 100%, $E$13)</f>
        <v>4.3150000000000004</v>
      </c>
      <c r="D275" s="60">
        <f>4.3487 * CHOOSE(CONTROL!$C$19, $C$13, 100%, $E$13)</f>
        <v>4.3487</v>
      </c>
      <c r="E275" s="61">
        <f>4.7404 * CHOOSE(CONTROL!$C$19, $C$13, 100%, $E$13)</f>
        <v>4.7404000000000002</v>
      </c>
      <c r="F275" s="61">
        <f>4.7404 * CHOOSE(CONTROL!$C$19, $C$13, 100%, $E$13)</f>
        <v>4.7404000000000002</v>
      </c>
      <c r="G275" s="61">
        <f>4.7425 * CHOOSE(CONTROL!$C$19, $C$13, 100%, $E$13)</f>
        <v>4.7424999999999997</v>
      </c>
      <c r="H275" s="61">
        <f>7.1388* CHOOSE(CONTROL!$C$19, $C$13, 100%, $E$13)</f>
        <v>7.1387999999999998</v>
      </c>
      <c r="I275" s="61">
        <f>7.1409 * CHOOSE(CONTROL!$C$19, $C$13, 100%, $E$13)</f>
        <v>7.1409000000000002</v>
      </c>
      <c r="J275" s="61">
        <f>4.7404 * CHOOSE(CONTROL!$C$19, $C$13, 100%, $E$13)</f>
        <v>4.7404000000000002</v>
      </c>
      <c r="K275" s="61">
        <f>4.7425 * CHOOSE(CONTROL!$C$19, $C$13, 100%, $E$13)</f>
        <v>4.7424999999999997</v>
      </c>
    </row>
    <row r="276" spans="1:11" ht="15">
      <c r="A276" s="13">
        <v>50253</v>
      </c>
      <c r="B276" s="60">
        <f>4.3217 * CHOOSE(CONTROL!$C$19, $C$13, 100%, $E$13)</f>
        <v>4.3216999999999999</v>
      </c>
      <c r="C276" s="60">
        <f>4.3217 * CHOOSE(CONTROL!$C$19, $C$13, 100%, $E$13)</f>
        <v>4.3216999999999999</v>
      </c>
      <c r="D276" s="60">
        <f>4.3554 * CHOOSE(CONTROL!$C$19, $C$13, 100%, $E$13)</f>
        <v>4.3554000000000004</v>
      </c>
      <c r="E276" s="61">
        <f>4.6819 * CHOOSE(CONTROL!$C$19, $C$13, 100%, $E$13)</f>
        <v>4.6818999999999997</v>
      </c>
      <c r="F276" s="61">
        <f>4.6819 * CHOOSE(CONTROL!$C$19, $C$13, 100%, $E$13)</f>
        <v>4.6818999999999997</v>
      </c>
      <c r="G276" s="61">
        <f>4.684 * CHOOSE(CONTROL!$C$19, $C$13, 100%, $E$13)</f>
        <v>4.6840000000000002</v>
      </c>
      <c r="H276" s="61">
        <f>7.1537* CHOOSE(CONTROL!$C$19, $C$13, 100%, $E$13)</f>
        <v>7.1536999999999997</v>
      </c>
      <c r="I276" s="61">
        <f>7.1558 * CHOOSE(CONTROL!$C$19, $C$13, 100%, $E$13)</f>
        <v>7.1558000000000002</v>
      </c>
      <c r="J276" s="61">
        <f>4.6819 * CHOOSE(CONTROL!$C$19, $C$13, 100%, $E$13)</f>
        <v>4.6818999999999997</v>
      </c>
      <c r="K276" s="61">
        <f>4.684 * CHOOSE(CONTROL!$C$19, $C$13, 100%, $E$13)</f>
        <v>4.6840000000000002</v>
      </c>
    </row>
    <row r="277" spans="1:11" ht="15">
      <c r="A277" s="13">
        <v>50284</v>
      </c>
      <c r="B277" s="60">
        <f>4.3187 * CHOOSE(CONTROL!$C$19, $C$13, 100%, $E$13)</f>
        <v>4.3186999999999998</v>
      </c>
      <c r="C277" s="60">
        <f>4.3187 * CHOOSE(CONTROL!$C$19, $C$13, 100%, $E$13)</f>
        <v>4.3186999999999998</v>
      </c>
      <c r="D277" s="60">
        <f>4.3523 * CHOOSE(CONTROL!$C$19, $C$13, 100%, $E$13)</f>
        <v>4.3522999999999996</v>
      </c>
      <c r="E277" s="61">
        <f>4.6728 * CHOOSE(CONTROL!$C$19, $C$13, 100%, $E$13)</f>
        <v>4.6727999999999996</v>
      </c>
      <c r="F277" s="61">
        <f>4.6728 * CHOOSE(CONTROL!$C$19, $C$13, 100%, $E$13)</f>
        <v>4.6727999999999996</v>
      </c>
      <c r="G277" s="61">
        <f>4.6749 * CHOOSE(CONTROL!$C$19, $C$13, 100%, $E$13)</f>
        <v>4.6749000000000001</v>
      </c>
      <c r="H277" s="61">
        <f>7.1686* CHOOSE(CONTROL!$C$19, $C$13, 100%, $E$13)</f>
        <v>7.1685999999999996</v>
      </c>
      <c r="I277" s="61">
        <f>7.1707 * CHOOSE(CONTROL!$C$19, $C$13, 100%, $E$13)</f>
        <v>7.1707000000000001</v>
      </c>
      <c r="J277" s="61">
        <f>4.6728 * CHOOSE(CONTROL!$C$19, $C$13, 100%, $E$13)</f>
        <v>4.6727999999999996</v>
      </c>
      <c r="K277" s="61">
        <f>4.6749 * CHOOSE(CONTROL!$C$19, $C$13, 100%, $E$13)</f>
        <v>4.6749000000000001</v>
      </c>
    </row>
    <row r="278" spans="1:11" ht="15">
      <c r="A278" s="13">
        <v>50314</v>
      </c>
      <c r="B278" s="60">
        <f>4.3151 * CHOOSE(CONTROL!$C$19, $C$13, 100%, $E$13)</f>
        <v>4.3151000000000002</v>
      </c>
      <c r="C278" s="60">
        <f>4.3151 * CHOOSE(CONTROL!$C$19, $C$13, 100%, $E$13)</f>
        <v>4.3151000000000002</v>
      </c>
      <c r="D278" s="60">
        <f>4.3319 * CHOOSE(CONTROL!$C$19, $C$13, 100%, $E$13)</f>
        <v>4.3319000000000001</v>
      </c>
      <c r="E278" s="61">
        <f>4.6875 * CHOOSE(CONTROL!$C$19, $C$13, 100%, $E$13)</f>
        <v>4.6875</v>
      </c>
      <c r="F278" s="61">
        <f>4.6875 * CHOOSE(CONTROL!$C$19, $C$13, 100%, $E$13)</f>
        <v>4.6875</v>
      </c>
      <c r="G278" s="61">
        <f>4.6876 * CHOOSE(CONTROL!$C$19, $C$13, 100%, $E$13)</f>
        <v>4.6875999999999998</v>
      </c>
      <c r="H278" s="61">
        <f>7.1835* CHOOSE(CONTROL!$C$19, $C$13, 100%, $E$13)</f>
        <v>7.1835000000000004</v>
      </c>
      <c r="I278" s="61">
        <f>7.1837 * CHOOSE(CONTROL!$C$19, $C$13, 100%, $E$13)</f>
        <v>7.1837</v>
      </c>
      <c r="J278" s="61">
        <f>4.6875 * CHOOSE(CONTROL!$C$19, $C$13, 100%, $E$13)</f>
        <v>4.6875</v>
      </c>
      <c r="K278" s="61">
        <f>4.6876 * CHOOSE(CONTROL!$C$19, $C$13, 100%, $E$13)</f>
        <v>4.6875999999999998</v>
      </c>
    </row>
    <row r="279" spans="1:11" ht="15">
      <c r="A279" s="13">
        <v>50345</v>
      </c>
      <c r="B279" s="60">
        <f>4.3181 * CHOOSE(CONTROL!$C$19, $C$13, 100%, $E$13)</f>
        <v>4.3181000000000003</v>
      </c>
      <c r="C279" s="60">
        <f>4.3181 * CHOOSE(CONTROL!$C$19, $C$13, 100%, $E$13)</f>
        <v>4.3181000000000003</v>
      </c>
      <c r="D279" s="60">
        <f>4.335 * CHOOSE(CONTROL!$C$19, $C$13, 100%, $E$13)</f>
        <v>4.335</v>
      </c>
      <c r="E279" s="61">
        <f>4.7036 * CHOOSE(CONTROL!$C$19, $C$13, 100%, $E$13)</f>
        <v>4.7035999999999998</v>
      </c>
      <c r="F279" s="61">
        <f>4.7036 * CHOOSE(CONTROL!$C$19, $C$13, 100%, $E$13)</f>
        <v>4.7035999999999998</v>
      </c>
      <c r="G279" s="61">
        <f>4.7038 * CHOOSE(CONTROL!$C$19, $C$13, 100%, $E$13)</f>
        <v>4.7038000000000002</v>
      </c>
      <c r="H279" s="61">
        <f>7.1985* CHOOSE(CONTROL!$C$19, $C$13, 100%, $E$13)</f>
        <v>7.1985000000000001</v>
      </c>
      <c r="I279" s="61">
        <f>7.1986 * CHOOSE(CONTROL!$C$19, $C$13, 100%, $E$13)</f>
        <v>7.1985999999999999</v>
      </c>
      <c r="J279" s="61">
        <f>4.7036 * CHOOSE(CONTROL!$C$19, $C$13, 100%, $E$13)</f>
        <v>4.7035999999999998</v>
      </c>
      <c r="K279" s="61">
        <f>4.7038 * CHOOSE(CONTROL!$C$19, $C$13, 100%, $E$13)</f>
        <v>4.7038000000000002</v>
      </c>
    </row>
    <row r="280" spans="1:11" ht="15">
      <c r="A280" s="13">
        <v>50375</v>
      </c>
      <c r="B280" s="60">
        <f>4.3181 * CHOOSE(CONTROL!$C$19, $C$13, 100%, $E$13)</f>
        <v>4.3181000000000003</v>
      </c>
      <c r="C280" s="60">
        <f>4.3181 * CHOOSE(CONTROL!$C$19, $C$13, 100%, $E$13)</f>
        <v>4.3181000000000003</v>
      </c>
      <c r="D280" s="60">
        <f>4.335 * CHOOSE(CONTROL!$C$19, $C$13, 100%, $E$13)</f>
        <v>4.335</v>
      </c>
      <c r="E280" s="61">
        <f>4.6685 * CHOOSE(CONTROL!$C$19, $C$13, 100%, $E$13)</f>
        <v>4.6684999999999999</v>
      </c>
      <c r="F280" s="61">
        <f>4.6685 * CHOOSE(CONTROL!$C$19, $C$13, 100%, $E$13)</f>
        <v>4.6684999999999999</v>
      </c>
      <c r="G280" s="61">
        <f>4.6687 * CHOOSE(CONTROL!$C$19, $C$13, 100%, $E$13)</f>
        <v>4.6687000000000003</v>
      </c>
      <c r="H280" s="61">
        <f>7.2135* CHOOSE(CONTROL!$C$19, $C$13, 100%, $E$13)</f>
        <v>7.2134999999999998</v>
      </c>
      <c r="I280" s="61">
        <f>7.2136 * CHOOSE(CONTROL!$C$19, $C$13, 100%, $E$13)</f>
        <v>7.2135999999999996</v>
      </c>
      <c r="J280" s="61">
        <f>4.6685 * CHOOSE(CONTROL!$C$19, $C$13, 100%, $E$13)</f>
        <v>4.6684999999999999</v>
      </c>
      <c r="K280" s="61">
        <f>4.6687 * CHOOSE(CONTROL!$C$19, $C$13, 100%, $E$13)</f>
        <v>4.6687000000000003</v>
      </c>
    </row>
    <row r="281" spans="1:11" ht="15">
      <c r="A281" s="13">
        <v>50406</v>
      </c>
      <c r="B281" s="60">
        <f>4.3559 * CHOOSE(CONTROL!$C$19, $C$13, 100%, $E$13)</f>
        <v>4.3559000000000001</v>
      </c>
      <c r="C281" s="60">
        <f>4.3559 * CHOOSE(CONTROL!$C$19, $C$13, 100%, $E$13)</f>
        <v>4.3559000000000001</v>
      </c>
      <c r="D281" s="60">
        <f>4.3727 * CHOOSE(CONTROL!$C$19, $C$13, 100%, $E$13)</f>
        <v>4.3727</v>
      </c>
      <c r="E281" s="61">
        <f>4.7413 * CHOOSE(CONTROL!$C$19, $C$13, 100%, $E$13)</f>
        <v>4.7412999999999998</v>
      </c>
      <c r="F281" s="61">
        <f>4.7413 * CHOOSE(CONTROL!$C$19, $C$13, 100%, $E$13)</f>
        <v>4.7412999999999998</v>
      </c>
      <c r="G281" s="61">
        <f>4.7415 * CHOOSE(CONTROL!$C$19, $C$13, 100%, $E$13)</f>
        <v>4.7415000000000003</v>
      </c>
      <c r="H281" s="61">
        <f>7.2285* CHOOSE(CONTROL!$C$19, $C$13, 100%, $E$13)</f>
        <v>7.2285000000000004</v>
      </c>
      <c r="I281" s="61">
        <f>7.2287 * CHOOSE(CONTROL!$C$19, $C$13, 100%, $E$13)</f>
        <v>7.2286999999999999</v>
      </c>
      <c r="J281" s="61">
        <f>4.7413 * CHOOSE(CONTROL!$C$19, $C$13, 100%, $E$13)</f>
        <v>4.7412999999999998</v>
      </c>
      <c r="K281" s="61">
        <f>4.7415 * CHOOSE(CONTROL!$C$19, $C$13, 100%, $E$13)</f>
        <v>4.7415000000000003</v>
      </c>
    </row>
    <row r="282" spans="1:11" ht="15">
      <c r="A282" s="13">
        <v>50437</v>
      </c>
      <c r="B282" s="60">
        <f>4.3528 * CHOOSE(CONTROL!$C$19, $C$13, 100%, $E$13)</f>
        <v>4.3528000000000002</v>
      </c>
      <c r="C282" s="60">
        <f>4.3528 * CHOOSE(CONTROL!$C$19, $C$13, 100%, $E$13)</f>
        <v>4.3528000000000002</v>
      </c>
      <c r="D282" s="60">
        <f>4.3697 * CHOOSE(CONTROL!$C$19, $C$13, 100%, $E$13)</f>
        <v>4.3696999999999999</v>
      </c>
      <c r="E282" s="61">
        <f>4.6706 * CHOOSE(CONTROL!$C$19, $C$13, 100%, $E$13)</f>
        <v>4.6706000000000003</v>
      </c>
      <c r="F282" s="61">
        <f>4.6706 * CHOOSE(CONTROL!$C$19, $C$13, 100%, $E$13)</f>
        <v>4.6706000000000003</v>
      </c>
      <c r="G282" s="61">
        <f>4.6708 * CHOOSE(CONTROL!$C$19, $C$13, 100%, $E$13)</f>
        <v>4.6707999999999998</v>
      </c>
      <c r="H282" s="61">
        <f>7.2436* CHOOSE(CONTROL!$C$19, $C$13, 100%, $E$13)</f>
        <v>7.2435999999999998</v>
      </c>
      <c r="I282" s="61">
        <f>7.2437 * CHOOSE(CONTROL!$C$19, $C$13, 100%, $E$13)</f>
        <v>7.2436999999999996</v>
      </c>
      <c r="J282" s="61">
        <f>4.6706 * CHOOSE(CONTROL!$C$19, $C$13, 100%, $E$13)</f>
        <v>4.6706000000000003</v>
      </c>
      <c r="K282" s="61">
        <f>4.6708 * CHOOSE(CONTROL!$C$19, $C$13, 100%, $E$13)</f>
        <v>4.6707999999999998</v>
      </c>
    </row>
    <row r="283" spans="1:11" ht="15">
      <c r="A283" s="13">
        <v>50465</v>
      </c>
      <c r="B283" s="60">
        <f>4.3498 * CHOOSE(CONTROL!$C$19, $C$13, 100%, $E$13)</f>
        <v>4.3498000000000001</v>
      </c>
      <c r="C283" s="60">
        <f>4.3498 * CHOOSE(CONTROL!$C$19, $C$13, 100%, $E$13)</f>
        <v>4.3498000000000001</v>
      </c>
      <c r="D283" s="60">
        <f>4.3666 * CHOOSE(CONTROL!$C$19, $C$13, 100%, $E$13)</f>
        <v>4.3666</v>
      </c>
      <c r="E283" s="61">
        <f>4.7225 * CHOOSE(CONTROL!$C$19, $C$13, 100%, $E$13)</f>
        <v>4.7225000000000001</v>
      </c>
      <c r="F283" s="61">
        <f>4.7225 * CHOOSE(CONTROL!$C$19, $C$13, 100%, $E$13)</f>
        <v>4.7225000000000001</v>
      </c>
      <c r="G283" s="61">
        <f>4.7227 * CHOOSE(CONTROL!$C$19, $C$13, 100%, $E$13)</f>
        <v>4.7226999999999997</v>
      </c>
      <c r="H283" s="61">
        <f>7.2586* CHOOSE(CONTROL!$C$19, $C$13, 100%, $E$13)</f>
        <v>7.2586000000000004</v>
      </c>
      <c r="I283" s="61">
        <f>7.2588 * CHOOSE(CONTROL!$C$19, $C$13, 100%, $E$13)</f>
        <v>7.2587999999999999</v>
      </c>
      <c r="J283" s="61">
        <f>4.7225 * CHOOSE(CONTROL!$C$19, $C$13, 100%, $E$13)</f>
        <v>4.7225000000000001</v>
      </c>
      <c r="K283" s="61">
        <f>4.7227 * CHOOSE(CONTROL!$C$19, $C$13, 100%, $E$13)</f>
        <v>4.7226999999999997</v>
      </c>
    </row>
    <row r="284" spans="1:11" ht="15">
      <c r="A284" s="13">
        <v>50496</v>
      </c>
      <c r="B284" s="60">
        <f>4.3478 * CHOOSE(CONTROL!$C$19, $C$13, 100%, $E$13)</f>
        <v>4.3478000000000003</v>
      </c>
      <c r="C284" s="60">
        <f>4.3478 * CHOOSE(CONTROL!$C$19, $C$13, 100%, $E$13)</f>
        <v>4.3478000000000003</v>
      </c>
      <c r="D284" s="60">
        <f>4.3647 * CHOOSE(CONTROL!$C$19, $C$13, 100%, $E$13)</f>
        <v>4.3647</v>
      </c>
      <c r="E284" s="61">
        <f>4.7763 * CHOOSE(CONTROL!$C$19, $C$13, 100%, $E$13)</f>
        <v>4.7763</v>
      </c>
      <c r="F284" s="61">
        <f>4.7763 * CHOOSE(CONTROL!$C$19, $C$13, 100%, $E$13)</f>
        <v>4.7763</v>
      </c>
      <c r="G284" s="61">
        <f>4.7765 * CHOOSE(CONTROL!$C$19, $C$13, 100%, $E$13)</f>
        <v>4.7765000000000004</v>
      </c>
      <c r="H284" s="61">
        <f>7.2738* CHOOSE(CONTROL!$C$19, $C$13, 100%, $E$13)</f>
        <v>7.2737999999999996</v>
      </c>
      <c r="I284" s="61">
        <f>7.2739 * CHOOSE(CONTROL!$C$19, $C$13, 100%, $E$13)</f>
        <v>7.2739000000000003</v>
      </c>
      <c r="J284" s="61">
        <f>4.7763 * CHOOSE(CONTROL!$C$19, $C$13, 100%, $E$13)</f>
        <v>4.7763</v>
      </c>
      <c r="K284" s="61">
        <f>4.7765 * CHOOSE(CONTROL!$C$19, $C$13, 100%, $E$13)</f>
        <v>4.7765000000000004</v>
      </c>
    </row>
    <row r="285" spans="1:11" ht="15">
      <c r="A285" s="13">
        <v>50526</v>
      </c>
      <c r="B285" s="60">
        <f>4.3478 * CHOOSE(CONTROL!$C$19, $C$13, 100%, $E$13)</f>
        <v>4.3478000000000003</v>
      </c>
      <c r="C285" s="60">
        <f>4.3478 * CHOOSE(CONTROL!$C$19, $C$13, 100%, $E$13)</f>
        <v>4.3478000000000003</v>
      </c>
      <c r="D285" s="60">
        <f>4.3815 * CHOOSE(CONTROL!$C$19, $C$13, 100%, $E$13)</f>
        <v>4.3815</v>
      </c>
      <c r="E285" s="61">
        <f>4.7981 * CHOOSE(CONTROL!$C$19, $C$13, 100%, $E$13)</f>
        <v>4.7980999999999998</v>
      </c>
      <c r="F285" s="61">
        <f>4.7981 * CHOOSE(CONTROL!$C$19, $C$13, 100%, $E$13)</f>
        <v>4.7980999999999998</v>
      </c>
      <c r="G285" s="61">
        <f>4.8002 * CHOOSE(CONTROL!$C$19, $C$13, 100%, $E$13)</f>
        <v>4.8002000000000002</v>
      </c>
      <c r="H285" s="61">
        <f>7.2889* CHOOSE(CONTROL!$C$19, $C$13, 100%, $E$13)</f>
        <v>7.2888999999999999</v>
      </c>
      <c r="I285" s="61">
        <f>7.291 * CHOOSE(CONTROL!$C$19, $C$13, 100%, $E$13)</f>
        <v>7.2910000000000004</v>
      </c>
      <c r="J285" s="61">
        <f>4.7981 * CHOOSE(CONTROL!$C$19, $C$13, 100%, $E$13)</f>
        <v>4.7980999999999998</v>
      </c>
      <c r="K285" s="61">
        <f>4.8002 * CHOOSE(CONTROL!$C$19, $C$13, 100%, $E$13)</f>
        <v>4.8002000000000002</v>
      </c>
    </row>
    <row r="286" spans="1:11" ht="15">
      <c r="A286" s="13">
        <v>50557</v>
      </c>
      <c r="B286" s="60">
        <f>4.3539 * CHOOSE(CONTROL!$C$19, $C$13, 100%, $E$13)</f>
        <v>4.3539000000000003</v>
      </c>
      <c r="C286" s="60">
        <f>4.3539 * CHOOSE(CONTROL!$C$19, $C$13, 100%, $E$13)</f>
        <v>4.3539000000000003</v>
      </c>
      <c r="D286" s="60">
        <f>4.3876 * CHOOSE(CONTROL!$C$19, $C$13, 100%, $E$13)</f>
        <v>4.3875999999999999</v>
      </c>
      <c r="E286" s="61">
        <f>4.7806 * CHOOSE(CONTROL!$C$19, $C$13, 100%, $E$13)</f>
        <v>4.7805999999999997</v>
      </c>
      <c r="F286" s="61">
        <f>4.7806 * CHOOSE(CONTROL!$C$19, $C$13, 100%, $E$13)</f>
        <v>4.7805999999999997</v>
      </c>
      <c r="G286" s="61">
        <f>4.7827 * CHOOSE(CONTROL!$C$19, $C$13, 100%, $E$13)</f>
        <v>4.7827000000000002</v>
      </c>
      <c r="H286" s="61">
        <f>7.3041* CHOOSE(CONTROL!$C$19, $C$13, 100%, $E$13)</f>
        <v>7.3041</v>
      </c>
      <c r="I286" s="61">
        <f>7.3062 * CHOOSE(CONTROL!$C$19, $C$13, 100%, $E$13)</f>
        <v>7.3061999999999996</v>
      </c>
      <c r="J286" s="61">
        <f>4.7806 * CHOOSE(CONTROL!$C$19, $C$13, 100%, $E$13)</f>
        <v>4.7805999999999997</v>
      </c>
      <c r="K286" s="61">
        <f>4.7827 * CHOOSE(CONTROL!$C$19, $C$13, 100%, $E$13)</f>
        <v>4.7827000000000002</v>
      </c>
    </row>
    <row r="287" spans="1:11" ht="15">
      <c r="A287" s="13">
        <v>50587</v>
      </c>
      <c r="B287" s="60">
        <f>4.4232 * CHOOSE(CONTROL!$C$19, $C$13, 100%, $E$13)</f>
        <v>4.4231999999999996</v>
      </c>
      <c r="C287" s="60">
        <f>4.4232 * CHOOSE(CONTROL!$C$19, $C$13, 100%, $E$13)</f>
        <v>4.4231999999999996</v>
      </c>
      <c r="D287" s="60">
        <f>4.4569 * CHOOSE(CONTROL!$C$19, $C$13, 100%, $E$13)</f>
        <v>4.4569000000000001</v>
      </c>
      <c r="E287" s="61">
        <f>4.875 * CHOOSE(CONTROL!$C$19, $C$13, 100%, $E$13)</f>
        <v>4.875</v>
      </c>
      <c r="F287" s="61">
        <f>4.875 * CHOOSE(CONTROL!$C$19, $C$13, 100%, $E$13)</f>
        <v>4.875</v>
      </c>
      <c r="G287" s="61">
        <f>4.8771 * CHOOSE(CONTROL!$C$19, $C$13, 100%, $E$13)</f>
        <v>4.8771000000000004</v>
      </c>
      <c r="H287" s="61">
        <f>7.3193* CHOOSE(CONTROL!$C$19, $C$13, 100%, $E$13)</f>
        <v>7.3193000000000001</v>
      </c>
      <c r="I287" s="61">
        <f>7.3214 * CHOOSE(CONTROL!$C$19, $C$13, 100%, $E$13)</f>
        <v>7.3213999999999997</v>
      </c>
      <c r="J287" s="61">
        <f>4.875 * CHOOSE(CONTROL!$C$19, $C$13, 100%, $E$13)</f>
        <v>4.875</v>
      </c>
      <c r="K287" s="61">
        <f>4.8771 * CHOOSE(CONTROL!$C$19, $C$13, 100%, $E$13)</f>
        <v>4.8771000000000004</v>
      </c>
    </row>
    <row r="288" spans="1:11" ht="15">
      <c r="A288" s="13">
        <v>50618</v>
      </c>
      <c r="B288" s="60">
        <f>4.4299 * CHOOSE(CONTROL!$C$19, $C$13, 100%, $E$13)</f>
        <v>4.4298999999999999</v>
      </c>
      <c r="C288" s="60">
        <f>4.4299 * CHOOSE(CONTROL!$C$19, $C$13, 100%, $E$13)</f>
        <v>4.4298999999999999</v>
      </c>
      <c r="D288" s="60">
        <f>4.4636 * CHOOSE(CONTROL!$C$19, $C$13, 100%, $E$13)</f>
        <v>4.4635999999999996</v>
      </c>
      <c r="E288" s="61">
        <f>4.8143 * CHOOSE(CONTROL!$C$19, $C$13, 100%, $E$13)</f>
        <v>4.8143000000000002</v>
      </c>
      <c r="F288" s="61">
        <f>4.8143 * CHOOSE(CONTROL!$C$19, $C$13, 100%, $E$13)</f>
        <v>4.8143000000000002</v>
      </c>
      <c r="G288" s="61">
        <f>4.8164 * CHOOSE(CONTROL!$C$19, $C$13, 100%, $E$13)</f>
        <v>4.8163999999999998</v>
      </c>
      <c r="H288" s="61">
        <f>7.3346* CHOOSE(CONTROL!$C$19, $C$13, 100%, $E$13)</f>
        <v>7.3346</v>
      </c>
      <c r="I288" s="61">
        <f>7.3367 * CHOOSE(CONTROL!$C$19, $C$13, 100%, $E$13)</f>
        <v>7.3367000000000004</v>
      </c>
      <c r="J288" s="61">
        <f>4.8143 * CHOOSE(CONTROL!$C$19, $C$13, 100%, $E$13)</f>
        <v>4.8143000000000002</v>
      </c>
      <c r="K288" s="61">
        <f>4.8164 * CHOOSE(CONTROL!$C$19, $C$13, 100%, $E$13)</f>
        <v>4.8163999999999998</v>
      </c>
    </row>
    <row r="289" spans="1:11" ht="15">
      <c r="A289" s="13">
        <v>50649</v>
      </c>
      <c r="B289" s="60">
        <f>4.4269 * CHOOSE(CONTROL!$C$19, $C$13, 100%, $E$13)</f>
        <v>4.4268999999999998</v>
      </c>
      <c r="C289" s="60">
        <f>4.4269 * CHOOSE(CONTROL!$C$19, $C$13, 100%, $E$13)</f>
        <v>4.4268999999999998</v>
      </c>
      <c r="D289" s="60">
        <f>4.4605 * CHOOSE(CONTROL!$C$19, $C$13, 100%, $E$13)</f>
        <v>4.4604999999999997</v>
      </c>
      <c r="E289" s="61">
        <f>4.805 * CHOOSE(CONTROL!$C$19, $C$13, 100%, $E$13)</f>
        <v>4.8049999999999997</v>
      </c>
      <c r="F289" s="61">
        <f>4.805 * CHOOSE(CONTROL!$C$19, $C$13, 100%, $E$13)</f>
        <v>4.8049999999999997</v>
      </c>
      <c r="G289" s="61">
        <f>4.8071 * CHOOSE(CONTROL!$C$19, $C$13, 100%, $E$13)</f>
        <v>4.8071000000000002</v>
      </c>
      <c r="H289" s="61">
        <f>7.3499* CHOOSE(CONTROL!$C$19, $C$13, 100%, $E$13)</f>
        <v>7.3498999999999999</v>
      </c>
      <c r="I289" s="61">
        <f>7.3519 * CHOOSE(CONTROL!$C$19, $C$13, 100%, $E$13)</f>
        <v>7.3518999999999997</v>
      </c>
      <c r="J289" s="61">
        <f>4.805 * CHOOSE(CONTROL!$C$19, $C$13, 100%, $E$13)</f>
        <v>4.8049999999999997</v>
      </c>
      <c r="K289" s="61">
        <f>4.8071 * CHOOSE(CONTROL!$C$19, $C$13, 100%, $E$13)</f>
        <v>4.8071000000000002</v>
      </c>
    </row>
    <row r="290" spans="1:11" ht="15">
      <c r="A290" s="13">
        <v>50679</v>
      </c>
      <c r="B290" s="60">
        <f>4.4237 * CHOOSE(CONTROL!$C$19, $C$13, 100%, $E$13)</f>
        <v>4.4237000000000002</v>
      </c>
      <c r="C290" s="60">
        <f>4.4237 * CHOOSE(CONTROL!$C$19, $C$13, 100%, $E$13)</f>
        <v>4.4237000000000002</v>
      </c>
      <c r="D290" s="60">
        <f>4.4405 * CHOOSE(CONTROL!$C$19, $C$13, 100%, $E$13)</f>
        <v>4.4405000000000001</v>
      </c>
      <c r="E290" s="61">
        <f>4.8206 * CHOOSE(CONTROL!$C$19, $C$13, 100%, $E$13)</f>
        <v>4.8205999999999998</v>
      </c>
      <c r="F290" s="61">
        <f>4.8206 * CHOOSE(CONTROL!$C$19, $C$13, 100%, $E$13)</f>
        <v>4.8205999999999998</v>
      </c>
      <c r="G290" s="61">
        <f>4.8207 * CHOOSE(CONTROL!$C$19, $C$13, 100%, $E$13)</f>
        <v>4.8207000000000004</v>
      </c>
      <c r="H290" s="61">
        <f>7.3652* CHOOSE(CONTROL!$C$19, $C$13, 100%, $E$13)</f>
        <v>7.3651999999999997</v>
      </c>
      <c r="I290" s="61">
        <f>7.3653 * CHOOSE(CONTROL!$C$19, $C$13, 100%, $E$13)</f>
        <v>7.3653000000000004</v>
      </c>
      <c r="J290" s="61">
        <f>4.8206 * CHOOSE(CONTROL!$C$19, $C$13, 100%, $E$13)</f>
        <v>4.8205999999999998</v>
      </c>
      <c r="K290" s="61">
        <f>4.8207 * CHOOSE(CONTROL!$C$19, $C$13, 100%, $E$13)</f>
        <v>4.8207000000000004</v>
      </c>
    </row>
    <row r="291" spans="1:11" ht="15">
      <c r="A291" s="13">
        <v>50710</v>
      </c>
      <c r="B291" s="60">
        <f>4.4267 * CHOOSE(CONTROL!$C$19, $C$13, 100%, $E$13)</f>
        <v>4.4267000000000003</v>
      </c>
      <c r="C291" s="60">
        <f>4.4267 * CHOOSE(CONTROL!$C$19, $C$13, 100%, $E$13)</f>
        <v>4.4267000000000003</v>
      </c>
      <c r="D291" s="60">
        <f>4.4436 * CHOOSE(CONTROL!$C$19, $C$13, 100%, $E$13)</f>
        <v>4.4436</v>
      </c>
      <c r="E291" s="61">
        <f>4.8372 * CHOOSE(CONTROL!$C$19, $C$13, 100%, $E$13)</f>
        <v>4.8372000000000002</v>
      </c>
      <c r="F291" s="61">
        <f>4.8372 * CHOOSE(CONTROL!$C$19, $C$13, 100%, $E$13)</f>
        <v>4.8372000000000002</v>
      </c>
      <c r="G291" s="61">
        <f>4.8374 * CHOOSE(CONTROL!$C$19, $C$13, 100%, $E$13)</f>
        <v>4.8373999999999997</v>
      </c>
      <c r="H291" s="61">
        <f>7.3805* CHOOSE(CONTROL!$C$19, $C$13, 100%, $E$13)</f>
        <v>7.3804999999999996</v>
      </c>
      <c r="I291" s="61">
        <f>7.3807 * CHOOSE(CONTROL!$C$19, $C$13, 100%, $E$13)</f>
        <v>7.3807</v>
      </c>
      <c r="J291" s="61">
        <f>4.8372 * CHOOSE(CONTROL!$C$19, $C$13, 100%, $E$13)</f>
        <v>4.8372000000000002</v>
      </c>
      <c r="K291" s="61">
        <f>4.8374 * CHOOSE(CONTROL!$C$19, $C$13, 100%, $E$13)</f>
        <v>4.8373999999999997</v>
      </c>
    </row>
    <row r="292" spans="1:11" ht="15">
      <c r="A292" s="13">
        <v>50740</v>
      </c>
      <c r="B292" s="60">
        <f>4.4267 * CHOOSE(CONTROL!$C$19, $C$13, 100%, $E$13)</f>
        <v>4.4267000000000003</v>
      </c>
      <c r="C292" s="60">
        <f>4.4267 * CHOOSE(CONTROL!$C$19, $C$13, 100%, $E$13)</f>
        <v>4.4267000000000003</v>
      </c>
      <c r="D292" s="60">
        <f>4.4436 * CHOOSE(CONTROL!$C$19, $C$13, 100%, $E$13)</f>
        <v>4.4436</v>
      </c>
      <c r="E292" s="61">
        <f>4.8206 * CHOOSE(CONTROL!$C$19, $C$13, 100%, $E$13)</f>
        <v>4.8205999999999998</v>
      </c>
      <c r="F292" s="61">
        <f>4.8206 * CHOOSE(CONTROL!$C$19, $C$13, 100%, $E$13)</f>
        <v>4.8205999999999998</v>
      </c>
      <c r="G292" s="61">
        <f>4.8208 * CHOOSE(CONTROL!$C$19, $C$13, 100%, $E$13)</f>
        <v>4.8208000000000002</v>
      </c>
      <c r="H292" s="61">
        <f>7.3959* CHOOSE(CONTROL!$C$19, $C$13, 100%, $E$13)</f>
        <v>7.3959000000000001</v>
      </c>
      <c r="I292" s="61">
        <f>7.3961 * CHOOSE(CONTROL!$C$19, $C$13, 100%, $E$13)</f>
        <v>7.3960999999999997</v>
      </c>
      <c r="J292" s="61">
        <f>4.8206 * CHOOSE(CONTROL!$C$19, $C$13, 100%, $E$13)</f>
        <v>4.8205999999999998</v>
      </c>
      <c r="K292" s="61">
        <f>4.8208 * CHOOSE(CONTROL!$C$19, $C$13, 100%, $E$13)</f>
        <v>4.8208000000000002</v>
      </c>
    </row>
    <row r="293" spans="1:11" ht="15">
      <c r="A293" s="13">
        <v>50771</v>
      </c>
      <c r="B293" s="60">
        <f>4.464 * CHOOSE(CONTROL!$C$19, $C$13, 100%, $E$13)</f>
        <v>4.4640000000000004</v>
      </c>
      <c r="C293" s="60">
        <f>4.464 * CHOOSE(CONTROL!$C$19, $C$13, 100%, $E$13)</f>
        <v>4.4640000000000004</v>
      </c>
      <c r="D293" s="60">
        <f>4.4809 * CHOOSE(CONTROL!$C$19, $C$13, 100%, $E$13)</f>
        <v>4.4809000000000001</v>
      </c>
      <c r="E293" s="61">
        <f>4.8715 * CHOOSE(CONTROL!$C$19, $C$13, 100%, $E$13)</f>
        <v>4.8715000000000002</v>
      </c>
      <c r="F293" s="61">
        <f>4.8715 * CHOOSE(CONTROL!$C$19, $C$13, 100%, $E$13)</f>
        <v>4.8715000000000002</v>
      </c>
      <c r="G293" s="61">
        <f>4.8717 * CHOOSE(CONTROL!$C$19, $C$13, 100%, $E$13)</f>
        <v>4.8716999999999997</v>
      </c>
      <c r="H293" s="61">
        <f>7.4113* CHOOSE(CONTROL!$C$19, $C$13, 100%, $E$13)</f>
        <v>7.4112999999999998</v>
      </c>
      <c r="I293" s="61">
        <f>7.4115 * CHOOSE(CONTROL!$C$19, $C$13, 100%, $E$13)</f>
        <v>7.4115000000000002</v>
      </c>
      <c r="J293" s="61">
        <f>4.8715 * CHOOSE(CONTROL!$C$19, $C$13, 100%, $E$13)</f>
        <v>4.8715000000000002</v>
      </c>
      <c r="K293" s="61">
        <f>4.8717 * CHOOSE(CONTROL!$C$19, $C$13, 100%, $E$13)</f>
        <v>4.8716999999999997</v>
      </c>
    </row>
    <row r="294" spans="1:11" ht="15">
      <c r="A294" s="13">
        <v>50802</v>
      </c>
      <c r="B294" s="60">
        <f>4.461 * CHOOSE(CONTROL!$C$19, $C$13, 100%, $E$13)</f>
        <v>4.4610000000000003</v>
      </c>
      <c r="C294" s="60">
        <f>4.461 * CHOOSE(CONTROL!$C$19, $C$13, 100%, $E$13)</f>
        <v>4.4610000000000003</v>
      </c>
      <c r="D294" s="60">
        <f>4.4778 * CHOOSE(CONTROL!$C$19, $C$13, 100%, $E$13)</f>
        <v>4.4778000000000002</v>
      </c>
      <c r="E294" s="61">
        <f>4.7989 * CHOOSE(CONTROL!$C$19, $C$13, 100%, $E$13)</f>
        <v>4.7988999999999997</v>
      </c>
      <c r="F294" s="61">
        <f>4.7989 * CHOOSE(CONTROL!$C$19, $C$13, 100%, $E$13)</f>
        <v>4.7988999999999997</v>
      </c>
      <c r="G294" s="61">
        <f>4.7991 * CHOOSE(CONTROL!$C$19, $C$13, 100%, $E$13)</f>
        <v>4.7991000000000001</v>
      </c>
      <c r="H294" s="61">
        <f>7.4267* CHOOSE(CONTROL!$C$19, $C$13, 100%, $E$13)</f>
        <v>7.4267000000000003</v>
      </c>
      <c r="I294" s="61">
        <f>7.4269 * CHOOSE(CONTROL!$C$19, $C$13, 100%, $E$13)</f>
        <v>7.4268999999999998</v>
      </c>
      <c r="J294" s="61">
        <f>4.7989 * CHOOSE(CONTROL!$C$19, $C$13, 100%, $E$13)</f>
        <v>4.7988999999999997</v>
      </c>
      <c r="K294" s="61">
        <f>4.7991 * CHOOSE(CONTROL!$C$19, $C$13, 100%, $E$13)</f>
        <v>4.7991000000000001</v>
      </c>
    </row>
    <row r="295" spans="1:11" ht="15">
      <c r="A295" s="13">
        <v>50830</v>
      </c>
      <c r="B295" s="60">
        <f>4.458 * CHOOSE(CONTROL!$C$19, $C$13, 100%, $E$13)</f>
        <v>4.4580000000000002</v>
      </c>
      <c r="C295" s="60">
        <f>4.458 * CHOOSE(CONTROL!$C$19, $C$13, 100%, $E$13)</f>
        <v>4.4580000000000002</v>
      </c>
      <c r="D295" s="60">
        <f>4.4748 * CHOOSE(CONTROL!$C$19, $C$13, 100%, $E$13)</f>
        <v>4.4748000000000001</v>
      </c>
      <c r="E295" s="61">
        <f>4.8524 * CHOOSE(CONTROL!$C$19, $C$13, 100%, $E$13)</f>
        <v>4.8524000000000003</v>
      </c>
      <c r="F295" s="61">
        <f>4.8524 * CHOOSE(CONTROL!$C$19, $C$13, 100%, $E$13)</f>
        <v>4.8524000000000003</v>
      </c>
      <c r="G295" s="61">
        <f>4.8525 * CHOOSE(CONTROL!$C$19, $C$13, 100%, $E$13)</f>
        <v>4.8525</v>
      </c>
      <c r="H295" s="61">
        <f>7.4422* CHOOSE(CONTROL!$C$19, $C$13, 100%, $E$13)</f>
        <v>7.4421999999999997</v>
      </c>
      <c r="I295" s="61">
        <f>7.4424 * CHOOSE(CONTROL!$C$19, $C$13, 100%, $E$13)</f>
        <v>7.4424000000000001</v>
      </c>
      <c r="J295" s="61">
        <f>4.8524 * CHOOSE(CONTROL!$C$19, $C$13, 100%, $E$13)</f>
        <v>4.8524000000000003</v>
      </c>
      <c r="K295" s="61">
        <f>4.8525 * CHOOSE(CONTROL!$C$19, $C$13, 100%, $E$13)</f>
        <v>4.8525</v>
      </c>
    </row>
    <row r="296" spans="1:11" ht="15">
      <c r="A296" s="13">
        <v>50861</v>
      </c>
      <c r="B296" s="60">
        <f>4.4561 * CHOOSE(CONTROL!$C$19, $C$13, 100%, $E$13)</f>
        <v>4.4561000000000002</v>
      </c>
      <c r="C296" s="60">
        <f>4.4561 * CHOOSE(CONTROL!$C$19, $C$13, 100%, $E$13)</f>
        <v>4.4561000000000002</v>
      </c>
      <c r="D296" s="60">
        <f>4.4729 * CHOOSE(CONTROL!$C$19, $C$13, 100%, $E$13)</f>
        <v>4.4729000000000001</v>
      </c>
      <c r="E296" s="61">
        <f>4.9078 * CHOOSE(CONTROL!$C$19, $C$13, 100%, $E$13)</f>
        <v>4.9077999999999999</v>
      </c>
      <c r="F296" s="61">
        <f>4.9078 * CHOOSE(CONTROL!$C$19, $C$13, 100%, $E$13)</f>
        <v>4.9077999999999999</v>
      </c>
      <c r="G296" s="61">
        <f>4.908 * CHOOSE(CONTROL!$C$19, $C$13, 100%, $E$13)</f>
        <v>4.9080000000000004</v>
      </c>
      <c r="H296" s="61">
        <f>7.4577* CHOOSE(CONTROL!$C$19, $C$13, 100%, $E$13)</f>
        <v>7.4577</v>
      </c>
      <c r="I296" s="61">
        <f>7.4579 * CHOOSE(CONTROL!$C$19, $C$13, 100%, $E$13)</f>
        <v>7.4579000000000004</v>
      </c>
      <c r="J296" s="61">
        <f>4.9078 * CHOOSE(CONTROL!$C$19, $C$13, 100%, $E$13)</f>
        <v>4.9077999999999999</v>
      </c>
      <c r="K296" s="61">
        <f>4.908 * CHOOSE(CONTROL!$C$19, $C$13, 100%, $E$13)</f>
        <v>4.9080000000000004</v>
      </c>
    </row>
    <row r="297" spans="1:11" ht="15">
      <c r="A297" s="13">
        <v>50891</v>
      </c>
      <c r="B297" s="60">
        <f>4.4561 * CHOOSE(CONTROL!$C$19, $C$13, 100%, $E$13)</f>
        <v>4.4561000000000002</v>
      </c>
      <c r="C297" s="60">
        <f>4.4561 * CHOOSE(CONTROL!$C$19, $C$13, 100%, $E$13)</f>
        <v>4.4561000000000002</v>
      </c>
      <c r="D297" s="60">
        <f>4.4898 * CHOOSE(CONTROL!$C$19, $C$13, 100%, $E$13)</f>
        <v>4.4897999999999998</v>
      </c>
      <c r="E297" s="61">
        <f>4.9302 * CHOOSE(CONTROL!$C$19, $C$13, 100%, $E$13)</f>
        <v>4.9302000000000001</v>
      </c>
      <c r="F297" s="61">
        <f>4.9302 * CHOOSE(CONTROL!$C$19, $C$13, 100%, $E$13)</f>
        <v>4.9302000000000001</v>
      </c>
      <c r="G297" s="61">
        <f>4.9323 * CHOOSE(CONTROL!$C$19, $C$13, 100%, $E$13)</f>
        <v>4.9322999999999997</v>
      </c>
      <c r="H297" s="61">
        <f>7.4732* CHOOSE(CONTROL!$C$19, $C$13, 100%, $E$13)</f>
        <v>7.4732000000000003</v>
      </c>
      <c r="I297" s="61">
        <f>7.4753 * CHOOSE(CONTROL!$C$19, $C$13, 100%, $E$13)</f>
        <v>7.4752999999999998</v>
      </c>
      <c r="J297" s="61">
        <f>4.9302 * CHOOSE(CONTROL!$C$19, $C$13, 100%, $E$13)</f>
        <v>4.9302000000000001</v>
      </c>
      <c r="K297" s="61">
        <f>4.9323 * CHOOSE(CONTROL!$C$19, $C$13, 100%, $E$13)</f>
        <v>4.9322999999999997</v>
      </c>
    </row>
    <row r="298" spans="1:11" ht="15">
      <c r="A298" s="13">
        <v>50922</v>
      </c>
      <c r="B298" s="60">
        <f>4.4622 * CHOOSE(CONTROL!$C$19, $C$13, 100%, $E$13)</f>
        <v>4.4622000000000002</v>
      </c>
      <c r="C298" s="60">
        <f>4.4622 * CHOOSE(CONTROL!$C$19, $C$13, 100%, $E$13)</f>
        <v>4.4622000000000002</v>
      </c>
      <c r="D298" s="60">
        <f>4.4959 * CHOOSE(CONTROL!$C$19, $C$13, 100%, $E$13)</f>
        <v>4.4958999999999998</v>
      </c>
      <c r="E298" s="61">
        <f>4.912 * CHOOSE(CONTROL!$C$19, $C$13, 100%, $E$13)</f>
        <v>4.9119999999999999</v>
      </c>
      <c r="F298" s="61">
        <f>4.912 * CHOOSE(CONTROL!$C$19, $C$13, 100%, $E$13)</f>
        <v>4.9119999999999999</v>
      </c>
      <c r="G298" s="61">
        <f>4.9141 * CHOOSE(CONTROL!$C$19, $C$13, 100%, $E$13)</f>
        <v>4.9141000000000004</v>
      </c>
      <c r="H298" s="61">
        <f>7.4888* CHOOSE(CONTROL!$C$19, $C$13, 100%, $E$13)</f>
        <v>7.4888000000000003</v>
      </c>
      <c r="I298" s="61">
        <f>7.4909 * CHOOSE(CONTROL!$C$19, $C$13, 100%, $E$13)</f>
        <v>7.4908999999999999</v>
      </c>
      <c r="J298" s="61">
        <f>4.912 * CHOOSE(CONTROL!$C$19, $C$13, 100%, $E$13)</f>
        <v>4.9119999999999999</v>
      </c>
      <c r="K298" s="61">
        <f>4.9141 * CHOOSE(CONTROL!$C$19, $C$13, 100%, $E$13)</f>
        <v>4.9141000000000004</v>
      </c>
    </row>
    <row r="299" spans="1:11" ht="15">
      <c r="A299" s="13">
        <v>50952</v>
      </c>
      <c r="B299" s="60">
        <f>4.53 * CHOOSE(CONTROL!$C$19, $C$13, 100%, $E$13)</f>
        <v>4.53</v>
      </c>
      <c r="C299" s="60">
        <f>4.53 * CHOOSE(CONTROL!$C$19, $C$13, 100%, $E$13)</f>
        <v>4.53</v>
      </c>
      <c r="D299" s="60">
        <f>4.5637 * CHOOSE(CONTROL!$C$19, $C$13, 100%, $E$13)</f>
        <v>4.5636999999999999</v>
      </c>
      <c r="E299" s="61">
        <f>5.009 * CHOOSE(CONTROL!$C$19, $C$13, 100%, $E$13)</f>
        <v>5.0090000000000003</v>
      </c>
      <c r="F299" s="61">
        <f>5.009 * CHOOSE(CONTROL!$C$19, $C$13, 100%, $E$13)</f>
        <v>5.0090000000000003</v>
      </c>
      <c r="G299" s="61">
        <f>5.0111 * CHOOSE(CONTROL!$C$19, $C$13, 100%, $E$13)</f>
        <v>5.0110999999999999</v>
      </c>
      <c r="H299" s="61">
        <f>7.5044* CHOOSE(CONTROL!$C$19, $C$13, 100%, $E$13)</f>
        <v>7.5044000000000004</v>
      </c>
      <c r="I299" s="61">
        <f>7.5065 * CHOOSE(CONTROL!$C$19, $C$13, 100%, $E$13)</f>
        <v>7.5065</v>
      </c>
      <c r="J299" s="61">
        <f>5.009 * CHOOSE(CONTROL!$C$19, $C$13, 100%, $E$13)</f>
        <v>5.0090000000000003</v>
      </c>
      <c r="K299" s="61">
        <f>5.0111 * CHOOSE(CONTROL!$C$19, $C$13, 100%, $E$13)</f>
        <v>5.0110999999999999</v>
      </c>
    </row>
    <row r="300" spans="1:11" ht="15">
      <c r="A300" s="13">
        <v>50983</v>
      </c>
      <c r="B300" s="60">
        <f>4.5367 * CHOOSE(CONTROL!$C$19, $C$13, 100%, $E$13)</f>
        <v>4.5366999999999997</v>
      </c>
      <c r="C300" s="60">
        <f>4.5367 * CHOOSE(CONTROL!$C$19, $C$13, 100%, $E$13)</f>
        <v>4.5366999999999997</v>
      </c>
      <c r="D300" s="60">
        <f>4.5704 * CHOOSE(CONTROL!$C$19, $C$13, 100%, $E$13)</f>
        <v>4.5704000000000002</v>
      </c>
      <c r="E300" s="61">
        <f>4.9465 * CHOOSE(CONTROL!$C$19, $C$13, 100%, $E$13)</f>
        <v>4.9465000000000003</v>
      </c>
      <c r="F300" s="61">
        <f>4.9465 * CHOOSE(CONTROL!$C$19, $C$13, 100%, $E$13)</f>
        <v>4.9465000000000003</v>
      </c>
      <c r="G300" s="61">
        <f>4.9486 * CHOOSE(CONTROL!$C$19, $C$13, 100%, $E$13)</f>
        <v>4.9485999999999999</v>
      </c>
      <c r="H300" s="61">
        <f>7.5201* CHOOSE(CONTROL!$C$19, $C$13, 100%, $E$13)</f>
        <v>7.5201000000000002</v>
      </c>
      <c r="I300" s="61">
        <f>7.5221 * CHOOSE(CONTROL!$C$19, $C$13, 100%, $E$13)</f>
        <v>7.5221</v>
      </c>
      <c r="J300" s="61">
        <f>4.9465 * CHOOSE(CONTROL!$C$19, $C$13, 100%, $E$13)</f>
        <v>4.9465000000000003</v>
      </c>
      <c r="K300" s="61">
        <f>4.9486 * CHOOSE(CONTROL!$C$19, $C$13, 100%, $E$13)</f>
        <v>4.9485999999999999</v>
      </c>
    </row>
    <row r="301" spans="1:11" ht="15">
      <c r="A301" s="13">
        <v>51014</v>
      </c>
      <c r="B301" s="60">
        <f>4.5337 * CHOOSE(CONTROL!$C$19, $C$13, 100%, $E$13)</f>
        <v>4.5336999999999996</v>
      </c>
      <c r="C301" s="60">
        <f>4.5337 * CHOOSE(CONTROL!$C$19, $C$13, 100%, $E$13)</f>
        <v>4.5336999999999996</v>
      </c>
      <c r="D301" s="60">
        <f>4.5674 * CHOOSE(CONTROL!$C$19, $C$13, 100%, $E$13)</f>
        <v>4.5674000000000001</v>
      </c>
      <c r="E301" s="61">
        <f>4.9369 * CHOOSE(CONTROL!$C$19, $C$13, 100%, $E$13)</f>
        <v>4.9368999999999996</v>
      </c>
      <c r="F301" s="61">
        <f>4.9369 * CHOOSE(CONTROL!$C$19, $C$13, 100%, $E$13)</f>
        <v>4.9368999999999996</v>
      </c>
      <c r="G301" s="61">
        <f>4.939 * CHOOSE(CONTROL!$C$19, $C$13, 100%, $E$13)</f>
        <v>4.9390000000000001</v>
      </c>
      <c r="H301" s="61">
        <f>7.5357* CHOOSE(CONTROL!$C$19, $C$13, 100%, $E$13)</f>
        <v>7.5357000000000003</v>
      </c>
      <c r="I301" s="61">
        <f>7.5378 * CHOOSE(CONTROL!$C$19, $C$13, 100%, $E$13)</f>
        <v>7.5377999999999998</v>
      </c>
      <c r="J301" s="61">
        <f>4.9369 * CHOOSE(CONTROL!$C$19, $C$13, 100%, $E$13)</f>
        <v>4.9368999999999996</v>
      </c>
      <c r="K301" s="61">
        <f>4.939 * CHOOSE(CONTROL!$C$19, $C$13, 100%, $E$13)</f>
        <v>4.9390000000000001</v>
      </c>
    </row>
    <row r="302" spans="1:11" ht="15">
      <c r="A302" s="13">
        <v>51044</v>
      </c>
      <c r="B302" s="60">
        <f>4.5309 * CHOOSE(CONTROL!$C$19, $C$13, 100%, $E$13)</f>
        <v>4.5308999999999999</v>
      </c>
      <c r="C302" s="60">
        <f>4.5309 * CHOOSE(CONTROL!$C$19, $C$13, 100%, $E$13)</f>
        <v>4.5308999999999999</v>
      </c>
      <c r="D302" s="60">
        <f>4.5478 * CHOOSE(CONTROL!$C$19, $C$13, 100%, $E$13)</f>
        <v>4.5477999999999996</v>
      </c>
      <c r="E302" s="61">
        <f>4.9534 * CHOOSE(CONTROL!$C$19, $C$13, 100%, $E$13)</f>
        <v>4.9534000000000002</v>
      </c>
      <c r="F302" s="61">
        <f>4.9534 * CHOOSE(CONTROL!$C$19, $C$13, 100%, $E$13)</f>
        <v>4.9534000000000002</v>
      </c>
      <c r="G302" s="61">
        <f>4.9535 * CHOOSE(CONTROL!$C$19, $C$13, 100%, $E$13)</f>
        <v>4.9535</v>
      </c>
      <c r="H302" s="61">
        <f>7.5514* CHOOSE(CONTROL!$C$19, $C$13, 100%, $E$13)</f>
        <v>7.5514000000000001</v>
      </c>
      <c r="I302" s="61">
        <f>7.5516 * CHOOSE(CONTROL!$C$19, $C$13, 100%, $E$13)</f>
        <v>7.5515999999999996</v>
      </c>
      <c r="J302" s="61">
        <f>4.9534 * CHOOSE(CONTROL!$C$19, $C$13, 100%, $E$13)</f>
        <v>4.9534000000000002</v>
      </c>
      <c r="K302" s="61">
        <f>4.9535 * CHOOSE(CONTROL!$C$19, $C$13, 100%, $E$13)</f>
        <v>4.9535</v>
      </c>
    </row>
    <row r="303" spans="1:11" ht="15">
      <c r="A303" s="13">
        <v>51075</v>
      </c>
      <c r="B303" s="60">
        <f>4.534 * CHOOSE(CONTROL!$C$19, $C$13, 100%, $E$13)</f>
        <v>4.5339999999999998</v>
      </c>
      <c r="C303" s="60">
        <f>4.534 * CHOOSE(CONTROL!$C$19, $C$13, 100%, $E$13)</f>
        <v>4.5339999999999998</v>
      </c>
      <c r="D303" s="60">
        <f>4.5508 * CHOOSE(CONTROL!$C$19, $C$13, 100%, $E$13)</f>
        <v>4.5507999999999997</v>
      </c>
      <c r="E303" s="61">
        <f>4.9704 * CHOOSE(CONTROL!$C$19, $C$13, 100%, $E$13)</f>
        <v>4.9703999999999997</v>
      </c>
      <c r="F303" s="61">
        <f>4.9704 * CHOOSE(CONTROL!$C$19, $C$13, 100%, $E$13)</f>
        <v>4.9703999999999997</v>
      </c>
      <c r="G303" s="61">
        <f>4.9706 * CHOOSE(CONTROL!$C$19, $C$13, 100%, $E$13)</f>
        <v>4.9706000000000001</v>
      </c>
      <c r="H303" s="61">
        <f>7.5671* CHOOSE(CONTROL!$C$19, $C$13, 100%, $E$13)</f>
        <v>7.5670999999999999</v>
      </c>
      <c r="I303" s="61">
        <f>7.5673 * CHOOSE(CONTROL!$C$19, $C$13, 100%, $E$13)</f>
        <v>7.5673000000000004</v>
      </c>
      <c r="J303" s="61">
        <f>4.9704 * CHOOSE(CONTROL!$C$19, $C$13, 100%, $E$13)</f>
        <v>4.9703999999999997</v>
      </c>
      <c r="K303" s="61">
        <f>4.9706 * CHOOSE(CONTROL!$C$19, $C$13, 100%, $E$13)</f>
        <v>4.9706000000000001</v>
      </c>
    </row>
    <row r="304" spans="1:11" ht="15">
      <c r="A304" s="13">
        <v>51105</v>
      </c>
      <c r="B304" s="60">
        <f>4.534 * CHOOSE(CONTROL!$C$19, $C$13, 100%, $E$13)</f>
        <v>4.5339999999999998</v>
      </c>
      <c r="C304" s="60">
        <f>4.534 * CHOOSE(CONTROL!$C$19, $C$13, 100%, $E$13)</f>
        <v>4.5339999999999998</v>
      </c>
      <c r="D304" s="60">
        <f>4.5508 * CHOOSE(CONTROL!$C$19, $C$13, 100%, $E$13)</f>
        <v>4.5507999999999997</v>
      </c>
      <c r="E304" s="61">
        <f>4.9331 * CHOOSE(CONTROL!$C$19, $C$13, 100%, $E$13)</f>
        <v>4.9330999999999996</v>
      </c>
      <c r="F304" s="61">
        <f>4.9331 * CHOOSE(CONTROL!$C$19, $C$13, 100%, $E$13)</f>
        <v>4.9330999999999996</v>
      </c>
      <c r="G304" s="61">
        <f>4.9333 * CHOOSE(CONTROL!$C$19, $C$13, 100%, $E$13)</f>
        <v>4.9333</v>
      </c>
      <c r="H304" s="61">
        <f>7.5829* CHOOSE(CONTROL!$C$19, $C$13, 100%, $E$13)</f>
        <v>7.5829000000000004</v>
      </c>
      <c r="I304" s="61">
        <f>7.5831 * CHOOSE(CONTROL!$C$19, $C$13, 100%, $E$13)</f>
        <v>7.5831</v>
      </c>
      <c r="J304" s="61">
        <f>4.9331 * CHOOSE(CONTROL!$C$19, $C$13, 100%, $E$13)</f>
        <v>4.9330999999999996</v>
      </c>
      <c r="K304" s="61">
        <f>4.9333 * CHOOSE(CONTROL!$C$19, $C$13, 100%, $E$13)</f>
        <v>4.9333</v>
      </c>
    </row>
    <row r="305" spans="1:11" ht="15">
      <c r="A305" s="13">
        <v>51136</v>
      </c>
      <c r="B305" s="60">
        <f>4.5746 * CHOOSE(CONTROL!$C$19, $C$13, 100%, $E$13)</f>
        <v>4.5746000000000002</v>
      </c>
      <c r="C305" s="60">
        <f>4.5746 * CHOOSE(CONTROL!$C$19, $C$13, 100%, $E$13)</f>
        <v>4.5746000000000002</v>
      </c>
      <c r="D305" s="60">
        <f>4.5914 * CHOOSE(CONTROL!$C$19, $C$13, 100%, $E$13)</f>
        <v>4.5914000000000001</v>
      </c>
      <c r="E305" s="61">
        <f>5.0083 * CHOOSE(CONTROL!$C$19, $C$13, 100%, $E$13)</f>
        <v>5.0083000000000002</v>
      </c>
      <c r="F305" s="61">
        <f>5.0083 * CHOOSE(CONTROL!$C$19, $C$13, 100%, $E$13)</f>
        <v>5.0083000000000002</v>
      </c>
      <c r="G305" s="61">
        <f>5.0085 * CHOOSE(CONTROL!$C$19, $C$13, 100%, $E$13)</f>
        <v>5.0084999999999997</v>
      </c>
      <c r="H305" s="61">
        <f>7.5987* CHOOSE(CONTROL!$C$19, $C$13, 100%, $E$13)</f>
        <v>7.5987</v>
      </c>
      <c r="I305" s="61">
        <f>7.5989 * CHOOSE(CONTROL!$C$19, $C$13, 100%, $E$13)</f>
        <v>7.5989000000000004</v>
      </c>
      <c r="J305" s="61">
        <f>5.0083 * CHOOSE(CONTROL!$C$19, $C$13, 100%, $E$13)</f>
        <v>5.0083000000000002</v>
      </c>
      <c r="K305" s="61">
        <f>5.0085 * CHOOSE(CONTROL!$C$19, $C$13, 100%, $E$13)</f>
        <v>5.0084999999999997</v>
      </c>
    </row>
    <row r="306" spans="1:11" ht="15">
      <c r="A306" s="13">
        <v>51167</v>
      </c>
      <c r="B306" s="60">
        <f>4.5716 * CHOOSE(CONTROL!$C$19, $C$13, 100%, $E$13)</f>
        <v>4.5716000000000001</v>
      </c>
      <c r="C306" s="60">
        <f>4.5716 * CHOOSE(CONTROL!$C$19, $C$13, 100%, $E$13)</f>
        <v>4.5716000000000001</v>
      </c>
      <c r="D306" s="60">
        <f>4.5884 * CHOOSE(CONTROL!$C$19, $C$13, 100%, $E$13)</f>
        <v>4.5884</v>
      </c>
      <c r="E306" s="61">
        <f>4.9335 * CHOOSE(CONTROL!$C$19, $C$13, 100%, $E$13)</f>
        <v>4.9335000000000004</v>
      </c>
      <c r="F306" s="61">
        <f>4.9335 * CHOOSE(CONTROL!$C$19, $C$13, 100%, $E$13)</f>
        <v>4.9335000000000004</v>
      </c>
      <c r="G306" s="61">
        <f>4.9336 * CHOOSE(CONTROL!$C$19, $C$13, 100%, $E$13)</f>
        <v>4.9336000000000002</v>
      </c>
      <c r="H306" s="61">
        <f>7.6145* CHOOSE(CONTROL!$C$19, $C$13, 100%, $E$13)</f>
        <v>7.6144999999999996</v>
      </c>
      <c r="I306" s="61">
        <f>7.6147 * CHOOSE(CONTROL!$C$19, $C$13, 100%, $E$13)</f>
        <v>7.6147</v>
      </c>
      <c r="J306" s="61">
        <f>4.9335 * CHOOSE(CONTROL!$C$19, $C$13, 100%, $E$13)</f>
        <v>4.9335000000000004</v>
      </c>
      <c r="K306" s="61">
        <f>4.9336 * CHOOSE(CONTROL!$C$19, $C$13, 100%, $E$13)</f>
        <v>4.9336000000000002</v>
      </c>
    </row>
    <row r="307" spans="1:11" ht="15">
      <c r="A307" s="13">
        <v>51196</v>
      </c>
      <c r="B307" s="60">
        <f>4.5685 * CHOOSE(CONTROL!$C$19, $C$13, 100%, $E$13)</f>
        <v>4.5685000000000002</v>
      </c>
      <c r="C307" s="60">
        <f>4.5685 * CHOOSE(CONTROL!$C$19, $C$13, 100%, $E$13)</f>
        <v>4.5685000000000002</v>
      </c>
      <c r="D307" s="60">
        <f>4.5854 * CHOOSE(CONTROL!$C$19, $C$13, 100%, $E$13)</f>
        <v>4.5853999999999999</v>
      </c>
      <c r="E307" s="61">
        <f>4.9887 * CHOOSE(CONTROL!$C$19, $C$13, 100%, $E$13)</f>
        <v>4.9886999999999997</v>
      </c>
      <c r="F307" s="61">
        <f>4.9887 * CHOOSE(CONTROL!$C$19, $C$13, 100%, $E$13)</f>
        <v>4.9886999999999997</v>
      </c>
      <c r="G307" s="61">
        <f>4.9888 * CHOOSE(CONTROL!$C$19, $C$13, 100%, $E$13)</f>
        <v>4.9888000000000003</v>
      </c>
      <c r="H307" s="61">
        <f>7.6304* CHOOSE(CONTROL!$C$19, $C$13, 100%, $E$13)</f>
        <v>7.6303999999999998</v>
      </c>
      <c r="I307" s="61">
        <f>7.6306 * CHOOSE(CONTROL!$C$19, $C$13, 100%, $E$13)</f>
        <v>7.6306000000000003</v>
      </c>
      <c r="J307" s="61">
        <f>4.9887 * CHOOSE(CONTROL!$C$19, $C$13, 100%, $E$13)</f>
        <v>4.9886999999999997</v>
      </c>
      <c r="K307" s="61">
        <f>4.9888 * CHOOSE(CONTROL!$C$19, $C$13, 100%, $E$13)</f>
        <v>4.9888000000000003</v>
      </c>
    </row>
    <row r="308" spans="1:11" ht="15">
      <c r="A308" s="13">
        <v>51227</v>
      </c>
      <c r="B308" s="60">
        <f>4.5668 * CHOOSE(CONTROL!$C$19, $C$13, 100%, $E$13)</f>
        <v>4.5667999999999997</v>
      </c>
      <c r="C308" s="60">
        <f>4.5668 * CHOOSE(CONTROL!$C$19, $C$13, 100%, $E$13)</f>
        <v>4.5667999999999997</v>
      </c>
      <c r="D308" s="60">
        <f>4.5836 * CHOOSE(CONTROL!$C$19, $C$13, 100%, $E$13)</f>
        <v>4.5835999999999997</v>
      </c>
      <c r="E308" s="61">
        <f>5.046 * CHOOSE(CONTROL!$C$19, $C$13, 100%, $E$13)</f>
        <v>5.0460000000000003</v>
      </c>
      <c r="F308" s="61">
        <f>5.046 * CHOOSE(CONTROL!$C$19, $C$13, 100%, $E$13)</f>
        <v>5.0460000000000003</v>
      </c>
      <c r="G308" s="61">
        <f>5.0462 * CHOOSE(CONTROL!$C$19, $C$13, 100%, $E$13)</f>
        <v>5.0461999999999998</v>
      </c>
      <c r="H308" s="61">
        <f>7.6463* CHOOSE(CONTROL!$C$19, $C$13, 100%, $E$13)</f>
        <v>7.6463000000000001</v>
      </c>
      <c r="I308" s="61">
        <f>7.6465 * CHOOSE(CONTROL!$C$19, $C$13, 100%, $E$13)</f>
        <v>7.6464999999999996</v>
      </c>
      <c r="J308" s="61">
        <f>5.046 * CHOOSE(CONTROL!$C$19, $C$13, 100%, $E$13)</f>
        <v>5.0460000000000003</v>
      </c>
      <c r="K308" s="61">
        <f>5.0462 * CHOOSE(CONTROL!$C$19, $C$13, 100%, $E$13)</f>
        <v>5.0461999999999998</v>
      </c>
    </row>
    <row r="309" spans="1:11" ht="15">
      <c r="A309" s="13">
        <v>51257</v>
      </c>
      <c r="B309" s="60">
        <f>4.5668 * CHOOSE(CONTROL!$C$19, $C$13, 100%, $E$13)</f>
        <v>4.5667999999999997</v>
      </c>
      <c r="C309" s="60">
        <f>4.5668 * CHOOSE(CONTROL!$C$19, $C$13, 100%, $E$13)</f>
        <v>4.5667999999999997</v>
      </c>
      <c r="D309" s="60">
        <f>4.6004 * CHOOSE(CONTROL!$C$19, $C$13, 100%, $E$13)</f>
        <v>4.6003999999999996</v>
      </c>
      <c r="E309" s="61">
        <f>5.0691 * CHOOSE(CONTROL!$C$19, $C$13, 100%, $E$13)</f>
        <v>5.0690999999999997</v>
      </c>
      <c r="F309" s="61">
        <f>5.0691 * CHOOSE(CONTROL!$C$19, $C$13, 100%, $E$13)</f>
        <v>5.0690999999999997</v>
      </c>
      <c r="G309" s="61">
        <f>5.0712 * CHOOSE(CONTROL!$C$19, $C$13, 100%, $E$13)</f>
        <v>5.0712000000000002</v>
      </c>
      <c r="H309" s="61">
        <f>7.6622* CHOOSE(CONTROL!$C$19, $C$13, 100%, $E$13)</f>
        <v>7.6622000000000003</v>
      </c>
      <c r="I309" s="61">
        <f>7.6643 * CHOOSE(CONTROL!$C$19, $C$13, 100%, $E$13)</f>
        <v>7.6642999999999999</v>
      </c>
      <c r="J309" s="61">
        <f>5.0691 * CHOOSE(CONTROL!$C$19, $C$13, 100%, $E$13)</f>
        <v>5.0690999999999997</v>
      </c>
      <c r="K309" s="61">
        <f>5.0712 * CHOOSE(CONTROL!$C$19, $C$13, 100%, $E$13)</f>
        <v>5.0712000000000002</v>
      </c>
    </row>
    <row r="310" spans="1:11" ht="15">
      <c r="A310" s="13">
        <v>51288</v>
      </c>
      <c r="B310" s="60">
        <f>4.5729 * CHOOSE(CONTROL!$C$19, $C$13, 100%, $E$13)</f>
        <v>4.5728999999999997</v>
      </c>
      <c r="C310" s="60">
        <f>4.5729 * CHOOSE(CONTROL!$C$19, $C$13, 100%, $E$13)</f>
        <v>4.5728999999999997</v>
      </c>
      <c r="D310" s="60">
        <f>4.6065 * CHOOSE(CONTROL!$C$19, $C$13, 100%, $E$13)</f>
        <v>4.6064999999999996</v>
      </c>
      <c r="E310" s="61">
        <f>5.0502 * CHOOSE(CONTROL!$C$19, $C$13, 100%, $E$13)</f>
        <v>5.0502000000000002</v>
      </c>
      <c r="F310" s="61">
        <f>5.0502 * CHOOSE(CONTROL!$C$19, $C$13, 100%, $E$13)</f>
        <v>5.0502000000000002</v>
      </c>
      <c r="G310" s="61">
        <f>5.0523 * CHOOSE(CONTROL!$C$19, $C$13, 100%, $E$13)</f>
        <v>5.0522999999999998</v>
      </c>
      <c r="H310" s="61">
        <f>7.6782* CHOOSE(CONTROL!$C$19, $C$13, 100%, $E$13)</f>
        <v>7.6782000000000004</v>
      </c>
      <c r="I310" s="61">
        <f>7.6803 * CHOOSE(CONTROL!$C$19, $C$13, 100%, $E$13)</f>
        <v>7.6802999999999999</v>
      </c>
      <c r="J310" s="61">
        <f>5.0502 * CHOOSE(CONTROL!$C$19, $C$13, 100%, $E$13)</f>
        <v>5.0502000000000002</v>
      </c>
      <c r="K310" s="61">
        <f>5.0523 * CHOOSE(CONTROL!$C$19, $C$13, 100%, $E$13)</f>
        <v>5.0522999999999998</v>
      </c>
    </row>
    <row r="311" spans="1:11" ht="15">
      <c r="A311" s="13">
        <v>51318</v>
      </c>
      <c r="B311" s="60">
        <f>4.6474 * CHOOSE(CONTROL!$C$19, $C$13, 100%, $E$13)</f>
        <v>4.6474000000000002</v>
      </c>
      <c r="C311" s="60">
        <f>4.6474 * CHOOSE(CONTROL!$C$19, $C$13, 100%, $E$13)</f>
        <v>4.6474000000000002</v>
      </c>
      <c r="D311" s="60">
        <f>4.681 * CHOOSE(CONTROL!$C$19, $C$13, 100%, $E$13)</f>
        <v>4.681</v>
      </c>
      <c r="E311" s="61">
        <f>5.1494 * CHOOSE(CONTROL!$C$19, $C$13, 100%, $E$13)</f>
        <v>5.1494</v>
      </c>
      <c r="F311" s="61">
        <f>5.1494 * CHOOSE(CONTROL!$C$19, $C$13, 100%, $E$13)</f>
        <v>5.1494</v>
      </c>
      <c r="G311" s="61">
        <f>5.1515 * CHOOSE(CONTROL!$C$19, $C$13, 100%, $E$13)</f>
        <v>5.1515000000000004</v>
      </c>
      <c r="H311" s="61">
        <f>7.6942* CHOOSE(CONTROL!$C$19, $C$13, 100%, $E$13)</f>
        <v>7.6942000000000004</v>
      </c>
      <c r="I311" s="61">
        <f>7.6963 * CHOOSE(CONTROL!$C$19, $C$13, 100%, $E$13)</f>
        <v>7.6962999999999999</v>
      </c>
      <c r="J311" s="61">
        <f>5.1494 * CHOOSE(CONTROL!$C$19, $C$13, 100%, $E$13)</f>
        <v>5.1494</v>
      </c>
      <c r="K311" s="61">
        <f>5.1515 * CHOOSE(CONTROL!$C$19, $C$13, 100%, $E$13)</f>
        <v>5.1515000000000004</v>
      </c>
    </row>
    <row r="312" spans="1:11" ht="15">
      <c r="A312" s="13">
        <v>51349</v>
      </c>
      <c r="B312" s="60">
        <f>4.6541 * CHOOSE(CONTROL!$C$19, $C$13, 100%, $E$13)</f>
        <v>4.6540999999999997</v>
      </c>
      <c r="C312" s="60">
        <f>4.6541 * CHOOSE(CONTROL!$C$19, $C$13, 100%, $E$13)</f>
        <v>4.6540999999999997</v>
      </c>
      <c r="D312" s="60">
        <f>4.6877 * CHOOSE(CONTROL!$C$19, $C$13, 100%, $E$13)</f>
        <v>4.6877000000000004</v>
      </c>
      <c r="E312" s="61">
        <f>5.0848 * CHOOSE(CONTROL!$C$19, $C$13, 100%, $E$13)</f>
        <v>5.0848000000000004</v>
      </c>
      <c r="F312" s="61">
        <f>5.0848 * CHOOSE(CONTROL!$C$19, $C$13, 100%, $E$13)</f>
        <v>5.0848000000000004</v>
      </c>
      <c r="G312" s="61">
        <f>5.0869 * CHOOSE(CONTROL!$C$19, $C$13, 100%, $E$13)</f>
        <v>5.0869</v>
      </c>
      <c r="H312" s="61">
        <f>7.7102* CHOOSE(CONTROL!$C$19, $C$13, 100%, $E$13)</f>
        <v>7.7102000000000004</v>
      </c>
      <c r="I312" s="61">
        <f>7.7123 * CHOOSE(CONTROL!$C$19, $C$13, 100%, $E$13)</f>
        <v>7.7122999999999999</v>
      </c>
      <c r="J312" s="61">
        <f>5.0848 * CHOOSE(CONTROL!$C$19, $C$13, 100%, $E$13)</f>
        <v>5.0848000000000004</v>
      </c>
      <c r="K312" s="61">
        <f>5.0869 * CHOOSE(CONTROL!$C$19, $C$13, 100%, $E$13)</f>
        <v>5.0869</v>
      </c>
    </row>
    <row r="313" spans="1:11" ht="15">
      <c r="A313" s="13">
        <v>51380</v>
      </c>
      <c r="B313" s="60">
        <f>4.651 * CHOOSE(CONTROL!$C$19, $C$13, 100%, $E$13)</f>
        <v>4.6509999999999998</v>
      </c>
      <c r="C313" s="60">
        <f>4.651 * CHOOSE(CONTROL!$C$19, $C$13, 100%, $E$13)</f>
        <v>4.6509999999999998</v>
      </c>
      <c r="D313" s="60">
        <f>4.6847 * CHOOSE(CONTROL!$C$19, $C$13, 100%, $E$13)</f>
        <v>4.6847000000000003</v>
      </c>
      <c r="E313" s="61">
        <f>5.0749 * CHOOSE(CONTROL!$C$19, $C$13, 100%, $E$13)</f>
        <v>5.0749000000000004</v>
      </c>
      <c r="F313" s="61">
        <f>5.0749 * CHOOSE(CONTROL!$C$19, $C$13, 100%, $E$13)</f>
        <v>5.0749000000000004</v>
      </c>
      <c r="G313" s="61">
        <f>5.077 * CHOOSE(CONTROL!$C$19, $C$13, 100%, $E$13)</f>
        <v>5.077</v>
      </c>
      <c r="H313" s="61">
        <f>7.7263* CHOOSE(CONTROL!$C$19, $C$13, 100%, $E$13)</f>
        <v>7.7263000000000002</v>
      </c>
      <c r="I313" s="61">
        <f>7.7284 * CHOOSE(CONTROL!$C$19, $C$13, 100%, $E$13)</f>
        <v>7.7283999999999997</v>
      </c>
      <c r="J313" s="61">
        <f>5.0749 * CHOOSE(CONTROL!$C$19, $C$13, 100%, $E$13)</f>
        <v>5.0749000000000004</v>
      </c>
      <c r="K313" s="61">
        <f>5.077 * CHOOSE(CONTROL!$C$19, $C$13, 100%, $E$13)</f>
        <v>5.077</v>
      </c>
    </row>
    <row r="314" spans="1:11" ht="15">
      <c r="A314" s="13">
        <v>51410</v>
      </c>
      <c r="B314" s="60">
        <f>4.6487 * CHOOSE(CONTROL!$C$19, $C$13, 100%, $E$13)</f>
        <v>4.6486999999999998</v>
      </c>
      <c r="C314" s="60">
        <f>4.6487 * CHOOSE(CONTROL!$C$19, $C$13, 100%, $E$13)</f>
        <v>4.6486999999999998</v>
      </c>
      <c r="D314" s="60">
        <f>4.6655 * CHOOSE(CONTROL!$C$19, $C$13, 100%, $E$13)</f>
        <v>4.6654999999999998</v>
      </c>
      <c r="E314" s="61">
        <f>5.0923 * CHOOSE(CONTROL!$C$19, $C$13, 100%, $E$13)</f>
        <v>5.0922999999999998</v>
      </c>
      <c r="F314" s="61">
        <f>5.0923 * CHOOSE(CONTROL!$C$19, $C$13, 100%, $E$13)</f>
        <v>5.0922999999999998</v>
      </c>
      <c r="G314" s="61">
        <f>5.0925 * CHOOSE(CONTROL!$C$19, $C$13, 100%, $E$13)</f>
        <v>5.0925000000000002</v>
      </c>
      <c r="H314" s="61">
        <f>7.7424* CHOOSE(CONTROL!$C$19, $C$13, 100%, $E$13)</f>
        <v>7.7423999999999999</v>
      </c>
      <c r="I314" s="61">
        <f>7.7426 * CHOOSE(CONTROL!$C$19, $C$13, 100%, $E$13)</f>
        <v>7.7426000000000004</v>
      </c>
      <c r="J314" s="61">
        <f>5.0923 * CHOOSE(CONTROL!$C$19, $C$13, 100%, $E$13)</f>
        <v>5.0922999999999998</v>
      </c>
      <c r="K314" s="61">
        <f>5.0925 * CHOOSE(CONTROL!$C$19, $C$13, 100%, $E$13)</f>
        <v>5.0925000000000002</v>
      </c>
    </row>
    <row r="315" spans="1:11" ht="15">
      <c r="A315" s="13">
        <v>51441</v>
      </c>
      <c r="B315" s="60">
        <f>4.6517 * CHOOSE(CONTROL!$C$19, $C$13, 100%, $E$13)</f>
        <v>4.6516999999999999</v>
      </c>
      <c r="C315" s="60">
        <f>4.6517 * CHOOSE(CONTROL!$C$19, $C$13, 100%, $E$13)</f>
        <v>4.6516999999999999</v>
      </c>
      <c r="D315" s="60">
        <f>4.6686 * CHOOSE(CONTROL!$C$19, $C$13, 100%, $E$13)</f>
        <v>4.6685999999999996</v>
      </c>
      <c r="E315" s="61">
        <f>5.1098 * CHOOSE(CONTROL!$C$19, $C$13, 100%, $E$13)</f>
        <v>5.1097999999999999</v>
      </c>
      <c r="F315" s="61">
        <f>5.1098 * CHOOSE(CONTROL!$C$19, $C$13, 100%, $E$13)</f>
        <v>5.1097999999999999</v>
      </c>
      <c r="G315" s="61">
        <f>5.11 * CHOOSE(CONTROL!$C$19, $C$13, 100%, $E$13)</f>
        <v>5.1100000000000003</v>
      </c>
      <c r="H315" s="61">
        <f>7.7585* CHOOSE(CONTROL!$C$19, $C$13, 100%, $E$13)</f>
        <v>7.7584999999999997</v>
      </c>
      <c r="I315" s="61">
        <f>7.7587 * CHOOSE(CONTROL!$C$19, $C$13, 100%, $E$13)</f>
        <v>7.7587000000000002</v>
      </c>
      <c r="J315" s="61">
        <f>5.1098 * CHOOSE(CONTROL!$C$19, $C$13, 100%, $E$13)</f>
        <v>5.1097999999999999</v>
      </c>
      <c r="K315" s="61">
        <f>5.11 * CHOOSE(CONTROL!$C$19, $C$13, 100%, $E$13)</f>
        <v>5.1100000000000003</v>
      </c>
    </row>
    <row r="316" spans="1:11" ht="15">
      <c r="A316" s="13">
        <v>51471</v>
      </c>
      <c r="B316" s="60">
        <f>4.6517 * CHOOSE(CONTROL!$C$19, $C$13, 100%, $E$13)</f>
        <v>4.6516999999999999</v>
      </c>
      <c r="C316" s="60">
        <f>4.6517 * CHOOSE(CONTROL!$C$19, $C$13, 100%, $E$13)</f>
        <v>4.6516999999999999</v>
      </c>
      <c r="D316" s="60">
        <f>4.6686 * CHOOSE(CONTROL!$C$19, $C$13, 100%, $E$13)</f>
        <v>4.6685999999999996</v>
      </c>
      <c r="E316" s="61">
        <f>5.0713 * CHOOSE(CONTROL!$C$19, $C$13, 100%, $E$13)</f>
        <v>5.0712999999999999</v>
      </c>
      <c r="F316" s="61">
        <f>5.0713 * CHOOSE(CONTROL!$C$19, $C$13, 100%, $E$13)</f>
        <v>5.0712999999999999</v>
      </c>
      <c r="G316" s="61">
        <f>5.0715 * CHOOSE(CONTROL!$C$19, $C$13, 100%, $E$13)</f>
        <v>5.0715000000000003</v>
      </c>
      <c r="H316" s="61">
        <f>7.7747* CHOOSE(CONTROL!$C$19, $C$13, 100%, $E$13)</f>
        <v>7.7747000000000002</v>
      </c>
      <c r="I316" s="61">
        <f>7.7749 * CHOOSE(CONTROL!$C$19, $C$13, 100%, $E$13)</f>
        <v>7.7748999999999997</v>
      </c>
      <c r="J316" s="61">
        <f>5.0713 * CHOOSE(CONTROL!$C$19, $C$13, 100%, $E$13)</f>
        <v>5.0712999999999999</v>
      </c>
      <c r="K316" s="61">
        <f>5.0715 * CHOOSE(CONTROL!$C$19, $C$13, 100%, $E$13)</f>
        <v>5.0715000000000003</v>
      </c>
    </row>
    <row r="317" spans="1:11" ht="15">
      <c r="A317" s="13">
        <v>51502</v>
      </c>
      <c r="B317" s="60">
        <f>4.692 * CHOOSE(CONTROL!$C$19, $C$13, 100%, $E$13)</f>
        <v>4.6920000000000002</v>
      </c>
      <c r="C317" s="60">
        <f>4.692 * CHOOSE(CONTROL!$C$19, $C$13, 100%, $E$13)</f>
        <v>4.6920000000000002</v>
      </c>
      <c r="D317" s="60">
        <f>4.7088 * CHOOSE(CONTROL!$C$19, $C$13, 100%, $E$13)</f>
        <v>4.7088000000000001</v>
      </c>
      <c r="E317" s="61">
        <f>5.1487 * CHOOSE(CONTROL!$C$19, $C$13, 100%, $E$13)</f>
        <v>5.1486999999999998</v>
      </c>
      <c r="F317" s="61">
        <f>5.1487 * CHOOSE(CONTROL!$C$19, $C$13, 100%, $E$13)</f>
        <v>5.1486999999999998</v>
      </c>
      <c r="G317" s="61">
        <f>5.1489 * CHOOSE(CONTROL!$C$19, $C$13, 100%, $E$13)</f>
        <v>5.1489000000000003</v>
      </c>
      <c r="H317" s="61">
        <f>7.7909* CHOOSE(CONTROL!$C$19, $C$13, 100%, $E$13)</f>
        <v>7.7908999999999997</v>
      </c>
      <c r="I317" s="61">
        <f>7.791 * CHOOSE(CONTROL!$C$19, $C$13, 100%, $E$13)</f>
        <v>7.7910000000000004</v>
      </c>
      <c r="J317" s="61">
        <f>5.1487 * CHOOSE(CONTROL!$C$19, $C$13, 100%, $E$13)</f>
        <v>5.1486999999999998</v>
      </c>
      <c r="K317" s="61">
        <f>5.1489 * CHOOSE(CONTROL!$C$19, $C$13, 100%, $E$13)</f>
        <v>5.1489000000000003</v>
      </c>
    </row>
    <row r="318" spans="1:11" ht="15">
      <c r="A318" s="13">
        <v>51533</v>
      </c>
      <c r="B318" s="60">
        <f>4.689 * CHOOSE(CONTROL!$C$19, $C$13, 100%, $E$13)</f>
        <v>4.6890000000000001</v>
      </c>
      <c r="C318" s="60">
        <f>4.689 * CHOOSE(CONTROL!$C$19, $C$13, 100%, $E$13)</f>
        <v>4.6890000000000001</v>
      </c>
      <c r="D318" s="60">
        <f>4.7058 * CHOOSE(CONTROL!$C$19, $C$13, 100%, $E$13)</f>
        <v>4.7058</v>
      </c>
      <c r="E318" s="61">
        <f>5.0716 * CHOOSE(CONTROL!$C$19, $C$13, 100%, $E$13)</f>
        <v>5.0716000000000001</v>
      </c>
      <c r="F318" s="61">
        <f>5.0716 * CHOOSE(CONTROL!$C$19, $C$13, 100%, $E$13)</f>
        <v>5.0716000000000001</v>
      </c>
      <c r="G318" s="61">
        <f>5.0718 * CHOOSE(CONTROL!$C$19, $C$13, 100%, $E$13)</f>
        <v>5.0717999999999996</v>
      </c>
      <c r="H318" s="61">
        <f>7.8071* CHOOSE(CONTROL!$C$19, $C$13, 100%, $E$13)</f>
        <v>7.8071000000000002</v>
      </c>
      <c r="I318" s="61">
        <f>7.8073 * CHOOSE(CONTROL!$C$19, $C$13, 100%, $E$13)</f>
        <v>7.8072999999999997</v>
      </c>
      <c r="J318" s="61">
        <f>5.0716 * CHOOSE(CONTROL!$C$19, $C$13, 100%, $E$13)</f>
        <v>5.0716000000000001</v>
      </c>
      <c r="K318" s="61">
        <f>5.0718 * CHOOSE(CONTROL!$C$19, $C$13, 100%, $E$13)</f>
        <v>5.0717999999999996</v>
      </c>
    </row>
    <row r="319" spans="1:11" ht="15">
      <c r="A319" s="13">
        <v>51561</v>
      </c>
      <c r="B319" s="60">
        <f>4.6859 * CHOOSE(CONTROL!$C$19, $C$13, 100%, $E$13)</f>
        <v>4.6859000000000002</v>
      </c>
      <c r="C319" s="60">
        <f>4.6859 * CHOOSE(CONTROL!$C$19, $C$13, 100%, $E$13)</f>
        <v>4.6859000000000002</v>
      </c>
      <c r="D319" s="60">
        <f>4.7028 * CHOOSE(CONTROL!$C$19, $C$13, 100%, $E$13)</f>
        <v>4.7027999999999999</v>
      </c>
      <c r="E319" s="61">
        <f>5.1286 * CHOOSE(CONTROL!$C$19, $C$13, 100%, $E$13)</f>
        <v>5.1285999999999996</v>
      </c>
      <c r="F319" s="61">
        <f>5.1286 * CHOOSE(CONTROL!$C$19, $C$13, 100%, $E$13)</f>
        <v>5.1285999999999996</v>
      </c>
      <c r="G319" s="61">
        <f>5.1288 * CHOOSE(CONTROL!$C$19, $C$13, 100%, $E$13)</f>
        <v>5.1288</v>
      </c>
      <c r="H319" s="61">
        <f>7.8234* CHOOSE(CONTROL!$C$19, $C$13, 100%, $E$13)</f>
        <v>7.8234000000000004</v>
      </c>
      <c r="I319" s="61">
        <f>7.8235 * CHOOSE(CONTROL!$C$19, $C$13, 100%, $E$13)</f>
        <v>7.8235000000000001</v>
      </c>
      <c r="J319" s="61">
        <f>5.1286 * CHOOSE(CONTROL!$C$19, $C$13, 100%, $E$13)</f>
        <v>5.1285999999999996</v>
      </c>
      <c r="K319" s="61">
        <f>5.1288 * CHOOSE(CONTROL!$C$19, $C$13, 100%, $E$13)</f>
        <v>5.1288</v>
      </c>
    </row>
    <row r="320" spans="1:11" ht="15">
      <c r="A320" s="13">
        <v>51592</v>
      </c>
      <c r="B320" s="60">
        <f>4.6843 * CHOOSE(CONTROL!$C$19, $C$13, 100%, $E$13)</f>
        <v>4.6843000000000004</v>
      </c>
      <c r="C320" s="60">
        <f>4.6843 * CHOOSE(CONTROL!$C$19, $C$13, 100%, $E$13)</f>
        <v>4.6843000000000004</v>
      </c>
      <c r="D320" s="60">
        <f>4.7011 * CHOOSE(CONTROL!$C$19, $C$13, 100%, $E$13)</f>
        <v>4.7011000000000003</v>
      </c>
      <c r="E320" s="61">
        <f>5.1879 * CHOOSE(CONTROL!$C$19, $C$13, 100%, $E$13)</f>
        <v>5.1879</v>
      </c>
      <c r="F320" s="61">
        <f>5.1879 * CHOOSE(CONTROL!$C$19, $C$13, 100%, $E$13)</f>
        <v>5.1879</v>
      </c>
      <c r="G320" s="61">
        <f>5.1881 * CHOOSE(CONTROL!$C$19, $C$13, 100%, $E$13)</f>
        <v>5.1881000000000004</v>
      </c>
      <c r="H320" s="61">
        <f>7.8397* CHOOSE(CONTROL!$C$19, $C$13, 100%, $E$13)</f>
        <v>7.8396999999999997</v>
      </c>
      <c r="I320" s="61">
        <f>7.8398 * CHOOSE(CONTROL!$C$19, $C$13, 100%, $E$13)</f>
        <v>7.8398000000000003</v>
      </c>
      <c r="J320" s="61">
        <f>5.1879 * CHOOSE(CONTROL!$C$19, $C$13, 100%, $E$13)</f>
        <v>5.1879</v>
      </c>
      <c r="K320" s="61">
        <f>5.1881 * CHOOSE(CONTROL!$C$19, $C$13, 100%, $E$13)</f>
        <v>5.1881000000000004</v>
      </c>
    </row>
    <row r="321" spans="1:11" ht="15">
      <c r="A321" s="13">
        <v>51622</v>
      </c>
      <c r="B321" s="60">
        <f>4.6843 * CHOOSE(CONTROL!$C$19, $C$13, 100%, $E$13)</f>
        <v>4.6843000000000004</v>
      </c>
      <c r="C321" s="60">
        <f>4.6843 * CHOOSE(CONTROL!$C$19, $C$13, 100%, $E$13)</f>
        <v>4.6843000000000004</v>
      </c>
      <c r="D321" s="60">
        <f>4.7179 * CHOOSE(CONTROL!$C$19, $C$13, 100%, $E$13)</f>
        <v>4.7179000000000002</v>
      </c>
      <c r="E321" s="61">
        <f>5.2117 * CHOOSE(CONTROL!$C$19, $C$13, 100%, $E$13)</f>
        <v>5.2117000000000004</v>
      </c>
      <c r="F321" s="61">
        <f>5.2117 * CHOOSE(CONTROL!$C$19, $C$13, 100%, $E$13)</f>
        <v>5.2117000000000004</v>
      </c>
      <c r="G321" s="61">
        <f>5.2138 * CHOOSE(CONTROL!$C$19, $C$13, 100%, $E$13)</f>
        <v>5.2138</v>
      </c>
      <c r="H321" s="61">
        <f>7.856* CHOOSE(CONTROL!$C$19, $C$13, 100%, $E$13)</f>
        <v>7.8559999999999999</v>
      </c>
      <c r="I321" s="61">
        <f>7.8581 * CHOOSE(CONTROL!$C$19, $C$13, 100%, $E$13)</f>
        <v>7.8581000000000003</v>
      </c>
      <c r="J321" s="61">
        <f>5.2117 * CHOOSE(CONTROL!$C$19, $C$13, 100%, $E$13)</f>
        <v>5.2117000000000004</v>
      </c>
      <c r="K321" s="61">
        <f>5.2138 * CHOOSE(CONTROL!$C$19, $C$13, 100%, $E$13)</f>
        <v>5.2138</v>
      </c>
    </row>
    <row r="322" spans="1:11" ht="15">
      <c r="A322" s="13">
        <v>51653</v>
      </c>
      <c r="B322" s="60">
        <f>4.6904 * CHOOSE(CONTROL!$C$19, $C$13, 100%, $E$13)</f>
        <v>4.6904000000000003</v>
      </c>
      <c r="C322" s="60">
        <f>4.6904 * CHOOSE(CONTROL!$C$19, $C$13, 100%, $E$13)</f>
        <v>4.6904000000000003</v>
      </c>
      <c r="D322" s="60">
        <f>4.724 * CHOOSE(CONTROL!$C$19, $C$13, 100%, $E$13)</f>
        <v>4.7240000000000002</v>
      </c>
      <c r="E322" s="61">
        <f>5.1921 * CHOOSE(CONTROL!$C$19, $C$13, 100%, $E$13)</f>
        <v>5.1920999999999999</v>
      </c>
      <c r="F322" s="61">
        <f>5.1921 * CHOOSE(CONTROL!$C$19, $C$13, 100%, $E$13)</f>
        <v>5.1920999999999999</v>
      </c>
      <c r="G322" s="61">
        <f>5.1942 * CHOOSE(CONTROL!$C$19, $C$13, 100%, $E$13)</f>
        <v>5.1942000000000004</v>
      </c>
      <c r="H322" s="61">
        <f>7.8724* CHOOSE(CONTROL!$C$19, $C$13, 100%, $E$13)</f>
        <v>7.8723999999999998</v>
      </c>
      <c r="I322" s="61">
        <f>7.8745 * CHOOSE(CONTROL!$C$19, $C$13, 100%, $E$13)</f>
        <v>7.8745000000000003</v>
      </c>
      <c r="J322" s="61">
        <f>5.1921 * CHOOSE(CONTROL!$C$19, $C$13, 100%, $E$13)</f>
        <v>5.1920999999999999</v>
      </c>
      <c r="K322" s="61">
        <f>5.1942 * CHOOSE(CONTROL!$C$19, $C$13, 100%, $E$13)</f>
        <v>5.1942000000000004</v>
      </c>
    </row>
    <row r="323" spans="1:11" ht="15">
      <c r="A323" s="13">
        <v>51683</v>
      </c>
      <c r="B323" s="60">
        <f>4.7637 * CHOOSE(CONTROL!$C$19, $C$13, 100%, $E$13)</f>
        <v>4.7637</v>
      </c>
      <c r="C323" s="60">
        <f>4.7637 * CHOOSE(CONTROL!$C$19, $C$13, 100%, $E$13)</f>
        <v>4.7637</v>
      </c>
      <c r="D323" s="60">
        <f>4.7973 * CHOOSE(CONTROL!$C$19, $C$13, 100%, $E$13)</f>
        <v>4.7972999999999999</v>
      </c>
      <c r="E323" s="61">
        <f>5.2939 * CHOOSE(CONTROL!$C$19, $C$13, 100%, $E$13)</f>
        <v>5.2938999999999998</v>
      </c>
      <c r="F323" s="61">
        <f>5.2939 * CHOOSE(CONTROL!$C$19, $C$13, 100%, $E$13)</f>
        <v>5.2938999999999998</v>
      </c>
      <c r="G323" s="61">
        <f>5.296 * CHOOSE(CONTROL!$C$19, $C$13, 100%, $E$13)</f>
        <v>5.2960000000000003</v>
      </c>
      <c r="H323" s="61">
        <f>7.8888* CHOOSE(CONTROL!$C$19, $C$13, 100%, $E$13)</f>
        <v>7.8887999999999998</v>
      </c>
      <c r="I323" s="61">
        <f>7.8909 * CHOOSE(CONTROL!$C$19, $C$13, 100%, $E$13)</f>
        <v>7.8909000000000002</v>
      </c>
      <c r="J323" s="61">
        <f>5.2939 * CHOOSE(CONTROL!$C$19, $C$13, 100%, $E$13)</f>
        <v>5.2938999999999998</v>
      </c>
      <c r="K323" s="61">
        <f>5.296 * CHOOSE(CONTROL!$C$19, $C$13, 100%, $E$13)</f>
        <v>5.2960000000000003</v>
      </c>
    </row>
    <row r="324" spans="1:11" ht="15">
      <c r="A324" s="13">
        <v>51714</v>
      </c>
      <c r="B324" s="60">
        <f>4.7704 * CHOOSE(CONTROL!$C$19, $C$13, 100%, $E$13)</f>
        <v>4.7704000000000004</v>
      </c>
      <c r="C324" s="60">
        <f>4.7704 * CHOOSE(CONTROL!$C$19, $C$13, 100%, $E$13)</f>
        <v>4.7704000000000004</v>
      </c>
      <c r="D324" s="60">
        <f>4.804 * CHOOSE(CONTROL!$C$19, $C$13, 100%, $E$13)</f>
        <v>4.8040000000000003</v>
      </c>
      <c r="E324" s="61">
        <f>5.2271 * CHOOSE(CONTROL!$C$19, $C$13, 100%, $E$13)</f>
        <v>5.2271000000000001</v>
      </c>
      <c r="F324" s="61">
        <f>5.2271 * CHOOSE(CONTROL!$C$19, $C$13, 100%, $E$13)</f>
        <v>5.2271000000000001</v>
      </c>
      <c r="G324" s="61">
        <f>5.2292 * CHOOSE(CONTROL!$C$19, $C$13, 100%, $E$13)</f>
        <v>5.2291999999999996</v>
      </c>
      <c r="H324" s="61">
        <f>7.9052* CHOOSE(CONTROL!$C$19, $C$13, 100%, $E$13)</f>
        <v>7.9051999999999998</v>
      </c>
      <c r="I324" s="61">
        <f>7.9073 * CHOOSE(CONTROL!$C$19, $C$13, 100%, $E$13)</f>
        <v>7.9073000000000002</v>
      </c>
      <c r="J324" s="61">
        <f>5.2271 * CHOOSE(CONTROL!$C$19, $C$13, 100%, $E$13)</f>
        <v>5.2271000000000001</v>
      </c>
      <c r="K324" s="61">
        <f>5.2292 * CHOOSE(CONTROL!$C$19, $C$13, 100%, $E$13)</f>
        <v>5.2291999999999996</v>
      </c>
    </row>
    <row r="325" spans="1:11" ht="15">
      <c r="A325" s="13">
        <v>51745</v>
      </c>
      <c r="B325" s="60">
        <f>4.7673 * CHOOSE(CONTROL!$C$19, $C$13, 100%, $E$13)</f>
        <v>4.7672999999999996</v>
      </c>
      <c r="C325" s="60">
        <f>4.7673 * CHOOSE(CONTROL!$C$19, $C$13, 100%, $E$13)</f>
        <v>4.7672999999999996</v>
      </c>
      <c r="D325" s="60">
        <f>4.801 * CHOOSE(CONTROL!$C$19, $C$13, 100%, $E$13)</f>
        <v>4.8010000000000002</v>
      </c>
      <c r="E325" s="61">
        <f>5.217 * CHOOSE(CONTROL!$C$19, $C$13, 100%, $E$13)</f>
        <v>5.2169999999999996</v>
      </c>
      <c r="F325" s="61">
        <f>5.217 * CHOOSE(CONTROL!$C$19, $C$13, 100%, $E$13)</f>
        <v>5.2169999999999996</v>
      </c>
      <c r="G325" s="61">
        <f>5.2191 * CHOOSE(CONTROL!$C$19, $C$13, 100%, $E$13)</f>
        <v>5.2191000000000001</v>
      </c>
      <c r="H325" s="61">
        <f>7.9217* CHOOSE(CONTROL!$C$19, $C$13, 100%, $E$13)</f>
        <v>7.9217000000000004</v>
      </c>
      <c r="I325" s="61">
        <f>7.9238 * CHOOSE(CONTROL!$C$19, $C$13, 100%, $E$13)</f>
        <v>7.9238</v>
      </c>
      <c r="J325" s="61">
        <f>5.217 * CHOOSE(CONTROL!$C$19, $C$13, 100%, $E$13)</f>
        <v>5.2169999999999996</v>
      </c>
      <c r="K325" s="61">
        <f>5.2191 * CHOOSE(CONTROL!$C$19, $C$13, 100%, $E$13)</f>
        <v>5.2191000000000001</v>
      </c>
    </row>
    <row r="326" spans="1:11" ht="15">
      <c r="A326" s="13">
        <v>51775</v>
      </c>
      <c r="B326" s="60">
        <f>4.7654 * CHOOSE(CONTROL!$C$19, $C$13, 100%, $E$13)</f>
        <v>4.7653999999999996</v>
      </c>
      <c r="C326" s="60">
        <f>4.7654 * CHOOSE(CONTROL!$C$19, $C$13, 100%, $E$13)</f>
        <v>4.7653999999999996</v>
      </c>
      <c r="D326" s="60">
        <f>4.7822 * CHOOSE(CONTROL!$C$19, $C$13, 100%, $E$13)</f>
        <v>4.7821999999999996</v>
      </c>
      <c r="E326" s="61">
        <f>5.2354 * CHOOSE(CONTROL!$C$19, $C$13, 100%, $E$13)</f>
        <v>5.2354000000000003</v>
      </c>
      <c r="F326" s="61">
        <f>5.2354 * CHOOSE(CONTROL!$C$19, $C$13, 100%, $E$13)</f>
        <v>5.2354000000000003</v>
      </c>
      <c r="G326" s="61">
        <f>5.2355 * CHOOSE(CONTROL!$C$19, $C$13, 100%, $E$13)</f>
        <v>5.2355</v>
      </c>
      <c r="H326" s="61">
        <f>7.9382* CHOOSE(CONTROL!$C$19, $C$13, 100%, $E$13)</f>
        <v>7.9382000000000001</v>
      </c>
      <c r="I326" s="61">
        <f>7.9384 * CHOOSE(CONTROL!$C$19, $C$13, 100%, $E$13)</f>
        <v>7.9383999999999997</v>
      </c>
      <c r="J326" s="61">
        <f>5.2354 * CHOOSE(CONTROL!$C$19, $C$13, 100%, $E$13)</f>
        <v>5.2354000000000003</v>
      </c>
      <c r="K326" s="61">
        <f>5.2355 * CHOOSE(CONTROL!$C$19, $C$13, 100%, $E$13)</f>
        <v>5.2355</v>
      </c>
    </row>
    <row r="327" spans="1:11" ht="15">
      <c r="A327" s="13">
        <v>51806</v>
      </c>
      <c r="B327" s="60">
        <f>4.7685 * CHOOSE(CONTROL!$C$19, $C$13, 100%, $E$13)</f>
        <v>4.7685000000000004</v>
      </c>
      <c r="C327" s="60">
        <f>4.7685 * CHOOSE(CONTROL!$C$19, $C$13, 100%, $E$13)</f>
        <v>4.7685000000000004</v>
      </c>
      <c r="D327" s="60">
        <f>4.7853 * CHOOSE(CONTROL!$C$19, $C$13, 100%, $E$13)</f>
        <v>4.7853000000000003</v>
      </c>
      <c r="E327" s="61">
        <f>5.2534 * CHOOSE(CONTROL!$C$19, $C$13, 100%, $E$13)</f>
        <v>5.2534000000000001</v>
      </c>
      <c r="F327" s="61">
        <f>5.2534 * CHOOSE(CONTROL!$C$19, $C$13, 100%, $E$13)</f>
        <v>5.2534000000000001</v>
      </c>
      <c r="G327" s="61">
        <f>5.2535 * CHOOSE(CONTROL!$C$19, $C$13, 100%, $E$13)</f>
        <v>5.2534999999999998</v>
      </c>
      <c r="H327" s="61">
        <f>7.9547* CHOOSE(CONTROL!$C$19, $C$13, 100%, $E$13)</f>
        <v>7.9546999999999999</v>
      </c>
      <c r="I327" s="61">
        <f>7.9549 * CHOOSE(CONTROL!$C$19, $C$13, 100%, $E$13)</f>
        <v>7.9549000000000003</v>
      </c>
      <c r="J327" s="61">
        <f>5.2534 * CHOOSE(CONTROL!$C$19, $C$13, 100%, $E$13)</f>
        <v>5.2534000000000001</v>
      </c>
      <c r="K327" s="61">
        <f>5.2535 * CHOOSE(CONTROL!$C$19, $C$13, 100%, $E$13)</f>
        <v>5.2534999999999998</v>
      </c>
    </row>
    <row r="328" spans="1:11" ht="15">
      <c r="A328" s="13">
        <v>51836</v>
      </c>
      <c r="B328" s="60">
        <f>4.7685 * CHOOSE(CONTROL!$C$19, $C$13, 100%, $E$13)</f>
        <v>4.7685000000000004</v>
      </c>
      <c r="C328" s="60">
        <f>4.7685 * CHOOSE(CONTROL!$C$19, $C$13, 100%, $E$13)</f>
        <v>4.7685000000000004</v>
      </c>
      <c r="D328" s="60">
        <f>4.7853 * CHOOSE(CONTROL!$C$19, $C$13, 100%, $E$13)</f>
        <v>4.7853000000000003</v>
      </c>
      <c r="E328" s="61">
        <f>5.2137 * CHOOSE(CONTROL!$C$19, $C$13, 100%, $E$13)</f>
        <v>5.2137000000000002</v>
      </c>
      <c r="F328" s="61">
        <f>5.2137 * CHOOSE(CONTROL!$C$19, $C$13, 100%, $E$13)</f>
        <v>5.2137000000000002</v>
      </c>
      <c r="G328" s="61">
        <f>5.2138 * CHOOSE(CONTROL!$C$19, $C$13, 100%, $E$13)</f>
        <v>5.2138</v>
      </c>
      <c r="H328" s="61">
        <f>7.9713* CHOOSE(CONTROL!$C$19, $C$13, 100%, $E$13)</f>
        <v>7.9713000000000003</v>
      </c>
      <c r="I328" s="61">
        <f>7.9715 * CHOOSE(CONTROL!$C$19, $C$13, 100%, $E$13)</f>
        <v>7.9714999999999998</v>
      </c>
      <c r="J328" s="61">
        <f>5.2137 * CHOOSE(CONTROL!$C$19, $C$13, 100%, $E$13)</f>
        <v>5.2137000000000002</v>
      </c>
      <c r="K328" s="61">
        <f>5.2138 * CHOOSE(CONTROL!$C$19, $C$13, 100%, $E$13)</f>
        <v>5.2138</v>
      </c>
    </row>
    <row r="329" spans="1:11" ht="15">
      <c r="A329" s="13">
        <v>51867</v>
      </c>
      <c r="B329" s="60">
        <f>4.8103 * CHOOSE(CONTROL!$C$19, $C$13, 100%, $E$13)</f>
        <v>4.8102999999999998</v>
      </c>
      <c r="C329" s="60">
        <f>4.8103 * CHOOSE(CONTROL!$C$19, $C$13, 100%, $E$13)</f>
        <v>4.8102999999999998</v>
      </c>
      <c r="D329" s="60">
        <f>4.8271 * CHOOSE(CONTROL!$C$19, $C$13, 100%, $E$13)</f>
        <v>4.8270999999999997</v>
      </c>
      <c r="E329" s="61">
        <f>5.2932 * CHOOSE(CONTROL!$C$19, $C$13, 100%, $E$13)</f>
        <v>5.2931999999999997</v>
      </c>
      <c r="F329" s="61">
        <f>5.2932 * CHOOSE(CONTROL!$C$19, $C$13, 100%, $E$13)</f>
        <v>5.2931999999999997</v>
      </c>
      <c r="G329" s="61">
        <f>5.2934 * CHOOSE(CONTROL!$C$19, $C$13, 100%, $E$13)</f>
        <v>5.2934000000000001</v>
      </c>
      <c r="H329" s="61">
        <f>7.9879* CHOOSE(CONTROL!$C$19, $C$13, 100%, $E$13)</f>
        <v>7.9878999999999998</v>
      </c>
      <c r="I329" s="61">
        <f>7.9881 * CHOOSE(CONTROL!$C$19, $C$13, 100%, $E$13)</f>
        <v>7.9881000000000002</v>
      </c>
      <c r="J329" s="61">
        <f>5.2932 * CHOOSE(CONTROL!$C$19, $C$13, 100%, $E$13)</f>
        <v>5.2931999999999997</v>
      </c>
      <c r="K329" s="61">
        <f>5.2934 * CHOOSE(CONTROL!$C$19, $C$13, 100%, $E$13)</f>
        <v>5.2934000000000001</v>
      </c>
    </row>
    <row r="330" spans="1:11" ht="15">
      <c r="A330" s="13">
        <v>51898</v>
      </c>
      <c r="B330" s="60">
        <f>4.8073 * CHOOSE(CONTROL!$C$19, $C$13, 100%, $E$13)</f>
        <v>4.8072999999999997</v>
      </c>
      <c r="C330" s="60">
        <f>4.8073 * CHOOSE(CONTROL!$C$19, $C$13, 100%, $E$13)</f>
        <v>4.8072999999999997</v>
      </c>
      <c r="D330" s="60">
        <f>4.8241 * CHOOSE(CONTROL!$C$19, $C$13, 100%, $E$13)</f>
        <v>4.8240999999999996</v>
      </c>
      <c r="E330" s="61">
        <f>5.2137 * CHOOSE(CONTROL!$C$19, $C$13, 100%, $E$13)</f>
        <v>5.2137000000000002</v>
      </c>
      <c r="F330" s="61">
        <f>5.2137 * CHOOSE(CONTROL!$C$19, $C$13, 100%, $E$13)</f>
        <v>5.2137000000000002</v>
      </c>
      <c r="G330" s="61">
        <f>5.2139 * CHOOSE(CONTROL!$C$19, $C$13, 100%, $E$13)</f>
        <v>5.2138999999999998</v>
      </c>
      <c r="H330" s="61">
        <f>8.0045* CHOOSE(CONTROL!$C$19, $C$13, 100%, $E$13)</f>
        <v>8.0045000000000002</v>
      </c>
      <c r="I330" s="61">
        <f>8.0047 * CHOOSE(CONTROL!$C$19, $C$13, 100%, $E$13)</f>
        <v>8.0046999999999997</v>
      </c>
      <c r="J330" s="61">
        <f>5.2137 * CHOOSE(CONTROL!$C$19, $C$13, 100%, $E$13)</f>
        <v>5.2137000000000002</v>
      </c>
      <c r="K330" s="61">
        <f>5.2139 * CHOOSE(CONTROL!$C$19, $C$13, 100%, $E$13)</f>
        <v>5.2138999999999998</v>
      </c>
    </row>
    <row r="331" spans="1:11" ht="15">
      <c r="A331" s="13">
        <v>51926</v>
      </c>
      <c r="B331" s="60">
        <f>4.8042 * CHOOSE(CONTROL!$C$19, $C$13, 100%, $E$13)</f>
        <v>4.8041999999999998</v>
      </c>
      <c r="C331" s="60">
        <f>4.8042 * CHOOSE(CONTROL!$C$19, $C$13, 100%, $E$13)</f>
        <v>4.8041999999999998</v>
      </c>
      <c r="D331" s="60">
        <f>4.821 * CHOOSE(CONTROL!$C$19, $C$13, 100%, $E$13)</f>
        <v>4.8209999999999997</v>
      </c>
      <c r="E331" s="61">
        <f>5.2726 * CHOOSE(CONTROL!$C$19, $C$13, 100%, $E$13)</f>
        <v>5.2725999999999997</v>
      </c>
      <c r="F331" s="61">
        <f>5.2726 * CHOOSE(CONTROL!$C$19, $C$13, 100%, $E$13)</f>
        <v>5.2725999999999997</v>
      </c>
      <c r="G331" s="61">
        <f>5.2728 * CHOOSE(CONTROL!$C$19, $C$13, 100%, $E$13)</f>
        <v>5.2728000000000002</v>
      </c>
      <c r="H331" s="61">
        <f>8.0212* CHOOSE(CONTROL!$C$19, $C$13, 100%, $E$13)</f>
        <v>8.0212000000000003</v>
      </c>
      <c r="I331" s="61">
        <f>8.0214 * CHOOSE(CONTROL!$C$19, $C$13, 100%, $E$13)</f>
        <v>8.0213999999999999</v>
      </c>
      <c r="J331" s="61">
        <f>5.2726 * CHOOSE(CONTROL!$C$19, $C$13, 100%, $E$13)</f>
        <v>5.2725999999999997</v>
      </c>
      <c r="K331" s="61">
        <f>5.2728 * CHOOSE(CONTROL!$C$19, $C$13, 100%, $E$13)</f>
        <v>5.2728000000000002</v>
      </c>
    </row>
    <row r="332" spans="1:11" ht="15">
      <c r="A332" s="13">
        <v>51957</v>
      </c>
      <c r="B332" s="60">
        <f>4.8027 * CHOOSE(CONTROL!$C$19, $C$13, 100%, $E$13)</f>
        <v>4.8026999999999997</v>
      </c>
      <c r="C332" s="60">
        <f>4.8027 * CHOOSE(CONTROL!$C$19, $C$13, 100%, $E$13)</f>
        <v>4.8026999999999997</v>
      </c>
      <c r="D332" s="60">
        <f>4.8195 * CHOOSE(CONTROL!$C$19, $C$13, 100%, $E$13)</f>
        <v>4.8194999999999997</v>
      </c>
      <c r="E332" s="61">
        <f>5.3339 * CHOOSE(CONTROL!$C$19, $C$13, 100%, $E$13)</f>
        <v>5.3338999999999999</v>
      </c>
      <c r="F332" s="61">
        <f>5.3339 * CHOOSE(CONTROL!$C$19, $C$13, 100%, $E$13)</f>
        <v>5.3338999999999999</v>
      </c>
      <c r="G332" s="61">
        <f>5.3341 * CHOOSE(CONTROL!$C$19, $C$13, 100%, $E$13)</f>
        <v>5.3341000000000003</v>
      </c>
      <c r="H332" s="61">
        <f>8.0379* CHOOSE(CONTROL!$C$19, $C$13, 100%, $E$13)</f>
        <v>8.0379000000000005</v>
      </c>
      <c r="I332" s="61">
        <f>8.0381 * CHOOSE(CONTROL!$C$19, $C$13, 100%, $E$13)</f>
        <v>8.0381</v>
      </c>
      <c r="J332" s="61">
        <f>5.3339 * CHOOSE(CONTROL!$C$19, $C$13, 100%, $E$13)</f>
        <v>5.3338999999999999</v>
      </c>
      <c r="K332" s="61">
        <f>5.3341 * CHOOSE(CONTROL!$C$19, $C$13, 100%, $E$13)</f>
        <v>5.3341000000000003</v>
      </c>
    </row>
    <row r="333" spans="1:11" ht="15">
      <c r="A333" s="13">
        <v>51987</v>
      </c>
      <c r="B333" s="60">
        <f>4.8027 * CHOOSE(CONTROL!$C$19, $C$13, 100%, $E$13)</f>
        <v>4.8026999999999997</v>
      </c>
      <c r="C333" s="60">
        <f>4.8027 * CHOOSE(CONTROL!$C$19, $C$13, 100%, $E$13)</f>
        <v>4.8026999999999997</v>
      </c>
      <c r="D333" s="60">
        <f>4.8364 * CHOOSE(CONTROL!$C$19, $C$13, 100%, $E$13)</f>
        <v>4.8364000000000003</v>
      </c>
      <c r="E333" s="61">
        <f>5.3585 * CHOOSE(CONTROL!$C$19, $C$13, 100%, $E$13)</f>
        <v>5.3585000000000003</v>
      </c>
      <c r="F333" s="61">
        <f>5.3585 * CHOOSE(CONTROL!$C$19, $C$13, 100%, $E$13)</f>
        <v>5.3585000000000003</v>
      </c>
      <c r="G333" s="61">
        <f>5.3606 * CHOOSE(CONTROL!$C$19, $C$13, 100%, $E$13)</f>
        <v>5.3605999999999998</v>
      </c>
      <c r="H333" s="61">
        <f>8.0547* CHOOSE(CONTROL!$C$19, $C$13, 100%, $E$13)</f>
        <v>8.0547000000000004</v>
      </c>
      <c r="I333" s="61">
        <f>8.0568 * CHOOSE(CONTROL!$C$19, $C$13, 100%, $E$13)</f>
        <v>8.0568000000000008</v>
      </c>
      <c r="J333" s="61">
        <f>5.3585 * CHOOSE(CONTROL!$C$19, $C$13, 100%, $E$13)</f>
        <v>5.3585000000000003</v>
      </c>
      <c r="K333" s="61">
        <f>5.3606 * CHOOSE(CONTROL!$C$19, $C$13, 100%, $E$13)</f>
        <v>5.3605999999999998</v>
      </c>
    </row>
    <row r="334" spans="1:11" ht="15">
      <c r="A334" s="13">
        <v>52018</v>
      </c>
      <c r="B334" s="60">
        <f>4.8088 * CHOOSE(CONTROL!$C$19, $C$13, 100%, $E$13)</f>
        <v>4.8087999999999997</v>
      </c>
      <c r="C334" s="60">
        <f>4.8088 * CHOOSE(CONTROL!$C$19, $C$13, 100%, $E$13)</f>
        <v>4.8087999999999997</v>
      </c>
      <c r="D334" s="60">
        <f>4.8424 * CHOOSE(CONTROL!$C$19, $C$13, 100%, $E$13)</f>
        <v>4.8423999999999996</v>
      </c>
      <c r="E334" s="61">
        <f>5.3382 * CHOOSE(CONTROL!$C$19, $C$13, 100%, $E$13)</f>
        <v>5.3381999999999996</v>
      </c>
      <c r="F334" s="61">
        <f>5.3382 * CHOOSE(CONTROL!$C$19, $C$13, 100%, $E$13)</f>
        <v>5.3381999999999996</v>
      </c>
      <c r="G334" s="61">
        <f>5.3402 * CHOOSE(CONTROL!$C$19, $C$13, 100%, $E$13)</f>
        <v>5.3402000000000003</v>
      </c>
      <c r="H334" s="61">
        <f>8.0714* CHOOSE(CONTROL!$C$19, $C$13, 100%, $E$13)</f>
        <v>8.0714000000000006</v>
      </c>
      <c r="I334" s="61">
        <f>8.0735 * CHOOSE(CONTROL!$C$19, $C$13, 100%, $E$13)</f>
        <v>8.0734999999999992</v>
      </c>
      <c r="J334" s="61">
        <f>5.3382 * CHOOSE(CONTROL!$C$19, $C$13, 100%, $E$13)</f>
        <v>5.3381999999999996</v>
      </c>
      <c r="K334" s="61">
        <f>5.3402 * CHOOSE(CONTROL!$C$19, $C$13, 100%, $E$13)</f>
        <v>5.3402000000000003</v>
      </c>
    </row>
    <row r="335" spans="1:11" ht="15">
      <c r="A335" s="13">
        <v>52048</v>
      </c>
      <c r="B335" s="60">
        <f>4.885 * CHOOSE(CONTROL!$C$19, $C$13, 100%, $E$13)</f>
        <v>4.8849999999999998</v>
      </c>
      <c r="C335" s="60">
        <f>4.885 * CHOOSE(CONTROL!$C$19, $C$13, 100%, $E$13)</f>
        <v>4.8849999999999998</v>
      </c>
      <c r="D335" s="60">
        <f>4.9187 * CHOOSE(CONTROL!$C$19, $C$13, 100%, $E$13)</f>
        <v>4.9187000000000003</v>
      </c>
      <c r="E335" s="61">
        <f>5.4424 * CHOOSE(CONTROL!$C$19, $C$13, 100%, $E$13)</f>
        <v>5.4424000000000001</v>
      </c>
      <c r="F335" s="61">
        <f>5.4424 * CHOOSE(CONTROL!$C$19, $C$13, 100%, $E$13)</f>
        <v>5.4424000000000001</v>
      </c>
      <c r="G335" s="61">
        <f>5.4445 * CHOOSE(CONTROL!$C$19, $C$13, 100%, $E$13)</f>
        <v>5.4444999999999997</v>
      </c>
      <c r="H335" s="61">
        <f>8.0883* CHOOSE(CONTROL!$C$19, $C$13, 100%, $E$13)</f>
        <v>8.0883000000000003</v>
      </c>
      <c r="I335" s="61">
        <f>8.0904 * CHOOSE(CONTROL!$C$19, $C$13, 100%, $E$13)</f>
        <v>8.0904000000000007</v>
      </c>
      <c r="J335" s="61">
        <f>5.4424 * CHOOSE(CONTROL!$C$19, $C$13, 100%, $E$13)</f>
        <v>5.4424000000000001</v>
      </c>
      <c r="K335" s="61">
        <f>5.4445 * CHOOSE(CONTROL!$C$19, $C$13, 100%, $E$13)</f>
        <v>5.4444999999999997</v>
      </c>
    </row>
    <row r="336" spans="1:11" ht="15">
      <c r="A336" s="13">
        <v>52079</v>
      </c>
      <c r="B336" s="60">
        <f>4.8917 * CHOOSE(CONTROL!$C$19, $C$13, 100%, $E$13)</f>
        <v>4.8917000000000002</v>
      </c>
      <c r="C336" s="60">
        <f>4.8917 * CHOOSE(CONTROL!$C$19, $C$13, 100%, $E$13)</f>
        <v>4.8917000000000002</v>
      </c>
      <c r="D336" s="60">
        <f>4.9253 * CHOOSE(CONTROL!$C$19, $C$13, 100%, $E$13)</f>
        <v>4.9253</v>
      </c>
      <c r="E336" s="61">
        <f>5.3733 * CHOOSE(CONTROL!$C$19, $C$13, 100%, $E$13)</f>
        <v>5.3733000000000004</v>
      </c>
      <c r="F336" s="61">
        <f>5.3733 * CHOOSE(CONTROL!$C$19, $C$13, 100%, $E$13)</f>
        <v>5.3733000000000004</v>
      </c>
      <c r="G336" s="61">
        <f>5.3754 * CHOOSE(CONTROL!$C$19, $C$13, 100%, $E$13)</f>
        <v>5.3754</v>
      </c>
      <c r="H336" s="61">
        <f>8.1051* CHOOSE(CONTROL!$C$19, $C$13, 100%, $E$13)</f>
        <v>8.1051000000000002</v>
      </c>
      <c r="I336" s="61">
        <f>8.1072 * CHOOSE(CONTROL!$C$19, $C$13, 100%, $E$13)</f>
        <v>8.1072000000000006</v>
      </c>
      <c r="J336" s="61">
        <f>5.3733 * CHOOSE(CONTROL!$C$19, $C$13, 100%, $E$13)</f>
        <v>5.3733000000000004</v>
      </c>
      <c r="K336" s="61">
        <f>5.3754 * CHOOSE(CONTROL!$C$19, $C$13, 100%, $E$13)</f>
        <v>5.3754</v>
      </c>
    </row>
    <row r="337" spans="1:11" ht="15">
      <c r="A337" s="13">
        <v>52110</v>
      </c>
      <c r="B337" s="60">
        <f>4.8886 * CHOOSE(CONTROL!$C$19, $C$13, 100%, $E$13)</f>
        <v>4.8886000000000003</v>
      </c>
      <c r="C337" s="60">
        <f>4.8886 * CHOOSE(CONTROL!$C$19, $C$13, 100%, $E$13)</f>
        <v>4.8886000000000003</v>
      </c>
      <c r="D337" s="60">
        <f>4.9223 * CHOOSE(CONTROL!$C$19, $C$13, 100%, $E$13)</f>
        <v>4.9222999999999999</v>
      </c>
      <c r="E337" s="61">
        <f>5.363 * CHOOSE(CONTROL!$C$19, $C$13, 100%, $E$13)</f>
        <v>5.3630000000000004</v>
      </c>
      <c r="F337" s="61">
        <f>5.363 * CHOOSE(CONTROL!$C$19, $C$13, 100%, $E$13)</f>
        <v>5.3630000000000004</v>
      </c>
      <c r="G337" s="61">
        <f>5.3651 * CHOOSE(CONTROL!$C$19, $C$13, 100%, $E$13)</f>
        <v>5.3651</v>
      </c>
      <c r="H337" s="61">
        <f>8.122* CHOOSE(CONTROL!$C$19, $C$13, 100%, $E$13)</f>
        <v>8.1219999999999999</v>
      </c>
      <c r="I337" s="61">
        <f>8.1241 * CHOOSE(CONTROL!$C$19, $C$13, 100%, $E$13)</f>
        <v>8.1241000000000003</v>
      </c>
      <c r="J337" s="61">
        <f>5.363 * CHOOSE(CONTROL!$C$19, $C$13, 100%, $E$13)</f>
        <v>5.3630000000000004</v>
      </c>
      <c r="K337" s="61">
        <f>5.3651 * CHOOSE(CONTROL!$C$19, $C$13, 100%, $E$13)</f>
        <v>5.3651</v>
      </c>
    </row>
    <row r="338" spans="1:11" ht="15">
      <c r="A338" s="13">
        <v>52140</v>
      </c>
      <c r="B338" s="60">
        <f>4.8872 * CHOOSE(CONTROL!$C$19, $C$13, 100%, $E$13)</f>
        <v>4.8872</v>
      </c>
      <c r="C338" s="60">
        <f>4.8872 * CHOOSE(CONTROL!$C$19, $C$13, 100%, $E$13)</f>
        <v>4.8872</v>
      </c>
      <c r="D338" s="60">
        <f>4.904 * CHOOSE(CONTROL!$C$19, $C$13, 100%, $E$13)</f>
        <v>4.9039999999999999</v>
      </c>
      <c r="E338" s="61">
        <f>5.3823 * CHOOSE(CONTROL!$C$19, $C$13, 100%, $E$13)</f>
        <v>5.3822999999999999</v>
      </c>
      <c r="F338" s="61">
        <f>5.3823 * CHOOSE(CONTROL!$C$19, $C$13, 100%, $E$13)</f>
        <v>5.3822999999999999</v>
      </c>
      <c r="G338" s="61">
        <f>5.3825 * CHOOSE(CONTROL!$C$19, $C$13, 100%, $E$13)</f>
        <v>5.3825000000000003</v>
      </c>
      <c r="H338" s="61">
        <f>8.1389* CHOOSE(CONTROL!$C$19, $C$13, 100%, $E$13)</f>
        <v>8.1388999999999996</v>
      </c>
      <c r="I338" s="61">
        <f>8.1391 * CHOOSE(CONTROL!$C$19, $C$13, 100%, $E$13)</f>
        <v>8.1390999999999991</v>
      </c>
      <c r="J338" s="61">
        <f>5.3823 * CHOOSE(CONTROL!$C$19, $C$13, 100%, $E$13)</f>
        <v>5.3822999999999999</v>
      </c>
      <c r="K338" s="61">
        <f>5.3825 * CHOOSE(CONTROL!$C$19, $C$13, 100%, $E$13)</f>
        <v>5.3825000000000003</v>
      </c>
    </row>
    <row r="339" spans="1:11" ht="15">
      <c r="A339" s="13">
        <v>52171</v>
      </c>
      <c r="B339" s="60">
        <f>4.8902 * CHOOSE(CONTROL!$C$19, $C$13, 100%, $E$13)</f>
        <v>4.8902000000000001</v>
      </c>
      <c r="C339" s="60">
        <f>4.8902 * CHOOSE(CONTROL!$C$19, $C$13, 100%, $E$13)</f>
        <v>4.8902000000000001</v>
      </c>
      <c r="D339" s="60">
        <f>4.9071 * CHOOSE(CONTROL!$C$19, $C$13, 100%, $E$13)</f>
        <v>4.9070999999999998</v>
      </c>
      <c r="E339" s="61">
        <f>5.4009 * CHOOSE(CONTROL!$C$19, $C$13, 100%, $E$13)</f>
        <v>5.4009</v>
      </c>
      <c r="F339" s="61">
        <f>5.4009 * CHOOSE(CONTROL!$C$19, $C$13, 100%, $E$13)</f>
        <v>5.4009</v>
      </c>
      <c r="G339" s="61">
        <f>5.401 * CHOOSE(CONTROL!$C$19, $C$13, 100%, $E$13)</f>
        <v>5.4009999999999998</v>
      </c>
      <c r="H339" s="61">
        <f>8.1559* CHOOSE(CONTROL!$C$19, $C$13, 100%, $E$13)</f>
        <v>8.1559000000000008</v>
      </c>
      <c r="I339" s="61">
        <f>8.1561 * CHOOSE(CONTROL!$C$19, $C$13, 100%, $E$13)</f>
        <v>8.1561000000000003</v>
      </c>
      <c r="J339" s="61">
        <f>5.4009 * CHOOSE(CONTROL!$C$19, $C$13, 100%, $E$13)</f>
        <v>5.4009</v>
      </c>
      <c r="K339" s="61">
        <f>5.401 * CHOOSE(CONTROL!$C$19, $C$13, 100%, $E$13)</f>
        <v>5.4009999999999998</v>
      </c>
    </row>
    <row r="340" spans="1:11" ht="15">
      <c r="A340" s="13">
        <v>52201</v>
      </c>
      <c r="B340" s="60">
        <f>4.8902 * CHOOSE(CONTROL!$C$19, $C$13, 100%, $E$13)</f>
        <v>4.8902000000000001</v>
      </c>
      <c r="C340" s="60">
        <f>4.8902 * CHOOSE(CONTROL!$C$19, $C$13, 100%, $E$13)</f>
        <v>4.8902000000000001</v>
      </c>
      <c r="D340" s="60">
        <f>4.9071 * CHOOSE(CONTROL!$C$19, $C$13, 100%, $E$13)</f>
        <v>4.9070999999999998</v>
      </c>
      <c r="E340" s="61">
        <f>5.3599 * CHOOSE(CONTROL!$C$19, $C$13, 100%, $E$13)</f>
        <v>5.3598999999999997</v>
      </c>
      <c r="F340" s="61">
        <f>5.3599 * CHOOSE(CONTROL!$C$19, $C$13, 100%, $E$13)</f>
        <v>5.3598999999999997</v>
      </c>
      <c r="G340" s="61">
        <f>5.3601 * CHOOSE(CONTROL!$C$19, $C$13, 100%, $E$13)</f>
        <v>5.3601000000000001</v>
      </c>
      <c r="H340" s="61">
        <f>8.1729* CHOOSE(CONTROL!$C$19, $C$13, 100%, $E$13)</f>
        <v>8.1729000000000003</v>
      </c>
      <c r="I340" s="61">
        <f>8.173 * CHOOSE(CONTROL!$C$19, $C$13, 100%, $E$13)</f>
        <v>8.173</v>
      </c>
      <c r="J340" s="61">
        <f>5.3599 * CHOOSE(CONTROL!$C$19, $C$13, 100%, $E$13)</f>
        <v>5.3598999999999997</v>
      </c>
      <c r="K340" s="61">
        <f>5.3601 * CHOOSE(CONTROL!$C$19, $C$13, 100%, $E$13)</f>
        <v>5.3601000000000001</v>
      </c>
    </row>
    <row r="341" spans="1:11" ht="15">
      <c r="A341" s="13">
        <v>52232</v>
      </c>
      <c r="B341" s="60">
        <f>4.9327 * CHOOSE(CONTROL!$C$19, $C$13, 100%, $E$13)</f>
        <v>4.9326999999999996</v>
      </c>
      <c r="C341" s="60">
        <f>4.9327 * CHOOSE(CONTROL!$C$19, $C$13, 100%, $E$13)</f>
        <v>4.9326999999999996</v>
      </c>
      <c r="D341" s="60">
        <f>4.9495 * CHOOSE(CONTROL!$C$19, $C$13, 100%, $E$13)</f>
        <v>4.9494999999999996</v>
      </c>
      <c r="E341" s="61">
        <f>5.4417 * CHOOSE(CONTROL!$C$19, $C$13, 100%, $E$13)</f>
        <v>5.4417</v>
      </c>
      <c r="F341" s="61">
        <f>5.4417 * CHOOSE(CONTROL!$C$19, $C$13, 100%, $E$13)</f>
        <v>5.4417</v>
      </c>
      <c r="G341" s="61">
        <f>5.4419 * CHOOSE(CONTROL!$C$19, $C$13, 100%, $E$13)</f>
        <v>5.4419000000000004</v>
      </c>
      <c r="H341" s="61">
        <f>8.1899* CHOOSE(CONTROL!$C$19, $C$13, 100%, $E$13)</f>
        <v>8.1898999999999997</v>
      </c>
      <c r="I341" s="61">
        <f>8.1901 * CHOOSE(CONTROL!$C$19, $C$13, 100%, $E$13)</f>
        <v>8.1900999999999993</v>
      </c>
      <c r="J341" s="61">
        <f>5.4417 * CHOOSE(CONTROL!$C$19, $C$13, 100%, $E$13)</f>
        <v>5.4417</v>
      </c>
      <c r="K341" s="61">
        <f>5.4419 * CHOOSE(CONTROL!$C$19, $C$13, 100%, $E$13)</f>
        <v>5.4419000000000004</v>
      </c>
    </row>
    <row r="342" spans="1:11" ht="15">
      <c r="A342" s="13">
        <v>52263</v>
      </c>
      <c r="B342" s="60">
        <f>4.9296 * CHOOSE(CONTROL!$C$19, $C$13, 100%, $E$13)</f>
        <v>4.9295999999999998</v>
      </c>
      <c r="C342" s="60">
        <f>4.9296 * CHOOSE(CONTROL!$C$19, $C$13, 100%, $E$13)</f>
        <v>4.9295999999999998</v>
      </c>
      <c r="D342" s="60">
        <f>4.9465 * CHOOSE(CONTROL!$C$19, $C$13, 100%, $E$13)</f>
        <v>4.9465000000000003</v>
      </c>
      <c r="E342" s="61">
        <f>5.3597 * CHOOSE(CONTROL!$C$19, $C$13, 100%, $E$13)</f>
        <v>5.3597000000000001</v>
      </c>
      <c r="F342" s="61">
        <f>5.3597 * CHOOSE(CONTROL!$C$19, $C$13, 100%, $E$13)</f>
        <v>5.3597000000000001</v>
      </c>
      <c r="G342" s="61">
        <f>5.3599 * CHOOSE(CONTROL!$C$19, $C$13, 100%, $E$13)</f>
        <v>5.3598999999999997</v>
      </c>
      <c r="H342" s="61">
        <f>8.207* CHOOSE(CONTROL!$C$19, $C$13, 100%, $E$13)</f>
        <v>8.2070000000000007</v>
      </c>
      <c r="I342" s="61">
        <f>8.2071 * CHOOSE(CONTROL!$C$19, $C$13, 100%, $E$13)</f>
        <v>8.2071000000000005</v>
      </c>
      <c r="J342" s="61">
        <f>5.3597 * CHOOSE(CONTROL!$C$19, $C$13, 100%, $E$13)</f>
        <v>5.3597000000000001</v>
      </c>
      <c r="K342" s="61">
        <f>5.3599 * CHOOSE(CONTROL!$C$19, $C$13, 100%, $E$13)</f>
        <v>5.3598999999999997</v>
      </c>
    </row>
    <row r="343" spans="1:11" ht="15">
      <c r="A343" s="13">
        <v>52291</v>
      </c>
      <c r="B343" s="60">
        <f>4.9266 * CHOOSE(CONTROL!$C$19, $C$13, 100%, $E$13)</f>
        <v>4.9265999999999996</v>
      </c>
      <c r="C343" s="60">
        <f>4.9266 * CHOOSE(CONTROL!$C$19, $C$13, 100%, $E$13)</f>
        <v>4.9265999999999996</v>
      </c>
      <c r="D343" s="60">
        <f>4.9434 * CHOOSE(CONTROL!$C$19, $C$13, 100%, $E$13)</f>
        <v>4.9433999999999996</v>
      </c>
      <c r="E343" s="61">
        <f>5.4206 * CHOOSE(CONTROL!$C$19, $C$13, 100%, $E$13)</f>
        <v>5.4206000000000003</v>
      </c>
      <c r="F343" s="61">
        <f>5.4206 * CHOOSE(CONTROL!$C$19, $C$13, 100%, $E$13)</f>
        <v>5.4206000000000003</v>
      </c>
      <c r="G343" s="61">
        <f>5.4208 * CHOOSE(CONTROL!$C$19, $C$13, 100%, $E$13)</f>
        <v>5.4207999999999998</v>
      </c>
      <c r="H343" s="61">
        <f>8.2241* CHOOSE(CONTROL!$C$19, $C$13, 100%, $E$13)</f>
        <v>8.2241</v>
      </c>
      <c r="I343" s="61">
        <f>8.2242 * CHOOSE(CONTROL!$C$19, $C$13, 100%, $E$13)</f>
        <v>8.2241999999999997</v>
      </c>
      <c r="J343" s="61">
        <f>5.4206 * CHOOSE(CONTROL!$C$19, $C$13, 100%, $E$13)</f>
        <v>5.4206000000000003</v>
      </c>
      <c r="K343" s="61">
        <f>5.4208 * CHOOSE(CONTROL!$C$19, $C$13, 100%, $E$13)</f>
        <v>5.4207999999999998</v>
      </c>
    </row>
    <row r="344" spans="1:11" ht="15">
      <c r="A344" s="13">
        <v>52322</v>
      </c>
      <c r="B344" s="60">
        <f>4.9252 * CHOOSE(CONTROL!$C$19, $C$13, 100%, $E$13)</f>
        <v>4.9252000000000002</v>
      </c>
      <c r="C344" s="60">
        <f>4.9252 * CHOOSE(CONTROL!$C$19, $C$13, 100%, $E$13)</f>
        <v>4.9252000000000002</v>
      </c>
      <c r="D344" s="60">
        <f>4.942 * CHOOSE(CONTROL!$C$19, $C$13, 100%, $E$13)</f>
        <v>4.9420000000000002</v>
      </c>
      <c r="E344" s="61">
        <f>5.484 * CHOOSE(CONTROL!$C$19, $C$13, 100%, $E$13)</f>
        <v>5.484</v>
      </c>
      <c r="F344" s="61">
        <f>5.484 * CHOOSE(CONTROL!$C$19, $C$13, 100%, $E$13)</f>
        <v>5.484</v>
      </c>
      <c r="G344" s="61">
        <f>5.4842 * CHOOSE(CONTROL!$C$19, $C$13, 100%, $E$13)</f>
        <v>5.4842000000000004</v>
      </c>
      <c r="H344" s="61">
        <f>8.2412* CHOOSE(CONTROL!$C$19, $C$13, 100%, $E$13)</f>
        <v>8.2411999999999992</v>
      </c>
      <c r="I344" s="61">
        <f>8.2414 * CHOOSE(CONTROL!$C$19, $C$13, 100%, $E$13)</f>
        <v>8.2414000000000005</v>
      </c>
      <c r="J344" s="61">
        <f>5.484 * CHOOSE(CONTROL!$C$19, $C$13, 100%, $E$13)</f>
        <v>5.484</v>
      </c>
      <c r="K344" s="61">
        <f>5.4842 * CHOOSE(CONTROL!$C$19, $C$13, 100%, $E$13)</f>
        <v>5.4842000000000004</v>
      </c>
    </row>
    <row r="345" spans="1:11" ht="15">
      <c r="A345" s="13">
        <v>52352</v>
      </c>
      <c r="B345" s="60">
        <f>4.9252 * CHOOSE(CONTROL!$C$19, $C$13, 100%, $E$13)</f>
        <v>4.9252000000000002</v>
      </c>
      <c r="C345" s="60">
        <f>4.9252 * CHOOSE(CONTROL!$C$19, $C$13, 100%, $E$13)</f>
        <v>4.9252000000000002</v>
      </c>
      <c r="D345" s="60">
        <f>4.9589 * CHOOSE(CONTROL!$C$19, $C$13, 100%, $E$13)</f>
        <v>4.9588999999999999</v>
      </c>
      <c r="E345" s="61">
        <f>5.5094 * CHOOSE(CONTROL!$C$19, $C$13, 100%, $E$13)</f>
        <v>5.5094000000000003</v>
      </c>
      <c r="F345" s="61">
        <f>5.5094 * CHOOSE(CONTROL!$C$19, $C$13, 100%, $E$13)</f>
        <v>5.5094000000000003</v>
      </c>
      <c r="G345" s="61">
        <f>5.5114 * CHOOSE(CONTROL!$C$19, $C$13, 100%, $E$13)</f>
        <v>5.5114000000000001</v>
      </c>
      <c r="H345" s="61">
        <f>8.2584* CHOOSE(CONTROL!$C$19, $C$13, 100%, $E$13)</f>
        <v>8.2584</v>
      </c>
      <c r="I345" s="61">
        <f>8.2604 * CHOOSE(CONTROL!$C$19, $C$13, 100%, $E$13)</f>
        <v>8.2604000000000006</v>
      </c>
      <c r="J345" s="61">
        <f>5.5094 * CHOOSE(CONTROL!$C$19, $C$13, 100%, $E$13)</f>
        <v>5.5094000000000003</v>
      </c>
      <c r="K345" s="61">
        <f>5.5114 * CHOOSE(CONTROL!$C$19, $C$13, 100%, $E$13)</f>
        <v>5.5114000000000001</v>
      </c>
    </row>
    <row r="346" spans="1:11" ht="15">
      <c r="A346" s="13">
        <v>52383</v>
      </c>
      <c r="B346" s="60">
        <f>4.9313 * CHOOSE(CONTROL!$C$19, $C$13, 100%, $E$13)</f>
        <v>4.9313000000000002</v>
      </c>
      <c r="C346" s="60">
        <f>4.9313 * CHOOSE(CONTROL!$C$19, $C$13, 100%, $E$13)</f>
        <v>4.9313000000000002</v>
      </c>
      <c r="D346" s="60">
        <f>4.9649 * CHOOSE(CONTROL!$C$19, $C$13, 100%, $E$13)</f>
        <v>4.9649000000000001</v>
      </c>
      <c r="E346" s="61">
        <f>5.4882 * CHOOSE(CONTROL!$C$19, $C$13, 100%, $E$13)</f>
        <v>5.4882</v>
      </c>
      <c r="F346" s="61">
        <f>5.4882 * CHOOSE(CONTROL!$C$19, $C$13, 100%, $E$13)</f>
        <v>5.4882</v>
      </c>
      <c r="G346" s="61">
        <f>5.4903 * CHOOSE(CONTROL!$C$19, $C$13, 100%, $E$13)</f>
        <v>5.4903000000000004</v>
      </c>
      <c r="H346" s="61">
        <f>8.2756* CHOOSE(CONTROL!$C$19, $C$13, 100%, $E$13)</f>
        <v>8.2756000000000007</v>
      </c>
      <c r="I346" s="61">
        <f>8.2776 * CHOOSE(CONTROL!$C$19, $C$13, 100%, $E$13)</f>
        <v>8.2775999999999996</v>
      </c>
      <c r="J346" s="61">
        <f>5.4882 * CHOOSE(CONTROL!$C$19, $C$13, 100%, $E$13)</f>
        <v>5.4882</v>
      </c>
      <c r="K346" s="61">
        <f>5.4903 * CHOOSE(CONTROL!$C$19, $C$13, 100%, $E$13)</f>
        <v>5.4903000000000004</v>
      </c>
    </row>
    <row r="347" spans="1:11" ht="15">
      <c r="A347" s="13">
        <v>52413</v>
      </c>
      <c r="B347" s="60">
        <f>5.0083 * CHOOSE(CONTROL!$C$19, $C$13, 100%, $E$13)</f>
        <v>5.0083000000000002</v>
      </c>
      <c r="C347" s="60">
        <f>5.0083 * CHOOSE(CONTROL!$C$19, $C$13, 100%, $E$13)</f>
        <v>5.0083000000000002</v>
      </c>
      <c r="D347" s="60">
        <f>5.042 * CHOOSE(CONTROL!$C$19, $C$13, 100%, $E$13)</f>
        <v>5.0419999999999998</v>
      </c>
      <c r="E347" s="61">
        <f>5.5951 * CHOOSE(CONTROL!$C$19, $C$13, 100%, $E$13)</f>
        <v>5.5951000000000004</v>
      </c>
      <c r="F347" s="61">
        <f>5.5951 * CHOOSE(CONTROL!$C$19, $C$13, 100%, $E$13)</f>
        <v>5.5951000000000004</v>
      </c>
      <c r="G347" s="61">
        <f>5.5972 * CHOOSE(CONTROL!$C$19, $C$13, 100%, $E$13)</f>
        <v>5.5972</v>
      </c>
      <c r="H347" s="61">
        <f>8.2928* CHOOSE(CONTROL!$C$19, $C$13, 100%, $E$13)</f>
        <v>8.2927999999999997</v>
      </c>
      <c r="I347" s="61">
        <f>8.2949 * CHOOSE(CONTROL!$C$19, $C$13, 100%, $E$13)</f>
        <v>8.2949000000000002</v>
      </c>
      <c r="J347" s="61">
        <f>5.5951 * CHOOSE(CONTROL!$C$19, $C$13, 100%, $E$13)</f>
        <v>5.5951000000000004</v>
      </c>
      <c r="K347" s="61">
        <f>5.5972 * CHOOSE(CONTROL!$C$19, $C$13, 100%, $E$13)</f>
        <v>5.5972</v>
      </c>
    </row>
    <row r="348" spans="1:11" ht="15">
      <c r="A348" s="13">
        <v>52444</v>
      </c>
      <c r="B348" s="60">
        <f>5.015 * CHOOSE(CONTROL!$C$19, $C$13, 100%, $E$13)</f>
        <v>5.0149999999999997</v>
      </c>
      <c r="C348" s="60">
        <f>5.015 * CHOOSE(CONTROL!$C$19, $C$13, 100%, $E$13)</f>
        <v>5.0149999999999997</v>
      </c>
      <c r="D348" s="60">
        <f>5.0487 * CHOOSE(CONTROL!$C$19, $C$13, 100%, $E$13)</f>
        <v>5.0487000000000002</v>
      </c>
      <c r="E348" s="61">
        <f>5.5237 * CHOOSE(CONTROL!$C$19, $C$13, 100%, $E$13)</f>
        <v>5.5236999999999998</v>
      </c>
      <c r="F348" s="61">
        <f>5.5237 * CHOOSE(CONTROL!$C$19, $C$13, 100%, $E$13)</f>
        <v>5.5236999999999998</v>
      </c>
      <c r="G348" s="61">
        <f>5.5258 * CHOOSE(CONTROL!$C$19, $C$13, 100%, $E$13)</f>
        <v>5.5258000000000003</v>
      </c>
      <c r="H348" s="61">
        <f>8.3101* CHOOSE(CONTROL!$C$19, $C$13, 100%, $E$13)</f>
        <v>8.3101000000000003</v>
      </c>
      <c r="I348" s="61">
        <f>8.3122 * CHOOSE(CONTROL!$C$19, $C$13, 100%, $E$13)</f>
        <v>8.3122000000000007</v>
      </c>
      <c r="J348" s="61">
        <f>5.5237 * CHOOSE(CONTROL!$C$19, $C$13, 100%, $E$13)</f>
        <v>5.5236999999999998</v>
      </c>
      <c r="K348" s="61">
        <f>5.5258 * CHOOSE(CONTROL!$C$19, $C$13, 100%, $E$13)</f>
        <v>5.5258000000000003</v>
      </c>
    </row>
    <row r="349" spans="1:11" ht="15">
      <c r="A349" s="13">
        <v>52475</v>
      </c>
      <c r="B349" s="60">
        <f>5.012 * CHOOSE(CONTROL!$C$19, $C$13, 100%, $E$13)</f>
        <v>5.0119999999999996</v>
      </c>
      <c r="C349" s="60">
        <f>5.012 * CHOOSE(CONTROL!$C$19, $C$13, 100%, $E$13)</f>
        <v>5.0119999999999996</v>
      </c>
      <c r="D349" s="60">
        <f>5.0456 * CHOOSE(CONTROL!$C$19, $C$13, 100%, $E$13)</f>
        <v>5.0456000000000003</v>
      </c>
      <c r="E349" s="61">
        <f>5.5131 * CHOOSE(CONTROL!$C$19, $C$13, 100%, $E$13)</f>
        <v>5.5130999999999997</v>
      </c>
      <c r="F349" s="61">
        <f>5.5131 * CHOOSE(CONTROL!$C$19, $C$13, 100%, $E$13)</f>
        <v>5.5130999999999997</v>
      </c>
      <c r="G349" s="61">
        <f>5.5152 * CHOOSE(CONTROL!$C$19, $C$13, 100%, $E$13)</f>
        <v>5.5152000000000001</v>
      </c>
      <c r="H349" s="61">
        <f>8.3274* CHOOSE(CONTROL!$C$19, $C$13, 100%, $E$13)</f>
        <v>8.3274000000000008</v>
      </c>
      <c r="I349" s="61">
        <f>8.3295 * CHOOSE(CONTROL!$C$19, $C$13, 100%, $E$13)</f>
        <v>8.3294999999999995</v>
      </c>
      <c r="J349" s="61">
        <f>5.5131 * CHOOSE(CONTROL!$C$19, $C$13, 100%, $E$13)</f>
        <v>5.5130999999999997</v>
      </c>
      <c r="K349" s="61">
        <f>5.5152 * CHOOSE(CONTROL!$C$19, $C$13, 100%, $E$13)</f>
        <v>5.5152000000000001</v>
      </c>
    </row>
    <row r="350" spans="1:11" ht="15">
      <c r="A350" s="13">
        <v>52505</v>
      </c>
      <c r="B350" s="60">
        <f>5.011 * CHOOSE(CONTROL!$C$19, $C$13, 100%, $E$13)</f>
        <v>5.0110000000000001</v>
      </c>
      <c r="C350" s="60">
        <f>5.011 * CHOOSE(CONTROL!$C$19, $C$13, 100%, $E$13)</f>
        <v>5.0110000000000001</v>
      </c>
      <c r="D350" s="60">
        <f>5.0278 * CHOOSE(CONTROL!$C$19, $C$13, 100%, $E$13)</f>
        <v>5.0278</v>
      </c>
      <c r="E350" s="61">
        <f>5.5335 * CHOOSE(CONTROL!$C$19, $C$13, 100%, $E$13)</f>
        <v>5.5335000000000001</v>
      </c>
      <c r="F350" s="61">
        <f>5.5335 * CHOOSE(CONTROL!$C$19, $C$13, 100%, $E$13)</f>
        <v>5.5335000000000001</v>
      </c>
      <c r="G350" s="61">
        <f>5.5337 * CHOOSE(CONTROL!$C$19, $C$13, 100%, $E$13)</f>
        <v>5.5336999999999996</v>
      </c>
      <c r="H350" s="61">
        <f>8.3447* CHOOSE(CONTROL!$C$19, $C$13, 100%, $E$13)</f>
        <v>8.3446999999999996</v>
      </c>
      <c r="I350" s="61">
        <f>8.3449 * CHOOSE(CONTROL!$C$19, $C$13, 100%, $E$13)</f>
        <v>8.3449000000000009</v>
      </c>
      <c r="J350" s="61">
        <f>5.5335 * CHOOSE(CONTROL!$C$19, $C$13, 100%, $E$13)</f>
        <v>5.5335000000000001</v>
      </c>
      <c r="K350" s="61">
        <f>5.5337 * CHOOSE(CONTROL!$C$19, $C$13, 100%, $E$13)</f>
        <v>5.5336999999999996</v>
      </c>
    </row>
    <row r="351" spans="1:11" ht="15">
      <c r="A351" s="13">
        <v>52536</v>
      </c>
      <c r="B351" s="60">
        <f>5.014 * CHOOSE(CONTROL!$C$19, $C$13, 100%, $E$13)</f>
        <v>5.0140000000000002</v>
      </c>
      <c r="C351" s="60">
        <f>5.014 * CHOOSE(CONTROL!$C$19, $C$13, 100%, $E$13)</f>
        <v>5.0140000000000002</v>
      </c>
      <c r="D351" s="60">
        <f>5.0309 * CHOOSE(CONTROL!$C$19, $C$13, 100%, $E$13)</f>
        <v>5.0308999999999999</v>
      </c>
      <c r="E351" s="61">
        <f>5.5525 * CHOOSE(CONTROL!$C$19, $C$13, 100%, $E$13)</f>
        <v>5.5525000000000002</v>
      </c>
      <c r="F351" s="61">
        <f>5.5525 * CHOOSE(CONTROL!$C$19, $C$13, 100%, $E$13)</f>
        <v>5.5525000000000002</v>
      </c>
      <c r="G351" s="61">
        <f>5.5527 * CHOOSE(CONTROL!$C$19, $C$13, 100%, $E$13)</f>
        <v>5.5526999999999997</v>
      </c>
      <c r="H351" s="61">
        <f>8.3621* CHOOSE(CONTROL!$C$19, $C$13, 100%, $E$13)</f>
        <v>8.3620999999999999</v>
      </c>
      <c r="I351" s="61">
        <f>8.3623 * CHOOSE(CONTROL!$C$19, $C$13, 100%, $E$13)</f>
        <v>8.3622999999999994</v>
      </c>
      <c r="J351" s="61">
        <f>5.5525 * CHOOSE(CONTROL!$C$19, $C$13, 100%, $E$13)</f>
        <v>5.5525000000000002</v>
      </c>
      <c r="K351" s="61">
        <f>5.5527 * CHOOSE(CONTROL!$C$19, $C$13, 100%, $E$13)</f>
        <v>5.5526999999999997</v>
      </c>
    </row>
    <row r="352" spans="1:11" ht="15">
      <c r="A352" s="13">
        <v>52566</v>
      </c>
      <c r="B352" s="60">
        <f>5.014 * CHOOSE(CONTROL!$C$19, $C$13, 100%, $E$13)</f>
        <v>5.0140000000000002</v>
      </c>
      <c r="C352" s="60">
        <f>5.014 * CHOOSE(CONTROL!$C$19, $C$13, 100%, $E$13)</f>
        <v>5.0140000000000002</v>
      </c>
      <c r="D352" s="60">
        <f>5.0309 * CHOOSE(CONTROL!$C$19, $C$13, 100%, $E$13)</f>
        <v>5.0308999999999999</v>
      </c>
      <c r="E352" s="61">
        <f>5.5103 * CHOOSE(CONTROL!$C$19, $C$13, 100%, $E$13)</f>
        <v>5.5103</v>
      </c>
      <c r="F352" s="61">
        <f>5.5103 * CHOOSE(CONTROL!$C$19, $C$13, 100%, $E$13)</f>
        <v>5.5103</v>
      </c>
      <c r="G352" s="61">
        <f>5.5105 * CHOOSE(CONTROL!$C$19, $C$13, 100%, $E$13)</f>
        <v>5.5105000000000004</v>
      </c>
      <c r="H352" s="61">
        <f>8.3795* CHOOSE(CONTROL!$C$19, $C$13, 100%, $E$13)</f>
        <v>8.3795000000000002</v>
      </c>
      <c r="I352" s="61">
        <f>8.3797 * CHOOSE(CONTROL!$C$19, $C$13, 100%, $E$13)</f>
        <v>8.3796999999999997</v>
      </c>
      <c r="J352" s="61">
        <f>5.5103 * CHOOSE(CONTROL!$C$19, $C$13, 100%, $E$13)</f>
        <v>5.5103</v>
      </c>
      <c r="K352" s="61">
        <f>5.5105 * CHOOSE(CONTROL!$C$19, $C$13, 100%, $E$13)</f>
        <v>5.5105000000000004</v>
      </c>
    </row>
    <row r="353" spans="1:11" ht="15">
      <c r="A353" s="13">
        <v>52597</v>
      </c>
      <c r="B353" s="60">
        <f>5.0576 * CHOOSE(CONTROL!$C$19, $C$13, 100%, $E$13)</f>
        <v>5.0575999999999999</v>
      </c>
      <c r="C353" s="60">
        <f>5.0576 * CHOOSE(CONTROL!$C$19, $C$13, 100%, $E$13)</f>
        <v>5.0575999999999999</v>
      </c>
      <c r="D353" s="60">
        <f>5.0744 * CHOOSE(CONTROL!$C$19, $C$13, 100%, $E$13)</f>
        <v>5.0743999999999998</v>
      </c>
      <c r="E353" s="61">
        <f>5.5945 * CHOOSE(CONTROL!$C$19, $C$13, 100%, $E$13)</f>
        <v>5.5945</v>
      </c>
      <c r="F353" s="61">
        <f>5.5945 * CHOOSE(CONTROL!$C$19, $C$13, 100%, $E$13)</f>
        <v>5.5945</v>
      </c>
      <c r="G353" s="61">
        <f>5.5946 * CHOOSE(CONTROL!$C$19, $C$13, 100%, $E$13)</f>
        <v>5.5945999999999998</v>
      </c>
      <c r="H353" s="61">
        <f>8.397* CHOOSE(CONTROL!$C$19, $C$13, 100%, $E$13)</f>
        <v>8.3970000000000002</v>
      </c>
      <c r="I353" s="61">
        <f>8.3972 * CHOOSE(CONTROL!$C$19, $C$13, 100%, $E$13)</f>
        <v>8.3971999999999998</v>
      </c>
      <c r="J353" s="61">
        <f>5.5945 * CHOOSE(CONTROL!$C$19, $C$13, 100%, $E$13)</f>
        <v>5.5945</v>
      </c>
      <c r="K353" s="61">
        <f>5.5946 * CHOOSE(CONTROL!$C$19, $C$13, 100%, $E$13)</f>
        <v>5.5945999999999998</v>
      </c>
    </row>
    <row r="354" spans="1:11" ht="15">
      <c r="A354" s="13">
        <v>52628</v>
      </c>
      <c r="B354" s="60">
        <f>5.0546 * CHOOSE(CONTROL!$C$19, $C$13, 100%, $E$13)</f>
        <v>5.0545999999999998</v>
      </c>
      <c r="C354" s="60">
        <f>5.0546 * CHOOSE(CONTROL!$C$19, $C$13, 100%, $E$13)</f>
        <v>5.0545999999999998</v>
      </c>
      <c r="D354" s="60">
        <f>5.0714 * CHOOSE(CONTROL!$C$19, $C$13, 100%, $E$13)</f>
        <v>5.0713999999999997</v>
      </c>
      <c r="E354" s="61">
        <f>5.5099 * CHOOSE(CONTROL!$C$19, $C$13, 100%, $E$13)</f>
        <v>5.5099</v>
      </c>
      <c r="F354" s="61">
        <f>5.5099 * CHOOSE(CONTROL!$C$19, $C$13, 100%, $E$13)</f>
        <v>5.5099</v>
      </c>
      <c r="G354" s="61">
        <f>5.5101 * CHOOSE(CONTROL!$C$19, $C$13, 100%, $E$13)</f>
        <v>5.5101000000000004</v>
      </c>
      <c r="H354" s="61">
        <f>8.4145* CHOOSE(CONTROL!$C$19, $C$13, 100%, $E$13)</f>
        <v>8.4145000000000003</v>
      </c>
      <c r="I354" s="61">
        <f>8.4147 * CHOOSE(CONTROL!$C$19, $C$13, 100%, $E$13)</f>
        <v>8.4146999999999998</v>
      </c>
      <c r="J354" s="61">
        <f>5.5099 * CHOOSE(CONTROL!$C$19, $C$13, 100%, $E$13)</f>
        <v>5.5099</v>
      </c>
      <c r="K354" s="61">
        <f>5.5101 * CHOOSE(CONTROL!$C$19, $C$13, 100%, $E$13)</f>
        <v>5.5101000000000004</v>
      </c>
    </row>
    <row r="355" spans="1:11" ht="15">
      <c r="A355" s="13">
        <v>52657</v>
      </c>
      <c r="B355" s="60">
        <f>5.0515 * CHOOSE(CONTROL!$C$19, $C$13, 100%, $E$13)</f>
        <v>5.0514999999999999</v>
      </c>
      <c r="C355" s="60">
        <f>5.0515 * CHOOSE(CONTROL!$C$19, $C$13, 100%, $E$13)</f>
        <v>5.0514999999999999</v>
      </c>
      <c r="D355" s="60">
        <f>5.0684 * CHOOSE(CONTROL!$C$19, $C$13, 100%, $E$13)</f>
        <v>5.0683999999999996</v>
      </c>
      <c r="E355" s="61">
        <f>5.5728 * CHOOSE(CONTROL!$C$19, $C$13, 100%, $E$13)</f>
        <v>5.5728</v>
      </c>
      <c r="F355" s="61">
        <f>5.5728 * CHOOSE(CONTROL!$C$19, $C$13, 100%, $E$13)</f>
        <v>5.5728</v>
      </c>
      <c r="G355" s="61">
        <f>5.573 * CHOOSE(CONTROL!$C$19, $C$13, 100%, $E$13)</f>
        <v>5.5730000000000004</v>
      </c>
      <c r="H355" s="61">
        <f>8.432* CHOOSE(CONTROL!$C$19, $C$13, 100%, $E$13)</f>
        <v>8.4320000000000004</v>
      </c>
      <c r="I355" s="61">
        <f>8.4322 * CHOOSE(CONTROL!$C$19, $C$13, 100%, $E$13)</f>
        <v>8.4321999999999999</v>
      </c>
      <c r="J355" s="61">
        <f>5.5728 * CHOOSE(CONTROL!$C$19, $C$13, 100%, $E$13)</f>
        <v>5.5728</v>
      </c>
      <c r="K355" s="61">
        <f>5.573 * CHOOSE(CONTROL!$C$19, $C$13, 100%, $E$13)</f>
        <v>5.5730000000000004</v>
      </c>
    </row>
    <row r="356" spans="1:11" ht="15">
      <c r="A356" s="13">
        <v>52688</v>
      </c>
      <c r="B356" s="60">
        <f>5.0502 * CHOOSE(CONTROL!$C$19, $C$13, 100%, $E$13)</f>
        <v>5.0502000000000002</v>
      </c>
      <c r="C356" s="60">
        <f>5.0502 * CHOOSE(CONTROL!$C$19, $C$13, 100%, $E$13)</f>
        <v>5.0502000000000002</v>
      </c>
      <c r="D356" s="60">
        <f>5.0671 * CHOOSE(CONTROL!$C$19, $C$13, 100%, $E$13)</f>
        <v>5.0670999999999999</v>
      </c>
      <c r="E356" s="61">
        <f>5.6383 * CHOOSE(CONTROL!$C$19, $C$13, 100%, $E$13)</f>
        <v>5.6383000000000001</v>
      </c>
      <c r="F356" s="61">
        <f>5.6383 * CHOOSE(CONTROL!$C$19, $C$13, 100%, $E$13)</f>
        <v>5.6383000000000001</v>
      </c>
      <c r="G356" s="61">
        <f>5.6385 * CHOOSE(CONTROL!$C$19, $C$13, 100%, $E$13)</f>
        <v>5.6384999999999996</v>
      </c>
      <c r="H356" s="61">
        <f>8.4496* CHOOSE(CONTROL!$C$19, $C$13, 100%, $E$13)</f>
        <v>8.4496000000000002</v>
      </c>
      <c r="I356" s="61">
        <f>8.4498 * CHOOSE(CONTROL!$C$19, $C$13, 100%, $E$13)</f>
        <v>8.4497999999999998</v>
      </c>
      <c r="J356" s="61">
        <f>5.6383 * CHOOSE(CONTROL!$C$19, $C$13, 100%, $E$13)</f>
        <v>5.6383000000000001</v>
      </c>
      <c r="K356" s="61">
        <f>5.6385 * CHOOSE(CONTROL!$C$19, $C$13, 100%, $E$13)</f>
        <v>5.6384999999999996</v>
      </c>
    </row>
    <row r="357" spans="1:11" ht="15">
      <c r="A357" s="13">
        <v>52718</v>
      </c>
      <c r="B357" s="60">
        <f>5.0502 * CHOOSE(CONTROL!$C$19, $C$13, 100%, $E$13)</f>
        <v>5.0502000000000002</v>
      </c>
      <c r="C357" s="60">
        <f>5.0502 * CHOOSE(CONTROL!$C$19, $C$13, 100%, $E$13)</f>
        <v>5.0502000000000002</v>
      </c>
      <c r="D357" s="60">
        <f>5.0839 * CHOOSE(CONTROL!$C$19, $C$13, 100%, $E$13)</f>
        <v>5.0838999999999999</v>
      </c>
      <c r="E357" s="61">
        <f>5.6645 * CHOOSE(CONTROL!$C$19, $C$13, 100%, $E$13)</f>
        <v>5.6645000000000003</v>
      </c>
      <c r="F357" s="61">
        <f>5.6645 * CHOOSE(CONTROL!$C$19, $C$13, 100%, $E$13)</f>
        <v>5.6645000000000003</v>
      </c>
      <c r="G357" s="61">
        <f>5.6666 * CHOOSE(CONTROL!$C$19, $C$13, 100%, $E$13)</f>
        <v>5.6665999999999999</v>
      </c>
      <c r="H357" s="61">
        <f>8.4672* CHOOSE(CONTROL!$C$19, $C$13, 100%, $E$13)</f>
        <v>8.4672000000000001</v>
      </c>
      <c r="I357" s="61">
        <f>8.4693 * CHOOSE(CONTROL!$C$19, $C$13, 100%, $E$13)</f>
        <v>8.4693000000000005</v>
      </c>
      <c r="J357" s="61">
        <f>5.6645 * CHOOSE(CONTROL!$C$19, $C$13, 100%, $E$13)</f>
        <v>5.6645000000000003</v>
      </c>
      <c r="K357" s="61">
        <f>5.6666 * CHOOSE(CONTROL!$C$19, $C$13, 100%, $E$13)</f>
        <v>5.6665999999999999</v>
      </c>
    </row>
    <row r="358" spans="1:11" ht="15">
      <c r="A358" s="13">
        <v>52749</v>
      </c>
      <c r="B358" s="60">
        <f>5.0563 * CHOOSE(CONTROL!$C$19, $C$13, 100%, $E$13)</f>
        <v>5.0563000000000002</v>
      </c>
      <c r="C358" s="60">
        <f>5.0563 * CHOOSE(CONTROL!$C$19, $C$13, 100%, $E$13)</f>
        <v>5.0563000000000002</v>
      </c>
      <c r="D358" s="60">
        <f>5.09 * CHOOSE(CONTROL!$C$19, $C$13, 100%, $E$13)</f>
        <v>5.09</v>
      </c>
      <c r="E358" s="61">
        <f>5.6426 * CHOOSE(CONTROL!$C$19, $C$13, 100%, $E$13)</f>
        <v>5.6425999999999998</v>
      </c>
      <c r="F358" s="61">
        <f>5.6426 * CHOOSE(CONTROL!$C$19, $C$13, 100%, $E$13)</f>
        <v>5.6425999999999998</v>
      </c>
      <c r="G358" s="61">
        <f>5.6447 * CHOOSE(CONTROL!$C$19, $C$13, 100%, $E$13)</f>
        <v>5.6447000000000003</v>
      </c>
      <c r="H358" s="61">
        <f>8.4848* CHOOSE(CONTROL!$C$19, $C$13, 100%, $E$13)</f>
        <v>8.4847999999999999</v>
      </c>
      <c r="I358" s="61">
        <f>8.4869 * CHOOSE(CONTROL!$C$19, $C$13, 100%, $E$13)</f>
        <v>8.4869000000000003</v>
      </c>
      <c r="J358" s="61">
        <f>5.6426 * CHOOSE(CONTROL!$C$19, $C$13, 100%, $E$13)</f>
        <v>5.6425999999999998</v>
      </c>
      <c r="K358" s="61">
        <f>5.6447 * CHOOSE(CONTROL!$C$19, $C$13, 100%, $E$13)</f>
        <v>5.6447000000000003</v>
      </c>
    </row>
    <row r="359" spans="1:11" ht="15">
      <c r="A359" s="13">
        <v>52779</v>
      </c>
      <c r="B359" s="60">
        <f>5.1354 * CHOOSE(CONTROL!$C$19, $C$13, 100%, $E$13)</f>
        <v>5.1353999999999997</v>
      </c>
      <c r="C359" s="60">
        <f>5.1354 * CHOOSE(CONTROL!$C$19, $C$13, 100%, $E$13)</f>
        <v>5.1353999999999997</v>
      </c>
      <c r="D359" s="60">
        <f>5.169 * CHOOSE(CONTROL!$C$19, $C$13, 100%, $E$13)</f>
        <v>5.1689999999999996</v>
      </c>
      <c r="E359" s="61">
        <f>5.7521 * CHOOSE(CONTROL!$C$19, $C$13, 100%, $E$13)</f>
        <v>5.7521000000000004</v>
      </c>
      <c r="F359" s="61">
        <f>5.7521 * CHOOSE(CONTROL!$C$19, $C$13, 100%, $E$13)</f>
        <v>5.7521000000000004</v>
      </c>
      <c r="G359" s="61">
        <f>5.7542 * CHOOSE(CONTROL!$C$19, $C$13, 100%, $E$13)</f>
        <v>5.7542</v>
      </c>
      <c r="H359" s="61">
        <f>8.5025* CHOOSE(CONTROL!$C$19, $C$13, 100%, $E$13)</f>
        <v>8.5024999999999995</v>
      </c>
      <c r="I359" s="61">
        <f>8.5046 * CHOOSE(CONTROL!$C$19, $C$13, 100%, $E$13)</f>
        <v>8.5045999999999999</v>
      </c>
      <c r="J359" s="61">
        <f>5.7521 * CHOOSE(CONTROL!$C$19, $C$13, 100%, $E$13)</f>
        <v>5.7521000000000004</v>
      </c>
      <c r="K359" s="61">
        <f>5.7542 * CHOOSE(CONTROL!$C$19, $C$13, 100%, $E$13)</f>
        <v>5.7542</v>
      </c>
    </row>
    <row r="360" spans="1:11" ht="15">
      <c r="A360" s="13">
        <v>52810</v>
      </c>
      <c r="B360" s="60">
        <f>5.142 * CHOOSE(CONTROL!$C$19, $C$13, 100%, $E$13)</f>
        <v>5.1420000000000003</v>
      </c>
      <c r="C360" s="60">
        <f>5.142 * CHOOSE(CONTROL!$C$19, $C$13, 100%, $E$13)</f>
        <v>5.1420000000000003</v>
      </c>
      <c r="D360" s="60">
        <f>5.1757 * CHOOSE(CONTROL!$C$19, $C$13, 100%, $E$13)</f>
        <v>5.1757</v>
      </c>
      <c r="E360" s="61">
        <f>5.6783 * CHOOSE(CONTROL!$C$19, $C$13, 100%, $E$13)</f>
        <v>5.6783000000000001</v>
      </c>
      <c r="F360" s="61">
        <f>5.6783 * CHOOSE(CONTROL!$C$19, $C$13, 100%, $E$13)</f>
        <v>5.6783000000000001</v>
      </c>
      <c r="G360" s="61">
        <f>5.6804 * CHOOSE(CONTROL!$C$19, $C$13, 100%, $E$13)</f>
        <v>5.6803999999999997</v>
      </c>
      <c r="H360" s="61">
        <f>8.5202* CHOOSE(CONTROL!$C$19, $C$13, 100%, $E$13)</f>
        <v>8.5202000000000009</v>
      </c>
      <c r="I360" s="61">
        <f>8.5223 * CHOOSE(CONTROL!$C$19, $C$13, 100%, $E$13)</f>
        <v>8.5222999999999995</v>
      </c>
      <c r="J360" s="61">
        <f>5.6783 * CHOOSE(CONTROL!$C$19, $C$13, 100%, $E$13)</f>
        <v>5.6783000000000001</v>
      </c>
      <c r="K360" s="61">
        <f>5.6804 * CHOOSE(CONTROL!$C$19, $C$13, 100%, $E$13)</f>
        <v>5.6803999999999997</v>
      </c>
    </row>
    <row r="361" spans="1:11" ht="15">
      <c r="A361" s="13">
        <v>52841</v>
      </c>
      <c r="B361" s="60">
        <f>5.139 * CHOOSE(CONTROL!$C$19, $C$13, 100%, $E$13)</f>
        <v>5.1390000000000002</v>
      </c>
      <c r="C361" s="60">
        <f>5.139 * CHOOSE(CONTROL!$C$19, $C$13, 100%, $E$13)</f>
        <v>5.1390000000000002</v>
      </c>
      <c r="D361" s="60">
        <f>5.1727 * CHOOSE(CONTROL!$C$19, $C$13, 100%, $E$13)</f>
        <v>5.1726999999999999</v>
      </c>
      <c r="E361" s="61">
        <f>5.6674 * CHOOSE(CONTROL!$C$19, $C$13, 100%, $E$13)</f>
        <v>5.6673999999999998</v>
      </c>
      <c r="F361" s="61">
        <f>5.6674 * CHOOSE(CONTROL!$C$19, $C$13, 100%, $E$13)</f>
        <v>5.6673999999999998</v>
      </c>
      <c r="G361" s="61">
        <f>5.6695 * CHOOSE(CONTROL!$C$19, $C$13, 100%, $E$13)</f>
        <v>5.6695000000000002</v>
      </c>
      <c r="H361" s="61">
        <f>8.538* CHOOSE(CONTROL!$C$19, $C$13, 100%, $E$13)</f>
        <v>8.5380000000000003</v>
      </c>
      <c r="I361" s="61">
        <f>8.5401 * CHOOSE(CONTROL!$C$19, $C$13, 100%, $E$13)</f>
        <v>8.5401000000000007</v>
      </c>
      <c r="J361" s="61">
        <f>5.6674 * CHOOSE(CONTROL!$C$19, $C$13, 100%, $E$13)</f>
        <v>5.6673999999999998</v>
      </c>
      <c r="K361" s="61">
        <f>5.6695 * CHOOSE(CONTROL!$C$19, $C$13, 100%, $E$13)</f>
        <v>5.6695000000000002</v>
      </c>
    </row>
    <row r="362" spans="1:11" ht="15">
      <c r="A362" s="13">
        <v>52871</v>
      </c>
      <c r="B362" s="60">
        <f>5.1385 * CHOOSE(CONTROL!$C$19, $C$13, 100%, $E$13)</f>
        <v>5.1384999999999996</v>
      </c>
      <c r="C362" s="60">
        <f>5.1385 * CHOOSE(CONTROL!$C$19, $C$13, 100%, $E$13)</f>
        <v>5.1384999999999996</v>
      </c>
      <c r="D362" s="60">
        <f>5.1553 * CHOOSE(CONTROL!$C$19, $C$13, 100%, $E$13)</f>
        <v>5.1553000000000004</v>
      </c>
      <c r="E362" s="61">
        <f>5.6889 * CHOOSE(CONTROL!$C$19, $C$13, 100%, $E$13)</f>
        <v>5.6889000000000003</v>
      </c>
      <c r="F362" s="61">
        <f>5.6889 * CHOOSE(CONTROL!$C$19, $C$13, 100%, $E$13)</f>
        <v>5.6889000000000003</v>
      </c>
      <c r="G362" s="61">
        <f>5.6891 * CHOOSE(CONTROL!$C$19, $C$13, 100%, $E$13)</f>
        <v>5.6890999999999998</v>
      </c>
      <c r="H362" s="61">
        <f>8.5558* CHOOSE(CONTROL!$C$19, $C$13, 100%, $E$13)</f>
        <v>8.5557999999999996</v>
      </c>
      <c r="I362" s="61">
        <f>8.5559 * CHOOSE(CONTROL!$C$19, $C$13, 100%, $E$13)</f>
        <v>8.5558999999999994</v>
      </c>
      <c r="J362" s="61">
        <f>5.6889 * CHOOSE(CONTROL!$C$19, $C$13, 100%, $E$13)</f>
        <v>5.6889000000000003</v>
      </c>
      <c r="K362" s="61">
        <f>5.6891 * CHOOSE(CONTROL!$C$19, $C$13, 100%, $E$13)</f>
        <v>5.6890999999999998</v>
      </c>
    </row>
    <row r="363" spans="1:11" ht="15">
      <c r="A363" s="13">
        <v>52902</v>
      </c>
      <c r="B363" s="60">
        <f>5.1415 * CHOOSE(CONTROL!$C$19, $C$13, 100%, $E$13)</f>
        <v>5.1414999999999997</v>
      </c>
      <c r="C363" s="60">
        <f>5.1415 * CHOOSE(CONTROL!$C$19, $C$13, 100%, $E$13)</f>
        <v>5.1414999999999997</v>
      </c>
      <c r="D363" s="60">
        <f>5.1584 * CHOOSE(CONTROL!$C$19, $C$13, 100%, $E$13)</f>
        <v>5.1584000000000003</v>
      </c>
      <c r="E363" s="61">
        <f>5.7085 * CHOOSE(CONTROL!$C$19, $C$13, 100%, $E$13)</f>
        <v>5.7084999999999999</v>
      </c>
      <c r="F363" s="61">
        <f>5.7085 * CHOOSE(CONTROL!$C$19, $C$13, 100%, $E$13)</f>
        <v>5.7084999999999999</v>
      </c>
      <c r="G363" s="61">
        <f>5.7087 * CHOOSE(CONTROL!$C$19, $C$13, 100%, $E$13)</f>
        <v>5.7087000000000003</v>
      </c>
      <c r="H363" s="61">
        <f>8.5736* CHOOSE(CONTROL!$C$19, $C$13, 100%, $E$13)</f>
        <v>8.5736000000000008</v>
      </c>
      <c r="I363" s="61">
        <f>8.5738 * CHOOSE(CONTROL!$C$19, $C$13, 100%, $E$13)</f>
        <v>8.5738000000000003</v>
      </c>
      <c r="J363" s="61">
        <f>5.7085 * CHOOSE(CONTROL!$C$19, $C$13, 100%, $E$13)</f>
        <v>5.7084999999999999</v>
      </c>
      <c r="K363" s="61">
        <f>5.7087 * CHOOSE(CONTROL!$C$19, $C$13, 100%, $E$13)</f>
        <v>5.7087000000000003</v>
      </c>
    </row>
    <row r="364" spans="1:11" ht="15">
      <c r="A364" s="13">
        <v>52932</v>
      </c>
      <c r="B364" s="60">
        <f>5.1415 * CHOOSE(CONTROL!$C$19, $C$13, 100%, $E$13)</f>
        <v>5.1414999999999997</v>
      </c>
      <c r="C364" s="60">
        <f>5.1415 * CHOOSE(CONTROL!$C$19, $C$13, 100%, $E$13)</f>
        <v>5.1414999999999997</v>
      </c>
      <c r="D364" s="60">
        <f>5.1584 * CHOOSE(CONTROL!$C$19, $C$13, 100%, $E$13)</f>
        <v>5.1584000000000003</v>
      </c>
      <c r="E364" s="61">
        <f>5.6649 * CHOOSE(CONTROL!$C$19, $C$13, 100%, $E$13)</f>
        <v>5.6649000000000003</v>
      </c>
      <c r="F364" s="61">
        <f>5.6649 * CHOOSE(CONTROL!$C$19, $C$13, 100%, $E$13)</f>
        <v>5.6649000000000003</v>
      </c>
      <c r="G364" s="61">
        <f>5.665 * CHOOSE(CONTROL!$C$19, $C$13, 100%, $E$13)</f>
        <v>5.665</v>
      </c>
      <c r="H364" s="61">
        <f>8.5915* CHOOSE(CONTROL!$C$19, $C$13, 100%, $E$13)</f>
        <v>8.5914999999999999</v>
      </c>
      <c r="I364" s="61">
        <f>8.5916 * CHOOSE(CONTROL!$C$19, $C$13, 100%, $E$13)</f>
        <v>8.5915999999999997</v>
      </c>
      <c r="J364" s="61">
        <f>5.6649 * CHOOSE(CONTROL!$C$19, $C$13, 100%, $E$13)</f>
        <v>5.6649000000000003</v>
      </c>
      <c r="K364" s="61">
        <f>5.665 * CHOOSE(CONTROL!$C$19, $C$13, 100%, $E$13)</f>
        <v>5.665</v>
      </c>
    </row>
    <row r="365" spans="1:11" ht="15">
      <c r="A365" s="13">
        <v>52963</v>
      </c>
      <c r="B365" s="60">
        <f>5.186 * CHOOSE(CONTROL!$C$19, $C$13, 100%, $E$13)</f>
        <v>5.1859999999999999</v>
      </c>
      <c r="C365" s="60">
        <f>5.186 * CHOOSE(CONTROL!$C$19, $C$13, 100%, $E$13)</f>
        <v>5.1859999999999999</v>
      </c>
      <c r="D365" s="60">
        <f>5.2028 * CHOOSE(CONTROL!$C$19, $C$13, 100%, $E$13)</f>
        <v>5.2027999999999999</v>
      </c>
      <c r="E365" s="61">
        <f>5.7515 * CHOOSE(CONTROL!$C$19, $C$13, 100%, $E$13)</f>
        <v>5.7515000000000001</v>
      </c>
      <c r="F365" s="61">
        <f>5.7515 * CHOOSE(CONTROL!$C$19, $C$13, 100%, $E$13)</f>
        <v>5.7515000000000001</v>
      </c>
      <c r="G365" s="61">
        <f>5.7516 * CHOOSE(CONTROL!$C$19, $C$13, 100%, $E$13)</f>
        <v>5.7515999999999998</v>
      </c>
      <c r="H365" s="61">
        <f>8.6093* CHOOSE(CONTROL!$C$19, $C$13, 100%, $E$13)</f>
        <v>8.6092999999999993</v>
      </c>
      <c r="I365" s="61">
        <f>8.6095 * CHOOSE(CONTROL!$C$19, $C$13, 100%, $E$13)</f>
        <v>8.6095000000000006</v>
      </c>
      <c r="J365" s="61">
        <f>5.7515 * CHOOSE(CONTROL!$C$19, $C$13, 100%, $E$13)</f>
        <v>5.7515000000000001</v>
      </c>
      <c r="K365" s="61">
        <f>5.7516 * CHOOSE(CONTROL!$C$19, $C$13, 100%, $E$13)</f>
        <v>5.7515999999999998</v>
      </c>
    </row>
    <row r="366" spans="1:11" ht="15">
      <c r="A366" s="13">
        <v>52994</v>
      </c>
      <c r="B366" s="60">
        <f>5.183 * CHOOSE(CONTROL!$C$19, $C$13, 100%, $E$13)</f>
        <v>5.1829999999999998</v>
      </c>
      <c r="C366" s="60">
        <f>5.183 * CHOOSE(CONTROL!$C$19, $C$13, 100%, $E$13)</f>
        <v>5.1829999999999998</v>
      </c>
      <c r="D366" s="60">
        <f>5.1998 * CHOOSE(CONTROL!$C$19, $C$13, 100%, $E$13)</f>
        <v>5.1997999999999998</v>
      </c>
      <c r="E366" s="61">
        <f>5.6643 * CHOOSE(CONTROL!$C$19, $C$13, 100%, $E$13)</f>
        <v>5.6642999999999999</v>
      </c>
      <c r="F366" s="61">
        <f>5.6643 * CHOOSE(CONTROL!$C$19, $C$13, 100%, $E$13)</f>
        <v>5.6642999999999999</v>
      </c>
      <c r="G366" s="61">
        <f>5.6645 * CHOOSE(CONTROL!$C$19, $C$13, 100%, $E$13)</f>
        <v>5.6645000000000003</v>
      </c>
      <c r="H366" s="61">
        <f>8.6273* CHOOSE(CONTROL!$C$19, $C$13, 100%, $E$13)</f>
        <v>8.6273</v>
      </c>
      <c r="I366" s="61">
        <f>8.6275 * CHOOSE(CONTROL!$C$19, $C$13, 100%, $E$13)</f>
        <v>8.6274999999999995</v>
      </c>
      <c r="J366" s="61">
        <f>5.6643 * CHOOSE(CONTROL!$C$19, $C$13, 100%, $E$13)</f>
        <v>5.6642999999999999</v>
      </c>
      <c r="K366" s="61">
        <f>5.6645 * CHOOSE(CONTROL!$C$19, $C$13, 100%, $E$13)</f>
        <v>5.6645000000000003</v>
      </c>
    </row>
    <row r="367" spans="1:11" ht="15">
      <c r="A367" s="13">
        <v>53022</v>
      </c>
      <c r="B367" s="60">
        <f>5.1799 * CHOOSE(CONTROL!$C$19, $C$13, 100%, $E$13)</f>
        <v>5.1798999999999999</v>
      </c>
      <c r="C367" s="60">
        <f>5.1799 * CHOOSE(CONTROL!$C$19, $C$13, 100%, $E$13)</f>
        <v>5.1798999999999999</v>
      </c>
      <c r="D367" s="60">
        <f>5.1968 * CHOOSE(CONTROL!$C$19, $C$13, 100%, $E$13)</f>
        <v>5.1967999999999996</v>
      </c>
      <c r="E367" s="61">
        <f>5.7292 * CHOOSE(CONTROL!$C$19, $C$13, 100%, $E$13)</f>
        <v>5.7291999999999996</v>
      </c>
      <c r="F367" s="61">
        <f>5.7292 * CHOOSE(CONTROL!$C$19, $C$13, 100%, $E$13)</f>
        <v>5.7291999999999996</v>
      </c>
      <c r="G367" s="61">
        <f>5.7294 * CHOOSE(CONTROL!$C$19, $C$13, 100%, $E$13)</f>
        <v>5.7294</v>
      </c>
      <c r="H367" s="61">
        <f>8.6453* CHOOSE(CONTROL!$C$19, $C$13, 100%, $E$13)</f>
        <v>8.6453000000000007</v>
      </c>
      <c r="I367" s="61">
        <f>8.6454 * CHOOSE(CONTROL!$C$19, $C$13, 100%, $E$13)</f>
        <v>8.6454000000000004</v>
      </c>
      <c r="J367" s="61">
        <f>5.7292 * CHOOSE(CONTROL!$C$19, $C$13, 100%, $E$13)</f>
        <v>5.7291999999999996</v>
      </c>
      <c r="K367" s="61">
        <f>5.7294 * CHOOSE(CONTROL!$C$19, $C$13, 100%, $E$13)</f>
        <v>5.7294</v>
      </c>
    </row>
    <row r="368" spans="1:11" ht="15">
      <c r="A368" s="13">
        <v>53053</v>
      </c>
      <c r="B368" s="60">
        <f>5.1788 * CHOOSE(CONTROL!$C$19, $C$13, 100%, $E$13)</f>
        <v>5.1787999999999998</v>
      </c>
      <c r="C368" s="60">
        <f>5.1788 * CHOOSE(CONTROL!$C$19, $C$13, 100%, $E$13)</f>
        <v>5.1787999999999998</v>
      </c>
      <c r="D368" s="60">
        <f>5.1956 * CHOOSE(CONTROL!$C$19, $C$13, 100%, $E$13)</f>
        <v>5.1955999999999998</v>
      </c>
      <c r="E368" s="61">
        <f>5.797 * CHOOSE(CONTROL!$C$19, $C$13, 100%, $E$13)</f>
        <v>5.7969999999999997</v>
      </c>
      <c r="F368" s="61">
        <f>5.797 * CHOOSE(CONTROL!$C$19, $C$13, 100%, $E$13)</f>
        <v>5.7969999999999997</v>
      </c>
      <c r="G368" s="61">
        <f>5.7972 * CHOOSE(CONTROL!$C$19, $C$13, 100%, $E$13)</f>
        <v>5.7972000000000001</v>
      </c>
      <c r="H368" s="61">
        <f>8.6633* CHOOSE(CONTROL!$C$19, $C$13, 100%, $E$13)</f>
        <v>8.6632999999999996</v>
      </c>
      <c r="I368" s="61">
        <f>8.6634 * CHOOSE(CONTROL!$C$19, $C$13, 100%, $E$13)</f>
        <v>8.6633999999999993</v>
      </c>
      <c r="J368" s="61">
        <f>5.797 * CHOOSE(CONTROL!$C$19, $C$13, 100%, $E$13)</f>
        <v>5.7969999999999997</v>
      </c>
      <c r="K368" s="61">
        <f>5.7972 * CHOOSE(CONTROL!$C$19, $C$13, 100%, $E$13)</f>
        <v>5.7972000000000001</v>
      </c>
    </row>
    <row r="369" spans="1:11" ht="15">
      <c r="A369" s="13">
        <v>53083</v>
      </c>
      <c r="B369" s="60">
        <f>5.1788 * CHOOSE(CONTROL!$C$19, $C$13, 100%, $E$13)</f>
        <v>5.1787999999999998</v>
      </c>
      <c r="C369" s="60">
        <f>5.1788 * CHOOSE(CONTROL!$C$19, $C$13, 100%, $E$13)</f>
        <v>5.1787999999999998</v>
      </c>
      <c r="D369" s="60">
        <f>5.2124 * CHOOSE(CONTROL!$C$19, $C$13, 100%, $E$13)</f>
        <v>5.2123999999999997</v>
      </c>
      <c r="E369" s="61">
        <f>5.824 * CHOOSE(CONTROL!$C$19, $C$13, 100%, $E$13)</f>
        <v>5.8239999999999998</v>
      </c>
      <c r="F369" s="61">
        <f>5.824 * CHOOSE(CONTROL!$C$19, $C$13, 100%, $E$13)</f>
        <v>5.8239999999999998</v>
      </c>
      <c r="G369" s="61">
        <f>5.8261 * CHOOSE(CONTROL!$C$19, $C$13, 100%, $E$13)</f>
        <v>5.8261000000000003</v>
      </c>
      <c r="H369" s="61">
        <f>8.6813* CHOOSE(CONTROL!$C$19, $C$13, 100%, $E$13)</f>
        <v>8.6813000000000002</v>
      </c>
      <c r="I369" s="61">
        <f>8.6834 * CHOOSE(CONTROL!$C$19, $C$13, 100%, $E$13)</f>
        <v>8.6834000000000007</v>
      </c>
      <c r="J369" s="61">
        <f>5.824 * CHOOSE(CONTROL!$C$19, $C$13, 100%, $E$13)</f>
        <v>5.8239999999999998</v>
      </c>
      <c r="K369" s="61">
        <f>5.8261 * CHOOSE(CONTROL!$C$19, $C$13, 100%, $E$13)</f>
        <v>5.8261000000000003</v>
      </c>
    </row>
    <row r="370" spans="1:11" ht="15">
      <c r="A370" s="13">
        <v>53114</v>
      </c>
      <c r="B370" s="60">
        <f>5.1848 * CHOOSE(CONTROL!$C$19, $C$13, 100%, $E$13)</f>
        <v>5.1848000000000001</v>
      </c>
      <c r="C370" s="60">
        <f>5.1848 * CHOOSE(CONTROL!$C$19, $C$13, 100%, $E$13)</f>
        <v>5.1848000000000001</v>
      </c>
      <c r="D370" s="60">
        <f>5.2185 * CHOOSE(CONTROL!$C$19, $C$13, 100%, $E$13)</f>
        <v>5.2184999999999997</v>
      </c>
      <c r="E370" s="61">
        <f>5.8012 * CHOOSE(CONTROL!$C$19, $C$13, 100%, $E$13)</f>
        <v>5.8011999999999997</v>
      </c>
      <c r="F370" s="61">
        <f>5.8012 * CHOOSE(CONTROL!$C$19, $C$13, 100%, $E$13)</f>
        <v>5.8011999999999997</v>
      </c>
      <c r="G370" s="61">
        <f>5.8033 * CHOOSE(CONTROL!$C$19, $C$13, 100%, $E$13)</f>
        <v>5.8033000000000001</v>
      </c>
      <c r="H370" s="61">
        <f>8.6994* CHOOSE(CONTROL!$C$19, $C$13, 100%, $E$13)</f>
        <v>8.6994000000000007</v>
      </c>
      <c r="I370" s="61">
        <f>8.7015 * CHOOSE(CONTROL!$C$19, $C$13, 100%, $E$13)</f>
        <v>8.7014999999999993</v>
      </c>
      <c r="J370" s="61">
        <f>5.8012 * CHOOSE(CONTROL!$C$19, $C$13, 100%, $E$13)</f>
        <v>5.8011999999999997</v>
      </c>
      <c r="K370" s="61">
        <f>5.8033 * CHOOSE(CONTROL!$C$19, $C$13, 100%, $E$13)</f>
        <v>5.8033000000000001</v>
      </c>
    </row>
    <row r="371" spans="1:11" ht="15">
      <c r="A371" s="13">
        <v>53144</v>
      </c>
      <c r="B371" s="60">
        <f>5.2653 * CHOOSE(CONTROL!$C$19, $C$13, 100%, $E$13)</f>
        <v>5.2652999999999999</v>
      </c>
      <c r="C371" s="60">
        <f>5.2653 * CHOOSE(CONTROL!$C$19, $C$13, 100%, $E$13)</f>
        <v>5.2652999999999999</v>
      </c>
      <c r="D371" s="60">
        <f>5.299 * CHOOSE(CONTROL!$C$19, $C$13, 100%, $E$13)</f>
        <v>5.2990000000000004</v>
      </c>
      <c r="E371" s="61">
        <f>5.9136 * CHOOSE(CONTROL!$C$19, $C$13, 100%, $E$13)</f>
        <v>5.9135999999999997</v>
      </c>
      <c r="F371" s="61">
        <f>5.9136 * CHOOSE(CONTROL!$C$19, $C$13, 100%, $E$13)</f>
        <v>5.9135999999999997</v>
      </c>
      <c r="G371" s="61">
        <f>5.9157 * CHOOSE(CONTROL!$C$19, $C$13, 100%, $E$13)</f>
        <v>5.9157000000000002</v>
      </c>
      <c r="H371" s="61">
        <f>8.7175* CHOOSE(CONTROL!$C$19, $C$13, 100%, $E$13)</f>
        <v>8.7174999999999994</v>
      </c>
      <c r="I371" s="61">
        <f>8.7196 * CHOOSE(CONTROL!$C$19, $C$13, 100%, $E$13)</f>
        <v>8.7195999999999998</v>
      </c>
      <c r="J371" s="61">
        <f>5.9136 * CHOOSE(CONTROL!$C$19, $C$13, 100%, $E$13)</f>
        <v>5.9135999999999997</v>
      </c>
      <c r="K371" s="61">
        <f>5.9157 * CHOOSE(CONTROL!$C$19, $C$13, 100%, $E$13)</f>
        <v>5.9157000000000002</v>
      </c>
    </row>
    <row r="372" spans="1:11" ht="15">
      <c r="A372" s="13">
        <v>53175</v>
      </c>
      <c r="B372" s="60">
        <f>5.272 * CHOOSE(CONTROL!$C$19, $C$13, 100%, $E$13)</f>
        <v>5.2720000000000002</v>
      </c>
      <c r="C372" s="60">
        <f>5.272 * CHOOSE(CONTROL!$C$19, $C$13, 100%, $E$13)</f>
        <v>5.2720000000000002</v>
      </c>
      <c r="D372" s="60">
        <f>5.3057 * CHOOSE(CONTROL!$C$19, $C$13, 100%, $E$13)</f>
        <v>5.3056999999999999</v>
      </c>
      <c r="E372" s="61">
        <f>5.8372 * CHOOSE(CONTROL!$C$19, $C$13, 100%, $E$13)</f>
        <v>5.8372000000000002</v>
      </c>
      <c r="F372" s="61">
        <f>5.8372 * CHOOSE(CONTROL!$C$19, $C$13, 100%, $E$13)</f>
        <v>5.8372000000000002</v>
      </c>
      <c r="G372" s="61">
        <f>5.8393 * CHOOSE(CONTROL!$C$19, $C$13, 100%, $E$13)</f>
        <v>5.8392999999999997</v>
      </c>
      <c r="H372" s="61">
        <f>8.7357* CHOOSE(CONTROL!$C$19, $C$13, 100%, $E$13)</f>
        <v>8.7356999999999996</v>
      </c>
      <c r="I372" s="61">
        <f>8.7378 * CHOOSE(CONTROL!$C$19, $C$13, 100%, $E$13)</f>
        <v>8.7378</v>
      </c>
      <c r="J372" s="61">
        <f>5.8372 * CHOOSE(CONTROL!$C$19, $C$13, 100%, $E$13)</f>
        <v>5.8372000000000002</v>
      </c>
      <c r="K372" s="61">
        <f>5.8393 * CHOOSE(CONTROL!$C$19, $C$13, 100%, $E$13)</f>
        <v>5.8392999999999997</v>
      </c>
    </row>
    <row r="373" spans="1:11" ht="15">
      <c r="A373" s="13">
        <v>53206</v>
      </c>
      <c r="B373" s="60">
        <f>5.269 * CHOOSE(CONTROL!$C$19, $C$13, 100%, $E$13)</f>
        <v>5.2690000000000001</v>
      </c>
      <c r="C373" s="60">
        <f>5.269 * CHOOSE(CONTROL!$C$19, $C$13, 100%, $E$13)</f>
        <v>5.2690000000000001</v>
      </c>
      <c r="D373" s="60">
        <f>5.3026 * CHOOSE(CONTROL!$C$19, $C$13, 100%, $E$13)</f>
        <v>5.3026</v>
      </c>
      <c r="E373" s="61">
        <f>5.8261 * CHOOSE(CONTROL!$C$19, $C$13, 100%, $E$13)</f>
        <v>5.8261000000000003</v>
      </c>
      <c r="F373" s="61">
        <f>5.8261 * CHOOSE(CONTROL!$C$19, $C$13, 100%, $E$13)</f>
        <v>5.8261000000000003</v>
      </c>
      <c r="G373" s="61">
        <f>5.8282 * CHOOSE(CONTROL!$C$19, $C$13, 100%, $E$13)</f>
        <v>5.8281999999999998</v>
      </c>
      <c r="H373" s="61">
        <f>8.7539* CHOOSE(CONTROL!$C$19, $C$13, 100%, $E$13)</f>
        <v>8.7538999999999998</v>
      </c>
      <c r="I373" s="61">
        <f>8.756 * CHOOSE(CONTROL!$C$19, $C$13, 100%, $E$13)</f>
        <v>8.7560000000000002</v>
      </c>
      <c r="J373" s="61">
        <f>5.8261 * CHOOSE(CONTROL!$C$19, $C$13, 100%, $E$13)</f>
        <v>5.8261000000000003</v>
      </c>
      <c r="K373" s="61">
        <f>5.8282 * CHOOSE(CONTROL!$C$19, $C$13, 100%, $E$13)</f>
        <v>5.8281999999999998</v>
      </c>
    </row>
    <row r="374" spans="1:11" ht="15">
      <c r="A374" s="13">
        <v>53236</v>
      </c>
      <c r="B374" s="60">
        <f>5.2689 * CHOOSE(CONTROL!$C$19, $C$13, 100%, $E$13)</f>
        <v>5.2689000000000004</v>
      </c>
      <c r="C374" s="60">
        <f>5.2689 * CHOOSE(CONTROL!$C$19, $C$13, 100%, $E$13)</f>
        <v>5.2689000000000004</v>
      </c>
      <c r="D374" s="60">
        <f>5.2858 * CHOOSE(CONTROL!$C$19, $C$13, 100%, $E$13)</f>
        <v>5.2858000000000001</v>
      </c>
      <c r="E374" s="61">
        <f>5.8487 * CHOOSE(CONTROL!$C$19, $C$13, 100%, $E$13)</f>
        <v>5.8487</v>
      </c>
      <c r="F374" s="61">
        <f>5.8487 * CHOOSE(CONTROL!$C$19, $C$13, 100%, $E$13)</f>
        <v>5.8487</v>
      </c>
      <c r="G374" s="61">
        <f>5.8489 * CHOOSE(CONTROL!$C$19, $C$13, 100%, $E$13)</f>
        <v>5.8489000000000004</v>
      </c>
      <c r="H374" s="61">
        <f>8.7721* CHOOSE(CONTROL!$C$19, $C$13, 100%, $E$13)</f>
        <v>8.7721</v>
      </c>
      <c r="I374" s="61">
        <f>8.7723 * CHOOSE(CONTROL!$C$19, $C$13, 100%, $E$13)</f>
        <v>8.7722999999999995</v>
      </c>
      <c r="J374" s="61">
        <f>5.8487 * CHOOSE(CONTROL!$C$19, $C$13, 100%, $E$13)</f>
        <v>5.8487</v>
      </c>
      <c r="K374" s="61">
        <f>5.8489 * CHOOSE(CONTROL!$C$19, $C$13, 100%, $E$13)</f>
        <v>5.8489000000000004</v>
      </c>
    </row>
    <row r="375" spans="1:11" ht="15">
      <c r="A375" s="13">
        <v>53267</v>
      </c>
      <c r="B375" s="60">
        <f>5.272 * CHOOSE(CONTROL!$C$19, $C$13, 100%, $E$13)</f>
        <v>5.2720000000000002</v>
      </c>
      <c r="C375" s="60">
        <f>5.272 * CHOOSE(CONTROL!$C$19, $C$13, 100%, $E$13)</f>
        <v>5.2720000000000002</v>
      </c>
      <c r="D375" s="60">
        <f>5.2888 * CHOOSE(CONTROL!$C$19, $C$13, 100%, $E$13)</f>
        <v>5.2888000000000002</v>
      </c>
      <c r="E375" s="61">
        <f>5.8688 * CHOOSE(CONTROL!$C$19, $C$13, 100%, $E$13)</f>
        <v>5.8688000000000002</v>
      </c>
      <c r="F375" s="61">
        <f>5.8688 * CHOOSE(CONTROL!$C$19, $C$13, 100%, $E$13)</f>
        <v>5.8688000000000002</v>
      </c>
      <c r="G375" s="61">
        <f>5.869 * CHOOSE(CONTROL!$C$19, $C$13, 100%, $E$13)</f>
        <v>5.8689999999999998</v>
      </c>
      <c r="H375" s="61">
        <f>8.7904* CHOOSE(CONTROL!$C$19, $C$13, 100%, $E$13)</f>
        <v>8.7904</v>
      </c>
      <c r="I375" s="61">
        <f>8.7906 * CHOOSE(CONTROL!$C$19, $C$13, 100%, $E$13)</f>
        <v>8.7905999999999995</v>
      </c>
      <c r="J375" s="61">
        <f>5.8688 * CHOOSE(CONTROL!$C$19, $C$13, 100%, $E$13)</f>
        <v>5.8688000000000002</v>
      </c>
      <c r="K375" s="61">
        <f>5.869 * CHOOSE(CONTROL!$C$19, $C$13, 100%, $E$13)</f>
        <v>5.8689999999999998</v>
      </c>
    </row>
    <row r="376" spans="1:11" ht="15">
      <c r="A376" s="13">
        <v>53297</v>
      </c>
      <c r="B376" s="60">
        <f>5.272 * CHOOSE(CONTROL!$C$19, $C$13, 100%, $E$13)</f>
        <v>5.2720000000000002</v>
      </c>
      <c r="C376" s="60">
        <f>5.272 * CHOOSE(CONTROL!$C$19, $C$13, 100%, $E$13)</f>
        <v>5.2720000000000002</v>
      </c>
      <c r="D376" s="60">
        <f>5.2888 * CHOOSE(CONTROL!$C$19, $C$13, 100%, $E$13)</f>
        <v>5.2888000000000002</v>
      </c>
      <c r="E376" s="61">
        <f>5.8238 * CHOOSE(CONTROL!$C$19, $C$13, 100%, $E$13)</f>
        <v>5.8238000000000003</v>
      </c>
      <c r="F376" s="61">
        <f>5.8238 * CHOOSE(CONTROL!$C$19, $C$13, 100%, $E$13)</f>
        <v>5.8238000000000003</v>
      </c>
      <c r="G376" s="61">
        <f>5.824 * CHOOSE(CONTROL!$C$19, $C$13, 100%, $E$13)</f>
        <v>5.8239999999999998</v>
      </c>
      <c r="H376" s="61">
        <f>8.8087* CHOOSE(CONTROL!$C$19, $C$13, 100%, $E$13)</f>
        <v>8.8087</v>
      </c>
      <c r="I376" s="61">
        <f>8.8089 * CHOOSE(CONTROL!$C$19, $C$13, 100%, $E$13)</f>
        <v>8.8088999999999995</v>
      </c>
      <c r="J376" s="61">
        <f>5.8238 * CHOOSE(CONTROL!$C$19, $C$13, 100%, $E$13)</f>
        <v>5.8238000000000003</v>
      </c>
      <c r="K376" s="61">
        <f>5.824 * CHOOSE(CONTROL!$C$19, $C$13, 100%, $E$13)</f>
        <v>5.8239999999999998</v>
      </c>
    </row>
    <row r="377" spans="1:11" ht="15">
      <c r="A377" s="13">
        <v>53328</v>
      </c>
      <c r="B377" s="60">
        <f>5.3175 * CHOOSE(CONTROL!$C$19, $C$13, 100%, $E$13)</f>
        <v>5.3174999999999999</v>
      </c>
      <c r="C377" s="60">
        <f>5.3175 * CHOOSE(CONTROL!$C$19, $C$13, 100%, $E$13)</f>
        <v>5.3174999999999999</v>
      </c>
      <c r="D377" s="60">
        <f>5.3343 * CHOOSE(CONTROL!$C$19, $C$13, 100%, $E$13)</f>
        <v>5.3342999999999998</v>
      </c>
      <c r="E377" s="61">
        <f>5.9129 * CHOOSE(CONTROL!$C$19, $C$13, 100%, $E$13)</f>
        <v>5.9128999999999996</v>
      </c>
      <c r="F377" s="61">
        <f>5.9129 * CHOOSE(CONTROL!$C$19, $C$13, 100%, $E$13)</f>
        <v>5.9128999999999996</v>
      </c>
      <c r="G377" s="61">
        <f>5.9131 * CHOOSE(CONTROL!$C$19, $C$13, 100%, $E$13)</f>
        <v>5.9131</v>
      </c>
      <c r="H377" s="61">
        <f>8.8271* CHOOSE(CONTROL!$C$19, $C$13, 100%, $E$13)</f>
        <v>8.8270999999999997</v>
      </c>
      <c r="I377" s="61">
        <f>8.8272 * CHOOSE(CONTROL!$C$19, $C$13, 100%, $E$13)</f>
        <v>8.8271999999999995</v>
      </c>
      <c r="J377" s="61">
        <f>5.9129 * CHOOSE(CONTROL!$C$19, $C$13, 100%, $E$13)</f>
        <v>5.9128999999999996</v>
      </c>
      <c r="K377" s="61">
        <f>5.9131 * CHOOSE(CONTROL!$C$19, $C$13, 100%, $E$13)</f>
        <v>5.9131</v>
      </c>
    </row>
    <row r="378" spans="1:11" ht="15">
      <c r="A378" s="13">
        <v>53359</v>
      </c>
      <c r="B378" s="60">
        <f>5.3145 * CHOOSE(CONTROL!$C$19, $C$13, 100%, $E$13)</f>
        <v>5.3144999999999998</v>
      </c>
      <c r="C378" s="60">
        <f>5.3145 * CHOOSE(CONTROL!$C$19, $C$13, 100%, $E$13)</f>
        <v>5.3144999999999998</v>
      </c>
      <c r="D378" s="60">
        <f>5.3313 * CHOOSE(CONTROL!$C$19, $C$13, 100%, $E$13)</f>
        <v>5.3312999999999997</v>
      </c>
      <c r="E378" s="61">
        <f>5.823 * CHOOSE(CONTROL!$C$19, $C$13, 100%, $E$13)</f>
        <v>5.8230000000000004</v>
      </c>
      <c r="F378" s="61">
        <f>5.823 * CHOOSE(CONTROL!$C$19, $C$13, 100%, $E$13)</f>
        <v>5.8230000000000004</v>
      </c>
      <c r="G378" s="61">
        <f>5.8232 * CHOOSE(CONTROL!$C$19, $C$13, 100%, $E$13)</f>
        <v>5.8231999999999999</v>
      </c>
      <c r="H378" s="61">
        <f>8.8455* CHOOSE(CONTROL!$C$19, $C$13, 100%, $E$13)</f>
        <v>8.8454999999999995</v>
      </c>
      <c r="I378" s="61">
        <f>8.8456 * CHOOSE(CONTROL!$C$19, $C$13, 100%, $E$13)</f>
        <v>8.8455999999999992</v>
      </c>
      <c r="J378" s="61">
        <f>5.823 * CHOOSE(CONTROL!$C$19, $C$13, 100%, $E$13)</f>
        <v>5.8230000000000004</v>
      </c>
      <c r="K378" s="61">
        <f>5.8232 * CHOOSE(CONTROL!$C$19, $C$13, 100%, $E$13)</f>
        <v>5.8231999999999999</v>
      </c>
    </row>
    <row r="379" spans="1:11" ht="15">
      <c r="A379" s="13">
        <v>53387</v>
      </c>
      <c r="B379" s="60">
        <f>5.3114 * CHOOSE(CONTROL!$C$19, $C$13, 100%, $E$13)</f>
        <v>5.3113999999999999</v>
      </c>
      <c r="C379" s="60">
        <f>5.3114 * CHOOSE(CONTROL!$C$19, $C$13, 100%, $E$13)</f>
        <v>5.3113999999999999</v>
      </c>
      <c r="D379" s="60">
        <f>5.3283 * CHOOSE(CONTROL!$C$19, $C$13, 100%, $E$13)</f>
        <v>5.3282999999999996</v>
      </c>
      <c r="E379" s="61">
        <f>5.8901 * CHOOSE(CONTROL!$C$19, $C$13, 100%, $E$13)</f>
        <v>5.8901000000000003</v>
      </c>
      <c r="F379" s="61">
        <f>5.8901 * CHOOSE(CONTROL!$C$19, $C$13, 100%, $E$13)</f>
        <v>5.8901000000000003</v>
      </c>
      <c r="G379" s="61">
        <f>5.8903 * CHOOSE(CONTROL!$C$19, $C$13, 100%, $E$13)</f>
        <v>5.8902999999999999</v>
      </c>
      <c r="H379" s="61">
        <f>8.8639* CHOOSE(CONTROL!$C$19, $C$13, 100%, $E$13)</f>
        <v>8.8638999999999992</v>
      </c>
      <c r="I379" s="61">
        <f>8.8641 * CHOOSE(CONTROL!$C$19, $C$13, 100%, $E$13)</f>
        <v>8.8641000000000005</v>
      </c>
      <c r="J379" s="61">
        <f>5.8901 * CHOOSE(CONTROL!$C$19, $C$13, 100%, $E$13)</f>
        <v>5.8901000000000003</v>
      </c>
      <c r="K379" s="61">
        <f>5.8903 * CHOOSE(CONTROL!$C$19, $C$13, 100%, $E$13)</f>
        <v>5.8902999999999999</v>
      </c>
    </row>
    <row r="380" spans="1:11" ht="15">
      <c r="A380" s="13">
        <v>53418</v>
      </c>
      <c r="B380" s="60">
        <f>5.3104 * CHOOSE(CONTROL!$C$19, $C$13, 100%, $E$13)</f>
        <v>5.3103999999999996</v>
      </c>
      <c r="C380" s="60">
        <f>5.3104 * CHOOSE(CONTROL!$C$19, $C$13, 100%, $E$13)</f>
        <v>5.3103999999999996</v>
      </c>
      <c r="D380" s="60">
        <f>5.3272 * CHOOSE(CONTROL!$C$19, $C$13, 100%, $E$13)</f>
        <v>5.3272000000000004</v>
      </c>
      <c r="E380" s="61">
        <f>5.9601 * CHOOSE(CONTROL!$C$19, $C$13, 100%, $E$13)</f>
        <v>5.9600999999999997</v>
      </c>
      <c r="F380" s="61">
        <f>5.9601 * CHOOSE(CONTROL!$C$19, $C$13, 100%, $E$13)</f>
        <v>5.9600999999999997</v>
      </c>
      <c r="G380" s="61">
        <f>5.9603 * CHOOSE(CONTROL!$C$19, $C$13, 100%, $E$13)</f>
        <v>5.9603000000000002</v>
      </c>
      <c r="H380" s="61">
        <f>8.8824* CHOOSE(CONTROL!$C$19, $C$13, 100%, $E$13)</f>
        <v>8.8824000000000005</v>
      </c>
      <c r="I380" s="61">
        <f>8.8825 * CHOOSE(CONTROL!$C$19, $C$13, 100%, $E$13)</f>
        <v>8.8825000000000003</v>
      </c>
      <c r="J380" s="61">
        <f>5.9601 * CHOOSE(CONTROL!$C$19, $C$13, 100%, $E$13)</f>
        <v>5.9600999999999997</v>
      </c>
      <c r="K380" s="61">
        <f>5.9603 * CHOOSE(CONTROL!$C$19, $C$13, 100%, $E$13)</f>
        <v>5.9603000000000002</v>
      </c>
    </row>
    <row r="381" spans="1:11" ht="15">
      <c r="A381" s="13">
        <v>53448</v>
      </c>
      <c r="B381" s="60">
        <f>5.3104 * CHOOSE(CONTROL!$C$19, $C$13, 100%, $E$13)</f>
        <v>5.3103999999999996</v>
      </c>
      <c r="C381" s="60">
        <f>5.3104 * CHOOSE(CONTROL!$C$19, $C$13, 100%, $E$13)</f>
        <v>5.3103999999999996</v>
      </c>
      <c r="D381" s="60">
        <f>5.3441 * CHOOSE(CONTROL!$C$19, $C$13, 100%, $E$13)</f>
        <v>5.3441000000000001</v>
      </c>
      <c r="E381" s="61">
        <f>5.988 * CHOOSE(CONTROL!$C$19, $C$13, 100%, $E$13)</f>
        <v>5.9880000000000004</v>
      </c>
      <c r="F381" s="61">
        <f>5.988 * CHOOSE(CONTROL!$C$19, $C$13, 100%, $E$13)</f>
        <v>5.9880000000000004</v>
      </c>
      <c r="G381" s="61">
        <f>5.9901 * CHOOSE(CONTROL!$C$19, $C$13, 100%, $E$13)</f>
        <v>5.9901</v>
      </c>
      <c r="H381" s="61">
        <f>8.9009* CHOOSE(CONTROL!$C$19, $C$13, 100%, $E$13)</f>
        <v>8.9009</v>
      </c>
      <c r="I381" s="61">
        <f>8.9029 * CHOOSE(CONTROL!$C$19, $C$13, 100%, $E$13)</f>
        <v>8.9029000000000007</v>
      </c>
      <c r="J381" s="61">
        <f>5.988 * CHOOSE(CONTROL!$C$19, $C$13, 100%, $E$13)</f>
        <v>5.9880000000000004</v>
      </c>
      <c r="K381" s="61">
        <f>5.9901 * CHOOSE(CONTROL!$C$19, $C$13, 100%, $E$13)</f>
        <v>5.9901</v>
      </c>
    </row>
    <row r="382" spans="1:11" ht="15">
      <c r="A382" s="13">
        <v>53479</v>
      </c>
      <c r="B382" s="60">
        <f>5.3165 * CHOOSE(CONTROL!$C$19, $C$13, 100%, $E$13)</f>
        <v>5.3164999999999996</v>
      </c>
      <c r="C382" s="60">
        <f>5.3165 * CHOOSE(CONTROL!$C$19, $C$13, 100%, $E$13)</f>
        <v>5.3164999999999996</v>
      </c>
      <c r="D382" s="60">
        <f>5.3502 * CHOOSE(CONTROL!$C$19, $C$13, 100%, $E$13)</f>
        <v>5.3502000000000001</v>
      </c>
      <c r="E382" s="61">
        <f>5.9644 * CHOOSE(CONTROL!$C$19, $C$13, 100%, $E$13)</f>
        <v>5.9644000000000004</v>
      </c>
      <c r="F382" s="61">
        <f>5.9644 * CHOOSE(CONTROL!$C$19, $C$13, 100%, $E$13)</f>
        <v>5.9644000000000004</v>
      </c>
      <c r="G382" s="61">
        <f>5.9665 * CHOOSE(CONTROL!$C$19, $C$13, 100%, $E$13)</f>
        <v>5.9664999999999999</v>
      </c>
      <c r="H382" s="61">
        <f>8.9194* CHOOSE(CONTROL!$C$19, $C$13, 100%, $E$13)</f>
        <v>8.9193999999999996</v>
      </c>
      <c r="I382" s="61">
        <f>8.9215 * CHOOSE(CONTROL!$C$19, $C$13, 100%, $E$13)</f>
        <v>8.9215</v>
      </c>
      <c r="J382" s="61">
        <f>5.9644 * CHOOSE(CONTROL!$C$19, $C$13, 100%, $E$13)</f>
        <v>5.9644000000000004</v>
      </c>
      <c r="K382" s="61">
        <f>5.9665 * CHOOSE(CONTROL!$C$19, $C$13, 100%, $E$13)</f>
        <v>5.9664999999999999</v>
      </c>
    </row>
    <row r="383" spans="1:11" ht="15">
      <c r="A383" s="13">
        <v>53509</v>
      </c>
      <c r="B383" s="60">
        <f>5.3987 * CHOOSE(CONTROL!$C$19, $C$13, 100%, $E$13)</f>
        <v>5.3986999999999998</v>
      </c>
      <c r="C383" s="60">
        <f>5.3987 * CHOOSE(CONTROL!$C$19, $C$13, 100%, $E$13)</f>
        <v>5.3986999999999998</v>
      </c>
      <c r="D383" s="60">
        <f>5.4324 * CHOOSE(CONTROL!$C$19, $C$13, 100%, $E$13)</f>
        <v>5.4324000000000003</v>
      </c>
      <c r="E383" s="61">
        <f>6.0796 * CHOOSE(CONTROL!$C$19, $C$13, 100%, $E$13)</f>
        <v>6.0796000000000001</v>
      </c>
      <c r="F383" s="61">
        <f>6.0796 * CHOOSE(CONTROL!$C$19, $C$13, 100%, $E$13)</f>
        <v>6.0796000000000001</v>
      </c>
      <c r="G383" s="61">
        <f>6.0817 * CHOOSE(CONTROL!$C$19, $C$13, 100%, $E$13)</f>
        <v>6.0816999999999997</v>
      </c>
      <c r="H383" s="61">
        <f>8.938* CHOOSE(CONTROL!$C$19, $C$13, 100%, $E$13)</f>
        <v>8.9380000000000006</v>
      </c>
      <c r="I383" s="61">
        <f>8.9401 * CHOOSE(CONTROL!$C$19, $C$13, 100%, $E$13)</f>
        <v>8.9400999999999993</v>
      </c>
      <c r="J383" s="61">
        <f>6.0796 * CHOOSE(CONTROL!$C$19, $C$13, 100%, $E$13)</f>
        <v>6.0796000000000001</v>
      </c>
      <c r="K383" s="61">
        <f>6.0817 * CHOOSE(CONTROL!$C$19, $C$13, 100%, $E$13)</f>
        <v>6.0816999999999997</v>
      </c>
    </row>
    <row r="384" spans="1:11" ht="15">
      <c r="A384" s="13">
        <v>53540</v>
      </c>
      <c r="B384" s="60">
        <f>5.4054 * CHOOSE(CONTROL!$C$19, $C$13, 100%, $E$13)</f>
        <v>5.4054000000000002</v>
      </c>
      <c r="C384" s="60">
        <f>5.4054 * CHOOSE(CONTROL!$C$19, $C$13, 100%, $E$13)</f>
        <v>5.4054000000000002</v>
      </c>
      <c r="D384" s="60">
        <f>5.4391 * CHOOSE(CONTROL!$C$19, $C$13, 100%, $E$13)</f>
        <v>5.4390999999999998</v>
      </c>
      <c r="E384" s="61">
        <f>6.0007 * CHOOSE(CONTROL!$C$19, $C$13, 100%, $E$13)</f>
        <v>6.0007000000000001</v>
      </c>
      <c r="F384" s="61">
        <f>6.0007 * CHOOSE(CONTROL!$C$19, $C$13, 100%, $E$13)</f>
        <v>6.0007000000000001</v>
      </c>
      <c r="G384" s="61">
        <f>6.0027 * CHOOSE(CONTROL!$C$19, $C$13, 100%, $E$13)</f>
        <v>6.0026999999999999</v>
      </c>
      <c r="H384" s="61">
        <f>8.9566* CHOOSE(CONTROL!$C$19, $C$13, 100%, $E$13)</f>
        <v>8.9565999999999999</v>
      </c>
      <c r="I384" s="61">
        <f>8.9587 * CHOOSE(CONTROL!$C$19, $C$13, 100%, $E$13)</f>
        <v>8.9587000000000003</v>
      </c>
      <c r="J384" s="61">
        <f>6.0007 * CHOOSE(CONTROL!$C$19, $C$13, 100%, $E$13)</f>
        <v>6.0007000000000001</v>
      </c>
      <c r="K384" s="61">
        <f>6.0027 * CHOOSE(CONTROL!$C$19, $C$13, 100%, $E$13)</f>
        <v>6.0026999999999999</v>
      </c>
    </row>
    <row r="385" spans="1:11" ht="15">
      <c r="A385" s="13">
        <v>53571</v>
      </c>
      <c r="B385" s="60">
        <f>5.4024 * CHOOSE(CONTROL!$C$19, $C$13, 100%, $E$13)</f>
        <v>5.4024000000000001</v>
      </c>
      <c r="C385" s="60">
        <f>5.4024 * CHOOSE(CONTROL!$C$19, $C$13, 100%, $E$13)</f>
        <v>5.4024000000000001</v>
      </c>
      <c r="D385" s="60">
        <f>5.4361 * CHOOSE(CONTROL!$C$19, $C$13, 100%, $E$13)</f>
        <v>5.4360999999999997</v>
      </c>
      <c r="E385" s="61">
        <f>5.9893 * CHOOSE(CONTROL!$C$19, $C$13, 100%, $E$13)</f>
        <v>5.9893000000000001</v>
      </c>
      <c r="F385" s="61">
        <f>5.9893 * CHOOSE(CONTROL!$C$19, $C$13, 100%, $E$13)</f>
        <v>5.9893000000000001</v>
      </c>
      <c r="G385" s="61">
        <f>5.9913 * CHOOSE(CONTROL!$C$19, $C$13, 100%, $E$13)</f>
        <v>5.9912999999999998</v>
      </c>
      <c r="H385" s="61">
        <f>8.9753* CHOOSE(CONTROL!$C$19, $C$13, 100%, $E$13)</f>
        <v>8.9753000000000007</v>
      </c>
      <c r="I385" s="61">
        <f>8.9774 * CHOOSE(CONTROL!$C$19, $C$13, 100%, $E$13)</f>
        <v>8.9773999999999994</v>
      </c>
      <c r="J385" s="61">
        <f>5.9893 * CHOOSE(CONTROL!$C$19, $C$13, 100%, $E$13)</f>
        <v>5.9893000000000001</v>
      </c>
      <c r="K385" s="61">
        <f>5.9913 * CHOOSE(CONTROL!$C$19, $C$13, 100%, $E$13)</f>
        <v>5.9912999999999998</v>
      </c>
    </row>
    <row r="386" spans="1:11" ht="15">
      <c r="A386" s="13">
        <v>53601</v>
      </c>
      <c r="B386" s="60">
        <f>5.4029 * CHOOSE(CONTROL!$C$19, $C$13, 100%, $E$13)</f>
        <v>5.4028999999999998</v>
      </c>
      <c r="C386" s="60">
        <f>5.4029 * CHOOSE(CONTROL!$C$19, $C$13, 100%, $E$13)</f>
        <v>5.4028999999999998</v>
      </c>
      <c r="D386" s="60">
        <f>5.4197 * CHOOSE(CONTROL!$C$19, $C$13, 100%, $E$13)</f>
        <v>5.4196999999999997</v>
      </c>
      <c r="E386" s="61">
        <f>6.013 * CHOOSE(CONTROL!$C$19, $C$13, 100%, $E$13)</f>
        <v>6.0129999999999999</v>
      </c>
      <c r="F386" s="61">
        <f>6.013 * CHOOSE(CONTROL!$C$19, $C$13, 100%, $E$13)</f>
        <v>6.0129999999999999</v>
      </c>
      <c r="G386" s="61">
        <f>6.0132 * CHOOSE(CONTROL!$C$19, $C$13, 100%, $E$13)</f>
        <v>6.0132000000000003</v>
      </c>
      <c r="H386" s="61">
        <f>8.994* CHOOSE(CONTROL!$C$19, $C$13, 100%, $E$13)</f>
        <v>8.9939999999999998</v>
      </c>
      <c r="I386" s="61">
        <f>8.9941 * CHOOSE(CONTROL!$C$19, $C$13, 100%, $E$13)</f>
        <v>8.9940999999999995</v>
      </c>
      <c r="J386" s="61">
        <f>6.013 * CHOOSE(CONTROL!$C$19, $C$13, 100%, $E$13)</f>
        <v>6.0129999999999999</v>
      </c>
      <c r="K386" s="61">
        <f>6.0132 * CHOOSE(CONTROL!$C$19, $C$13, 100%, $E$13)</f>
        <v>6.0132000000000003</v>
      </c>
    </row>
    <row r="387" spans="1:11" ht="15">
      <c r="A387" s="13">
        <v>53632</v>
      </c>
      <c r="B387" s="60">
        <f>5.4059 * CHOOSE(CONTROL!$C$19, $C$13, 100%, $E$13)</f>
        <v>5.4058999999999999</v>
      </c>
      <c r="C387" s="60">
        <f>5.4059 * CHOOSE(CONTROL!$C$19, $C$13, 100%, $E$13)</f>
        <v>5.4058999999999999</v>
      </c>
      <c r="D387" s="60">
        <f>5.4227 * CHOOSE(CONTROL!$C$19, $C$13, 100%, $E$13)</f>
        <v>5.4226999999999999</v>
      </c>
      <c r="E387" s="61">
        <f>6.0337 * CHOOSE(CONTROL!$C$19, $C$13, 100%, $E$13)</f>
        <v>6.0336999999999996</v>
      </c>
      <c r="F387" s="61">
        <f>6.0337 * CHOOSE(CONTROL!$C$19, $C$13, 100%, $E$13)</f>
        <v>6.0336999999999996</v>
      </c>
      <c r="G387" s="61">
        <f>6.0339 * CHOOSE(CONTROL!$C$19, $C$13, 100%, $E$13)</f>
        <v>6.0339</v>
      </c>
      <c r="H387" s="61">
        <f>9.0127* CHOOSE(CONTROL!$C$19, $C$13, 100%, $E$13)</f>
        <v>9.0127000000000006</v>
      </c>
      <c r="I387" s="61">
        <f>9.0129 * CHOOSE(CONTROL!$C$19, $C$13, 100%, $E$13)</f>
        <v>9.0129000000000001</v>
      </c>
      <c r="J387" s="61">
        <f>6.0337 * CHOOSE(CONTROL!$C$19, $C$13, 100%, $E$13)</f>
        <v>6.0336999999999996</v>
      </c>
      <c r="K387" s="61">
        <f>6.0339 * CHOOSE(CONTROL!$C$19, $C$13, 100%, $E$13)</f>
        <v>6.0339</v>
      </c>
    </row>
    <row r="388" spans="1:11" ht="15">
      <c r="A388" s="13">
        <v>53662</v>
      </c>
      <c r="B388" s="60">
        <f>5.4059 * CHOOSE(CONTROL!$C$19, $C$13, 100%, $E$13)</f>
        <v>5.4058999999999999</v>
      </c>
      <c r="C388" s="60">
        <f>5.4059 * CHOOSE(CONTROL!$C$19, $C$13, 100%, $E$13)</f>
        <v>5.4058999999999999</v>
      </c>
      <c r="D388" s="60">
        <f>5.4227 * CHOOSE(CONTROL!$C$19, $C$13, 100%, $E$13)</f>
        <v>5.4226999999999999</v>
      </c>
      <c r="E388" s="61">
        <f>5.9872 * CHOOSE(CONTROL!$C$19, $C$13, 100%, $E$13)</f>
        <v>5.9871999999999996</v>
      </c>
      <c r="F388" s="61">
        <f>5.9872 * CHOOSE(CONTROL!$C$19, $C$13, 100%, $E$13)</f>
        <v>5.9871999999999996</v>
      </c>
      <c r="G388" s="61">
        <f>5.9874 * CHOOSE(CONTROL!$C$19, $C$13, 100%, $E$13)</f>
        <v>5.9874000000000001</v>
      </c>
      <c r="H388" s="61">
        <f>9.0315* CHOOSE(CONTROL!$C$19, $C$13, 100%, $E$13)</f>
        <v>9.0314999999999994</v>
      </c>
      <c r="I388" s="61">
        <f>9.0317 * CHOOSE(CONTROL!$C$19, $C$13, 100%, $E$13)</f>
        <v>9.0317000000000007</v>
      </c>
      <c r="J388" s="61">
        <f>5.9872 * CHOOSE(CONTROL!$C$19, $C$13, 100%, $E$13)</f>
        <v>5.9871999999999996</v>
      </c>
      <c r="K388" s="61">
        <f>5.9874 * CHOOSE(CONTROL!$C$19, $C$13, 100%, $E$13)</f>
        <v>5.9874000000000001</v>
      </c>
    </row>
    <row r="389" spans="1:11" ht="15">
      <c r="A389" s="13">
        <v>53693</v>
      </c>
      <c r="B389" s="60">
        <f>5.4524 * CHOOSE(CONTROL!$C$19, $C$13, 100%, $E$13)</f>
        <v>5.4523999999999999</v>
      </c>
      <c r="C389" s="60">
        <f>5.4524 * CHOOSE(CONTROL!$C$19, $C$13, 100%, $E$13)</f>
        <v>5.4523999999999999</v>
      </c>
      <c r="D389" s="60">
        <f>5.4693 * CHOOSE(CONTROL!$C$19, $C$13, 100%, $E$13)</f>
        <v>5.4692999999999996</v>
      </c>
      <c r="E389" s="61">
        <f>6.0789 * CHOOSE(CONTROL!$C$19, $C$13, 100%, $E$13)</f>
        <v>6.0789</v>
      </c>
      <c r="F389" s="61">
        <f>6.0789 * CHOOSE(CONTROL!$C$19, $C$13, 100%, $E$13)</f>
        <v>6.0789</v>
      </c>
      <c r="G389" s="61">
        <f>6.079 * CHOOSE(CONTROL!$C$19, $C$13, 100%, $E$13)</f>
        <v>6.0789999999999997</v>
      </c>
      <c r="H389" s="61">
        <f>9.0503* CHOOSE(CONTROL!$C$19, $C$13, 100%, $E$13)</f>
        <v>9.0503</v>
      </c>
      <c r="I389" s="61">
        <f>9.0505 * CHOOSE(CONTROL!$C$19, $C$13, 100%, $E$13)</f>
        <v>9.0504999999999995</v>
      </c>
      <c r="J389" s="61">
        <f>6.0789 * CHOOSE(CONTROL!$C$19, $C$13, 100%, $E$13)</f>
        <v>6.0789</v>
      </c>
      <c r="K389" s="61">
        <f>6.079 * CHOOSE(CONTROL!$C$19, $C$13, 100%, $E$13)</f>
        <v>6.0789999999999997</v>
      </c>
    </row>
    <row r="390" spans="1:11" ht="15">
      <c r="A390" s="13">
        <v>53724</v>
      </c>
      <c r="B390" s="60">
        <f>5.4494 * CHOOSE(CONTROL!$C$19, $C$13, 100%, $E$13)</f>
        <v>5.4493999999999998</v>
      </c>
      <c r="C390" s="60">
        <f>5.4494 * CHOOSE(CONTROL!$C$19, $C$13, 100%, $E$13)</f>
        <v>5.4493999999999998</v>
      </c>
      <c r="D390" s="60">
        <f>5.4662 * CHOOSE(CONTROL!$C$19, $C$13, 100%, $E$13)</f>
        <v>5.4661999999999997</v>
      </c>
      <c r="E390" s="61">
        <f>5.9862 * CHOOSE(CONTROL!$C$19, $C$13, 100%, $E$13)</f>
        <v>5.9862000000000002</v>
      </c>
      <c r="F390" s="61">
        <f>5.9862 * CHOOSE(CONTROL!$C$19, $C$13, 100%, $E$13)</f>
        <v>5.9862000000000002</v>
      </c>
      <c r="G390" s="61">
        <f>5.9864 * CHOOSE(CONTROL!$C$19, $C$13, 100%, $E$13)</f>
        <v>5.9863999999999997</v>
      </c>
      <c r="H390" s="61">
        <f>9.0691* CHOOSE(CONTROL!$C$19, $C$13, 100%, $E$13)</f>
        <v>9.0691000000000006</v>
      </c>
      <c r="I390" s="61">
        <f>9.0693 * CHOOSE(CONTROL!$C$19, $C$13, 100%, $E$13)</f>
        <v>9.0693000000000001</v>
      </c>
      <c r="J390" s="61">
        <f>5.9862 * CHOOSE(CONTROL!$C$19, $C$13, 100%, $E$13)</f>
        <v>5.9862000000000002</v>
      </c>
      <c r="K390" s="61">
        <f>5.9864 * CHOOSE(CONTROL!$C$19, $C$13, 100%, $E$13)</f>
        <v>5.9863999999999997</v>
      </c>
    </row>
    <row r="391" spans="1:11" ht="15">
      <c r="A391" s="13">
        <v>53752</v>
      </c>
      <c r="B391" s="60">
        <f>5.4464 * CHOOSE(CONTROL!$C$19, $C$13, 100%, $E$13)</f>
        <v>5.4463999999999997</v>
      </c>
      <c r="C391" s="60">
        <f>5.4464 * CHOOSE(CONTROL!$C$19, $C$13, 100%, $E$13)</f>
        <v>5.4463999999999997</v>
      </c>
      <c r="D391" s="60">
        <f>5.4632 * CHOOSE(CONTROL!$C$19, $C$13, 100%, $E$13)</f>
        <v>5.4631999999999996</v>
      </c>
      <c r="E391" s="61">
        <f>6.0555 * CHOOSE(CONTROL!$C$19, $C$13, 100%, $E$13)</f>
        <v>6.0555000000000003</v>
      </c>
      <c r="F391" s="61">
        <f>6.0555 * CHOOSE(CONTROL!$C$19, $C$13, 100%, $E$13)</f>
        <v>6.0555000000000003</v>
      </c>
      <c r="G391" s="61">
        <f>6.0556 * CHOOSE(CONTROL!$C$19, $C$13, 100%, $E$13)</f>
        <v>6.0556000000000001</v>
      </c>
      <c r="H391" s="61">
        <f>9.088* CHOOSE(CONTROL!$C$19, $C$13, 100%, $E$13)</f>
        <v>9.0879999999999992</v>
      </c>
      <c r="I391" s="61">
        <f>9.0882 * CHOOSE(CONTROL!$C$19, $C$13, 100%, $E$13)</f>
        <v>9.0882000000000005</v>
      </c>
      <c r="J391" s="61">
        <f>6.0555 * CHOOSE(CONTROL!$C$19, $C$13, 100%, $E$13)</f>
        <v>6.0555000000000003</v>
      </c>
      <c r="K391" s="61">
        <f>6.0556 * CHOOSE(CONTROL!$C$19, $C$13, 100%, $E$13)</f>
        <v>6.0556000000000001</v>
      </c>
    </row>
    <row r="392" spans="1:11" ht="15">
      <c r="A392" s="13">
        <v>53783</v>
      </c>
      <c r="B392" s="60">
        <f>5.4455 * CHOOSE(CONTROL!$C$19, $C$13, 100%, $E$13)</f>
        <v>5.4455</v>
      </c>
      <c r="C392" s="60">
        <f>5.4455 * CHOOSE(CONTROL!$C$19, $C$13, 100%, $E$13)</f>
        <v>5.4455</v>
      </c>
      <c r="D392" s="60">
        <f>5.4623 * CHOOSE(CONTROL!$C$19, $C$13, 100%, $E$13)</f>
        <v>5.4622999999999999</v>
      </c>
      <c r="E392" s="61">
        <f>6.1279 * CHOOSE(CONTROL!$C$19, $C$13, 100%, $E$13)</f>
        <v>6.1279000000000003</v>
      </c>
      <c r="F392" s="61">
        <f>6.1279 * CHOOSE(CONTROL!$C$19, $C$13, 100%, $E$13)</f>
        <v>6.1279000000000003</v>
      </c>
      <c r="G392" s="61">
        <f>6.1281 * CHOOSE(CONTROL!$C$19, $C$13, 100%, $E$13)</f>
        <v>6.1280999999999999</v>
      </c>
      <c r="H392" s="61">
        <f>9.107* CHOOSE(CONTROL!$C$19, $C$13, 100%, $E$13)</f>
        <v>9.1069999999999993</v>
      </c>
      <c r="I392" s="61">
        <f>9.1071 * CHOOSE(CONTROL!$C$19, $C$13, 100%, $E$13)</f>
        <v>9.1071000000000009</v>
      </c>
      <c r="J392" s="61">
        <f>6.1279 * CHOOSE(CONTROL!$C$19, $C$13, 100%, $E$13)</f>
        <v>6.1279000000000003</v>
      </c>
      <c r="K392" s="61">
        <f>6.1281 * CHOOSE(CONTROL!$C$19, $C$13, 100%, $E$13)</f>
        <v>6.1280999999999999</v>
      </c>
    </row>
    <row r="393" spans="1:11" ht="15">
      <c r="A393" s="13">
        <v>53813</v>
      </c>
      <c r="B393" s="60">
        <f>5.4455 * CHOOSE(CONTROL!$C$19, $C$13, 100%, $E$13)</f>
        <v>5.4455</v>
      </c>
      <c r="C393" s="60">
        <f>5.4455 * CHOOSE(CONTROL!$C$19, $C$13, 100%, $E$13)</f>
        <v>5.4455</v>
      </c>
      <c r="D393" s="60">
        <f>5.4791 * CHOOSE(CONTROL!$C$19, $C$13, 100%, $E$13)</f>
        <v>5.4790999999999999</v>
      </c>
      <c r="E393" s="61">
        <f>6.1566 * CHOOSE(CONTROL!$C$19, $C$13, 100%, $E$13)</f>
        <v>6.1566000000000001</v>
      </c>
      <c r="F393" s="61">
        <f>6.1566 * CHOOSE(CONTROL!$C$19, $C$13, 100%, $E$13)</f>
        <v>6.1566000000000001</v>
      </c>
      <c r="G393" s="61">
        <f>6.1587 * CHOOSE(CONTROL!$C$19, $C$13, 100%, $E$13)</f>
        <v>6.1586999999999996</v>
      </c>
      <c r="H393" s="61">
        <f>9.1259* CHOOSE(CONTROL!$C$19, $C$13, 100%, $E$13)</f>
        <v>9.1258999999999997</v>
      </c>
      <c r="I393" s="61">
        <f>9.128 * CHOOSE(CONTROL!$C$19, $C$13, 100%, $E$13)</f>
        <v>9.1280000000000001</v>
      </c>
      <c r="J393" s="61">
        <f>6.1566 * CHOOSE(CONTROL!$C$19, $C$13, 100%, $E$13)</f>
        <v>6.1566000000000001</v>
      </c>
      <c r="K393" s="61">
        <f>6.1587 * CHOOSE(CONTROL!$C$19, $C$13, 100%, $E$13)</f>
        <v>6.1586999999999996</v>
      </c>
    </row>
    <row r="394" spans="1:11" ht="15">
      <c r="A394" s="13">
        <v>53844</v>
      </c>
      <c r="B394" s="60">
        <f>5.4516 * CHOOSE(CONTROL!$C$19, $C$13, 100%, $E$13)</f>
        <v>5.4516</v>
      </c>
      <c r="C394" s="60">
        <f>5.4516 * CHOOSE(CONTROL!$C$19, $C$13, 100%, $E$13)</f>
        <v>5.4516</v>
      </c>
      <c r="D394" s="60">
        <f>5.4852 * CHOOSE(CONTROL!$C$19, $C$13, 100%, $E$13)</f>
        <v>5.4851999999999999</v>
      </c>
      <c r="E394" s="61">
        <f>6.1321 * CHOOSE(CONTROL!$C$19, $C$13, 100%, $E$13)</f>
        <v>6.1321000000000003</v>
      </c>
      <c r="F394" s="61">
        <f>6.1321 * CHOOSE(CONTROL!$C$19, $C$13, 100%, $E$13)</f>
        <v>6.1321000000000003</v>
      </c>
      <c r="G394" s="61">
        <f>6.1342 * CHOOSE(CONTROL!$C$19, $C$13, 100%, $E$13)</f>
        <v>6.1341999999999999</v>
      </c>
      <c r="H394" s="61">
        <f>9.145* CHOOSE(CONTROL!$C$19, $C$13, 100%, $E$13)</f>
        <v>9.1449999999999996</v>
      </c>
      <c r="I394" s="61">
        <f>9.147 * CHOOSE(CONTROL!$C$19, $C$13, 100%, $E$13)</f>
        <v>9.1470000000000002</v>
      </c>
      <c r="J394" s="61">
        <f>6.1321 * CHOOSE(CONTROL!$C$19, $C$13, 100%, $E$13)</f>
        <v>6.1321000000000003</v>
      </c>
      <c r="K394" s="61">
        <f>6.1342 * CHOOSE(CONTROL!$C$19, $C$13, 100%, $E$13)</f>
        <v>6.1341999999999999</v>
      </c>
    </row>
    <row r="395" spans="1:11" ht="15">
      <c r="A395" s="13">
        <v>53874</v>
      </c>
      <c r="B395" s="60">
        <f>5.5355 * CHOOSE(CONTROL!$C$19, $C$13, 100%, $E$13)</f>
        <v>5.5354999999999999</v>
      </c>
      <c r="C395" s="60">
        <f>5.5355 * CHOOSE(CONTROL!$C$19, $C$13, 100%, $E$13)</f>
        <v>5.5354999999999999</v>
      </c>
      <c r="D395" s="60">
        <f>5.5691 * CHOOSE(CONTROL!$C$19, $C$13, 100%, $E$13)</f>
        <v>5.5690999999999997</v>
      </c>
      <c r="E395" s="61">
        <f>6.2503 * CHOOSE(CONTROL!$C$19, $C$13, 100%, $E$13)</f>
        <v>6.2503000000000002</v>
      </c>
      <c r="F395" s="61">
        <f>6.2503 * CHOOSE(CONTROL!$C$19, $C$13, 100%, $E$13)</f>
        <v>6.2503000000000002</v>
      </c>
      <c r="G395" s="61">
        <f>6.2524 * CHOOSE(CONTROL!$C$19, $C$13, 100%, $E$13)</f>
        <v>6.2523999999999997</v>
      </c>
      <c r="H395" s="61">
        <f>9.164* CHOOSE(CONTROL!$C$19, $C$13, 100%, $E$13)</f>
        <v>9.1639999999999997</v>
      </c>
      <c r="I395" s="61">
        <f>9.1661 * CHOOSE(CONTROL!$C$19, $C$13, 100%, $E$13)</f>
        <v>9.1661000000000001</v>
      </c>
      <c r="J395" s="61">
        <f>6.2503 * CHOOSE(CONTROL!$C$19, $C$13, 100%, $E$13)</f>
        <v>6.2503000000000002</v>
      </c>
      <c r="K395" s="61">
        <f>6.2524 * CHOOSE(CONTROL!$C$19, $C$13, 100%, $E$13)</f>
        <v>6.2523999999999997</v>
      </c>
    </row>
    <row r="396" spans="1:11" ht="15">
      <c r="A396" s="13">
        <v>53905</v>
      </c>
      <c r="B396" s="60">
        <f>5.5422 * CHOOSE(CONTROL!$C$19, $C$13, 100%, $E$13)</f>
        <v>5.5422000000000002</v>
      </c>
      <c r="C396" s="60">
        <f>5.5422 * CHOOSE(CONTROL!$C$19, $C$13, 100%, $E$13)</f>
        <v>5.5422000000000002</v>
      </c>
      <c r="D396" s="60">
        <f>5.5758 * CHOOSE(CONTROL!$C$19, $C$13, 100%, $E$13)</f>
        <v>5.5758000000000001</v>
      </c>
      <c r="E396" s="61">
        <f>6.1687 * CHOOSE(CONTROL!$C$19, $C$13, 100%, $E$13)</f>
        <v>6.1687000000000003</v>
      </c>
      <c r="F396" s="61">
        <f>6.1687 * CHOOSE(CONTROL!$C$19, $C$13, 100%, $E$13)</f>
        <v>6.1687000000000003</v>
      </c>
      <c r="G396" s="61">
        <f>6.1708 * CHOOSE(CONTROL!$C$19, $C$13, 100%, $E$13)</f>
        <v>6.1707999999999998</v>
      </c>
      <c r="H396" s="61">
        <f>9.1831* CHOOSE(CONTROL!$C$19, $C$13, 100%, $E$13)</f>
        <v>9.1830999999999996</v>
      </c>
      <c r="I396" s="61">
        <f>9.1852 * CHOOSE(CONTROL!$C$19, $C$13, 100%, $E$13)</f>
        <v>9.1852</v>
      </c>
      <c r="J396" s="61">
        <f>6.1687 * CHOOSE(CONTROL!$C$19, $C$13, 100%, $E$13)</f>
        <v>6.1687000000000003</v>
      </c>
      <c r="K396" s="61">
        <f>6.1708 * CHOOSE(CONTROL!$C$19, $C$13, 100%, $E$13)</f>
        <v>6.1707999999999998</v>
      </c>
    </row>
    <row r="397" spans="1:11" ht="15">
      <c r="A397" s="13">
        <v>53936</v>
      </c>
      <c r="B397" s="60">
        <f>5.5391 * CHOOSE(CONTROL!$C$19, $C$13, 100%, $E$13)</f>
        <v>5.5391000000000004</v>
      </c>
      <c r="C397" s="60">
        <f>5.5391 * CHOOSE(CONTROL!$C$19, $C$13, 100%, $E$13)</f>
        <v>5.5391000000000004</v>
      </c>
      <c r="D397" s="60">
        <f>5.5728 * CHOOSE(CONTROL!$C$19, $C$13, 100%, $E$13)</f>
        <v>5.5728</v>
      </c>
      <c r="E397" s="61">
        <f>6.157 * CHOOSE(CONTROL!$C$19, $C$13, 100%, $E$13)</f>
        <v>6.157</v>
      </c>
      <c r="F397" s="61">
        <f>6.157 * CHOOSE(CONTROL!$C$19, $C$13, 100%, $E$13)</f>
        <v>6.157</v>
      </c>
      <c r="G397" s="61">
        <f>6.1591 * CHOOSE(CONTROL!$C$19, $C$13, 100%, $E$13)</f>
        <v>6.1590999999999996</v>
      </c>
      <c r="H397" s="61">
        <f>9.2022* CHOOSE(CONTROL!$C$19, $C$13, 100%, $E$13)</f>
        <v>9.2021999999999995</v>
      </c>
      <c r="I397" s="61">
        <f>9.2043 * CHOOSE(CONTROL!$C$19, $C$13, 100%, $E$13)</f>
        <v>9.2042999999999999</v>
      </c>
      <c r="J397" s="61">
        <f>6.157 * CHOOSE(CONTROL!$C$19, $C$13, 100%, $E$13)</f>
        <v>6.157</v>
      </c>
      <c r="K397" s="61">
        <f>6.1591 * CHOOSE(CONTROL!$C$19, $C$13, 100%, $E$13)</f>
        <v>6.1590999999999996</v>
      </c>
    </row>
    <row r="398" spans="1:11" ht="15">
      <c r="A398" s="13">
        <v>53966</v>
      </c>
      <c r="B398" s="60">
        <f>5.5401 * CHOOSE(CONTROL!$C$19, $C$13, 100%, $E$13)</f>
        <v>5.5400999999999998</v>
      </c>
      <c r="C398" s="60">
        <f>5.5401 * CHOOSE(CONTROL!$C$19, $C$13, 100%, $E$13)</f>
        <v>5.5400999999999998</v>
      </c>
      <c r="D398" s="60">
        <f>5.5569 * CHOOSE(CONTROL!$C$19, $C$13, 100%, $E$13)</f>
        <v>5.5568999999999997</v>
      </c>
      <c r="E398" s="61">
        <f>6.1819 * CHOOSE(CONTROL!$C$19, $C$13, 100%, $E$13)</f>
        <v>6.1818999999999997</v>
      </c>
      <c r="F398" s="61">
        <f>6.1819 * CHOOSE(CONTROL!$C$19, $C$13, 100%, $E$13)</f>
        <v>6.1818999999999997</v>
      </c>
      <c r="G398" s="61">
        <f>6.1821 * CHOOSE(CONTROL!$C$19, $C$13, 100%, $E$13)</f>
        <v>6.1821000000000002</v>
      </c>
      <c r="H398" s="61">
        <f>9.2214* CHOOSE(CONTROL!$C$19, $C$13, 100%, $E$13)</f>
        <v>9.2213999999999992</v>
      </c>
      <c r="I398" s="61">
        <f>9.2216 * CHOOSE(CONTROL!$C$19, $C$13, 100%, $E$13)</f>
        <v>9.2216000000000005</v>
      </c>
      <c r="J398" s="61">
        <f>6.1819 * CHOOSE(CONTROL!$C$19, $C$13, 100%, $E$13)</f>
        <v>6.1818999999999997</v>
      </c>
      <c r="K398" s="61">
        <f>6.1821 * CHOOSE(CONTROL!$C$19, $C$13, 100%, $E$13)</f>
        <v>6.1821000000000002</v>
      </c>
    </row>
    <row r="399" spans="1:11" ht="15">
      <c r="A399" s="13">
        <v>53997</v>
      </c>
      <c r="B399" s="60">
        <f>5.5432 * CHOOSE(CONTROL!$C$19, $C$13, 100%, $E$13)</f>
        <v>5.5431999999999997</v>
      </c>
      <c r="C399" s="60">
        <f>5.5432 * CHOOSE(CONTROL!$C$19, $C$13, 100%, $E$13)</f>
        <v>5.5431999999999997</v>
      </c>
      <c r="D399" s="60">
        <f>5.56 * CHOOSE(CONTROL!$C$19, $C$13, 100%, $E$13)</f>
        <v>5.56</v>
      </c>
      <c r="E399" s="61">
        <f>6.2032 * CHOOSE(CONTROL!$C$19, $C$13, 100%, $E$13)</f>
        <v>6.2031999999999998</v>
      </c>
      <c r="F399" s="61">
        <f>6.2032 * CHOOSE(CONTROL!$C$19, $C$13, 100%, $E$13)</f>
        <v>6.2031999999999998</v>
      </c>
      <c r="G399" s="61">
        <f>6.2034 * CHOOSE(CONTROL!$C$19, $C$13, 100%, $E$13)</f>
        <v>6.2034000000000002</v>
      </c>
      <c r="H399" s="61">
        <f>9.2406* CHOOSE(CONTROL!$C$19, $C$13, 100%, $E$13)</f>
        <v>9.2406000000000006</v>
      </c>
      <c r="I399" s="61">
        <f>9.2408 * CHOOSE(CONTROL!$C$19, $C$13, 100%, $E$13)</f>
        <v>9.2408000000000001</v>
      </c>
      <c r="J399" s="61">
        <f>6.2032 * CHOOSE(CONTROL!$C$19, $C$13, 100%, $E$13)</f>
        <v>6.2031999999999998</v>
      </c>
      <c r="K399" s="61">
        <f>6.2034 * CHOOSE(CONTROL!$C$19, $C$13, 100%, $E$13)</f>
        <v>6.2034000000000002</v>
      </c>
    </row>
    <row r="400" spans="1:11" ht="15">
      <c r="A400" s="13">
        <v>54027</v>
      </c>
      <c r="B400" s="60">
        <f>5.5432 * CHOOSE(CONTROL!$C$19, $C$13, 100%, $E$13)</f>
        <v>5.5431999999999997</v>
      </c>
      <c r="C400" s="60">
        <f>5.5432 * CHOOSE(CONTROL!$C$19, $C$13, 100%, $E$13)</f>
        <v>5.5431999999999997</v>
      </c>
      <c r="D400" s="60">
        <f>5.56 * CHOOSE(CONTROL!$C$19, $C$13, 100%, $E$13)</f>
        <v>5.56</v>
      </c>
      <c r="E400" s="61">
        <f>6.1553 * CHOOSE(CONTROL!$C$19, $C$13, 100%, $E$13)</f>
        <v>6.1553000000000004</v>
      </c>
      <c r="F400" s="61">
        <f>6.1553 * CHOOSE(CONTROL!$C$19, $C$13, 100%, $E$13)</f>
        <v>6.1553000000000004</v>
      </c>
      <c r="G400" s="61">
        <f>6.1554 * CHOOSE(CONTROL!$C$19, $C$13, 100%, $E$13)</f>
        <v>6.1554000000000002</v>
      </c>
      <c r="H400" s="61">
        <f>9.2599* CHOOSE(CONTROL!$C$19, $C$13, 100%, $E$13)</f>
        <v>9.2599</v>
      </c>
      <c r="I400" s="61">
        <f>9.26 * CHOOSE(CONTROL!$C$19, $C$13, 100%, $E$13)</f>
        <v>9.26</v>
      </c>
      <c r="J400" s="61">
        <f>6.1553 * CHOOSE(CONTROL!$C$19, $C$13, 100%, $E$13)</f>
        <v>6.1553000000000004</v>
      </c>
      <c r="K400" s="61">
        <f>6.1554 * CHOOSE(CONTROL!$C$19, $C$13, 100%, $E$13)</f>
        <v>6.1554000000000002</v>
      </c>
    </row>
    <row r="401" spans="1:11" ht="15">
      <c r="A401" s="13">
        <v>54058</v>
      </c>
      <c r="B401" s="60">
        <f>5.5908 * CHOOSE(CONTROL!$C$19, $C$13, 100%, $E$13)</f>
        <v>5.5907999999999998</v>
      </c>
      <c r="C401" s="60">
        <f>5.5908 * CHOOSE(CONTROL!$C$19, $C$13, 100%, $E$13)</f>
        <v>5.5907999999999998</v>
      </c>
      <c r="D401" s="60">
        <f>5.6076 * CHOOSE(CONTROL!$C$19, $C$13, 100%, $E$13)</f>
        <v>5.6075999999999997</v>
      </c>
      <c r="E401" s="61">
        <f>6.2495 * CHOOSE(CONTROL!$C$19, $C$13, 100%, $E$13)</f>
        <v>6.2495000000000003</v>
      </c>
      <c r="F401" s="61">
        <f>6.2495 * CHOOSE(CONTROL!$C$19, $C$13, 100%, $E$13)</f>
        <v>6.2495000000000003</v>
      </c>
      <c r="G401" s="61">
        <f>6.2497 * CHOOSE(CONTROL!$C$19, $C$13, 100%, $E$13)</f>
        <v>6.2496999999999998</v>
      </c>
      <c r="H401" s="61">
        <f>9.2792* CHOOSE(CONTROL!$C$19, $C$13, 100%, $E$13)</f>
        <v>9.2791999999999994</v>
      </c>
      <c r="I401" s="61">
        <f>9.2793 * CHOOSE(CONTROL!$C$19, $C$13, 100%, $E$13)</f>
        <v>9.2792999999999992</v>
      </c>
      <c r="J401" s="61">
        <f>6.2495 * CHOOSE(CONTROL!$C$19, $C$13, 100%, $E$13)</f>
        <v>6.2495000000000003</v>
      </c>
      <c r="K401" s="61">
        <f>6.2497 * CHOOSE(CONTROL!$C$19, $C$13, 100%, $E$13)</f>
        <v>6.2496999999999998</v>
      </c>
    </row>
    <row r="402" spans="1:11" ht="15">
      <c r="A402" s="13">
        <v>54089</v>
      </c>
      <c r="B402" s="60">
        <f>5.5877 * CHOOSE(CONTROL!$C$19, $C$13, 100%, $E$13)</f>
        <v>5.5876999999999999</v>
      </c>
      <c r="C402" s="60">
        <f>5.5877 * CHOOSE(CONTROL!$C$19, $C$13, 100%, $E$13)</f>
        <v>5.5876999999999999</v>
      </c>
      <c r="D402" s="60">
        <f>5.6046 * CHOOSE(CONTROL!$C$19, $C$13, 100%, $E$13)</f>
        <v>5.6045999999999996</v>
      </c>
      <c r="E402" s="61">
        <f>6.154 * CHOOSE(CONTROL!$C$19, $C$13, 100%, $E$13)</f>
        <v>6.1539999999999999</v>
      </c>
      <c r="F402" s="61">
        <f>6.154 * CHOOSE(CONTROL!$C$19, $C$13, 100%, $E$13)</f>
        <v>6.1539999999999999</v>
      </c>
      <c r="G402" s="61">
        <f>6.1541 * CHOOSE(CONTROL!$C$19, $C$13, 100%, $E$13)</f>
        <v>6.1540999999999997</v>
      </c>
      <c r="H402" s="61">
        <f>9.2985* CHOOSE(CONTROL!$C$19, $C$13, 100%, $E$13)</f>
        <v>9.2985000000000007</v>
      </c>
      <c r="I402" s="61">
        <f>9.2987 * CHOOSE(CONTROL!$C$19, $C$13, 100%, $E$13)</f>
        <v>9.2987000000000002</v>
      </c>
      <c r="J402" s="61">
        <f>6.154 * CHOOSE(CONTROL!$C$19, $C$13, 100%, $E$13)</f>
        <v>6.1539999999999999</v>
      </c>
      <c r="K402" s="61">
        <f>6.1541 * CHOOSE(CONTROL!$C$19, $C$13, 100%, $E$13)</f>
        <v>6.1540999999999997</v>
      </c>
    </row>
    <row r="403" spans="1:11" ht="15">
      <c r="A403" s="13">
        <v>54118</v>
      </c>
      <c r="B403" s="60">
        <f>5.5847 * CHOOSE(CONTROL!$C$19, $C$13, 100%, $E$13)</f>
        <v>5.5846999999999998</v>
      </c>
      <c r="C403" s="60">
        <f>5.5847 * CHOOSE(CONTROL!$C$19, $C$13, 100%, $E$13)</f>
        <v>5.5846999999999998</v>
      </c>
      <c r="D403" s="60">
        <f>5.6015 * CHOOSE(CONTROL!$C$19, $C$13, 100%, $E$13)</f>
        <v>5.6014999999999997</v>
      </c>
      <c r="E403" s="61">
        <f>6.2255 * CHOOSE(CONTROL!$C$19, $C$13, 100%, $E$13)</f>
        <v>6.2255000000000003</v>
      </c>
      <c r="F403" s="61">
        <f>6.2255 * CHOOSE(CONTROL!$C$19, $C$13, 100%, $E$13)</f>
        <v>6.2255000000000003</v>
      </c>
      <c r="G403" s="61">
        <f>6.2257 * CHOOSE(CONTROL!$C$19, $C$13, 100%, $E$13)</f>
        <v>6.2256999999999998</v>
      </c>
      <c r="H403" s="61">
        <f>9.3179* CHOOSE(CONTROL!$C$19, $C$13, 100%, $E$13)</f>
        <v>9.3178999999999998</v>
      </c>
      <c r="I403" s="61">
        <f>9.318 * CHOOSE(CONTROL!$C$19, $C$13, 100%, $E$13)</f>
        <v>9.3179999999999996</v>
      </c>
      <c r="J403" s="61">
        <f>6.2255 * CHOOSE(CONTROL!$C$19, $C$13, 100%, $E$13)</f>
        <v>6.2255000000000003</v>
      </c>
      <c r="K403" s="61">
        <f>6.2257 * CHOOSE(CONTROL!$C$19, $C$13, 100%, $E$13)</f>
        <v>6.2256999999999998</v>
      </c>
    </row>
    <row r="404" spans="1:11" ht="15">
      <c r="A404" s="13">
        <v>54149</v>
      </c>
      <c r="B404" s="60">
        <f>5.5839 * CHOOSE(CONTROL!$C$19, $C$13, 100%, $E$13)</f>
        <v>5.5838999999999999</v>
      </c>
      <c r="C404" s="60">
        <f>5.5839 * CHOOSE(CONTROL!$C$19, $C$13, 100%, $E$13)</f>
        <v>5.5838999999999999</v>
      </c>
      <c r="D404" s="60">
        <f>5.6008 * CHOOSE(CONTROL!$C$19, $C$13, 100%, $E$13)</f>
        <v>5.6007999999999996</v>
      </c>
      <c r="E404" s="61">
        <f>6.3004 * CHOOSE(CONTROL!$C$19, $C$13, 100%, $E$13)</f>
        <v>6.3003999999999998</v>
      </c>
      <c r="F404" s="61">
        <f>6.3004 * CHOOSE(CONTROL!$C$19, $C$13, 100%, $E$13)</f>
        <v>6.3003999999999998</v>
      </c>
      <c r="G404" s="61">
        <f>6.3006 * CHOOSE(CONTROL!$C$19, $C$13, 100%, $E$13)</f>
        <v>6.3006000000000002</v>
      </c>
      <c r="H404" s="61">
        <f>9.3373* CHOOSE(CONTROL!$C$19, $C$13, 100%, $E$13)</f>
        <v>9.3373000000000008</v>
      </c>
      <c r="I404" s="61">
        <f>9.3374 * CHOOSE(CONTROL!$C$19, $C$13, 100%, $E$13)</f>
        <v>9.3374000000000006</v>
      </c>
      <c r="J404" s="61">
        <f>6.3004 * CHOOSE(CONTROL!$C$19, $C$13, 100%, $E$13)</f>
        <v>6.3003999999999998</v>
      </c>
      <c r="K404" s="61">
        <f>6.3006 * CHOOSE(CONTROL!$C$19, $C$13, 100%, $E$13)</f>
        <v>6.3006000000000002</v>
      </c>
    </row>
    <row r="405" spans="1:11" ht="15">
      <c r="A405" s="13">
        <v>54179</v>
      </c>
      <c r="B405" s="60">
        <f>5.5839 * CHOOSE(CONTROL!$C$19, $C$13, 100%, $E$13)</f>
        <v>5.5838999999999999</v>
      </c>
      <c r="C405" s="60">
        <f>5.5839 * CHOOSE(CONTROL!$C$19, $C$13, 100%, $E$13)</f>
        <v>5.5838999999999999</v>
      </c>
      <c r="D405" s="60">
        <f>5.6176 * CHOOSE(CONTROL!$C$19, $C$13, 100%, $E$13)</f>
        <v>5.6176000000000004</v>
      </c>
      <c r="E405" s="61">
        <f>6.33 * CHOOSE(CONTROL!$C$19, $C$13, 100%, $E$13)</f>
        <v>6.33</v>
      </c>
      <c r="F405" s="61">
        <f>6.33 * CHOOSE(CONTROL!$C$19, $C$13, 100%, $E$13)</f>
        <v>6.33</v>
      </c>
      <c r="G405" s="61">
        <f>6.3321 * CHOOSE(CONTROL!$C$19, $C$13, 100%, $E$13)</f>
        <v>6.3320999999999996</v>
      </c>
      <c r="H405" s="61">
        <f>9.3567* CHOOSE(CONTROL!$C$19, $C$13, 100%, $E$13)</f>
        <v>9.3567</v>
      </c>
      <c r="I405" s="61">
        <f>9.3588 * CHOOSE(CONTROL!$C$19, $C$13, 100%, $E$13)</f>
        <v>9.3588000000000005</v>
      </c>
      <c r="J405" s="61">
        <f>6.33 * CHOOSE(CONTROL!$C$19, $C$13, 100%, $E$13)</f>
        <v>6.33</v>
      </c>
      <c r="K405" s="61">
        <f>6.3321 * CHOOSE(CONTROL!$C$19, $C$13, 100%, $E$13)</f>
        <v>6.3320999999999996</v>
      </c>
    </row>
    <row r="406" spans="1:11" ht="15">
      <c r="A406" s="13">
        <v>54210</v>
      </c>
      <c r="B406" s="60">
        <f>5.59 * CHOOSE(CONTROL!$C$19, $C$13, 100%, $E$13)</f>
        <v>5.59</v>
      </c>
      <c r="C406" s="60">
        <f>5.59 * CHOOSE(CONTROL!$C$19, $C$13, 100%, $E$13)</f>
        <v>5.59</v>
      </c>
      <c r="D406" s="60">
        <f>5.6237 * CHOOSE(CONTROL!$C$19, $C$13, 100%, $E$13)</f>
        <v>5.6237000000000004</v>
      </c>
      <c r="E406" s="61">
        <f>6.3046 * CHOOSE(CONTROL!$C$19, $C$13, 100%, $E$13)</f>
        <v>6.3045999999999998</v>
      </c>
      <c r="F406" s="61">
        <f>6.3046 * CHOOSE(CONTROL!$C$19, $C$13, 100%, $E$13)</f>
        <v>6.3045999999999998</v>
      </c>
      <c r="G406" s="61">
        <f>6.3067 * CHOOSE(CONTROL!$C$19, $C$13, 100%, $E$13)</f>
        <v>6.3067000000000002</v>
      </c>
      <c r="H406" s="61">
        <f>9.3762* CHOOSE(CONTROL!$C$19, $C$13, 100%, $E$13)</f>
        <v>9.3762000000000008</v>
      </c>
      <c r="I406" s="61">
        <f>9.3783 * CHOOSE(CONTROL!$C$19, $C$13, 100%, $E$13)</f>
        <v>9.3782999999999994</v>
      </c>
      <c r="J406" s="61">
        <f>6.3046 * CHOOSE(CONTROL!$C$19, $C$13, 100%, $E$13)</f>
        <v>6.3045999999999998</v>
      </c>
      <c r="K406" s="61">
        <f>6.3067 * CHOOSE(CONTROL!$C$19, $C$13, 100%, $E$13)</f>
        <v>6.3067000000000002</v>
      </c>
    </row>
    <row r="407" spans="1:11" ht="15">
      <c r="A407" s="13">
        <v>54240</v>
      </c>
      <c r="B407" s="60">
        <f>5.6757 * CHOOSE(CONTROL!$C$19, $C$13, 100%, $E$13)</f>
        <v>5.6757</v>
      </c>
      <c r="C407" s="60">
        <f>5.6757 * CHOOSE(CONTROL!$C$19, $C$13, 100%, $E$13)</f>
        <v>5.6757</v>
      </c>
      <c r="D407" s="60">
        <f>5.7094 * CHOOSE(CONTROL!$C$19, $C$13, 100%, $E$13)</f>
        <v>5.7093999999999996</v>
      </c>
      <c r="E407" s="61">
        <f>6.4258 * CHOOSE(CONTROL!$C$19, $C$13, 100%, $E$13)</f>
        <v>6.4257999999999997</v>
      </c>
      <c r="F407" s="61">
        <f>6.4258 * CHOOSE(CONTROL!$C$19, $C$13, 100%, $E$13)</f>
        <v>6.4257999999999997</v>
      </c>
      <c r="G407" s="61">
        <f>6.4279 * CHOOSE(CONTROL!$C$19, $C$13, 100%, $E$13)</f>
        <v>6.4279000000000002</v>
      </c>
      <c r="H407" s="61">
        <f>9.3958* CHOOSE(CONTROL!$C$19, $C$13, 100%, $E$13)</f>
        <v>9.3957999999999995</v>
      </c>
      <c r="I407" s="61">
        <f>9.3978 * CHOOSE(CONTROL!$C$19, $C$13, 100%, $E$13)</f>
        <v>9.3978000000000002</v>
      </c>
      <c r="J407" s="61">
        <f>6.4258 * CHOOSE(CONTROL!$C$19, $C$13, 100%, $E$13)</f>
        <v>6.4257999999999997</v>
      </c>
      <c r="K407" s="61">
        <f>6.4279 * CHOOSE(CONTROL!$C$19, $C$13, 100%, $E$13)</f>
        <v>6.4279000000000002</v>
      </c>
    </row>
    <row r="408" spans="1:11" ht="15">
      <c r="A408" s="13">
        <v>54271</v>
      </c>
      <c r="B408" s="60">
        <f>5.6824 * CHOOSE(CONTROL!$C$19, $C$13, 100%, $E$13)</f>
        <v>5.6824000000000003</v>
      </c>
      <c r="C408" s="60">
        <f>5.6824 * CHOOSE(CONTROL!$C$19, $C$13, 100%, $E$13)</f>
        <v>5.6824000000000003</v>
      </c>
      <c r="D408" s="60">
        <f>5.7161 * CHOOSE(CONTROL!$C$19, $C$13, 100%, $E$13)</f>
        <v>5.7161</v>
      </c>
      <c r="E408" s="61">
        <f>6.3414 * CHOOSE(CONTROL!$C$19, $C$13, 100%, $E$13)</f>
        <v>6.3414000000000001</v>
      </c>
      <c r="F408" s="61">
        <f>6.3414 * CHOOSE(CONTROL!$C$19, $C$13, 100%, $E$13)</f>
        <v>6.3414000000000001</v>
      </c>
      <c r="G408" s="61">
        <f>6.3435 * CHOOSE(CONTROL!$C$19, $C$13, 100%, $E$13)</f>
        <v>6.3434999999999997</v>
      </c>
      <c r="H408" s="61">
        <f>9.4153* CHOOSE(CONTROL!$C$19, $C$13, 100%, $E$13)</f>
        <v>9.4153000000000002</v>
      </c>
      <c r="I408" s="61">
        <f>9.4174 * CHOOSE(CONTROL!$C$19, $C$13, 100%, $E$13)</f>
        <v>9.4174000000000007</v>
      </c>
      <c r="J408" s="61">
        <f>6.3414 * CHOOSE(CONTROL!$C$19, $C$13, 100%, $E$13)</f>
        <v>6.3414000000000001</v>
      </c>
      <c r="K408" s="61">
        <f>6.3435 * CHOOSE(CONTROL!$C$19, $C$13, 100%, $E$13)</f>
        <v>6.3434999999999997</v>
      </c>
    </row>
    <row r="409" spans="1:11" ht="15">
      <c r="A409" s="13">
        <v>54302</v>
      </c>
      <c r="B409" s="60">
        <f>5.6794 * CHOOSE(CONTROL!$C$19, $C$13, 100%, $E$13)</f>
        <v>5.6794000000000002</v>
      </c>
      <c r="C409" s="60">
        <f>5.6794 * CHOOSE(CONTROL!$C$19, $C$13, 100%, $E$13)</f>
        <v>5.6794000000000002</v>
      </c>
      <c r="D409" s="60">
        <f>5.713 * CHOOSE(CONTROL!$C$19, $C$13, 100%, $E$13)</f>
        <v>5.7130000000000001</v>
      </c>
      <c r="E409" s="61">
        <f>6.3294 * CHOOSE(CONTROL!$C$19, $C$13, 100%, $E$13)</f>
        <v>6.3293999999999997</v>
      </c>
      <c r="F409" s="61">
        <f>6.3294 * CHOOSE(CONTROL!$C$19, $C$13, 100%, $E$13)</f>
        <v>6.3293999999999997</v>
      </c>
      <c r="G409" s="61">
        <f>6.3315 * CHOOSE(CONTROL!$C$19, $C$13, 100%, $E$13)</f>
        <v>6.3315000000000001</v>
      </c>
      <c r="H409" s="61">
        <f>9.4349* CHOOSE(CONTROL!$C$19, $C$13, 100%, $E$13)</f>
        <v>9.4349000000000007</v>
      </c>
      <c r="I409" s="61">
        <f>9.437 * CHOOSE(CONTROL!$C$19, $C$13, 100%, $E$13)</f>
        <v>9.4369999999999994</v>
      </c>
      <c r="J409" s="61">
        <f>6.3294 * CHOOSE(CONTROL!$C$19, $C$13, 100%, $E$13)</f>
        <v>6.3293999999999997</v>
      </c>
      <c r="K409" s="61">
        <f>6.3315 * CHOOSE(CONTROL!$C$19, $C$13, 100%, $E$13)</f>
        <v>6.3315000000000001</v>
      </c>
    </row>
    <row r="410" spans="1:11" ht="15">
      <c r="A410" s="13">
        <v>54332</v>
      </c>
      <c r="B410" s="60">
        <f>5.6809 * CHOOSE(CONTROL!$C$19, $C$13, 100%, $E$13)</f>
        <v>5.6809000000000003</v>
      </c>
      <c r="C410" s="60">
        <f>5.6809 * CHOOSE(CONTROL!$C$19, $C$13, 100%, $E$13)</f>
        <v>5.6809000000000003</v>
      </c>
      <c r="D410" s="60">
        <f>5.6977 * CHOOSE(CONTROL!$C$19, $C$13, 100%, $E$13)</f>
        <v>5.6977000000000002</v>
      </c>
      <c r="E410" s="61">
        <f>6.3556 * CHOOSE(CONTROL!$C$19, $C$13, 100%, $E$13)</f>
        <v>6.3555999999999999</v>
      </c>
      <c r="F410" s="61">
        <f>6.3556 * CHOOSE(CONTROL!$C$19, $C$13, 100%, $E$13)</f>
        <v>6.3555999999999999</v>
      </c>
      <c r="G410" s="61">
        <f>6.3557 * CHOOSE(CONTROL!$C$19, $C$13, 100%, $E$13)</f>
        <v>6.3556999999999997</v>
      </c>
      <c r="H410" s="61">
        <f>9.4546* CHOOSE(CONTROL!$C$19, $C$13, 100%, $E$13)</f>
        <v>9.4545999999999992</v>
      </c>
      <c r="I410" s="61">
        <f>9.4548 * CHOOSE(CONTROL!$C$19, $C$13, 100%, $E$13)</f>
        <v>9.4548000000000005</v>
      </c>
      <c r="J410" s="61">
        <f>6.3556 * CHOOSE(CONTROL!$C$19, $C$13, 100%, $E$13)</f>
        <v>6.3555999999999999</v>
      </c>
      <c r="K410" s="61">
        <f>6.3557 * CHOOSE(CONTROL!$C$19, $C$13, 100%, $E$13)</f>
        <v>6.3556999999999997</v>
      </c>
    </row>
    <row r="411" spans="1:11" ht="15">
      <c r="A411" s="13">
        <v>54363</v>
      </c>
      <c r="B411" s="60">
        <f>5.6839 * CHOOSE(CONTROL!$C$19, $C$13, 100%, $E$13)</f>
        <v>5.6839000000000004</v>
      </c>
      <c r="C411" s="60">
        <f>5.6839 * CHOOSE(CONTROL!$C$19, $C$13, 100%, $E$13)</f>
        <v>5.6839000000000004</v>
      </c>
      <c r="D411" s="60">
        <f>5.7008 * CHOOSE(CONTROL!$C$19, $C$13, 100%, $E$13)</f>
        <v>5.7008000000000001</v>
      </c>
      <c r="E411" s="61">
        <f>6.3775 * CHOOSE(CONTROL!$C$19, $C$13, 100%, $E$13)</f>
        <v>6.3775000000000004</v>
      </c>
      <c r="F411" s="61">
        <f>6.3775 * CHOOSE(CONTROL!$C$19, $C$13, 100%, $E$13)</f>
        <v>6.3775000000000004</v>
      </c>
      <c r="G411" s="61">
        <f>6.3776 * CHOOSE(CONTROL!$C$19, $C$13, 100%, $E$13)</f>
        <v>6.3776000000000002</v>
      </c>
      <c r="H411" s="61">
        <f>9.4743* CHOOSE(CONTROL!$C$19, $C$13, 100%, $E$13)</f>
        <v>9.4742999999999995</v>
      </c>
      <c r="I411" s="61">
        <f>9.4745 * CHOOSE(CONTROL!$C$19, $C$13, 100%, $E$13)</f>
        <v>9.4745000000000008</v>
      </c>
      <c r="J411" s="61">
        <f>6.3775 * CHOOSE(CONTROL!$C$19, $C$13, 100%, $E$13)</f>
        <v>6.3775000000000004</v>
      </c>
      <c r="K411" s="61">
        <f>6.3776 * CHOOSE(CONTROL!$C$19, $C$13, 100%, $E$13)</f>
        <v>6.3776000000000002</v>
      </c>
    </row>
    <row r="412" spans="1:11" ht="15">
      <c r="A412" s="13">
        <v>54393</v>
      </c>
      <c r="B412" s="60">
        <f>5.6839 * CHOOSE(CONTROL!$C$19, $C$13, 100%, $E$13)</f>
        <v>5.6839000000000004</v>
      </c>
      <c r="C412" s="60">
        <f>5.6839 * CHOOSE(CONTROL!$C$19, $C$13, 100%, $E$13)</f>
        <v>5.6839000000000004</v>
      </c>
      <c r="D412" s="60">
        <f>5.7008 * CHOOSE(CONTROL!$C$19, $C$13, 100%, $E$13)</f>
        <v>5.7008000000000001</v>
      </c>
      <c r="E412" s="61">
        <f>6.328 * CHOOSE(CONTROL!$C$19, $C$13, 100%, $E$13)</f>
        <v>6.3280000000000003</v>
      </c>
      <c r="F412" s="61">
        <f>6.328 * CHOOSE(CONTROL!$C$19, $C$13, 100%, $E$13)</f>
        <v>6.3280000000000003</v>
      </c>
      <c r="G412" s="61">
        <f>6.3282 * CHOOSE(CONTROL!$C$19, $C$13, 100%, $E$13)</f>
        <v>6.3281999999999998</v>
      </c>
      <c r="H412" s="61">
        <f>9.494* CHOOSE(CONTROL!$C$19, $C$13, 100%, $E$13)</f>
        <v>9.4939999999999998</v>
      </c>
      <c r="I412" s="61">
        <f>9.4942 * CHOOSE(CONTROL!$C$19, $C$13, 100%, $E$13)</f>
        <v>9.4941999999999993</v>
      </c>
      <c r="J412" s="61">
        <f>6.328 * CHOOSE(CONTROL!$C$19, $C$13, 100%, $E$13)</f>
        <v>6.3280000000000003</v>
      </c>
      <c r="K412" s="61">
        <f>6.3282 * CHOOSE(CONTROL!$C$19, $C$13, 100%, $E$13)</f>
        <v>6.3281999999999998</v>
      </c>
    </row>
    <row r="413" spans="1:11" ht="15">
      <c r="A413" s="13">
        <v>54424</v>
      </c>
      <c r="B413" s="60">
        <f>5.7326 * CHOOSE(CONTROL!$C$19, $C$13, 100%, $E$13)</f>
        <v>5.7325999999999997</v>
      </c>
      <c r="C413" s="60">
        <f>5.7326 * CHOOSE(CONTROL!$C$19, $C$13, 100%, $E$13)</f>
        <v>5.7325999999999997</v>
      </c>
      <c r="D413" s="60">
        <f>5.7495 * CHOOSE(CONTROL!$C$19, $C$13, 100%, $E$13)</f>
        <v>5.7495000000000003</v>
      </c>
      <c r="E413" s="61">
        <f>6.425 * CHOOSE(CONTROL!$C$19, $C$13, 100%, $E$13)</f>
        <v>6.4249999999999998</v>
      </c>
      <c r="F413" s="61">
        <f>6.425 * CHOOSE(CONTROL!$C$19, $C$13, 100%, $E$13)</f>
        <v>6.4249999999999998</v>
      </c>
      <c r="G413" s="61">
        <f>6.4252 * CHOOSE(CONTROL!$C$19, $C$13, 100%, $E$13)</f>
        <v>6.4252000000000002</v>
      </c>
      <c r="H413" s="61">
        <f>9.5138* CHOOSE(CONTROL!$C$19, $C$13, 100%, $E$13)</f>
        <v>9.5137999999999998</v>
      </c>
      <c r="I413" s="61">
        <f>9.514 * CHOOSE(CONTROL!$C$19, $C$13, 100%, $E$13)</f>
        <v>9.5139999999999993</v>
      </c>
      <c r="J413" s="61">
        <f>6.425 * CHOOSE(CONTROL!$C$19, $C$13, 100%, $E$13)</f>
        <v>6.4249999999999998</v>
      </c>
      <c r="K413" s="61">
        <f>6.4252 * CHOOSE(CONTROL!$C$19, $C$13, 100%, $E$13)</f>
        <v>6.4252000000000002</v>
      </c>
    </row>
    <row r="414" spans="1:11" ht="15">
      <c r="A414" s="13">
        <v>54455</v>
      </c>
      <c r="B414" s="60">
        <f>5.7296 * CHOOSE(CONTROL!$C$19, $C$13, 100%, $E$13)</f>
        <v>5.7295999999999996</v>
      </c>
      <c r="C414" s="60">
        <f>5.7296 * CHOOSE(CONTROL!$C$19, $C$13, 100%, $E$13)</f>
        <v>5.7295999999999996</v>
      </c>
      <c r="D414" s="60">
        <f>5.7464 * CHOOSE(CONTROL!$C$19, $C$13, 100%, $E$13)</f>
        <v>5.7464000000000004</v>
      </c>
      <c r="E414" s="61">
        <f>6.3265 * CHOOSE(CONTROL!$C$19, $C$13, 100%, $E$13)</f>
        <v>6.3265000000000002</v>
      </c>
      <c r="F414" s="61">
        <f>6.3265 * CHOOSE(CONTROL!$C$19, $C$13, 100%, $E$13)</f>
        <v>6.3265000000000002</v>
      </c>
      <c r="G414" s="61">
        <f>6.3266 * CHOOSE(CONTROL!$C$19, $C$13, 100%, $E$13)</f>
        <v>6.3266</v>
      </c>
      <c r="H414" s="61">
        <f>9.5336* CHOOSE(CONTROL!$C$19, $C$13, 100%, $E$13)</f>
        <v>9.5335999999999999</v>
      </c>
      <c r="I414" s="61">
        <f>9.5338 * CHOOSE(CONTROL!$C$19, $C$13, 100%, $E$13)</f>
        <v>9.5337999999999994</v>
      </c>
      <c r="J414" s="61">
        <f>6.3265 * CHOOSE(CONTROL!$C$19, $C$13, 100%, $E$13)</f>
        <v>6.3265000000000002</v>
      </c>
      <c r="K414" s="61">
        <f>6.3266 * CHOOSE(CONTROL!$C$19, $C$13, 100%, $E$13)</f>
        <v>6.3266</v>
      </c>
    </row>
    <row r="415" spans="1:11" ht="15">
      <c r="A415" s="13">
        <v>54483</v>
      </c>
      <c r="B415" s="60">
        <f>5.7266 * CHOOSE(CONTROL!$C$19, $C$13, 100%, $E$13)</f>
        <v>5.7266000000000004</v>
      </c>
      <c r="C415" s="60">
        <f>5.7266 * CHOOSE(CONTROL!$C$19, $C$13, 100%, $E$13)</f>
        <v>5.7266000000000004</v>
      </c>
      <c r="D415" s="60">
        <f>5.7434 * CHOOSE(CONTROL!$C$19, $C$13, 100%, $E$13)</f>
        <v>5.7434000000000003</v>
      </c>
      <c r="E415" s="61">
        <f>6.4003 * CHOOSE(CONTROL!$C$19, $C$13, 100%, $E$13)</f>
        <v>6.4002999999999997</v>
      </c>
      <c r="F415" s="61">
        <f>6.4003 * CHOOSE(CONTROL!$C$19, $C$13, 100%, $E$13)</f>
        <v>6.4002999999999997</v>
      </c>
      <c r="G415" s="61">
        <f>6.4005 * CHOOSE(CONTROL!$C$19, $C$13, 100%, $E$13)</f>
        <v>6.4005000000000001</v>
      </c>
      <c r="H415" s="61">
        <f>9.5535* CHOOSE(CONTROL!$C$19, $C$13, 100%, $E$13)</f>
        <v>9.5534999999999997</v>
      </c>
      <c r="I415" s="61">
        <f>9.5537 * CHOOSE(CONTROL!$C$19, $C$13, 100%, $E$13)</f>
        <v>9.5536999999999992</v>
      </c>
      <c r="J415" s="61">
        <f>6.4003 * CHOOSE(CONTROL!$C$19, $C$13, 100%, $E$13)</f>
        <v>6.4002999999999997</v>
      </c>
      <c r="K415" s="61">
        <f>6.4005 * CHOOSE(CONTROL!$C$19, $C$13, 100%, $E$13)</f>
        <v>6.4005000000000001</v>
      </c>
    </row>
    <row r="416" spans="1:11" ht="15">
      <c r="A416" s="13">
        <v>54514</v>
      </c>
      <c r="B416" s="60">
        <f>5.7259 * CHOOSE(CONTROL!$C$19, $C$13, 100%, $E$13)</f>
        <v>5.7259000000000002</v>
      </c>
      <c r="C416" s="60">
        <f>5.7259 * CHOOSE(CONTROL!$C$19, $C$13, 100%, $E$13)</f>
        <v>5.7259000000000002</v>
      </c>
      <c r="D416" s="60">
        <f>5.7428 * CHOOSE(CONTROL!$C$19, $C$13, 100%, $E$13)</f>
        <v>5.7427999999999999</v>
      </c>
      <c r="E416" s="61">
        <f>6.4777 * CHOOSE(CONTROL!$C$19, $C$13, 100%, $E$13)</f>
        <v>6.4776999999999996</v>
      </c>
      <c r="F416" s="61">
        <f>6.4777 * CHOOSE(CONTROL!$C$19, $C$13, 100%, $E$13)</f>
        <v>6.4776999999999996</v>
      </c>
      <c r="G416" s="61">
        <f>6.4779 * CHOOSE(CONTROL!$C$19, $C$13, 100%, $E$13)</f>
        <v>6.4779</v>
      </c>
      <c r="H416" s="61">
        <f>9.5734* CHOOSE(CONTROL!$C$19, $C$13, 100%, $E$13)</f>
        <v>9.5733999999999995</v>
      </c>
      <c r="I416" s="61">
        <f>9.5736 * CHOOSE(CONTROL!$C$19, $C$13, 100%, $E$13)</f>
        <v>9.5736000000000008</v>
      </c>
      <c r="J416" s="61">
        <f>6.4777 * CHOOSE(CONTROL!$C$19, $C$13, 100%, $E$13)</f>
        <v>6.4776999999999996</v>
      </c>
      <c r="K416" s="61">
        <f>6.4779 * CHOOSE(CONTROL!$C$19, $C$13, 100%, $E$13)</f>
        <v>6.4779</v>
      </c>
    </row>
    <row r="417" spans="1:11" ht="15">
      <c r="A417" s="13">
        <v>54544</v>
      </c>
      <c r="B417" s="60">
        <f>5.7259 * CHOOSE(CONTROL!$C$19, $C$13, 100%, $E$13)</f>
        <v>5.7259000000000002</v>
      </c>
      <c r="C417" s="60">
        <f>5.7259 * CHOOSE(CONTROL!$C$19, $C$13, 100%, $E$13)</f>
        <v>5.7259000000000002</v>
      </c>
      <c r="D417" s="60">
        <f>5.7596 * CHOOSE(CONTROL!$C$19, $C$13, 100%, $E$13)</f>
        <v>5.7595999999999998</v>
      </c>
      <c r="E417" s="61">
        <f>6.5083 * CHOOSE(CONTROL!$C$19, $C$13, 100%, $E$13)</f>
        <v>6.5083000000000002</v>
      </c>
      <c r="F417" s="61">
        <f>6.5083 * CHOOSE(CONTROL!$C$19, $C$13, 100%, $E$13)</f>
        <v>6.5083000000000002</v>
      </c>
      <c r="G417" s="61">
        <f>6.5104 * CHOOSE(CONTROL!$C$19, $C$13, 100%, $E$13)</f>
        <v>6.5103999999999997</v>
      </c>
      <c r="H417" s="61">
        <f>9.5933* CHOOSE(CONTROL!$C$19, $C$13, 100%, $E$13)</f>
        <v>9.5932999999999993</v>
      </c>
      <c r="I417" s="61">
        <f>9.5954 * CHOOSE(CONTROL!$C$19, $C$13, 100%, $E$13)</f>
        <v>9.5953999999999997</v>
      </c>
      <c r="J417" s="61">
        <f>6.5083 * CHOOSE(CONTROL!$C$19, $C$13, 100%, $E$13)</f>
        <v>6.5083000000000002</v>
      </c>
      <c r="K417" s="61">
        <f>6.5104 * CHOOSE(CONTROL!$C$19, $C$13, 100%, $E$13)</f>
        <v>6.5103999999999997</v>
      </c>
    </row>
    <row r="418" spans="1:11" ht="15">
      <c r="A418" s="13">
        <v>54575</v>
      </c>
      <c r="B418" s="60">
        <f>5.732 * CHOOSE(CONTROL!$C$19, $C$13, 100%, $E$13)</f>
        <v>5.7320000000000002</v>
      </c>
      <c r="C418" s="60">
        <f>5.732 * CHOOSE(CONTROL!$C$19, $C$13, 100%, $E$13)</f>
        <v>5.7320000000000002</v>
      </c>
      <c r="D418" s="60">
        <f>5.7657 * CHOOSE(CONTROL!$C$19, $C$13, 100%, $E$13)</f>
        <v>5.7656999999999998</v>
      </c>
      <c r="E418" s="61">
        <f>6.482 * CHOOSE(CONTROL!$C$19, $C$13, 100%, $E$13)</f>
        <v>6.4820000000000002</v>
      </c>
      <c r="F418" s="61">
        <f>6.482 * CHOOSE(CONTROL!$C$19, $C$13, 100%, $E$13)</f>
        <v>6.4820000000000002</v>
      </c>
      <c r="G418" s="61">
        <f>6.484 * CHOOSE(CONTROL!$C$19, $C$13, 100%, $E$13)</f>
        <v>6.484</v>
      </c>
      <c r="H418" s="61">
        <f>9.6133* CHOOSE(CONTROL!$C$19, $C$13, 100%, $E$13)</f>
        <v>9.6133000000000006</v>
      </c>
      <c r="I418" s="61">
        <f>9.6154 * CHOOSE(CONTROL!$C$19, $C$13, 100%, $E$13)</f>
        <v>9.6153999999999993</v>
      </c>
      <c r="J418" s="61">
        <f>6.482 * CHOOSE(CONTROL!$C$19, $C$13, 100%, $E$13)</f>
        <v>6.4820000000000002</v>
      </c>
      <c r="K418" s="61">
        <f>6.484 * CHOOSE(CONTROL!$C$19, $C$13, 100%, $E$13)</f>
        <v>6.484</v>
      </c>
    </row>
    <row r="419" spans="1:11" ht="15">
      <c r="A419" s="13">
        <v>54605</v>
      </c>
      <c r="B419" s="60">
        <f>5.8195 * CHOOSE(CONTROL!$C$19, $C$13, 100%, $E$13)</f>
        <v>5.8194999999999997</v>
      </c>
      <c r="C419" s="60">
        <f>5.8195 * CHOOSE(CONTROL!$C$19, $C$13, 100%, $E$13)</f>
        <v>5.8194999999999997</v>
      </c>
      <c r="D419" s="60">
        <f>5.8532 * CHOOSE(CONTROL!$C$19, $C$13, 100%, $E$13)</f>
        <v>5.8532000000000002</v>
      </c>
      <c r="E419" s="61">
        <f>6.6062 * CHOOSE(CONTROL!$C$19, $C$13, 100%, $E$13)</f>
        <v>6.6062000000000003</v>
      </c>
      <c r="F419" s="61">
        <f>6.6062 * CHOOSE(CONTROL!$C$19, $C$13, 100%, $E$13)</f>
        <v>6.6062000000000003</v>
      </c>
      <c r="G419" s="61">
        <f>6.6083 * CHOOSE(CONTROL!$C$19, $C$13, 100%, $E$13)</f>
        <v>6.6082999999999998</v>
      </c>
      <c r="H419" s="61">
        <f>9.6334* CHOOSE(CONTROL!$C$19, $C$13, 100%, $E$13)</f>
        <v>9.6334</v>
      </c>
      <c r="I419" s="61">
        <f>9.6354 * CHOOSE(CONTROL!$C$19, $C$13, 100%, $E$13)</f>
        <v>9.6354000000000006</v>
      </c>
      <c r="J419" s="61">
        <f>6.6062 * CHOOSE(CONTROL!$C$19, $C$13, 100%, $E$13)</f>
        <v>6.6062000000000003</v>
      </c>
      <c r="K419" s="61">
        <f>6.6083 * CHOOSE(CONTROL!$C$19, $C$13, 100%, $E$13)</f>
        <v>6.6082999999999998</v>
      </c>
    </row>
    <row r="420" spans="1:11" ht="15">
      <c r="A420" s="13">
        <v>54636</v>
      </c>
      <c r="B420" s="60">
        <f>5.8262 * CHOOSE(CONTROL!$C$19, $C$13, 100%, $E$13)</f>
        <v>5.8262</v>
      </c>
      <c r="C420" s="60">
        <f>5.8262 * CHOOSE(CONTROL!$C$19, $C$13, 100%, $E$13)</f>
        <v>5.8262</v>
      </c>
      <c r="D420" s="60">
        <f>5.8599 * CHOOSE(CONTROL!$C$19, $C$13, 100%, $E$13)</f>
        <v>5.8598999999999997</v>
      </c>
      <c r="E420" s="61">
        <f>6.519 * CHOOSE(CONTROL!$C$19, $C$13, 100%, $E$13)</f>
        <v>6.5190000000000001</v>
      </c>
      <c r="F420" s="61">
        <f>6.519 * CHOOSE(CONTROL!$C$19, $C$13, 100%, $E$13)</f>
        <v>6.5190000000000001</v>
      </c>
      <c r="G420" s="61">
        <f>6.5211 * CHOOSE(CONTROL!$C$19, $C$13, 100%, $E$13)</f>
        <v>6.5210999999999997</v>
      </c>
      <c r="H420" s="61">
        <f>9.6534* CHOOSE(CONTROL!$C$19, $C$13, 100%, $E$13)</f>
        <v>9.6533999999999995</v>
      </c>
      <c r="I420" s="61">
        <f>9.6555 * CHOOSE(CONTROL!$C$19, $C$13, 100%, $E$13)</f>
        <v>9.6555</v>
      </c>
      <c r="J420" s="61">
        <f>6.519 * CHOOSE(CONTROL!$C$19, $C$13, 100%, $E$13)</f>
        <v>6.5190000000000001</v>
      </c>
      <c r="K420" s="61">
        <f>6.5211 * CHOOSE(CONTROL!$C$19, $C$13, 100%, $E$13)</f>
        <v>6.5210999999999997</v>
      </c>
    </row>
    <row r="421" spans="1:11" ht="15">
      <c r="A421" s="13">
        <v>54667</v>
      </c>
      <c r="B421" s="60">
        <f>5.8232 * CHOOSE(CONTROL!$C$19, $C$13, 100%, $E$13)</f>
        <v>5.8231999999999999</v>
      </c>
      <c r="C421" s="60">
        <f>5.8232 * CHOOSE(CONTROL!$C$19, $C$13, 100%, $E$13)</f>
        <v>5.8231999999999999</v>
      </c>
      <c r="D421" s="60">
        <f>5.8568 * CHOOSE(CONTROL!$C$19, $C$13, 100%, $E$13)</f>
        <v>5.8567999999999998</v>
      </c>
      <c r="E421" s="61">
        <f>6.5067 * CHOOSE(CONTROL!$C$19, $C$13, 100%, $E$13)</f>
        <v>6.5067000000000004</v>
      </c>
      <c r="F421" s="61">
        <f>6.5067 * CHOOSE(CONTROL!$C$19, $C$13, 100%, $E$13)</f>
        <v>6.5067000000000004</v>
      </c>
      <c r="G421" s="61">
        <f>6.5088 * CHOOSE(CONTROL!$C$19, $C$13, 100%, $E$13)</f>
        <v>6.5087999999999999</v>
      </c>
      <c r="H421" s="61">
        <f>9.6735* CHOOSE(CONTROL!$C$19, $C$13, 100%, $E$13)</f>
        <v>9.6735000000000007</v>
      </c>
      <c r="I421" s="61">
        <f>9.6756 * CHOOSE(CONTROL!$C$19, $C$13, 100%, $E$13)</f>
        <v>9.6755999999999993</v>
      </c>
      <c r="J421" s="61">
        <f>6.5067 * CHOOSE(CONTROL!$C$19, $C$13, 100%, $E$13)</f>
        <v>6.5067000000000004</v>
      </c>
      <c r="K421" s="61">
        <f>6.5088 * CHOOSE(CONTROL!$C$19, $C$13, 100%, $E$13)</f>
        <v>6.5087999999999999</v>
      </c>
    </row>
    <row r="422" spans="1:11" ht="15">
      <c r="A422" s="13">
        <v>54697</v>
      </c>
      <c r="B422" s="60">
        <f>5.8252 * CHOOSE(CONTROL!$C$19, $C$13, 100%, $E$13)</f>
        <v>5.8251999999999997</v>
      </c>
      <c r="C422" s="60">
        <f>5.8252 * CHOOSE(CONTROL!$C$19, $C$13, 100%, $E$13)</f>
        <v>5.8251999999999997</v>
      </c>
      <c r="D422" s="60">
        <f>5.8421 * CHOOSE(CONTROL!$C$19, $C$13, 100%, $E$13)</f>
        <v>5.8421000000000003</v>
      </c>
      <c r="E422" s="61">
        <f>6.5341 * CHOOSE(CONTROL!$C$19, $C$13, 100%, $E$13)</f>
        <v>6.5340999999999996</v>
      </c>
      <c r="F422" s="61">
        <f>6.5341 * CHOOSE(CONTROL!$C$19, $C$13, 100%, $E$13)</f>
        <v>6.5340999999999996</v>
      </c>
      <c r="G422" s="61">
        <f>6.5343 * CHOOSE(CONTROL!$C$19, $C$13, 100%, $E$13)</f>
        <v>6.5343</v>
      </c>
      <c r="H422" s="61">
        <f>9.6937* CHOOSE(CONTROL!$C$19, $C$13, 100%, $E$13)</f>
        <v>9.6936999999999998</v>
      </c>
      <c r="I422" s="61">
        <f>9.6939 * CHOOSE(CONTROL!$C$19, $C$13, 100%, $E$13)</f>
        <v>9.6938999999999993</v>
      </c>
      <c r="J422" s="61">
        <f>6.5341 * CHOOSE(CONTROL!$C$19, $C$13, 100%, $E$13)</f>
        <v>6.5340999999999996</v>
      </c>
      <c r="K422" s="61">
        <f>6.5343 * CHOOSE(CONTROL!$C$19, $C$13, 100%, $E$13)</f>
        <v>6.5343</v>
      </c>
    </row>
    <row r="423" spans="1:11" ht="15">
      <c r="A423" s="13">
        <v>54728</v>
      </c>
      <c r="B423" s="60">
        <f>5.8283 * CHOOSE(CONTROL!$C$19, $C$13, 100%, $E$13)</f>
        <v>5.8282999999999996</v>
      </c>
      <c r="C423" s="60">
        <f>5.8283 * CHOOSE(CONTROL!$C$19, $C$13, 100%, $E$13)</f>
        <v>5.8282999999999996</v>
      </c>
      <c r="D423" s="60">
        <f>5.8451 * CHOOSE(CONTROL!$C$19, $C$13, 100%, $E$13)</f>
        <v>5.8451000000000004</v>
      </c>
      <c r="E423" s="61">
        <f>6.5566 * CHOOSE(CONTROL!$C$19, $C$13, 100%, $E$13)</f>
        <v>6.5566000000000004</v>
      </c>
      <c r="F423" s="61">
        <f>6.5566 * CHOOSE(CONTROL!$C$19, $C$13, 100%, $E$13)</f>
        <v>6.5566000000000004</v>
      </c>
      <c r="G423" s="61">
        <f>6.5568 * CHOOSE(CONTROL!$C$19, $C$13, 100%, $E$13)</f>
        <v>6.5568</v>
      </c>
      <c r="H423" s="61">
        <f>9.7139* CHOOSE(CONTROL!$C$19, $C$13, 100%, $E$13)</f>
        <v>9.7139000000000006</v>
      </c>
      <c r="I423" s="61">
        <f>9.7141 * CHOOSE(CONTROL!$C$19, $C$13, 100%, $E$13)</f>
        <v>9.7141000000000002</v>
      </c>
      <c r="J423" s="61">
        <f>6.5566 * CHOOSE(CONTROL!$C$19, $C$13, 100%, $E$13)</f>
        <v>6.5566000000000004</v>
      </c>
      <c r="K423" s="61">
        <f>6.5568 * CHOOSE(CONTROL!$C$19, $C$13, 100%, $E$13)</f>
        <v>6.5568</v>
      </c>
    </row>
    <row r="424" spans="1:11" ht="15">
      <c r="A424" s="13">
        <v>54758</v>
      </c>
      <c r="B424" s="60">
        <f>5.8283 * CHOOSE(CONTROL!$C$19, $C$13, 100%, $E$13)</f>
        <v>5.8282999999999996</v>
      </c>
      <c r="C424" s="60">
        <f>5.8283 * CHOOSE(CONTROL!$C$19, $C$13, 100%, $E$13)</f>
        <v>5.8282999999999996</v>
      </c>
      <c r="D424" s="60">
        <f>5.8451 * CHOOSE(CONTROL!$C$19, $C$13, 100%, $E$13)</f>
        <v>5.8451000000000004</v>
      </c>
      <c r="E424" s="61">
        <f>6.5056 * CHOOSE(CONTROL!$C$19, $C$13, 100%, $E$13)</f>
        <v>6.5056000000000003</v>
      </c>
      <c r="F424" s="61">
        <f>6.5056 * CHOOSE(CONTROL!$C$19, $C$13, 100%, $E$13)</f>
        <v>6.5056000000000003</v>
      </c>
      <c r="G424" s="61">
        <f>6.5058 * CHOOSE(CONTROL!$C$19, $C$13, 100%, $E$13)</f>
        <v>6.5057999999999998</v>
      </c>
      <c r="H424" s="61">
        <f>9.7341* CHOOSE(CONTROL!$C$19, $C$13, 100%, $E$13)</f>
        <v>9.7340999999999998</v>
      </c>
      <c r="I424" s="61">
        <f>9.7343 * CHOOSE(CONTROL!$C$19, $C$13, 100%, $E$13)</f>
        <v>9.7342999999999993</v>
      </c>
      <c r="J424" s="61">
        <f>6.5056 * CHOOSE(CONTROL!$C$19, $C$13, 100%, $E$13)</f>
        <v>6.5056000000000003</v>
      </c>
      <c r="K424" s="61">
        <f>6.5058 * CHOOSE(CONTROL!$C$19, $C$13, 100%, $E$13)</f>
        <v>6.5057999999999998</v>
      </c>
    </row>
    <row r="425" spans="1:11" ht="15">
      <c r="A425" s="13">
        <v>54789</v>
      </c>
      <c r="B425" s="60">
        <f>5.8781 * CHOOSE(CONTROL!$C$19, $C$13, 100%, $E$13)</f>
        <v>5.8780999999999999</v>
      </c>
      <c r="C425" s="60">
        <f>5.8781 * CHOOSE(CONTROL!$C$19, $C$13, 100%, $E$13)</f>
        <v>5.8780999999999999</v>
      </c>
      <c r="D425" s="60">
        <f>5.8949 * CHOOSE(CONTROL!$C$19, $C$13, 100%, $E$13)</f>
        <v>5.8948999999999998</v>
      </c>
      <c r="E425" s="61">
        <f>6.6054 * CHOOSE(CONTROL!$C$19, $C$13, 100%, $E$13)</f>
        <v>6.6054000000000004</v>
      </c>
      <c r="F425" s="61">
        <f>6.6054 * CHOOSE(CONTROL!$C$19, $C$13, 100%, $E$13)</f>
        <v>6.6054000000000004</v>
      </c>
      <c r="G425" s="61">
        <f>6.6056 * CHOOSE(CONTROL!$C$19, $C$13, 100%, $E$13)</f>
        <v>6.6055999999999999</v>
      </c>
      <c r="H425" s="61">
        <f>9.7544* CHOOSE(CONTROL!$C$19, $C$13, 100%, $E$13)</f>
        <v>9.7544000000000004</v>
      </c>
      <c r="I425" s="61">
        <f>9.7546 * CHOOSE(CONTROL!$C$19, $C$13, 100%, $E$13)</f>
        <v>9.7545999999999999</v>
      </c>
      <c r="J425" s="61">
        <f>6.6054 * CHOOSE(CONTROL!$C$19, $C$13, 100%, $E$13)</f>
        <v>6.6054000000000004</v>
      </c>
      <c r="K425" s="61">
        <f>6.6056 * CHOOSE(CONTROL!$C$19, $C$13, 100%, $E$13)</f>
        <v>6.6055999999999999</v>
      </c>
    </row>
    <row r="426" spans="1:11" ht="15">
      <c r="A426" s="13">
        <v>54820</v>
      </c>
      <c r="B426" s="60">
        <f>5.875 * CHOOSE(CONTROL!$C$19, $C$13, 100%, $E$13)</f>
        <v>5.875</v>
      </c>
      <c r="C426" s="60">
        <f>5.875 * CHOOSE(CONTROL!$C$19, $C$13, 100%, $E$13)</f>
        <v>5.875</v>
      </c>
      <c r="D426" s="60">
        <f>5.8919 * CHOOSE(CONTROL!$C$19, $C$13, 100%, $E$13)</f>
        <v>5.8918999999999997</v>
      </c>
      <c r="E426" s="61">
        <f>6.5038 * CHOOSE(CONTROL!$C$19, $C$13, 100%, $E$13)</f>
        <v>6.5038</v>
      </c>
      <c r="F426" s="61">
        <f>6.5038 * CHOOSE(CONTROL!$C$19, $C$13, 100%, $E$13)</f>
        <v>6.5038</v>
      </c>
      <c r="G426" s="61">
        <f>6.504 * CHOOSE(CONTROL!$C$19, $C$13, 100%, $E$13)</f>
        <v>6.5039999999999996</v>
      </c>
      <c r="H426" s="61">
        <f>9.7747* CHOOSE(CONTROL!$C$19, $C$13, 100%, $E$13)</f>
        <v>9.7746999999999993</v>
      </c>
      <c r="I426" s="61">
        <f>9.7749 * CHOOSE(CONTROL!$C$19, $C$13, 100%, $E$13)</f>
        <v>9.7749000000000006</v>
      </c>
      <c r="J426" s="61">
        <f>6.5038 * CHOOSE(CONTROL!$C$19, $C$13, 100%, $E$13)</f>
        <v>6.5038</v>
      </c>
      <c r="K426" s="61">
        <f>6.504 * CHOOSE(CONTROL!$C$19, $C$13, 100%, $E$13)</f>
        <v>6.5039999999999996</v>
      </c>
    </row>
    <row r="427" spans="1:11" ht="15">
      <c r="A427" s="13">
        <v>54848</v>
      </c>
      <c r="B427" s="60">
        <f>5.872 * CHOOSE(CONTROL!$C$19, $C$13, 100%, $E$13)</f>
        <v>5.8719999999999999</v>
      </c>
      <c r="C427" s="60">
        <f>5.872 * CHOOSE(CONTROL!$C$19, $C$13, 100%, $E$13)</f>
        <v>5.8719999999999999</v>
      </c>
      <c r="D427" s="60">
        <f>5.8888 * CHOOSE(CONTROL!$C$19, $C$13, 100%, $E$13)</f>
        <v>5.8887999999999998</v>
      </c>
      <c r="E427" s="61">
        <f>6.5801 * CHOOSE(CONTROL!$C$19, $C$13, 100%, $E$13)</f>
        <v>6.5800999999999998</v>
      </c>
      <c r="F427" s="61">
        <f>6.5801 * CHOOSE(CONTROL!$C$19, $C$13, 100%, $E$13)</f>
        <v>6.5800999999999998</v>
      </c>
      <c r="G427" s="61">
        <f>6.5803 * CHOOSE(CONTROL!$C$19, $C$13, 100%, $E$13)</f>
        <v>6.5803000000000003</v>
      </c>
      <c r="H427" s="61">
        <f>9.7951* CHOOSE(CONTROL!$C$19, $C$13, 100%, $E$13)</f>
        <v>9.7950999999999997</v>
      </c>
      <c r="I427" s="61">
        <f>9.7953 * CHOOSE(CONTROL!$C$19, $C$13, 100%, $E$13)</f>
        <v>9.7952999999999992</v>
      </c>
      <c r="J427" s="61">
        <f>6.5801 * CHOOSE(CONTROL!$C$19, $C$13, 100%, $E$13)</f>
        <v>6.5800999999999998</v>
      </c>
      <c r="K427" s="61">
        <f>6.5803 * CHOOSE(CONTROL!$C$19, $C$13, 100%, $E$13)</f>
        <v>6.5803000000000003</v>
      </c>
    </row>
    <row r="428" spans="1:11" ht="15">
      <c r="A428" s="13">
        <v>54879</v>
      </c>
      <c r="B428" s="60">
        <f>5.8715 * CHOOSE(CONTROL!$C$19, $C$13, 100%, $E$13)</f>
        <v>5.8715000000000002</v>
      </c>
      <c r="C428" s="60">
        <f>5.8715 * CHOOSE(CONTROL!$C$19, $C$13, 100%, $E$13)</f>
        <v>5.8715000000000002</v>
      </c>
      <c r="D428" s="60">
        <f>5.8884 * CHOOSE(CONTROL!$C$19, $C$13, 100%, $E$13)</f>
        <v>5.8883999999999999</v>
      </c>
      <c r="E428" s="61">
        <f>6.6601 * CHOOSE(CONTROL!$C$19, $C$13, 100%, $E$13)</f>
        <v>6.6600999999999999</v>
      </c>
      <c r="F428" s="61">
        <f>6.6601 * CHOOSE(CONTROL!$C$19, $C$13, 100%, $E$13)</f>
        <v>6.6600999999999999</v>
      </c>
      <c r="G428" s="61">
        <f>6.6602 * CHOOSE(CONTROL!$C$19, $C$13, 100%, $E$13)</f>
        <v>6.6601999999999997</v>
      </c>
      <c r="H428" s="61">
        <f>9.8155* CHOOSE(CONTROL!$C$19, $C$13, 100%, $E$13)</f>
        <v>9.8155000000000001</v>
      </c>
      <c r="I428" s="61">
        <f>9.8157 * CHOOSE(CONTROL!$C$19, $C$13, 100%, $E$13)</f>
        <v>9.8156999999999996</v>
      </c>
      <c r="J428" s="61">
        <f>6.6601 * CHOOSE(CONTROL!$C$19, $C$13, 100%, $E$13)</f>
        <v>6.6600999999999999</v>
      </c>
      <c r="K428" s="61">
        <f>6.6602 * CHOOSE(CONTROL!$C$19, $C$13, 100%, $E$13)</f>
        <v>6.6601999999999997</v>
      </c>
    </row>
    <row r="429" spans="1:11" ht="15">
      <c r="A429" s="13">
        <v>54909</v>
      </c>
      <c r="B429" s="60">
        <f>5.8715 * CHOOSE(CONTROL!$C$19, $C$13, 100%, $E$13)</f>
        <v>5.8715000000000002</v>
      </c>
      <c r="C429" s="60">
        <f>5.8715 * CHOOSE(CONTROL!$C$19, $C$13, 100%, $E$13)</f>
        <v>5.8715000000000002</v>
      </c>
      <c r="D429" s="60">
        <f>5.9052 * CHOOSE(CONTROL!$C$19, $C$13, 100%, $E$13)</f>
        <v>5.9051999999999998</v>
      </c>
      <c r="E429" s="61">
        <f>6.6917 * CHOOSE(CONTROL!$C$19, $C$13, 100%, $E$13)</f>
        <v>6.6917</v>
      </c>
      <c r="F429" s="61">
        <f>6.6917 * CHOOSE(CONTROL!$C$19, $C$13, 100%, $E$13)</f>
        <v>6.6917</v>
      </c>
      <c r="G429" s="61">
        <f>6.6937 * CHOOSE(CONTROL!$C$19, $C$13, 100%, $E$13)</f>
        <v>6.6936999999999998</v>
      </c>
      <c r="H429" s="61">
        <f>9.8359* CHOOSE(CONTROL!$C$19, $C$13, 100%, $E$13)</f>
        <v>9.8359000000000005</v>
      </c>
      <c r="I429" s="61">
        <f>9.838 * CHOOSE(CONTROL!$C$19, $C$13, 100%, $E$13)</f>
        <v>9.8379999999999992</v>
      </c>
      <c r="J429" s="61">
        <f>6.6917 * CHOOSE(CONTROL!$C$19, $C$13, 100%, $E$13)</f>
        <v>6.6917</v>
      </c>
      <c r="K429" s="61">
        <f>6.6937 * CHOOSE(CONTROL!$C$19, $C$13, 100%, $E$13)</f>
        <v>6.6936999999999998</v>
      </c>
    </row>
    <row r="430" spans="1:11" ht="15">
      <c r="A430" s="13">
        <v>54940</v>
      </c>
      <c r="B430" s="60">
        <f>5.8776 * CHOOSE(CONTROL!$C$19, $C$13, 100%, $E$13)</f>
        <v>5.8776000000000002</v>
      </c>
      <c r="C430" s="60">
        <f>5.8776 * CHOOSE(CONTROL!$C$19, $C$13, 100%, $E$13)</f>
        <v>5.8776000000000002</v>
      </c>
      <c r="D430" s="60">
        <f>5.9113 * CHOOSE(CONTROL!$C$19, $C$13, 100%, $E$13)</f>
        <v>5.9112999999999998</v>
      </c>
      <c r="E430" s="61">
        <f>6.6643 * CHOOSE(CONTROL!$C$19, $C$13, 100%, $E$13)</f>
        <v>6.6642999999999999</v>
      </c>
      <c r="F430" s="61">
        <f>6.6643 * CHOOSE(CONTROL!$C$19, $C$13, 100%, $E$13)</f>
        <v>6.6642999999999999</v>
      </c>
      <c r="G430" s="61">
        <f>6.6664 * CHOOSE(CONTROL!$C$19, $C$13, 100%, $E$13)</f>
        <v>6.6664000000000003</v>
      </c>
      <c r="H430" s="61">
        <f>9.8564* CHOOSE(CONTROL!$C$19, $C$13, 100%, $E$13)</f>
        <v>9.8564000000000007</v>
      </c>
      <c r="I430" s="61">
        <f>9.8585 * CHOOSE(CONTROL!$C$19, $C$13, 100%, $E$13)</f>
        <v>9.8584999999999994</v>
      </c>
      <c r="J430" s="61">
        <f>6.6643 * CHOOSE(CONTROL!$C$19, $C$13, 100%, $E$13)</f>
        <v>6.6642999999999999</v>
      </c>
      <c r="K430" s="61">
        <f>6.6664 * CHOOSE(CONTROL!$C$19, $C$13, 100%, $E$13)</f>
        <v>6.6664000000000003</v>
      </c>
    </row>
    <row r="431" spans="1:11" ht="15">
      <c r="A431" s="13">
        <v>54970</v>
      </c>
      <c r="B431" s="60">
        <f>5.967 * CHOOSE(CONTROL!$C$19, $C$13, 100%, $E$13)</f>
        <v>5.9669999999999996</v>
      </c>
      <c r="C431" s="60">
        <f>5.967 * CHOOSE(CONTROL!$C$19, $C$13, 100%, $E$13)</f>
        <v>5.9669999999999996</v>
      </c>
      <c r="D431" s="60">
        <f>6.0006 * CHOOSE(CONTROL!$C$19, $C$13, 100%, $E$13)</f>
        <v>6.0006000000000004</v>
      </c>
      <c r="E431" s="61">
        <f>6.7917 * CHOOSE(CONTROL!$C$19, $C$13, 100%, $E$13)</f>
        <v>6.7916999999999996</v>
      </c>
      <c r="F431" s="61">
        <f>6.7917 * CHOOSE(CONTROL!$C$19, $C$13, 100%, $E$13)</f>
        <v>6.7916999999999996</v>
      </c>
      <c r="G431" s="61">
        <f>6.7938 * CHOOSE(CONTROL!$C$19, $C$13, 100%, $E$13)</f>
        <v>6.7938000000000001</v>
      </c>
      <c r="H431" s="61">
        <f>9.877* CHOOSE(CONTROL!$C$19, $C$13, 100%, $E$13)</f>
        <v>9.8770000000000007</v>
      </c>
      <c r="I431" s="61">
        <f>9.8791 * CHOOSE(CONTROL!$C$19, $C$13, 100%, $E$13)</f>
        <v>9.8790999999999993</v>
      </c>
      <c r="J431" s="61">
        <f>6.7917 * CHOOSE(CONTROL!$C$19, $C$13, 100%, $E$13)</f>
        <v>6.7916999999999996</v>
      </c>
      <c r="K431" s="61">
        <f>6.7938 * CHOOSE(CONTROL!$C$19, $C$13, 100%, $E$13)</f>
        <v>6.7938000000000001</v>
      </c>
    </row>
    <row r="432" spans="1:11" ht="15">
      <c r="A432" s="13">
        <v>55001</v>
      </c>
      <c r="B432" s="60">
        <f>5.9737 * CHOOSE(CONTROL!$C$19, $C$13, 100%, $E$13)</f>
        <v>5.9737</v>
      </c>
      <c r="C432" s="60">
        <f>5.9737 * CHOOSE(CONTROL!$C$19, $C$13, 100%, $E$13)</f>
        <v>5.9737</v>
      </c>
      <c r="D432" s="60">
        <f>6.0073 * CHOOSE(CONTROL!$C$19, $C$13, 100%, $E$13)</f>
        <v>6.0072999999999999</v>
      </c>
      <c r="E432" s="61">
        <f>6.7017 * CHOOSE(CONTROL!$C$19, $C$13, 100%, $E$13)</f>
        <v>6.7016999999999998</v>
      </c>
      <c r="F432" s="61">
        <f>6.7017 * CHOOSE(CONTROL!$C$19, $C$13, 100%, $E$13)</f>
        <v>6.7016999999999998</v>
      </c>
      <c r="G432" s="61">
        <f>6.7037 * CHOOSE(CONTROL!$C$19, $C$13, 100%, $E$13)</f>
        <v>6.7037000000000004</v>
      </c>
      <c r="H432" s="61">
        <f>9.8975* CHOOSE(CONTROL!$C$19, $C$13, 100%, $E$13)</f>
        <v>9.8975000000000009</v>
      </c>
      <c r="I432" s="61">
        <f>9.8996 * CHOOSE(CONTROL!$C$19, $C$13, 100%, $E$13)</f>
        <v>9.8995999999999995</v>
      </c>
      <c r="J432" s="61">
        <f>6.7017 * CHOOSE(CONTROL!$C$19, $C$13, 100%, $E$13)</f>
        <v>6.7016999999999998</v>
      </c>
      <c r="K432" s="61">
        <f>6.7037 * CHOOSE(CONTROL!$C$19, $C$13, 100%, $E$13)</f>
        <v>6.7037000000000004</v>
      </c>
    </row>
    <row r="433" spans="1:11" ht="15">
      <c r="A433" s="13">
        <v>55032</v>
      </c>
      <c r="B433" s="60">
        <f>5.9706 * CHOOSE(CONTROL!$C$19, $C$13, 100%, $E$13)</f>
        <v>5.9706000000000001</v>
      </c>
      <c r="C433" s="60">
        <f>5.9706 * CHOOSE(CONTROL!$C$19, $C$13, 100%, $E$13)</f>
        <v>5.9706000000000001</v>
      </c>
      <c r="D433" s="60">
        <f>6.0043 * CHOOSE(CONTROL!$C$19, $C$13, 100%, $E$13)</f>
        <v>6.0042999999999997</v>
      </c>
      <c r="E433" s="61">
        <f>6.689 * CHOOSE(CONTROL!$C$19, $C$13, 100%, $E$13)</f>
        <v>6.6890000000000001</v>
      </c>
      <c r="F433" s="61">
        <f>6.689 * CHOOSE(CONTROL!$C$19, $C$13, 100%, $E$13)</f>
        <v>6.6890000000000001</v>
      </c>
      <c r="G433" s="61">
        <f>6.6911 * CHOOSE(CONTROL!$C$19, $C$13, 100%, $E$13)</f>
        <v>6.6910999999999996</v>
      </c>
      <c r="H433" s="61">
        <f>9.9182* CHOOSE(CONTROL!$C$19, $C$13, 100%, $E$13)</f>
        <v>9.9182000000000006</v>
      </c>
      <c r="I433" s="61">
        <f>9.9203 * CHOOSE(CONTROL!$C$19, $C$13, 100%, $E$13)</f>
        <v>9.9202999999999992</v>
      </c>
      <c r="J433" s="61">
        <f>6.689 * CHOOSE(CONTROL!$C$19, $C$13, 100%, $E$13)</f>
        <v>6.6890000000000001</v>
      </c>
      <c r="K433" s="61">
        <f>6.6911 * CHOOSE(CONTROL!$C$19, $C$13, 100%, $E$13)</f>
        <v>6.6910999999999996</v>
      </c>
    </row>
    <row r="434" spans="1:11" ht="15">
      <c r="A434" s="13">
        <v>55062</v>
      </c>
      <c r="B434" s="60">
        <f>5.9732 * CHOOSE(CONTROL!$C$19, $C$13, 100%, $E$13)</f>
        <v>5.9732000000000003</v>
      </c>
      <c r="C434" s="60">
        <f>5.9732 * CHOOSE(CONTROL!$C$19, $C$13, 100%, $E$13)</f>
        <v>5.9732000000000003</v>
      </c>
      <c r="D434" s="60">
        <f>5.9901 * CHOOSE(CONTROL!$C$19, $C$13, 100%, $E$13)</f>
        <v>5.9901</v>
      </c>
      <c r="E434" s="61">
        <f>6.7177 * CHOOSE(CONTROL!$C$19, $C$13, 100%, $E$13)</f>
        <v>6.7176999999999998</v>
      </c>
      <c r="F434" s="61">
        <f>6.7177 * CHOOSE(CONTROL!$C$19, $C$13, 100%, $E$13)</f>
        <v>6.7176999999999998</v>
      </c>
      <c r="G434" s="61">
        <f>6.7179 * CHOOSE(CONTROL!$C$19, $C$13, 100%, $E$13)</f>
        <v>6.7179000000000002</v>
      </c>
      <c r="H434" s="61">
        <f>9.9388* CHOOSE(CONTROL!$C$19, $C$13, 100%, $E$13)</f>
        <v>9.9388000000000005</v>
      </c>
      <c r="I434" s="61">
        <f>9.939 * CHOOSE(CONTROL!$C$19, $C$13, 100%, $E$13)</f>
        <v>9.9390000000000001</v>
      </c>
      <c r="J434" s="61">
        <f>6.7177 * CHOOSE(CONTROL!$C$19, $C$13, 100%, $E$13)</f>
        <v>6.7176999999999998</v>
      </c>
      <c r="K434" s="61">
        <f>6.7179 * CHOOSE(CONTROL!$C$19, $C$13, 100%, $E$13)</f>
        <v>6.7179000000000002</v>
      </c>
    </row>
    <row r="435" spans="1:11" ht="15">
      <c r="A435" s="13">
        <v>55093</v>
      </c>
      <c r="B435" s="60">
        <f>5.9763 * CHOOSE(CONTROL!$C$19, $C$13, 100%, $E$13)</f>
        <v>5.9763000000000002</v>
      </c>
      <c r="C435" s="60">
        <f>5.9763 * CHOOSE(CONTROL!$C$19, $C$13, 100%, $E$13)</f>
        <v>5.9763000000000002</v>
      </c>
      <c r="D435" s="60">
        <f>5.9931 * CHOOSE(CONTROL!$C$19, $C$13, 100%, $E$13)</f>
        <v>5.9931000000000001</v>
      </c>
      <c r="E435" s="61">
        <f>6.7409 * CHOOSE(CONTROL!$C$19, $C$13, 100%, $E$13)</f>
        <v>6.7408999999999999</v>
      </c>
      <c r="F435" s="61">
        <f>6.7409 * CHOOSE(CONTROL!$C$19, $C$13, 100%, $E$13)</f>
        <v>6.7408999999999999</v>
      </c>
      <c r="G435" s="61">
        <f>6.741 * CHOOSE(CONTROL!$C$19, $C$13, 100%, $E$13)</f>
        <v>6.7409999999999997</v>
      </c>
      <c r="H435" s="61">
        <f>9.9595* CHOOSE(CONTROL!$C$19, $C$13, 100%, $E$13)</f>
        <v>9.9595000000000002</v>
      </c>
      <c r="I435" s="61">
        <f>9.9597 * CHOOSE(CONTROL!$C$19, $C$13, 100%, $E$13)</f>
        <v>9.9596999999999998</v>
      </c>
      <c r="J435" s="61">
        <f>6.7409 * CHOOSE(CONTROL!$C$19, $C$13, 100%, $E$13)</f>
        <v>6.7408999999999999</v>
      </c>
      <c r="K435" s="61">
        <f>6.741 * CHOOSE(CONTROL!$C$19, $C$13, 100%, $E$13)</f>
        <v>6.7409999999999997</v>
      </c>
    </row>
    <row r="436" spans="1:11" ht="15">
      <c r="A436" s="13">
        <v>55123</v>
      </c>
      <c r="B436" s="60">
        <f>5.9763 * CHOOSE(CONTROL!$C$19, $C$13, 100%, $E$13)</f>
        <v>5.9763000000000002</v>
      </c>
      <c r="C436" s="60">
        <f>5.9763 * CHOOSE(CONTROL!$C$19, $C$13, 100%, $E$13)</f>
        <v>5.9763000000000002</v>
      </c>
      <c r="D436" s="60">
        <f>5.9931 * CHOOSE(CONTROL!$C$19, $C$13, 100%, $E$13)</f>
        <v>5.9931000000000001</v>
      </c>
      <c r="E436" s="61">
        <f>6.6882 * CHOOSE(CONTROL!$C$19, $C$13, 100%, $E$13)</f>
        <v>6.6882000000000001</v>
      </c>
      <c r="F436" s="61">
        <f>6.6882 * CHOOSE(CONTROL!$C$19, $C$13, 100%, $E$13)</f>
        <v>6.6882000000000001</v>
      </c>
      <c r="G436" s="61">
        <f>6.6884 * CHOOSE(CONTROL!$C$19, $C$13, 100%, $E$13)</f>
        <v>6.6883999999999997</v>
      </c>
      <c r="H436" s="61">
        <f>9.9803* CHOOSE(CONTROL!$C$19, $C$13, 100%, $E$13)</f>
        <v>9.9802999999999997</v>
      </c>
      <c r="I436" s="61">
        <f>9.9805 * CHOOSE(CONTROL!$C$19, $C$13, 100%, $E$13)</f>
        <v>9.9804999999999993</v>
      </c>
      <c r="J436" s="61">
        <f>6.6882 * CHOOSE(CONTROL!$C$19, $C$13, 100%, $E$13)</f>
        <v>6.6882000000000001</v>
      </c>
      <c r="K436" s="61">
        <f>6.6884 * CHOOSE(CONTROL!$C$19, $C$13, 100%, $E$13)</f>
        <v>6.6883999999999997</v>
      </c>
    </row>
    <row r="437" spans="1:11" ht="15">
      <c r="A437" s="13">
        <v>55154</v>
      </c>
      <c r="B437" s="60">
        <f>6.0272 * CHOOSE(CONTROL!$C$19, $C$13, 100%, $E$13)</f>
        <v>6.0271999999999997</v>
      </c>
      <c r="C437" s="60">
        <f>6.0272 * CHOOSE(CONTROL!$C$19, $C$13, 100%, $E$13)</f>
        <v>6.0271999999999997</v>
      </c>
      <c r="D437" s="60">
        <f>6.0441 * CHOOSE(CONTROL!$C$19, $C$13, 100%, $E$13)</f>
        <v>6.0441000000000003</v>
      </c>
      <c r="E437" s="61">
        <f>6.7909 * CHOOSE(CONTROL!$C$19, $C$13, 100%, $E$13)</f>
        <v>6.7908999999999997</v>
      </c>
      <c r="F437" s="61">
        <f>6.7909 * CHOOSE(CONTROL!$C$19, $C$13, 100%, $E$13)</f>
        <v>6.7908999999999997</v>
      </c>
      <c r="G437" s="61">
        <f>6.791 * CHOOSE(CONTROL!$C$19, $C$13, 100%, $E$13)</f>
        <v>6.7910000000000004</v>
      </c>
      <c r="H437" s="61">
        <f>10.0011* CHOOSE(CONTROL!$C$19, $C$13, 100%, $E$13)</f>
        <v>10.001099999999999</v>
      </c>
      <c r="I437" s="61">
        <f>10.0013 * CHOOSE(CONTROL!$C$19, $C$13, 100%, $E$13)</f>
        <v>10.001300000000001</v>
      </c>
      <c r="J437" s="61">
        <f>6.7909 * CHOOSE(CONTROL!$C$19, $C$13, 100%, $E$13)</f>
        <v>6.7908999999999997</v>
      </c>
      <c r="K437" s="61">
        <f>6.791 * CHOOSE(CONTROL!$C$19, $C$13, 100%, $E$13)</f>
        <v>6.7910000000000004</v>
      </c>
    </row>
    <row r="438" spans="1:11" ht="15">
      <c r="A438" s="13">
        <v>55185</v>
      </c>
      <c r="B438" s="60">
        <f>6.0242 * CHOOSE(CONTROL!$C$19, $C$13, 100%, $E$13)</f>
        <v>6.0242000000000004</v>
      </c>
      <c r="C438" s="60">
        <f>6.0242 * CHOOSE(CONTROL!$C$19, $C$13, 100%, $E$13)</f>
        <v>6.0242000000000004</v>
      </c>
      <c r="D438" s="60">
        <f>6.041 * CHOOSE(CONTROL!$C$19, $C$13, 100%, $E$13)</f>
        <v>6.0410000000000004</v>
      </c>
      <c r="E438" s="61">
        <f>6.6861 * CHOOSE(CONTROL!$C$19, $C$13, 100%, $E$13)</f>
        <v>6.6860999999999997</v>
      </c>
      <c r="F438" s="61">
        <f>6.6861 * CHOOSE(CONTROL!$C$19, $C$13, 100%, $E$13)</f>
        <v>6.6860999999999997</v>
      </c>
      <c r="G438" s="61">
        <f>6.6863 * CHOOSE(CONTROL!$C$19, $C$13, 100%, $E$13)</f>
        <v>6.6863000000000001</v>
      </c>
      <c r="H438" s="61">
        <f>10.0219* CHOOSE(CONTROL!$C$19, $C$13, 100%, $E$13)</f>
        <v>10.0219</v>
      </c>
      <c r="I438" s="61">
        <f>10.0221 * CHOOSE(CONTROL!$C$19, $C$13, 100%, $E$13)</f>
        <v>10.0221</v>
      </c>
      <c r="J438" s="61">
        <f>6.6861 * CHOOSE(CONTROL!$C$19, $C$13, 100%, $E$13)</f>
        <v>6.6860999999999997</v>
      </c>
      <c r="K438" s="61">
        <f>6.6863 * CHOOSE(CONTROL!$C$19, $C$13, 100%, $E$13)</f>
        <v>6.6863000000000001</v>
      </c>
    </row>
    <row r="439" spans="1:11" ht="15">
      <c r="A439" s="13">
        <v>55213</v>
      </c>
      <c r="B439" s="60">
        <f>6.0212 * CHOOSE(CONTROL!$C$19, $C$13, 100%, $E$13)</f>
        <v>6.0212000000000003</v>
      </c>
      <c r="C439" s="60">
        <f>6.0212 * CHOOSE(CONTROL!$C$19, $C$13, 100%, $E$13)</f>
        <v>6.0212000000000003</v>
      </c>
      <c r="D439" s="60">
        <f>6.038 * CHOOSE(CONTROL!$C$19, $C$13, 100%, $E$13)</f>
        <v>6.0380000000000003</v>
      </c>
      <c r="E439" s="61">
        <f>6.7649 * CHOOSE(CONTROL!$C$19, $C$13, 100%, $E$13)</f>
        <v>6.7648999999999999</v>
      </c>
      <c r="F439" s="61">
        <f>6.7649 * CHOOSE(CONTROL!$C$19, $C$13, 100%, $E$13)</f>
        <v>6.7648999999999999</v>
      </c>
      <c r="G439" s="61">
        <f>6.7651 * CHOOSE(CONTROL!$C$19, $C$13, 100%, $E$13)</f>
        <v>6.7651000000000003</v>
      </c>
      <c r="H439" s="61">
        <f>10.0428* CHOOSE(CONTROL!$C$19, $C$13, 100%, $E$13)</f>
        <v>10.0428</v>
      </c>
      <c r="I439" s="61">
        <f>10.043 * CHOOSE(CONTROL!$C$19, $C$13, 100%, $E$13)</f>
        <v>10.042999999999999</v>
      </c>
      <c r="J439" s="61">
        <f>6.7649 * CHOOSE(CONTROL!$C$19, $C$13, 100%, $E$13)</f>
        <v>6.7648999999999999</v>
      </c>
      <c r="K439" s="61">
        <f>6.7651 * CHOOSE(CONTROL!$C$19, $C$13, 100%, $E$13)</f>
        <v>6.7651000000000003</v>
      </c>
    </row>
    <row r="440" spans="1:11" ht="15">
      <c r="A440" s="13">
        <v>55244</v>
      </c>
      <c r="B440" s="60">
        <f>6.0208 * CHOOSE(CONTROL!$C$19, $C$13, 100%, $E$13)</f>
        <v>6.0208000000000004</v>
      </c>
      <c r="C440" s="60">
        <f>6.0208 * CHOOSE(CONTROL!$C$19, $C$13, 100%, $E$13)</f>
        <v>6.0208000000000004</v>
      </c>
      <c r="D440" s="60">
        <f>6.0377 * CHOOSE(CONTROL!$C$19, $C$13, 100%, $E$13)</f>
        <v>6.0377000000000001</v>
      </c>
      <c r="E440" s="61">
        <f>6.8476 * CHOOSE(CONTROL!$C$19, $C$13, 100%, $E$13)</f>
        <v>6.8475999999999999</v>
      </c>
      <c r="F440" s="61">
        <f>6.8476 * CHOOSE(CONTROL!$C$19, $C$13, 100%, $E$13)</f>
        <v>6.8475999999999999</v>
      </c>
      <c r="G440" s="61">
        <f>6.8477 * CHOOSE(CONTROL!$C$19, $C$13, 100%, $E$13)</f>
        <v>6.8476999999999997</v>
      </c>
      <c r="H440" s="61">
        <f>10.0637* CHOOSE(CONTROL!$C$19, $C$13, 100%, $E$13)</f>
        <v>10.063700000000001</v>
      </c>
      <c r="I440" s="61">
        <f>10.0639 * CHOOSE(CONTROL!$C$19, $C$13, 100%, $E$13)</f>
        <v>10.0639</v>
      </c>
      <c r="J440" s="61">
        <f>6.8476 * CHOOSE(CONTROL!$C$19, $C$13, 100%, $E$13)</f>
        <v>6.8475999999999999</v>
      </c>
      <c r="K440" s="61">
        <f>6.8477 * CHOOSE(CONTROL!$C$19, $C$13, 100%, $E$13)</f>
        <v>6.8476999999999997</v>
      </c>
    </row>
    <row r="441" spans="1:11" ht="15">
      <c r="A441" s="13">
        <v>55274</v>
      </c>
      <c r="B441" s="60">
        <f>6.0208 * CHOOSE(CONTROL!$C$19, $C$13, 100%, $E$13)</f>
        <v>6.0208000000000004</v>
      </c>
      <c r="C441" s="60">
        <f>6.0208 * CHOOSE(CONTROL!$C$19, $C$13, 100%, $E$13)</f>
        <v>6.0208000000000004</v>
      </c>
      <c r="D441" s="60">
        <f>6.0545 * CHOOSE(CONTROL!$C$19, $C$13, 100%, $E$13)</f>
        <v>6.0545</v>
      </c>
      <c r="E441" s="61">
        <f>6.8802 * CHOOSE(CONTROL!$C$19, $C$13, 100%, $E$13)</f>
        <v>6.8802000000000003</v>
      </c>
      <c r="F441" s="61">
        <f>6.8802 * CHOOSE(CONTROL!$C$19, $C$13, 100%, $E$13)</f>
        <v>6.8802000000000003</v>
      </c>
      <c r="G441" s="61">
        <f>6.8822 * CHOOSE(CONTROL!$C$19, $C$13, 100%, $E$13)</f>
        <v>6.8822000000000001</v>
      </c>
      <c r="H441" s="61">
        <f>10.0847* CHOOSE(CONTROL!$C$19, $C$13, 100%, $E$13)</f>
        <v>10.0847</v>
      </c>
      <c r="I441" s="61">
        <f>10.0868 * CHOOSE(CONTROL!$C$19, $C$13, 100%, $E$13)</f>
        <v>10.0868</v>
      </c>
      <c r="J441" s="61">
        <f>6.8802 * CHOOSE(CONTROL!$C$19, $C$13, 100%, $E$13)</f>
        <v>6.8802000000000003</v>
      </c>
      <c r="K441" s="61">
        <f>6.8822 * CHOOSE(CONTROL!$C$19, $C$13, 100%, $E$13)</f>
        <v>6.8822000000000001</v>
      </c>
    </row>
    <row r="442" spans="1:11" ht="15">
      <c r="A442" s="13">
        <v>55305</v>
      </c>
      <c r="B442" s="60">
        <f>6.0269 * CHOOSE(CONTROL!$C$19, $C$13, 100%, $E$13)</f>
        <v>6.0269000000000004</v>
      </c>
      <c r="C442" s="60">
        <f>6.0269 * CHOOSE(CONTROL!$C$19, $C$13, 100%, $E$13)</f>
        <v>6.0269000000000004</v>
      </c>
      <c r="D442" s="60">
        <f>6.0606 * CHOOSE(CONTROL!$C$19, $C$13, 100%, $E$13)</f>
        <v>6.0606</v>
      </c>
      <c r="E442" s="61">
        <f>6.8518 * CHOOSE(CONTROL!$C$19, $C$13, 100%, $E$13)</f>
        <v>6.8517999999999999</v>
      </c>
      <c r="F442" s="61">
        <f>6.8518 * CHOOSE(CONTROL!$C$19, $C$13, 100%, $E$13)</f>
        <v>6.8517999999999999</v>
      </c>
      <c r="G442" s="61">
        <f>6.8539 * CHOOSE(CONTROL!$C$19, $C$13, 100%, $E$13)</f>
        <v>6.8539000000000003</v>
      </c>
      <c r="H442" s="61">
        <f>10.1057* CHOOSE(CONTROL!$C$19, $C$13, 100%, $E$13)</f>
        <v>10.105700000000001</v>
      </c>
      <c r="I442" s="61">
        <f>10.1078 * CHOOSE(CONTROL!$C$19, $C$13, 100%, $E$13)</f>
        <v>10.107799999999999</v>
      </c>
      <c r="J442" s="61">
        <f>6.8518 * CHOOSE(CONTROL!$C$19, $C$13, 100%, $E$13)</f>
        <v>6.8517999999999999</v>
      </c>
      <c r="K442" s="61">
        <f>6.8539 * CHOOSE(CONTROL!$C$19, $C$13, 100%, $E$13)</f>
        <v>6.8539000000000003</v>
      </c>
    </row>
    <row r="443" spans="1:11" ht="15">
      <c r="A443" s="13">
        <v>55335</v>
      </c>
      <c r="B443" s="60">
        <f>6.1182 * CHOOSE(CONTROL!$C$19, $C$13, 100%, $E$13)</f>
        <v>6.1181999999999999</v>
      </c>
      <c r="C443" s="60">
        <f>6.1182 * CHOOSE(CONTROL!$C$19, $C$13, 100%, $E$13)</f>
        <v>6.1181999999999999</v>
      </c>
      <c r="D443" s="60">
        <f>6.1518 * CHOOSE(CONTROL!$C$19, $C$13, 100%, $E$13)</f>
        <v>6.1517999999999997</v>
      </c>
      <c r="E443" s="61">
        <f>6.9825 * CHOOSE(CONTROL!$C$19, $C$13, 100%, $E$13)</f>
        <v>6.9824999999999999</v>
      </c>
      <c r="F443" s="61">
        <f>6.9825 * CHOOSE(CONTROL!$C$19, $C$13, 100%, $E$13)</f>
        <v>6.9824999999999999</v>
      </c>
      <c r="G443" s="61">
        <f>6.9846 * CHOOSE(CONTROL!$C$19, $C$13, 100%, $E$13)</f>
        <v>6.9846000000000004</v>
      </c>
      <c r="H443" s="61">
        <f>10.1267* CHOOSE(CONTROL!$C$19, $C$13, 100%, $E$13)</f>
        <v>10.1267</v>
      </c>
      <c r="I443" s="61">
        <f>10.1288 * CHOOSE(CONTROL!$C$19, $C$13, 100%, $E$13)</f>
        <v>10.1288</v>
      </c>
      <c r="J443" s="61">
        <f>6.9825 * CHOOSE(CONTROL!$C$19, $C$13, 100%, $E$13)</f>
        <v>6.9824999999999999</v>
      </c>
      <c r="K443" s="61">
        <f>6.9846 * CHOOSE(CONTROL!$C$19, $C$13, 100%, $E$13)</f>
        <v>6.9846000000000004</v>
      </c>
    </row>
    <row r="444" spans="1:11" ht="15">
      <c r="A444" s="13">
        <v>55366</v>
      </c>
      <c r="B444" s="60">
        <f>6.1249 * CHOOSE(CONTROL!$C$19, $C$13, 100%, $E$13)</f>
        <v>6.1249000000000002</v>
      </c>
      <c r="C444" s="60">
        <f>6.1249 * CHOOSE(CONTROL!$C$19, $C$13, 100%, $E$13)</f>
        <v>6.1249000000000002</v>
      </c>
      <c r="D444" s="60">
        <f>6.1585 * CHOOSE(CONTROL!$C$19, $C$13, 100%, $E$13)</f>
        <v>6.1585000000000001</v>
      </c>
      <c r="E444" s="61">
        <f>6.8894 * CHOOSE(CONTROL!$C$19, $C$13, 100%, $E$13)</f>
        <v>6.8894000000000002</v>
      </c>
      <c r="F444" s="61">
        <f>6.8894 * CHOOSE(CONTROL!$C$19, $C$13, 100%, $E$13)</f>
        <v>6.8894000000000002</v>
      </c>
      <c r="G444" s="61">
        <f>6.8915 * CHOOSE(CONTROL!$C$19, $C$13, 100%, $E$13)</f>
        <v>6.8914999999999997</v>
      </c>
      <c r="H444" s="61">
        <f>10.1478* CHOOSE(CONTROL!$C$19, $C$13, 100%, $E$13)</f>
        <v>10.1478</v>
      </c>
      <c r="I444" s="61">
        <f>10.1499 * CHOOSE(CONTROL!$C$19, $C$13, 100%, $E$13)</f>
        <v>10.149900000000001</v>
      </c>
      <c r="J444" s="61">
        <f>6.8894 * CHOOSE(CONTROL!$C$19, $C$13, 100%, $E$13)</f>
        <v>6.8894000000000002</v>
      </c>
      <c r="K444" s="61">
        <f>6.8915 * CHOOSE(CONTROL!$C$19, $C$13, 100%, $E$13)</f>
        <v>6.8914999999999997</v>
      </c>
    </row>
    <row r="445" spans="1:11" ht="15">
      <c r="A445" s="13">
        <v>55397</v>
      </c>
      <c r="B445" s="60">
        <f>6.1218 * CHOOSE(CONTROL!$C$19, $C$13, 100%, $E$13)</f>
        <v>6.1218000000000004</v>
      </c>
      <c r="C445" s="60">
        <f>6.1218 * CHOOSE(CONTROL!$C$19, $C$13, 100%, $E$13)</f>
        <v>6.1218000000000004</v>
      </c>
      <c r="D445" s="60">
        <f>6.1555 * CHOOSE(CONTROL!$C$19, $C$13, 100%, $E$13)</f>
        <v>6.1555</v>
      </c>
      <c r="E445" s="61">
        <f>6.8764 * CHOOSE(CONTROL!$C$19, $C$13, 100%, $E$13)</f>
        <v>6.8764000000000003</v>
      </c>
      <c r="F445" s="61">
        <f>6.8764 * CHOOSE(CONTROL!$C$19, $C$13, 100%, $E$13)</f>
        <v>6.8764000000000003</v>
      </c>
      <c r="G445" s="61">
        <f>6.8785 * CHOOSE(CONTROL!$C$19, $C$13, 100%, $E$13)</f>
        <v>6.8784999999999998</v>
      </c>
      <c r="H445" s="61">
        <f>10.169* CHOOSE(CONTROL!$C$19, $C$13, 100%, $E$13)</f>
        <v>10.169</v>
      </c>
      <c r="I445" s="61">
        <f>10.1711 * CHOOSE(CONTROL!$C$19, $C$13, 100%, $E$13)</f>
        <v>10.171099999999999</v>
      </c>
      <c r="J445" s="61">
        <f>6.8764 * CHOOSE(CONTROL!$C$19, $C$13, 100%, $E$13)</f>
        <v>6.8764000000000003</v>
      </c>
      <c r="K445" s="61">
        <f>6.8785 * CHOOSE(CONTROL!$C$19, $C$13, 100%, $E$13)</f>
        <v>6.8784999999999998</v>
      </c>
    </row>
    <row r="446" spans="1:11" ht="15">
      <c r="A446" s="13">
        <v>55427</v>
      </c>
      <c r="B446" s="60">
        <f>6.125 * CHOOSE(CONTROL!$C$19, $C$13, 100%, $E$13)</f>
        <v>6.125</v>
      </c>
      <c r="C446" s="60">
        <f>6.125 * CHOOSE(CONTROL!$C$19, $C$13, 100%, $E$13)</f>
        <v>6.125</v>
      </c>
      <c r="D446" s="60">
        <f>6.1418 * CHOOSE(CONTROL!$C$19, $C$13, 100%, $E$13)</f>
        <v>6.1417999999999999</v>
      </c>
      <c r="E446" s="61">
        <f>6.9065 * CHOOSE(CONTROL!$C$19, $C$13, 100%, $E$13)</f>
        <v>6.9065000000000003</v>
      </c>
      <c r="F446" s="61">
        <f>6.9065 * CHOOSE(CONTROL!$C$19, $C$13, 100%, $E$13)</f>
        <v>6.9065000000000003</v>
      </c>
      <c r="G446" s="61">
        <f>6.9066 * CHOOSE(CONTROL!$C$19, $C$13, 100%, $E$13)</f>
        <v>6.9066000000000001</v>
      </c>
      <c r="H446" s="61">
        <f>10.1902* CHOOSE(CONTROL!$C$19, $C$13, 100%, $E$13)</f>
        <v>10.190200000000001</v>
      </c>
      <c r="I446" s="61">
        <f>10.1903 * CHOOSE(CONTROL!$C$19, $C$13, 100%, $E$13)</f>
        <v>10.190300000000001</v>
      </c>
      <c r="J446" s="61">
        <f>6.9065 * CHOOSE(CONTROL!$C$19, $C$13, 100%, $E$13)</f>
        <v>6.9065000000000003</v>
      </c>
      <c r="K446" s="61">
        <f>6.9066 * CHOOSE(CONTROL!$C$19, $C$13, 100%, $E$13)</f>
        <v>6.9066000000000001</v>
      </c>
    </row>
    <row r="447" spans="1:11" ht="15">
      <c r="A447" s="13">
        <v>55458</v>
      </c>
      <c r="B447" s="60">
        <f>6.1281 * CHOOSE(CONTROL!$C$19, $C$13, 100%, $E$13)</f>
        <v>6.1280999999999999</v>
      </c>
      <c r="C447" s="60">
        <f>6.1281 * CHOOSE(CONTROL!$C$19, $C$13, 100%, $E$13)</f>
        <v>6.1280999999999999</v>
      </c>
      <c r="D447" s="60">
        <f>6.1449 * CHOOSE(CONTROL!$C$19, $C$13, 100%, $E$13)</f>
        <v>6.1448999999999998</v>
      </c>
      <c r="E447" s="61">
        <f>6.9303 * CHOOSE(CONTROL!$C$19, $C$13, 100%, $E$13)</f>
        <v>6.9302999999999999</v>
      </c>
      <c r="F447" s="61">
        <f>6.9303 * CHOOSE(CONTROL!$C$19, $C$13, 100%, $E$13)</f>
        <v>6.9302999999999999</v>
      </c>
      <c r="G447" s="61">
        <f>6.9305 * CHOOSE(CONTROL!$C$19, $C$13, 100%, $E$13)</f>
        <v>6.9305000000000003</v>
      </c>
      <c r="H447" s="61">
        <f>10.2114* CHOOSE(CONTROL!$C$19, $C$13, 100%, $E$13)</f>
        <v>10.211399999999999</v>
      </c>
      <c r="I447" s="61">
        <f>10.2116 * CHOOSE(CONTROL!$C$19, $C$13, 100%, $E$13)</f>
        <v>10.211600000000001</v>
      </c>
      <c r="J447" s="61">
        <f>6.9303 * CHOOSE(CONTROL!$C$19, $C$13, 100%, $E$13)</f>
        <v>6.9302999999999999</v>
      </c>
      <c r="K447" s="61">
        <f>6.9305 * CHOOSE(CONTROL!$C$19, $C$13, 100%, $E$13)</f>
        <v>6.9305000000000003</v>
      </c>
    </row>
    <row r="448" spans="1:11" ht="15">
      <c r="A448" s="13">
        <v>55488</v>
      </c>
      <c r="B448" s="60">
        <f>6.1281 * CHOOSE(CONTROL!$C$19, $C$13, 100%, $E$13)</f>
        <v>6.1280999999999999</v>
      </c>
      <c r="C448" s="60">
        <f>6.1281 * CHOOSE(CONTROL!$C$19, $C$13, 100%, $E$13)</f>
        <v>6.1280999999999999</v>
      </c>
      <c r="D448" s="60">
        <f>6.1449 * CHOOSE(CONTROL!$C$19, $C$13, 100%, $E$13)</f>
        <v>6.1448999999999998</v>
      </c>
      <c r="E448" s="61">
        <f>6.876 * CHOOSE(CONTROL!$C$19, $C$13, 100%, $E$13)</f>
        <v>6.8760000000000003</v>
      </c>
      <c r="F448" s="61">
        <f>6.876 * CHOOSE(CONTROL!$C$19, $C$13, 100%, $E$13)</f>
        <v>6.8760000000000003</v>
      </c>
      <c r="G448" s="61">
        <f>6.8762 * CHOOSE(CONTROL!$C$19, $C$13, 100%, $E$13)</f>
        <v>6.8761999999999999</v>
      </c>
      <c r="H448" s="61">
        <f>10.2327* CHOOSE(CONTROL!$C$19, $C$13, 100%, $E$13)</f>
        <v>10.232699999999999</v>
      </c>
      <c r="I448" s="61">
        <f>10.2328 * CHOOSE(CONTROL!$C$19, $C$13, 100%, $E$13)</f>
        <v>10.232799999999999</v>
      </c>
      <c r="J448" s="61">
        <f>6.876 * CHOOSE(CONTROL!$C$19, $C$13, 100%, $E$13)</f>
        <v>6.8760000000000003</v>
      </c>
      <c r="K448" s="61">
        <f>6.8762 * CHOOSE(CONTROL!$C$19, $C$13, 100%, $E$13)</f>
        <v>6.8761999999999999</v>
      </c>
    </row>
    <row r="449" spans="1:11" ht="15">
      <c r="A449" s="13">
        <v>55519</v>
      </c>
      <c r="B449" s="60">
        <f>6.1802 * CHOOSE(CONTROL!$C$19, $C$13, 100%, $E$13)</f>
        <v>6.1802000000000001</v>
      </c>
      <c r="C449" s="60">
        <f>6.1802 * CHOOSE(CONTROL!$C$19, $C$13, 100%, $E$13)</f>
        <v>6.1802000000000001</v>
      </c>
      <c r="D449" s="60">
        <f>6.197 * CHOOSE(CONTROL!$C$19, $C$13, 100%, $E$13)</f>
        <v>6.1970000000000001</v>
      </c>
      <c r="E449" s="61">
        <f>6.9816 * CHOOSE(CONTROL!$C$19, $C$13, 100%, $E$13)</f>
        <v>6.9816000000000003</v>
      </c>
      <c r="F449" s="61">
        <f>6.9816 * CHOOSE(CONTROL!$C$19, $C$13, 100%, $E$13)</f>
        <v>6.9816000000000003</v>
      </c>
      <c r="G449" s="61">
        <f>6.9817 * CHOOSE(CONTROL!$C$19, $C$13, 100%, $E$13)</f>
        <v>6.9817</v>
      </c>
      <c r="H449" s="61">
        <f>10.254* CHOOSE(CONTROL!$C$19, $C$13, 100%, $E$13)</f>
        <v>10.254</v>
      </c>
      <c r="I449" s="61">
        <f>10.2542 * CHOOSE(CONTROL!$C$19, $C$13, 100%, $E$13)</f>
        <v>10.254200000000001</v>
      </c>
      <c r="J449" s="61">
        <f>6.9816 * CHOOSE(CONTROL!$C$19, $C$13, 100%, $E$13)</f>
        <v>6.9816000000000003</v>
      </c>
      <c r="K449" s="61">
        <f>6.9817 * CHOOSE(CONTROL!$C$19, $C$13, 100%, $E$13)</f>
        <v>6.9817</v>
      </c>
    </row>
    <row r="450" spans="1:11" ht="15">
      <c r="A450" s="13">
        <v>55550</v>
      </c>
      <c r="B450" s="60">
        <f>6.1772 * CHOOSE(CONTROL!$C$19, $C$13, 100%, $E$13)</f>
        <v>6.1772</v>
      </c>
      <c r="C450" s="60">
        <f>6.1772 * CHOOSE(CONTROL!$C$19, $C$13, 100%, $E$13)</f>
        <v>6.1772</v>
      </c>
      <c r="D450" s="60">
        <f>6.194 * CHOOSE(CONTROL!$C$19, $C$13, 100%, $E$13)</f>
        <v>6.194</v>
      </c>
      <c r="E450" s="61">
        <f>6.8735 * CHOOSE(CONTROL!$C$19, $C$13, 100%, $E$13)</f>
        <v>6.8734999999999999</v>
      </c>
      <c r="F450" s="61">
        <f>6.8735 * CHOOSE(CONTROL!$C$19, $C$13, 100%, $E$13)</f>
        <v>6.8734999999999999</v>
      </c>
      <c r="G450" s="61">
        <f>6.8737 * CHOOSE(CONTROL!$C$19, $C$13, 100%, $E$13)</f>
        <v>6.8737000000000004</v>
      </c>
      <c r="H450" s="61">
        <f>10.2754* CHOOSE(CONTROL!$C$19, $C$13, 100%, $E$13)</f>
        <v>10.275399999999999</v>
      </c>
      <c r="I450" s="61">
        <f>10.2755 * CHOOSE(CONTROL!$C$19, $C$13, 100%, $E$13)</f>
        <v>10.275499999999999</v>
      </c>
      <c r="J450" s="61">
        <f>6.8735 * CHOOSE(CONTROL!$C$19, $C$13, 100%, $E$13)</f>
        <v>6.8734999999999999</v>
      </c>
      <c r="K450" s="61">
        <f>6.8737 * CHOOSE(CONTROL!$C$19, $C$13, 100%, $E$13)</f>
        <v>6.8737000000000004</v>
      </c>
    </row>
    <row r="451" spans="1:11" ht="15">
      <c r="A451" s="13">
        <v>55579</v>
      </c>
      <c r="B451" s="60">
        <f>6.1741 * CHOOSE(CONTROL!$C$19, $C$13, 100%, $E$13)</f>
        <v>6.1741000000000001</v>
      </c>
      <c r="C451" s="60">
        <f>6.1741 * CHOOSE(CONTROL!$C$19, $C$13, 100%, $E$13)</f>
        <v>6.1741000000000001</v>
      </c>
      <c r="D451" s="60">
        <f>6.1909 * CHOOSE(CONTROL!$C$19, $C$13, 100%, $E$13)</f>
        <v>6.1909000000000001</v>
      </c>
      <c r="E451" s="61">
        <f>6.9549 * CHOOSE(CONTROL!$C$19, $C$13, 100%, $E$13)</f>
        <v>6.9549000000000003</v>
      </c>
      <c r="F451" s="61">
        <f>6.9549 * CHOOSE(CONTROL!$C$19, $C$13, 100%, $E$13)</f>
        <v>6.9549000000000003</v>
      </c>
      <c r="G451" s="61">
        <f>6.9551 * CHOOSE(CONTROL!$C$19, $C$13, 100%, $E$13)</f>
        <v>6.9550999999999998</v>
      </c>
      <c r="H451" s="61">
        <f>10.2968* CHOOSE(CONTROL!$C$19, $C$13, 100%, $E$13)</f>
        <v>10.296799999999999</v>
      </c>
      <c r="I451" s="61">
        <f>10.2969 * CHOOSE(CONTROL!$C$19, $C$13, 100%, $E$13)</f>
        <v>10.296900000000001</v>
      </c>
      <c r="J451" s="61">
        <f>6.9549 * CHOOSE(CONTROL!$C$19, $C$13, 100%, $E$13)</f>
        <v>6.9549000000000003</v>
      </c>
      <c r="K451" s="61">
        <f>6.9551 * CHOOSE(CONTROL!$C$19, $C$13, 100%, $E$13)</f>
        <v>6.9550999999999998</v>
      </c>
    </row>
    <row r="452" spans="1:11" ht="15">
      <c r="A452" s="13">
        <v>55610</v>
      </c>
      <c r="B452" s="60">
        <f>6.1739 * CHOOSE(CONTROL!$C$19, $C$13, 100%, $E$13)</f>
        <v>6.1738999999999997</v>
      </c>
      <c r="C452" s="60">
        <f>6.1739 * CHOOSE(CONTROL!$C$19, $C$13, 100%, $E$13)</f>
        <v>6.1738999999999997</v>
      </c>
      <c r="D452" s="60">
        <f>6.1908 * CHOOSE(CONTROL!$C$19, $C$13, 100%, $E$13)</f>
        <v>6.1908000000000003</v>
      </c>
      <c r="E452" s="61">
        <f>7.0403 * CHOOSE(CONTROL!$C$19, $C$13, 100%, $E$13)</f>
        <v>7.0403000000000002</v>
      </c>
      <c r="F452" s="61">
        <f>7.0403 * CHOOSE(CONTROL!$C$19, $C$13, 100%, $E$13)</f>
        <v>7.0403000000000002</v>
      </c>
      <c r="G452" s="61">
        <f>7.0405 * CHOOSE(CONTROL!$C$19, $C$13, 100%, $E$13)</f>
        <v>7.0404999999999998</v>
      </c>
      <c r="H452" s="61">
        <f>10.3182* CHOOSE(CONTROL!$C$19, $C$13, 100%, $E$13)</f>
        <v>10.318199999999999</v>
      </c>
      <c r="I452" s="61">
        <f>10.3184 * CHOOSE(CONTROL!$C$19, $C$13, 100%, $E$13)</f>
        <v>10.3184</v>
      </c>
      <c r="J452" s="61">
        <f>7.0403 * CHOOSE(CONTROL!$C$19, $C$13, 100%, $E$13)</f>
        <v>7.0403000000000002</v>
      </c>
      <c r="K452" s="61">
        <f>7.0405 * CHOOSE(CONTROL!$C$19, $C$13, 100%, $E$13)</f>
        <v>7.0404999999999998</v>
      </c>
    </row>
    <row r="453" spans="1:11" ht="15">
      <c r="A453" s="13">
        <v>55640</v>
      </c>
      <c r="B453" s="60">
        <f>6.1739 * CHOOSE(CONTROL!$C$19, $C$13, 100%, $E$13)</f>
        <v>6.1738999999999997</v>
      </c>
      <c r="C453" s="60">
        <f>6.1739 * CHOOSE(CONTROL!$C$19, $C$13, 100%, $E$13)</f>
        <v>6.1738999999999997</v>
      </c>
      <c r="D453" s="60">
        <f>6.2076 * CHOOSE(CONTROL!$C$19, $C$13, 100%, $E$13)</f>
        <v>6.2076000000000002</v>
      </c>
      <c r="E453" s="61">
        <f>7.074 * CHOOSE(CONTROL!$C$19, $C$13, 100%, $E$13)</f>
        <v>7.0739999999999998</v>
      </c>
      <c r="F453" s="61">
        <f>7.074 * CHOOSE(CONTROL!$C$19, $C$13, 100%, $E$13)</f>
        <v>7.0739999999999998</v>
      </c>
      <c r="G453" s="61">
        <f>7.0761 * CHOOSE(CONTROL!$C$19, $C$13, 100%, $E$13)</f>
        <v>7.0761000000000003</v>
      </c>
      <c r="H453" s="61">
        <f>10.3397* CHOOSE(CONTROL!$C$19, $C$13, 100%, $E$13)</f>
        <v>10.339700000000001</v>
      </c>
      <c r="I453" s="61">
        <f>10.3418 * CHOOSE(CONTROL!$C$19, $C$13, 100%, $E$13)</f>
        <v>10.341799999999999</v>
      </c>
      <c r="J453" s="61">
        <f>7.074 * CHOOSE(CONTROL!$C$19, $C$13, 100%, $E$13)</f>
        <v>7.0739999999999998</v>
      </c>
      <c r="K453" s="61">
        <f>7.0761 * CHOOSE(CONTROL!$C$19, $C$13, 100%, $E$13)</f>
        <v>7.0761000000000003</v>
      </c>
    </row>
    <row r="454" spans="1:11" ht="15">
      <c r="A454" s="13">
        <v>55671</v>
      </c>
      <c r="B454" s="60">
        <f>6.18 * CHOOSE(CONTROL!$C$19, $C$13, 100%, $E$13)</f>
        <v>6.18</v>
      </c>
      <c r="C454" s="60">
        <f>6.18 * CHOOSE(CONTROL!$C$19, $C$13, 100%, $E$13)</f>
        <v>6.18</v>
      </c>
      <c r="D454" s="60">
        <f>6.2137 * CHOOSE(CONTROL!$C$19, $C$13, 100%, $E$13)</f>
        <v>6.2137000000000002</v>
      </c>
      <c r="E454" s="61">
        <f>7.0446 * CHOOSE(CONTROL!$C$19, $C$13, 100%, $E$13)</f>
        <v>7.0446</v>
      </c>
      <c r="F454" s="61">
        <f>7.0446 * CHOOSE(CONTROL!$C$19, $C$13, 100%, $E$13)</f>
        <v>7.0446</v>
      </c>
      <c r="G454" s="61">
        <f>7.0467 * CHOOSE(CONTROL!$C$19, $C$13, 100%, $E$13)</f>
        <v>7.0467000000000004</v>
      </c>
      <c r="H454" s="61">
        <f>10.3612* CHOOSE(CONTROL!$C$19, $C$13, 100%, $E$13)</f>
        <v>10.3612</v>
      </c>
      <c r="I454" s="61">
        <f>10.3633 * CHOOSE(CONTROL!$C$19, $C$13, 100%, $E$13)</f>
        <v>10.363300000000001</v>
      </c>
      <c r="J454" s="61">
        <f>7.0446 * CHOOSE(CONTROL!$C$19, $C$13, 100%, $E$13)</f>
        <v>7.0446</v>
      </c>
      <c r="K454" s="61">
        <f>7.0467 * CHOOSE(CONTROL!$C$19, $C$13, 100%, $E$13)</f>
        <v>7.0467000000000004</v>
      </c>
    </row>
    <row r="455" spans="1:11" ht="15">
      <c r="A455" s="13">
        <v>55701</v>
      </c>
      <c r="B455" s="60">
        <f>6.2732 * CHOOSE(CONTROL!$C$19, $C$13, 100%, $E$13)</f>
        <v>6.2732000000000001</v>
      </c>
      <c r="C455" s="60">
        <f>6.2732 * CHOOSE(CONTROL!$C$19, $C$13, 100%, $E$13)</f>
        <v>6.2732000000000001</v>
      </c>
      <c r="D455" s="60">
        <f>6.3069 * CHOOSE(CONTROL!$C$19, $C$13, 100%, $E$13)</f>
        <v>6.3068999999999997</v>
      </c>
      <c r="E455" s="61">
        <f>7.1787 * CHOOSE(CONTROL!$C$19, $C$13, 100%, $E$13)</f>
        <v>7.1787000000000001</v>
      </c>
      <c r="F455" s="61">
        <f>7.1787 * CHOOSE(CONTROL!$C$19, $C$13, 100%, $E$13)</f>
        <v>7.1787000000000001</v>
      </c>
      <c r="G455" s="61">
        <f>7.1807 * CHOOSE(CONTROL!$C$19, $C$13, 100%, $E$13)</f>
        <v>7.1806999999999999</v>
      </c>
      <c r="H455" s="61">
        <f>10.3828* CHOOSE(CONTROL!$C$19, $C$13, 100%, $E$13)</f>
        <v>10.3828</v>
      </c>
      <c r="I455" s="61">
        <f>10.3849 * CHOOSE(CONTROL!$C$19, $C$13, 100%, $E$13)</f>
        <v>10.3849</v>
      </c>
      <c r="J455" s="61">
        <f>7.1787 * CHOOSE(CONTROL!$C$19, $C$13, 100%, $E$13)</f>
        <v>7.1787000000000001</v>
      </c>
      <c r="K455" s="61">
        <f>7.1807 * CHOOSE(CONTROL!$C$19, $C$13, 100%, $E$13)</f>
        <v>7.1806999999999999</v>
      </c>
    </row>
    <row r="456" spans="1:11" ht="15">
      <c r="A456" s="13">
        <v>55732</v>
      </c>
      <c r="B456" s="60">
        <f>6.2799 * CHOOSE(CONTROL!$C$19, $C$13, 100%, $E$13)</f>
        <v>6.2798999999999996</v>
      </c>
      <c r="C456" s="60">
        <f>6.2799 * CHOOSE(CONTROL!$C$19, $C$13, 100%, $E$13)</f>
        <v>6.2798999999999996</v>
      </c>
      <c r="D456" s="60">
        <f>6.3136 * CHOOSE(CONTROL!$C$19, $C$13, 100%, $E$13)</f>
        <v>6.3136000000000001</v>
      </c>
      <c r="E456" s="61">
        <f>7.0824 * CHOOSE(CONTROL!$C$19, $C$13, 100%, $E$13)</f>
        <v>7.0823999999999998</v>
      </c>
      <c r="F456" s="61">
        <f>7.0824 * CHOOSE(CONTROL!$C$19, $C$13, 100%, $E$13)</f>
        <v>7.0823999999999998</v>
      </c>
      <c r="G456" s="61">
        <f>7.0845 * CHOOSE(CONTROL!$C$19, $C$13, 100%, $E$13)</f>
        <v>7.0845000000000002</v>
      </c>
      <c r="H456" s="61">
        <f>10.4045* CHOOSE(CONTROL!$C$19, $C$13, 100%, $E$13)</f>
        <v>10.404500000000001</v>
      </c>
      <c r="I456" s="61">
        <f>10.4066 * CHOOSE(CONTROL!$C$19, $C$13, 100%, $E$13)</f>
        <v>10.406599999999999</v>
      </c>
      <c r="J456" s="61">
        <f>7.0824 * CHOOSE(CONTROL!$C$19, $C$13, 100%, $E$13)</f>
        <v>7.0823999999999998</v>
      </c>
      <c r="K456" s="61">
        <f>7.0845 * CHOOSE(CONTROL!$C$19, $C$13, 100%, $E$13)</f>
        <v>7.0845000000000002</v>
      </c>
    </row>
    <row r="457" spans="1:11" ht="15">
      <c r="A457" s="13">
        <v>55763</v>
      </c>
      <c r="B457" s="60">
        <f>6.2769 * CHOOSE(CONTROL!$C$19, $C$13, 100%, $E$13)</f>
        <v>6.2769000000000004</v>
      </c>
      <c r="C457" s="60">
        <f>6.2769 * CHOOSE(CONTROL!$C$19, $C$13, 100%, $E$13)</f>
        <v>6.2769000000000004</v>
      </c>
      <c r="D457" s="60">
        <f>6.3105 * CHOOSE(CONTROL!$C$19, $C$13, 100%, $E$13)</f>
        <v>6.3105000000000002</v>
      </c>
      <c r="E457" s="61">
        <f>7.0691 * CHOOSE(CONTROL!$C$19, $C$13, 100%, $E$13)</f>
        <v>7.0690999999999997</v>
      </c>
      <c r="F457" s="61">
        <f>7.0691 * CHOOSE(CONTROL!$C$19, $C$13, 100%, $E$13)</f>
        <v>7.0690999999999997</v>
      </c>
      <c r="G457" s="61">
        <f>7.0712 * CHOOSE(CONTROL!$C$19, $C$13, 100%, $E$13)</f>
        <v>7.0712000000000002</v>
      </c>
      <c r="H457" s="61">
        <f>10.4261* CHOOSE(CONTROL!$C$19, $C$13, 100%, $E$13)</f>
        <v>10.4261</v>
      </c>
      <c r="I457" s="61">
        <f>10.4282 * CHOOSE(CONTROL!$C$19, $C$13, 100%, $E$13)</f>
        <v>10.4282</v>
      </c>
      <c r="J457" s="61">
        <f>7.0691 * CHOOSE(CONTROL!$C$19, $C$13, 100%, $E$13)</f>
        <v>7.0690999999999997</v>
      </c>
      <c r="K457" s="61">
        <f>7.0712 * CHOOSE(CONTROL!$C$19, $C$13, 100%, $E$13)</f>
        <v>7.0712000000000002</v>
      </c>
    </row>
    <row r="458" spans="1:11" ht="15">
      <c r="A458" s="13">
        <v>55793</v>
      </c>
      <c r="B458" s="60">
        <f>6.2806 * CHOOSE(CONTROL!$C$19, $C$13, 100%, $E$13)</f>
        <v>6.2805999999999997</v>
      </c>
      <c r="C458" s="60">
        <f>6.2806 * CHOOSE(CONTROL!$C$19, $C$13, 100%, $E$13)</f>
        <v>6.2805999999999997</v>
      </c>
      <c r="D458" s="60">
        <f>6.2975 * CHOOSE(CONTROL!$C$19, $C$13, 100%, $E$13)</f>
        <v>6.2975000000000003</v>
      </c>
      <c r="E458" s="61">
        <f>7.1005 * CHOOSE(CONTROL!$C$19, $C$13, 100%, $E$13)</f>
        <v>7.1005000000000003</v>
      </c>
      <c r="F458" s="61">
        <f>7.1005 * CHOOSE(CONTROL!$C$19, $C$13, 100%, $E$13)</f>
        <v>7.1005000000000003</v>
      </c>
      <c r="G458" s="61">
        <f>7.1007 * CHOOSE(CONTROL!$C$19, $C$13, 100%, $E$13)</f>
        <v>7.1006999999999998</v>
      </c>
      <c r="H458" s="61">
        <f>10.4479* CHOOSE(CONTROL!$C$19, $C$13, 100%, $E$13)</f>
        <v>10.447900000000001</v>
      </c>
      <c r="I458" s="61">
        <f>10.448 * CHOOSE(CONTROL!$C$19, $C$13, 100%, $E$13)</f>
        <v>10.448</v>
      </c>
      <c r="J458" s="61">
        <f>7.1005 * CHOOSE(CONTROL!$C$19, $C$13, 100%, $E$13)</f>
        <v>7.1005000000000003</v>
      </c>
      <c r="K458" s="61">
        <f>7.1007 * CHOOSE(CONTROL!$C$19, $C$13, 100%, $E$13)</f>
        <v>7.1006999999999998</v>
      </c>
    </row>
    <row r="459" spans="1:11" ht="15">
      <c r="A459" s="13">
        <v>55824</v>
      </c>
      <c r="B459" s="60">
        <f>6.2837 * CHOOSE(CONTROL!$C$19, $C$13, 100%, $E$13)</f>
        <v>6.2836999999999996</v>
      </c>
      <c r="C459" s="60">
        <f>6.2837 * CHOOSE(CONTROL!$C$19, $C$13, 100%, $E$13)</f>
        <v>6.2836999999999996</v>
      </c>
      <c r="D459" s="60">
        <f>6.3005 * CHOOSE(CONTROL!$C$19, $C$13, 100%, $E$13)</f>
        <v>6.3005000000000004</v>
      </c>
      <c r="E459" s="61">
        <f>7.1251 * CHOOSE(CONTROL!$C$19, $C$13, 100%, $E$13)</f>
        <v>7.1250999999999998</v>
      </c>
      <c r="F459" s="61">
        <f>7.1251 * CHOOSE(CONTROL!$C$19, $C$13, 100%, $E$13)</f>
        <v>7.1250999999999998</v>
      </c>
      <c r="G459" s="61">
        <f>7.1252 * CHOOSE(CONTROL!$C$19, $C$13, 100%, $E$13)</f>
        <v>7.1252000000000004</v>
      </c>
      <c r="H459" s="61">
        <f>10.4696* CHOOSE(CONTROL!$C$19, $C$13, 100%, $E$13)</f>
        <v>10.4696</v>
      </c>
      <c r="I459" s="61">
        <f>10.4698 * CHOOSE(CONTROL!$C$19, $C$13, 100%, $E$13)</f>
        <v>10.469799999999999</v>
      </c>
      <c r="J459" s="61">
        <f>7.1251 * CHOOSE(CONTROL!$C$19, $C$13, 100%, $E$13)</f>
        <v>7.1250999999999998</v>
      </c>
      <c r="K459" s="61">
        <f>7.1252 * CHOOSE(CONTROL!$C$19, $C$13, 100%, $E$13)</f>
        <v>7.1252000000000004</v>
      </c>
    </row>
    <row r="460" spans="1:11" ht="15">
      <c r="A460" s="13">
        <v>55854</v>
      </c>
      <c r="B460" s="60">
        <f>6.2837 * CHOOSE(CONTROL!$C$19, $C$13, 100%, $E$13)</f>
        <v>6.2836999999999996</v>
      </c>
      <c r="C460" s="60">
        <f>6.2837 * CHOOSE(CONTROL!$C$19, $C$13, 100%, $E$13)</f>
        <v>6.2836999999999996</v>
      </c>
      <c r="D460" s="60">
        <f>6.3005 * CHOOSE(CONTROL!$C$19, $C$13, 100%, $E$13)</f>
        <v>6.3005000000000004</v>
      </c>
      <c r="E460" s="61">
        <f>7.069 * CHOOSE(CONTROL!$C$19, $C$13, 100%, $E$13)</f>
        <v>7.069</v>
      </c>
      <c r="F460" s="61">
        <f>7.069 * CHOOSE(CONTROL!$C$19, $C$13, 100%, $E$13)</f>
        <v>7.069</v>
      </c>
      <c r="G460" s="61">
        <f>7.0692 * CHOOSE(CONTROL!$C$19, $C$13, 100%, $E$13)</f>
        <v>7.0692000000000004</v>
      </c>
      <c r="H460" s="61">
        <f>10.4914* CHOOSE(CONTROL!$C$19, $C$13, 100%, $E$13)</f>
        <v>10.491400000000001</v>
      </c>
      <c r="I460" s="61">
        <f>10.4916 * CHOOSE(CONTROL!$C$19, $C$13, 100%, $E$13)</f>
        <v>10.4916</v>
      </c>
      <c r="J460" s="61">
        <f>7.069 * CHOOSE(CONTROL!$C$19, $C$13, 100%, $E$13)</f>
        <v>7.069</v>
      </c>
      <c r="K460" s="61">
        <f>7.0692 * CHOOSE(CONTROL!$C$19, $C$13, 100%, $E$13)</f>
        <v>7.0692000000000004</v>
      </c>
    </row>
    <row r="461" spans="1:11" ht="15">
      <c r="A461" s="13">
        <v>55885</v>
      </c>
      <c r="B461" s="60">
        <f>6.337 * CHOOSE(CONTROL!$C$19, $C$13, 100%, $E$13)</f>
        <v>6.3369999999999997</v>
      </c>
      <c r="C461" s="60">
        <f>6.337 * CHOOSE(CONTROL!$C$19, $C$13, 100%, $E$13)</f>
        <v>6.3369999999999997</v>
      </c>
      <c r="D461" s="60">
        <f>6.3539 * CHOOSE(CONTROL!$C$19, $C$13, 100%, $E$13)</f>
        <v>6.3539000000000003</v>
      </c>
      <c r="E461" s="61">
        <f>7.1777 * CHOOSE(CONTROL!$C$19, $C$13, 100%, $E$13)</f>
        <v>7.1776999999999997</v>
      </c>
      <c r="F461" s="61">
        <f>7.1777 * CHOOSE(CONTROL!$C$19, $C$13, 100%, $E$13)</f>
        <v>7.1776999999999997</v>
      </c>
      <c r="G461" s="61">
        <f>7.1778 * CHOOSE(CONTROL!$C$19, $C$13, 100%, $E$13)</f>
        <v>7.1778000000000004</v>
      </c>
      <c r="H461" s="61">
        <f>10.5133* CHOOSE(CONTROL!$C$19, $C$13, 100%, $E$13)</f>
        <v>10.513299999999999</v>
      </c>
      <c r="I461" s="61">
        <f>10.5135 * CHOOSE(CONTROL!$C$19, $C$13, 100%, $E$13)</f>
        <v>10.513500000000001</v>
      </c>
      <c r="J461" s="61">
        <f>7.1777 * CHOOSE(CONTROL!$C$19, $C$13, 100%, $E$13)</f>
        <v>7.1776999999999997</v>
      </c>
      <c r="K461" s="61">
        <f>7.1778 * CHOOSE(CONTROL!$C$19, $C$13, 100%, $E$13)</f>
        <v>7.1778000000000004</v>
      </c>
    </row>
    <row r="462" spans="1:11" ht="15">
      <c r="A462" s="13">
        <v>55916</v>
      </c>
      <c r="B462" s="60">
        <f>6.334 * CHOOSE(CONTROL!$C$19, $C$13, 100%, $E$13)</f>
        <v>6.3339999999999996</v>
      </c>
      <c r="C462" s="60">
        <f>6.334 * CHOOSE(CONTROL!$C$19, $C$13, 100%, $E$13)</f>
        <v>6.3339999999999996</v>
      </c>
      <c r="D462" s="60">
        <f>6.3508 * CHOOSE(CONTROL!$C$19, $C$13, 100%, $E$13)</f>
        <v>6.3507999999999996</v>
      </c>
      <c r="E462" s="61">
        <f>7.0663 * CHOOSE(CONTROL!$C$19, $C$13, 100%, $E$13)</f>
        <v>7.0663</v>
      </c>
      <c r="F462" s="61">
        <f>7.0663 * CHOOSE(CONTROL!$C$19, $C$13, 100%, $E$13)</f>
        <v>7.0663</v>
      </c>
      <c r="G462" s="61">
        <f>7.0664 * CHOOSE(CONTROL!$C$19, $C$13, 100%, $E$13)</f>
        <v>7.0663999999999998</v>
      </c>
      <c r="H462" s="61">
        <f>10.5352* CHOOSE(CONTROL!$C$19, $C$13, 100%, $E$13)</f>
        <v>10.5352</v>
      </c>
      <c r="I462" s="61">
        <f>10.5354 * CHOOSE(CONTROL!$C$19, $C$13, 100%, $E$13)</f>
        <v>10.535399999999999</v>
      </c>
      <c r="J462" s="61">
        <f>7.0663 * CHOOSE(CONTROL!$C$19, $C$13, 100%, $E$13)</f>
        <v>7.0663</v>
      </c>
      <c r="K462" s="61">
        <f>7.0664 * CHOOSE(CONTROL!$C$19, $C$13, 100%, $E$13)</f>
        <v>7.0663999999999998</v>
      </c>
    </row>
    <row r="463" spans="1:11" ht="15">
      <c r="A463" s="13">
        <v>55944</v>
      </c>
      <c r="B463" s="60">
        <f>6.331 * CHOOSE(CONTROL!$C$19, $C$13, 100%, $E$13)</f>
        <v>6.3310000000000004</v>
      </c>
      <c r="C463" s="60">
        <f>6.331 * CHOOSE(CONTROL!$C$19, $C$13, 100%, $E$13)</f>
        <v>6.3310000000000004</v>
      </c>
      <c r="D463" s="60">
        <f>6.3478 * CHOOSE(CONTROL!$C$19, $C$13, 100%, $E$13)</f>
        <v>6.3478000000000003</v>
      </c>
      <c r="E463" s="61">
        <f>7.1503 * CHOOSE(CONTROL!$C$19, $C$13, 100%, $E$13)</f>
        <v>7.1502999999999997</v>
      </c>
      <c r="F463" s="61">
        <f>7.1503 * CHOOSE(CONTROL!$C$19, $C$13, 100%, $E$13)</f>
        <v>7.1502999999999997</v>
      </c>
      <c r="G463" s="61">
        <f>7.1505 * CHOOSE(CONTROL!$C$19, $C$13, 100%, $E$13)</f>
        <v>7.1505000000000001</v>
      </c>
      <c r="H463" s="61">
        <f>10.5571* CHOOSE(CONTROL!$C$19, $C$13, 100%, $E$13)</f>
        <v>10.5571</v>
      </c>
      <c r="I463" s="61">
        <f>10.5573 * CHOOSE(CONTROL!$C$19, $C$13, 100%, $E$13)</f>
        <v>10.5573</v>
      </c>
      <c r="J463" s="61">
        <f>7.1503 * CHOOSE(CONTROL!$C$19, $C$13, 100%, $E$13)</f>
        <v>7.1502999999999997</v>
      </c>
      <c r="K463" s="61">
        <f>7.1505 * CHOOSE(CONTROL!$C$19, $C$13, 100%, $E$13)</f>
        <v>7.1505000000000001</v>
      </c>
    </row>
    <row r="464" spans="1:11" ht="15">
      <c r="A464" s="13">
        <v>55975</v>
      </c>
      <c r="B464" s="60">
        <f>6.3309 * CHOOSE(CONTROL!$C$19, $C$13, 100%, $E$13)</f>
        <v>6.3308999999999997</v>
      </c>
      <c r="C464" s="60">
        <f>6.3309 * CHOOSE(CONTROL!$C$19, $C$13, 100%, $E$13)</f>
        <v>6.3308999999999997</v>
      </c>
      <c r="D464" s="60">
        <f>6.3478 * CHOOSE(CONTROL!$C$19, $C$13, 100%, $E$13)</f>
        <v>6.3478000000000003</v>
      </c>
      <c r="E464" s="61">
        <f>7.2386 * CHOOSE(CONTROL!$C$19, $C$13, 100%, $E$13)</f>
        <v>7.2385999999999999</v>
      </c>
      <c r="F464" s="61">
        <f>7.2386 * CHOOSE(CONTROL!$C$19, $C$13, 100%, $E$13)</f>
        <v>7.2385999999999999</v>
      </c>
      <c r="G464" s="61">
        <f>7.2388 * CHOOSE(CONTROL!$C$19, $C$13, 100%, $E$13)</f>
        <v>7.2388000000000003</v>
      </c>
      <c r="H464" s="61">
        <f>10.5791* CHOOSE(CONTROL!$C$19, $C$13, 100%, $E$13)</f>
        <v>10.5791</v>
      </c>
      <c r="I464" s="61">
        <f>10.5793 * CHOOSE(CONTROL!$C$19, $C$13, 100%, $E$13)</f>
        <v>10.5793</v>
      </c>
      <c r="J464" s="61">
        <f>7.2386 * CHOOSE(CONTROL!$C$19, $C$13, 100%, $E$13)</f>
        <v>7.2385999999999999</v>
      </c>
      <c r="K464" s="61">
        <f>7.2388 * CHOOSE(CONTROL!$C$19, $C$13, 100%, $E$13)</f>
        <v>7.2388000000000003</v>
      </c>
    </row>
    <row r="465" spans="1:11" ht="15">
      <c r="A465" s="13">
        <v>56005</v>
      </c>
      <c r="B465" s="60">
        <f>6.3309 * CHOOSE(CONTROL!$C$19, $C$13, 100%, $E$13)</f>
        <v>6.3308999999999997</v>
      </c>
      <c r="C465" s="60">
        <f>6.3309 * CHOOSE(CONTROL!$C$19, $C$13, 100%, $E$13)</f>
        <v>6.3308999999999997</v>
      </c>
      <c r="D465" s="60">
        <f>6.3646 * CHOOSE(CONTROL!$C$19, $C$13, 100%, $E$13)</f>
        <v>6.3646000000000003</v>
      </c>
      <c r="E465" s="61">
        <f>7.2733 * CHOOSE(CONTROL!$C$19, $C$13, 100%, $E$13)</f>
        <v>7.2732999999999999</v>
      </c>
      <c r="F465" s="61">
        <f>7.2733 * CHOOSE(CONTROL!$C$19, $C$13, 100%, $E$13)</f>
        <v>7.2732999999999999</v>
      </c>
      <c r="G465" s="61">
        <f>7.2754 * CHOOSE(CONTROL!$C$19, $C$13, 100%, $E$13)</f>
        <v>7.2754000000000003</v>
      </c>
      <c r="H465" s="61">
        <f>10.6012* CHOOSE(CONTROL!$C$19, $C$13, 100%, $E$13)</f>
        <v>10.6012</v>
      </c>
      <c r="I465" s="61">
        <f>10.6033 * CHOOSE(CONTROL!$C$19, $C$13, 100%, $E$13)</f>
        <v>10.603300000000001</v>
      </c>
      <c r="J465" s="61">
        <f>7.2733 * CHOOSE(CONTROL!$C$19, $C$13, 100%, $E$13)</f>
        <v>7.2732999999999999</v>
      </c>
      <c r="K465" s="61">
        <f>7.2754 * CHOOSE(CONTROL!$C$19, $C$13, 100%, $E$13)</f>
        <v>7.2754000000000003</v>
      </c>
    </row>
    <row r="466" spans="1:11" ht="15">
      <c r="A466" s="13">
        <v>56036</v>
      </c>
      <c r="B466" s="60">
        <f>6.337 * CHOOSE(CONTROL!$C$19, $C$13, 100%, $E$13)</f>
        <v>6.3369999999999997</v>
      </c>
      <c r="C466" s="60">
        <f>6.337 * CHOOSE(CONTROL!$C$19, $C$13, 100%, $E$13)</f>
        <v>6.3369999999999997</v>
      </c>
      <c r="D466" s="60">
        <f>6.3707 * CHOOSE(CONTROL!$C$19, $C$13, 100%, $E$13)</f>
        <v>6.3707000000000003</v>
      </c>
      <c r="E466" s="61">
        <f>7.2428 * CHOOSE(CONTROL!$C$19, $C$13, 100%, $E$13)</f>
        <v>7.2427999999999999</v>
      </c>
      <c r="F466" s="61">
        <f>7.2428 * CHOOSE(CONTROL!$C$19, $C$13, 100%, $E$13)</f>
        <v>7.2427999999999999</v>
      </c>
      <c r="G466" s="61">
        <f>7.2449 * CHOOSE(CONTROL!$C$19, $C$13, 100%, $E$13)</f>
        <v>7.2449000000000003</v>
      </c>
      <c r="H466" s="61">
        <f>10.6233* CHOOSE(CONTROL!$C$19, $C$13, 100%, $E$13)</f>
        <v>10.6233</v>
      </c>
      <c r="I466" s="61">
        <f>10.6254 * CHOOSE(CONTROL!$C$19, $C$13, 100%, $E$13)</f>
        <v>10.625400000000001</v>
      </c>
      <c r="J466" s="61">
        <f>7.2428 * CHOOSE(CONTROL!$C$19, $C$13, 100%, $E$13)</f>
        <v>7.2427999999999999</v>
      </c>
      <c r="K466" s="61">
        <f>7.2449 * CHOOSE(CONTROL!$C$19, $C$13, 100%, $E$13)</f>
        <v>7.2449000000000003</v>
      </c>
    </row>
    <row r="467" spans="1:11" ht="15">
      <c r="A467" s="13">
        <v>56066</v>
      </c>
      <c r="B467" s="60">
        <f>6.4322 * CHOOSE(CONTROL!$C$19, $C$13, 100%, $E$13)</f>
        <v>6.4321999999999999</v>
      </c>
      <c r="C467" s="60">
        <f>6.4322 * CHOOSE(CONTROL!$C$19, $C$13, 100%, $E$13)</f>
        <v>6.4321999999999999</v>
      </c>
      <c r="D467" s="60">
        <f>6.4659 * CHOOSE(CONTROL!$C$19, $C$13, 100%, $E$13)</f>
        <v>6.4659000000000004</v>
      </c>
      <c r="E467" s="61">
        <f>7.3803 * CHOOSE(CONTROL!$C$19, $C$13, 100%, $E$13)</f>
        <v>7.3803000000000001</v>
      </c>
      <c r="F467" s="61">
        <f>7.3803 * CHOOSE(CONTROL!$C$19, $C$13, 100%, $E$13)</f>
        <v>7.3803000000000001</v>
      </c>
      <c r="G467" s="61">
        <f>7.3824 * CHOOSE(CONTROL!$C$19, $C$13, 100%, $E$13)</f>
        <v>7.3823999999999996</v>
      </c>
      <c r="H467" s="61">
        <f>10.6454* CHOOSE(CONTROL!$C$19, $C$13, 100%, $E$13)</f>
        <v>10.6454</v>
      </c>
      <c r="I467" s="61">
        <f>10.6475 * CHOOSE(CONTROL!$C$19, $C$13, 100%, $E$13)</f>
        <v>10.647500000000001</v>
      </c>
      <c r="J467" s="61">
        <f>7.3803 * CHOOSE(CONTROL!$C$19, $C$13, 100%, $E$13)</f>
        <v>7.3803000000000001</v>
      </c>
      <c r="K467" s="61">
        <f>7.3824 * CHOOSE(CONTROL!$C$19, $C$13, 100%, $E$13)</f>
        <v>7.3823999999999996</v>
      </c>
    </row>
    <row r="468" spans="1:11" ht="15">
      <c r="A468" s="13">
        <v>56097</v>
      </c>
      <c r="B468" s="60">
        <f>6.4389 * CHOOSE(CONTROL!$C$19, $C$13, 100%, $E$13)</f>
        <v>6.4389000000000003</v>
      </c>
      <c r="C468" s="60">
        <f>6.4389 * CHOOSE(CONTROL!$C$19, $C$13, 100%, $E$13)</f>
        <v>6.4389000000000003</v>
      </c>
      <c r="D468" s="60">
        <f>6.4726 * CHOOSE(CONTROL!$C$19, $C$13, 100%, $E$13)</f>
        <v>6.4725999999999999</v>
      </c>
      <c r="E468" s="61">
        <f>7.2809 * CHOOSE(CONTROL!$C$19, $C$13, 100%, $E$13)</f>
        <v>7.2808999999999999</v>
      </c>
      <c r="F468" s="61">
        <f>7.2809 * CHOOSE(CONTROL!$C$19, $C$13, 100%, $E$13)</f>
        <v>7.2808999999999999</v>
      </c>
      <c r="G468" s="61">
        <f>7.283 * CHOOSE(CONTROL!$C$19, $C$13, 100%, $E$13)</f>
        <v>7.2830000000000004</v>
      </c>
      <c r="H468" s="61">
        <f>10.6676* CHOOSE(CONTROL!$C$19, $C$13, 100%, $E$13)</f>
        <v>10.6676</v>
      </c>
      <c r="I468" s="61">
        <f>10.6697 * CHOOSE(CONTROL!$C$19, $C$13, 100%, $E$13)</f>
        <v>10.669700000000001</v>
      </c>
      <c r="J468" s="61">
        <f>7.2809 * CHOOSE(CONTROL!$C$19, $C$13, 100%, $E$13)</f>
        <v>7.2808999999999999</v>
      </c>
      <c r="K468" s="61">
        <f>7.283 * CHOOSE(CONTROL!$C$19, $C$13, 100%, $E$13)</f>
        <v>7.2830000000000004</v>
      </c>
    </row>
    <row r="469" spans="1:11" ht="15">
      <c r="A469" s="13">
        <v>56128</v>
      </c>
      <c r="B469" s="60">
        <f>6.4359 * CHOOSE(CONTROL!$C$19, $C$13, 100%, $E$13)</f>
        <v>6.4359000000000002</v>
      </c>
      <c r="C469" s="60">
        <f>6.4359 * CHOOSE(CONTROL!$C$19, $C$13, 100%, $E$13)</f>
        <v>6.4359000000000002</v>
      </c>
      <c r="D469" s="60">
        <f>6.4695 * CHOOSE(CONTROL!$C$19, $C$13, 100%, $E$13)</f>
        <v>6.4695</v>
      </c>
      <c r="E469" s="61">
        <f>7.2672 * CHOOSE(CONTROL!$C$19, $C$13, 100%, $E$13)</f>
        <v>7.2671999999999999</v>
      </c>
      <c r="F469" s="61">
        <f>7.2672 * CHOOSE(CONTROL!$C$19, $C$13, 100%, $E$13)</f>
        <v>7.2671999999999999</v>
      </c>
      <c r="G469" s="61">
        <f>7.2693 * CHOOSE(CONTROL!$C$19, $C$13, 100%, $E$13)</f>
        <v>7.2693000000000003</v>
      </c>
      <c r="H469" s="61">
        <f>10.6898* CHOOSE(CONTROL!$C$19, $C$13, 100%, $E$13)</f>
        <v>10.6898</v>
      </c>
      <c r="I469" s="61">
        <f>10.6919 * CHOOSE(CONTROL!$C$19, $C$13, 100%, $E$13)</f>
        <v>10.6919</v>
      </c>
      <c r="J469" s="61">
        <f>7.2672 * CHOOSE(CONTROL!$C$19, $C$13, 100%, $E$13)</f>
        <v>7.2671999999999999</v>
      </c>
      <c r="K469" s="61">
        <f>7.2693 * CHOOSE(CONTROL!$C$19, $C$13, 100%, $E$13)</f>
        <v>7.2693000000000003</v>
      </c>
    </row>
    <row r="470" spans="1:11" ht="15">
      <c r="A470" s="13">
        <v>56158</v>
      </c>
      <c r="B470" s="60">
        <f>6.4402 * CHOOSE(CONTROL!$C$19, $C$13, 100%, $E$13)</f>
        <v>6.4401999999999999</v>
      </c>
      <c r="C470" s="60">
        <f>6.4402 * CHOOSE(CONTROL!$C$19, $C$13, 100%, $E$13)</f>
        <v>6.4401999999999999</v>
      </c>
      <c r="D470" s="60">
        <f>6.4571 * CHOOSE(CONTROL!$C$19, $C$13, 100%, $E$13)</f>
        <v>6.4570999999999996</v>
      </c>
      <c r="E470" s="61">
        <f>7.3001 * CHOOSE(CONTROL!$C$19, $C$13, 100%, $E$13)</f>
        <v>7.3000999999999996</v>
      </c>
      <c r="F470" s="61">
        <f>7.3001 * CHOOSE(CONTROL!$C$19, $C$13, 100%, $E$13)</f>
        <v>7.3000999999999996</v>
      </c>
      <c r="G470" s="61">
        <f>7.3002 * CHOOSE(CONTROL!$C$19, $C$13, 100%, $E$13)</f>
        <v>7.3002000000000002</v>
      </c>
      <c r="H470" s="61">
        <f>10.7121* CHOOSE(CONTROL!$C$19, $C$13, 100%, $E$13)</f>
        <v>10.7121</v>
      </c>
      <c r="I470" s="61">
        <f>10.7122 * CHOOSE(CONTROL!$C$19, $C$13, 100%, $E$13)</f>
        <v>10.712199999999999</v>
      </c>
      <c r="J470" s="61">
        <f>7.3001 * CHOOSE(CONTROL!$C$19, $C$13, 100%, $E$13)</f>
        <v>7.3000999999999996</v>
      </c>
      <c r="K470" s="61">
        <f>7.3002 * CHOOSE(CONTROL!$C$19, $C$13, 100%, $E$13)</f>
        <v>7.3002000000000002</v>
      </c>
    </row>
    <row r="471" spans="1:11" ht="15">
      <c r="A471" s="13">
        <v>56189</v>
      </c>
      <c r="B471" s="60">
        <f>6.4433 * CHOOSE(CONTROL!$C$19, $C$13, 100%, $E$13)</f>
        <v>6.4432999999999998</v>
      </c>
      <c r="C471" s="60">
        <f>6.4433 * CHOOSE(CONTROL!$C$19, $C$13, 100%, $E$13)</f>
        <v>6.4432999999999998</v>
      </c>
      <c r="D471" s="60">
        <f>6.4601 * CHOOSE(CONTROL!$C$19, $C$13, 100%, $E$13)</f>
        <v>6.4600999999999997</v>
      </c>
      <c r="E471" s="61">
        <f>7.3253 * CHOOSE(CONTROL!$C$19, $C$13, 100%, $E$13)</f>
        <v>7.3253000000000004</v>
      </c>
      <c r="F471" s="61">
        <f>7.3253 * CHOOSE(CONTROL!$C$19, $C$13, 100%, $E$13)</f>
        <v>7.3253000000000004</v>
      </c>
      <c r="G471" s="61">
        <f>7.3255 * CHOOSE(CONTROL!$C$19, $C$13, 100%, $E$13)</f>
        <v>7.3254999999999999</v>
      </c>
      <c r="H471" s="61">
        <f>10.7344* CHOOSE(CONTROL!$C$19, $C$13, 100%, $E$13)</f>
        <v>10.734400000000001</v>
      </c>
      <c r="I471" s="61">
        <f>10.7346 * CHOOSE(CONTROL!$C$19, $C$13, 100%, $E$13)</f>
        <v>10.7346</v>
      </c>
      <c r="J471" s="61">
        <f>7.3253 * CHOOSE(CONTROL!$C$19, $C$13, 100%, $E$13)</f>
        <v>7.3253000000000004</v>
      </c>
      <c r="K471" s="61">
        <f>7.3255 * CHOOSE(CONTROL!$C$19, $C$13, 100%, $E$13)</f>
        <v>7.3254999999999999</v>
      </c>
    </row>
    <row r="472" spans="1:11" ht="15">
      <c r="A472" s="13">
        <v>56219</v>
      </c>
      <c r="B472" s="60">
        <f>6.4433 * CHOOSE(CONTROL!$C$19, $C$13, 100%, $E$13)</f>
        <v>6.4432999999999998</v>
      </c>
      <c r="C472" s="60">
        <f>6.4433 * CHOOSE(CONTROL!$C$19, $C$13, 100%, $E$13)</f>
        <v>6.4432999999999998</v>
      </c>
      <c r="D472" s="60">
        <f>6.4601 * CHOOSE(CONTROL!$C$19, $C$13, 100%, $E$13)</f>
        <v>6.4600999999999997</v>
      </c>
      <c r="E472" s="61">
        <f>7.2675 * CHOOSE(CONTROL!$C$19, $C$13, 100%, $E$13)</f>
        <v>7.2675000000000001</v>
      </c>
      <c r="F472" s="61">
        <f>7.2675 * CHOOSE(CONTROL!$C$19, $C$13, 100%, $E$13)</f>
        <v>7.2675000000000001</v>
      </c>
      <c r="G472" s="61">
        <f>7.2677 * CHOOSE(CONTROL!$C$19, $C$13, 100%, $E$13)</f>
        <v>7.2676999999999996</v>
      </c>
      <c r="H472" s="61">
        <f>10.7568* CHOOSE(CONTROL!$C$19, $C$13, 100%, $E$13)</f>
        <v>10.7568</v>
      </c>
      <c r="I472" s="61">
        <f>10.7569 * CHOOSE(CONTROL!$C$19, $C$13, 100%, $E$13)</f>
        <v>10.7569</v>
      </c>
      <c r="J472" s="61">
        <f>7.2675 * CHOOSE(CONTROL!$C$19, $C$13, 100%, $E$13)</f>
        <v>7.2675000000000001</v>
      </c>
      <c r="K472" s="61">
        <f>7.2677 * CHOOSE(CONTROL!$C$19, $C$13, 100%, $E$13)</f>
        <v>7.2676999999999996</v>
      </c>
    </row>
    <row r="473" spans="1:11" ht="15">
      <c r="A473" s="13">
        <v>56250</v>
      </c>
      <c r="B473" s="60">
        <f>6.4979 * CHOOSE(CONTROL!$C$19, $C$13, 100%, $E$13)</f>
        <v>6.4978999999999996</v>
      </c>
      <c r="C473" s="60">
        <f>6.4979 * CHOOSE(CONTROL!$C$19, $C$13, 100%, $E$13)</f>
        <v>6.4978999999999996</v>
      </c>
      <c r="D473" s="60">
        <f>6.5147 * CHOOSE(CONTROL!$C$19, $C$13, 100%, $E$13)</f>
        <v>6.5147000000000004</v>
      </c>
      <c r="E473" s="61">
        <f>7.3793 * CHOOSE(CONTROL!$C$19, $C$13, 100%, $E$13)</f>
        <v>7.3792999999999997</v>
      </c>
      <c r="F473" s="61">
        <f>7.3793 * CHOOSE(CONTROL!$C$19, $C$13, 100%, $E$13)</f>
        <v>7.3792999999999997</v>
      </c>
      <c r="G473" s="61">
        <f>7.3794 * CHOOSE(CONTROL!$C$19, $C$13, 100%, $E$13)</f>
        <v>7.3794000000000004</v>
      </c>
      <c r="H473" s="61">
        <f>10.7792* CHOOSE(CONTROL!$C$19, $C$13, 100%, $E$13)</f>
        <v>10.779199999999999</v>
      </c>
      <c r="I473" s="61">
        <f>10.7793 * CHOOSE(CONTROL!$C$19, $C$13, 100%, $E$13)</f>
        <v>10.779299999999999</v>
      </c>
      <c r="J473" s="61">
        <f>7.3793 * CHOOSE(CONTROL!$C$19, $C$13, 100%, $E$13)</f>
        <v>7.3792999999999997</v>
      </c>
      <c r="K473" s="61">
        <f>7.3794 * CHOOSE(CONTROL!$C$19, $C$13, 100%, $E$13)</f>
        <v>7.3794000000000004</v>
      </c>
    </row>
    <row r="474" spans="1:11" ht="15">
      <c r="A474" s="13">
        <v>56281</v>
      </c>
      <c r="B474" s="60">
        <f>6.4948 * CHOOSE(CONTROL!$C$19, $C$13, 100%, $E$13)</f>
        <v>6.4947999999999997</v>
      </c>
      <c r="C474" s="60">
        <f>6.4948 * CHOOSE(CONTROL!$C$19, $C$13, 100%, $E$13)</f>
        <v>6.4947999999999997</v>
      </c>
      <c r="D474" s="60">
        <f>6.5117 * CHOOSE(CONTROL!$C$19, $C$13, 100%, $E$13)</f>
        <v>6.5117000000000003</v>
      </c>
      <c r="E474" s="61">
        <f>7.2644 * CHOOSE(CONTROL!$C$19, $C$13, 100%, $E$13)</f>
        <v>7.2644000000000002</v>
      </c>
      <c r="F474" s="61">
        <f>7.2644 * CHOOSE(CONTROL!$C$19, $C$13, 100%, $E$13)</f>
        <v>7.2644000000000002</v>
      </c>
      <c r="G474" s="61">
        <f>7.2646 * CHOOSE(CONTROL!$C$19, $C$13, 100%, $E$13)</f>
        <v>7.2645999999999997</v>
      </c>
      <c r="H474" s="61">
        <f>10.8016* CHOOSE(CONTROL!$C$19, $C$13, 100%, $E$13)</f>
        <v>10.801600000000001</v>
      </c>
      <c r="I474" s="61">
        <f>10.8018 * CHOOSE(CONTROL!$C$19, $C$13, 100%, $E$13)</f>
        <v>10.8018</v>
      </c>
      <c r="J474" s="61">
        <f>7.2644 * CHOOSE(CONTROL!$C$19, $C$13, 100%, $E$13)</f>
        <v>7.2644000000000002</v>
      </c>
      <c r="K474" s="61">
        <f>7.2646 * CHOOSE(CONTROL!$C$19, $C$13, 100%, $E$13)</f>
        <v>7.2645999999999997</v>
      </c>
    </row>
    <row r="475" spans="1:11" ht="15">
      <c r="A475" s="13">
        <v>56309</v>
      </c>
      <c r="B475" s="60">
        <f>6.4918 * CHOOSE(CONTROL!$C$19, $C$13, 100%, $E$13)</f>
        <v>6.4917999999999996</v>
      </c>
      <c r="C475" s="60">
        <f>6.4918 * CHOOSE(CONTROL!$C$19, $C$13, 100%, $E$13)</f>
        <v>6.4917999999999996</v>
      </c>
      <c r="D475" s="60">
        <f>6.5086 * CHOOSE(CONTROL!$C$19, $C$13, 100%, $E$13)</f>
        <v>6.5086000000000004</v>
      </c>
      <c r="E475" s="61">
        <f>7.3512 * CHOOSE(CONTROL!$C$19, $C$13, 100%, $E$13)</f>
        <v>7.3512000000000004</v>
      </c>
      <c r="F475" s="61">
        <f>7.3512 * CHOOSE(CONTROL!$C$19, $C$13, 100%, $E$13)</f>
        <v>7.3512000000000004</v>
      </c>
      <c r="G475" s="61">
        <f>7.3513 * CHOOSE(CONTROL!$C$19, $C$13, 100%, $E$13)</f>
        <v>7.3513000000000002</v>
      </c>
      <c r="H475" s="61">
        <f>10.8241* CHOOSE(CONTROL!$C$19, $C$13, 100%, $E$13)</f>
        <v>10.8241</v>
      </c>
      <c r="I475" s="61">
        <f>10.8243 * CHOOSE(CONTROL!$C$19, $C$13, 100%, $E$13)</f>
        <v>10.824299999999999</v>
      </c>
      <c r="J475" s="61">
        <f>7.3512 * CHOOSE(CONTROL!$C$19, $C$13, 100%, $E$13)</f>
        <v>7.3512000000000004</v>
      </c>
      <c r="K475" s="61">
        <f>7.3513 * CHOOSE(CONTROL!$C$19, $C$13, 100%, $E$13)</f>
        <v>7.3513000000000002</v>
      </c>
    </row>
    <row r="476" spans="1:11" ht="15">
      <c r="A476" s="13">
        <v>56340</v>
      </c>
      <c r="B476" s="60">
        <f>6.4919 * CHOOSE(CONTROL!$C$19, $C$13, 100%, $E$13)</f>
        <v>6.4919000000000002</v>
      </c>
      <c r="C476" s="60">
        <f>6.4919 * CHOOSE(CONTROL!$C$19, $C$13, 100%, $E$13)</f>
        <v>6.4919000000000002</v>
      </c>
      <c r="D476" s="60">
        <f>6.5087 * CHOOSE(CONTROL!$C$19, $C$13, 100%, $E$13)</f>
        <v>6.5087000000000002</v>
      </c>
      <c r="E476" s="61">
        <f>7.4424 * CHOOSE(CONTROL!$C$19, $C$13, 100%, $E$13)</f>
        <v>7.4424000000000001</v>
      </c>
      <c r="F476" s="61">
        <f>7.4424 * CHOOSE(CONTROL!$C$19, $C$13, 100%, $E$13)</f>
        <v>7.4424000000000001</v>
      </c>
      <c r="G476" s="61">
        <f>7.4426 * CHOOSE(CONTROL!$C$19, $C$13, 100%, $E$13)</f>
        <v>7.4425999999999997</v>
      </c>
      <c r="H476" s="61">
        <f>10.8467* CHOOSE(CONTROL!$C$19, $C$13, 100%, $E$13)</f>
        <v>10.8467</v>
      </c>
      <c r="I476" s="61">
        <f>10.8468 * CHOOSE(CONTROL!$C$19, $C$13, 100%, $E$13)</f>
        <v>10.8468</v>
      </c>
      <c r="J476" s="61">
        <f>7.4424 * CHOOSE(CONTROL!$C$19, $C$13, 100%, $E$13)</f>
        <v>7.4424000000000001</v>
      </c>
      <c r="K476" s="61">
        <f>7.4426 * CHOOSE(CONTROL!$C$19, $C$13, 100%, $E$13)</f>
        <v>7.4425999999999997</v>
      </c>
    </row>
    <row r="477" spans="1:11" ht="15">
      <c r="A477" s="13">
        <v>56370</v>
      </c>
      <c r="B477" s="60">
        <f>6.4919 * CHOOSE(CONTROL!$C$19, $C$13, 100%, $E$13)</f>
        <v>6.4919000000000002</v>
      </c>
      <c r="C477" s="60">
        <f>6.4919 * CHOOSE(CONTROL!$C$19, $C$13, 100%, $E$13)</f>
        <v>6.4919000000000002</v>
      </c>
      <c r="D477" s="60">
        <f>6.5256 * CHOOSE(CONTROL!$C$19, $C$13, 100%, $E$13)</f>
        <v>6.5255999999999998</v>
      </c>
      <c r="E477" s="61">
        <f>7.4782 * CHOOSE(CONTROL!$C$19, $C$13, 100%, $E$13)</f>
        <v>7.4782000000000002</v>
      </c>
      <c r="F477" s="61">
        <f>7.4782 * CHOOSE(CONTROL!$C$19, $C$13, 100%, $E$13)</f>
        <v>7.4782000000000002</v>
      </c>
      <c r="G477" s="61">
        <f>7.4803 * CHOOSE(CONTROL!$C$19, $C$13, 100%, $E$13)</f>
        <v>7.4802999999999997</v>
      </c>
      <c r="H477" s="61">
        <f>10.8693* CHOOSE(CONTROL!$C$19, $C$13, 100%, $E$13)</f>
        <v>10.869300000000001</v>
      </c>
      <c r="I477" s="61">
        <f>10.8714 * CHOOSE(CONTROL!$C$19, $C$13, 100%, $E$13)</f>
        <v>10.8714</v>
      </c>
      <c r="J477" s="61">
        <f>7.4782 * CHOOSE(CONTROL!$C$19, $C$13, 100%, $E$13)</f>
        <v>7.4782000000000002</v>
      </c>
      <c r="K477" s="61">
        <f>7.4803 * CHOOSE(CONTROL!$C$19, $C$13, 100%, $E$13)</f>
        <v>7.4802999999999997</v>
      </c>
    </row>
    <row r="478" spans="1:11" ht="15">
      <c r="A478" s="13">
        <v>56401</v>
      </c>
      <c r="B478" s="60">
        <f>6.498 * CHOOSE(CONTROL!$C$19, $C$13, 100%, $E$13)</f>
        <v>6.4980000000000002</v>
      </c>
      <c r="C478" s="60">
        <f>6.498 * CHOOSE(CONTROL!$C$19, $C$13, 100%, $E$13)</f>
        <v>6.4980000000000002</v>
      </c>
      <c r="D478" s="60">
        <f>6.5317 * CHOOSE(CONTROL!$C$19, $C$13, 100%, $E$13)</f>
        <v>6.5316999999999998</v>
      </c>
      <c r="E478" s="61">
        <f>7.4466 * CHOOSE(CONTROL!$C$19, $C$13, 100%, $E$13)</f>
        <v>7.4466000000000001</v>
      </c>
      <c r="F478" s="61">
        <f>7.4466 * CHOOSE(CONTROL!$C$19, $C$13, 100%, $E$13)</f>
        <v>7.4466000000000001</v>
      </c>
      <c r="G478" s="61">
        <f>7.4487 * CHOOSE(CONTROL!$C$19, $C$13, 100%, $E$13)</f>
        <v>7.4486999999999997</v>
      </c>
      <c r="H478" s="61">
        <f>10.8919* CHOOSE(CONTROL!$C$19, $C$13, 100%, $E$13)</f>
        <v>10.8919</v>
      </c>
      <c r="I478" s="61">
        <f>10.894 * CHOOSE(CONTROL!$C$19, $C$13, 100%, $E$13)</f>
        <v>10.894</v>
      </c>
      <c r="J478" s="61">
        <f>7.4466 * CHOOSE(CONTROL!$C$19, $C$13, 100%, $E$13)</f>
        <v>7.4466000000000001</v>
      </c>
      <c r="K478" s="61">
        <f>7.4487 * CHOOSE(CONTROL!$C$19, $C$13, 100%, $E$13)</f>
        <v>7.4486999999999997</v>
      </c>
    </row>
    <row r="479" spans="1:11" ht="15">
      <c r="A479" s="13">
        <v>56431</v>
      </c>
      <c r="B479" s="60">
        <f>6.5953 * CHOOSE(CONTROL!$C$19, $C$13, 100%, $E$13)</f>
        <v>6.5952999999999999</v>
      </c>
      <c r="C479" s="60">
        <f>6.5953 * CHOOSE(CONTROL!$C$19, $C$13, 100%, $E$13)</f>
        <v>6.5952999999999999</v>
      </c>
      <c r="D479" s="60">
        <f>6.6289 * CHOOSE(CONTROL!$C$19, $C$13, 100%, $E$13)</f>
        <v>6.6288999999999998</v>
      </c>
      <c r="E479" s="61">
        <f>7.5877 * CHOOSE(CONTROL!$C$19, $C$13, 100%, $E$13)</f>
        <v>7.5876999999999999</v>
      </c>
      <c r="F479" s="61">
        <f>7.5877 * CHOOSE(CONTROL!$C$19, $C$13, 100%, $E$13)</f>
        <v>7.5876999999999999</v>
      </c>
      <c r="G479" s="61">
        <f>7.5898 * CHOOSE(CONTROL!$C$19, $C$13, 100%, $E$13)</f>
        <v>7.5898000000000003</v>
      </c>
      <c r="H479" s="61">
        <f>10.9146* CHOOSE(CONTROL!$C$19, $C$13, 100%, $E$13)</f>
        <v>10.9146</v>
      </c>
      <c r="I479" s="61">
        <f>10.9167 * CHOOSE(CONTROL!$C$19, $C$13, 100%, $E$13)</f>
        <v>10.916700000000001</v>
      </c>
      <c r="J479" s="61">
        <f>7.5877 * CHOOSE(CONTROL!$C$19, $C$13, 100%, $E$13)</f>
        <v>7.5876999999999999</v>
      </c>
      <c r="K479" s="61">
        <f>7.5898 * CHOOSE(CONTROL!$C$19, $C$13, 100%, $E$13)</f>
        <v>7.5898000000000003</v>
      </c>
    </row>
    <row r="480" spans="1:11" ht="15">
      <c r="A480" s="13">
        <v>56462</v>
      </c>
      <c r="B480" s="60">
        <f>6.6019 * CHOOSE(CONTROL!$C$19, $C$13, 100%, $E$13)</f>
        <v>6.6018999999999997</v>
      </c>
      <c r="C480" s="60">
        <f>6.6019 * CHOOSE(CONTROL!$C$19, $C$13, 100%, $E$13)</f>
        <v>6.6018999999999997</v>
      </c>
      <c r="D480" s="60">
        <f>6.6356 * CHOOSE(CONTROL!$C$19, $C$13, 100%, $E$13)</f>
        <v>6.6356000000000002</v>
      </c>
      <c r="E480" s="61">
        <f>7.485 * CHOOSE(CONTROL!$C$19, $C$13, 100%, $E$13)</f>
        <v>7.4850000000000003</v>
      </c>
      <c r="F480" s="61">
        <f>7.485 * CHOOSE(CONTROL!$C$19, $C$13, 100%, $E$13)</f>
        <v>7.4850000000000003</v>
      </c>
      <c r="G480" s="61">
        <f>7.4871 * CHOOSE(CONTROL!$C$19, $C$13, 100%, $E$13)</f>
        <v>7.4870999999999999</v>
      </c>
      <c r="H480" s="61">
        <f>10.9373* CHOOSE(CONTROL!$C$19, $C$13, 100%, $E$13)</f>
        <v>10.9373</v>
      </c>
      <c r="I480" s="61">
        <f>10.9394 * CHOOSE(CONTROL!$C$19, $C$13, 100%, $E$13)</f>
        <v>10.939399999999999</v>
      </c>
      <c r="J480" s="61">
        <f>7.485 * CHOOSE(CONTROL!$C$19, $C$13, 100%, $E$13)</f>
        <v>7.4850000000000003</v>
      </c>
      <c r="K480" s="61">
        <f>7.4871 * CHOOSE(CONTROL!$C$19, $C$13, 100%, $E$13)</f>
        <v>7.4870999999999999</v>
      </c>
    </row>
    <row r="481" spans="1:11" ht="15">
      <c r="A481" s="13">
        <v>56493</v>
      </c>
      <c r="B481" s="60">
        <f>6.5989 * CHOOSE(CONTROL!$C$19, $C$13, 100%, $E$13)</f>
        <v>6.5989000000000004</v>
      </c>
      <c r="C481" s="60">
        <f>6.5989 * CHOOSE(CONTROL!$C$19, $C$13, 100%, $E$13)</f>
        <v>6.5989000000000004</v>
      </c>
      <c r="D481" s="60">
        <f>6.6326 * CHOOSE(CONTROL!$C$19, $C$13, 100%, $E$13)</f>
        <v>6.6326000000000001</v>
      </c>
      <c r="E481" s="61">
        <f>7.4709 * CHOOSE(CONTROL!$C$19, $C$13, 100%, $E$13)</f>
        <v>7.4709000000000003</v>
      </c>
      <c r="F481" s="61">
        <f>7.4709 * CHOOSE(CONTROL!$C$19, $C$13, 100%, $E$13)</f>
        <v>7.4709000000000003</v>
      </c>
      <c r="G481" s="61">
        <f>7.473 * CHOOSE(CONTROL!$C$19, $C$13, 100%, $E$13)</f>
        <v>7.4729999999999999</v>
      </c>
      <c r="H481" s="61">
        <f>10.9601* CHOOSE(CONTROL!$C$19, $C$13, 100%, $E$13)</f>
        <v>10.960100000000001</v>
      </c>
      <c r="I481" s="61">
        <f>10.9622 * CHOOSE(CONTROL!$C$19, $C$13, 100%, $E$13)</f>
        <v>10.962199999999999</v>
      </c>
      <c r="J481" s="61">
        <f>7.4709 * CHOOSE(CONTROL!$C$19, $C$13, 100%, $E$13)</f>
        <v>7.4709000000000003</v>
      </c>
      <c r="K481" s="61">
        <f>7.473 * CHOOSE(CONTROL!$C$19, $C$13, 100%, $E$13)</f>
        <v>7.4729999999999999</v>
      </c>
    </row>
    <row r="482" spans="1:11" ht="15">
      <c r="A482" s="13">
        <v>56523</v>
      </c>
      <c r="B482" s="60">
        <f>6.6039 * CHOOSE(CONTROL!$C$19, $C$13, 100%, $E$13)</f>
        <v>6.6039000000000003</v>
      </c>
      <c r="C482" s="60">
        <f>6.6039 * CHOOSE(CONTROL!$C$19, $C$13, 100%, $E$13)</f>
        <v>6.6039000000000003</v>
      </c>
      <c r="D482" s="60">
        <f>6.6207 * CHOOSE(CONTROL!$C$19, $C$13, 100%, $E$13)</f>
        <v>6.6207000000000003</v>
      </c>
      <c r="E482" s="61">
        <f>7.5052 * CHOOSE(CONTROL!$C$19, $C$13, 100%, $E$13)</f>
        <v>7.5052000000000003</v>
      </c>
      <c r="F482" s="61">
        <f>7.5052 * CHOOSE(CONTROL!$C$19, $C$13, 100%, $E$13)</f>
        <v>7.5052000000000003</v>
      </c>
      <c r="G482" s="61">
        <f>7.5054 * CHOOSE(CONTROL!$C$19, $C$13, 100%, $E$13)</f>
        <v>7.5053999999999998</v>
      </c>
      <c r="H482" s="61">
        <f>10.983* CHOOSE(CONTROL!$C$19, $C$13, 100%, $E$13)</f>
        <v>10.983000000000001</v>
      </c>
      <c r="I482" s="61">
        <f>10.9831 * CHOOSE(CONTROL!$C$19, $C$13, 100%, $E$13)</f>
        <v>10.9831</v>
      </c>
      <c r="J482" s="61">
        <f>7.5052 * CHOOSE(CONTROL!$C$19, $C$13, 100%, $E$13)</f>
        <v>7.5052000000000003</v>
      </c>
      <c r="K482" s="61">
        <f>7.5054 * CHOOSE(CONTROL!$C$19, $C$13, 100%, $E$13)</f>
        <v>7.5053999999999998</v>
      </c>
    </row>
    <row r="483" spans="1:11" ht="15">
      <c r="A483" s="13">
        <v>56554</v>
      </c>
      <c r="B483" s="60">
        <f>6.6069 * CHOOSE(CONTROL!$C$19, $C$13, 100%, $E$13)</f>
        <v>6.6069000000000004</v>
      </c>
      <c r="C483" s="60">
        <f>6.6069 * CHOOSE(CONTROL!$C$19, $C$13, 100%, $E$13)</f>
        <v>6.6069000000000004</v>
      </c>
      <c r="D483" s="60">
        <f>6.6238 * CHOOSE(CONTROL!$C$19, $C$13, 100%, $E$13)</f>
        <v>6.6238000000000001</v>
      </c>
      <c r="E483" s="61">
        <f>7.5312 * CHOOSE(CONTROL!$C$19, $C$13, 100%, $E$13)</f>
        <v>7.5312000000000001</v>
      </c>
      <c r="F483" s="61">
        <f>7.5312 * CHOOSE(CONTROL!$C$19, $C$13, 100%, $E$13)</f>
        <v>7.5312000000000001</v>
      </c>
      <c r="G483" s="61">
        <f>7.5314 * CHOOSE(CONTROL!$C$19, $C$13, 100%, $E$13)</f>
        <v>7.5313999999999997</v>
      </c>
      <c r="H483" s="61">
        <f>11.0058* CHOOSE(CONTROL!$C$19, $C$13, 100%, $E$13)</f>
        <v>11.005800000000001</v>
      </c>
      <c r="I483" s="61">
        <f>11.006 * CHOOSE(CONTROL!$C$19, $C$13, 100%, $E$13)</f>
        <v>11.006</v>
      </c>
      <c r="J483" s="61">
        <f>7.5312 * CHOOSE(CONTROL!$C$19, $C$13, 100%, $E$13)</f>
        <v>7.5312000000000001</v>
      </c>
      <c r="K483" s="61">
        <f>7.5314 * CHOOSE(CONTROL!$C$19, $C$13, 100%, $E$13)</f>
        <v>7.5313999999999997</v>
      </c>
    </row>
    <row r="484" spans="1:11" ht="15">
      <c r="A484" s="13">
        <v>56584</v>
      </c>
      <c r="B484" s="60">
        <f>6.6069 * CHOOSE(CONTROL!$C$19, $C$13, 100%, $E$13)</f>
        <v>6.6069000000000004</v>
      </c>
      <c r="C484" s="60">
        <f>6.6069 * CHOOSE(CONTROL!$C$19, $C$13, 100%, $E$13)</f>
        <v>6.6069000000000004</v>
      </c>
      <c r="D484" s="60">
        <f>6.6238 * CHOOSE(CONTROL!$C$19, $C$13, 100%, $E$13)</f>
        <v>6.6238000000000001</v>
      </c>
      <c r="E484" s="61">
        <f>7.4715 * CHOOSE(CONTROL!$C$19, $C$13, 100%, $E$13)</f>
        <v>7.4714999999999998</v>
      </c>
      <c r="F484" s="61">
        <f>7.4715 * CHOOSE(CONTROL!$C$19, $C$13, 100%, $E$13)</f>
        <v>7.4714999999999998</v>
      </c>
      <c r="G484" s="61">
        <f>7.4717 * CHOOSE(CONTROL!$C$19, $C$13, 100%, $E$13)</f>
        <v>7.4717000000000002</v>
      </c>
      <c r="H484" s="61">
        <f>11.0288* CHOOSE(CONTROL!$C$19, $C$13, 100%, $E$13)</f>
        <v>11.0288</v>
      </c>
      <c r="I484" s="61">
        <f>11.0289 * CHOOSE(CONTROL!$C$19, $C$13, 100%, $E$13)</f>
        <v>11.0289</v>
      </c>
      <c r="J484" s="61">
        <f>7.4715 * CHOOSE(CONTROL!$C$19, $C$13, 100%, $E$13)</f>
        <v>7.4714999999999998</v>
      </c>
      <c r="K484" s="61">
        <f>7.4717 * CHOOSE(CONTROL!$C$19, $C$13, 100%, $E$13)</f>
        <v>7.4717000000000002</v>
      </c>
    </row>
    <row r="485" spans="1:11" ht="15">
      <c r="A485" s="13">
        <v>56615</v>
      </c>
      <c r="B485" s="60">
        <f>6.6628 * CHOOSE(CONTROL!$C$19, $C$13, 100%, $E$13)</f>
        <v>6.6627999999999998</v>
      </c>
      <c r="C485" s="60">
        <f>6.6628 * CHOOSE(CONTROL!$C$19, $C$13, 100%, $E$13)</f>
        <v>6.6627999999999998</v>
      </c>
      <c r="D485" s="60">
        <f>6.6796 * CHOOSE(CONTROL!$C$19, $C$13, 100%, $E$13)</f>
        <v>6.6795999999999998</v>
      </c>
      <c r="E485" s="61">
        <f>7.5866 * CHOOSE(CONTROL!$C$19, $C$13, 100%, $E$13)</f>
        <v>7.5865999999999998</v>
      </c>
      <c r="F485" s="61">
        <f>7.5866 * CHOOSE(CONTROL!$C$19, $C$13, 100%, $E$13)</f>
        <v>7.5865999999999998</v>
      </c>
      <c r="G485" s="61">
        <f>7.5867 * CHOOSE(CONTROL!$C$19, $C$13, 100%, $E$13)</f>
        <v>7.5867000000000004</v>
      </c>
      <c r="H485" s="61">
        <f>11.0517* CHOOSE(CONTROL!$C$19, $C$13, 100%, $E$13)</f>
        <v>11.0517</v>
      </c>
      <c r="I485" s="61">
        <f>11.0519 * CHOOSE(CONTROL!$C$19, $C$13, 100%, $E$13)</f>
        <v>11.0519</v>
      </c>
      <c r="J485" s="61">
        <f>7.5866 * CHOOSE(CONTROL!$C$19, $C$13, 100%, $E$13)</f>
        <v>7.5865999999999998</v>
      </c>
      <c r="K485" s="61">
        <f>7.5867 * CHOOSE(CONTROL!$C$19, $C$13, 100%, $E$13)</f>
        <v>7.5867000000000004</v>
      </c>
    </row>
    <row r="486" spans="1:11" ht="15">
      <c r="A486" s="13">
        <v>56646</v>
      </c>
      <c r="B486" s="60">
        <f>6.6597 * CHOOSE(CONTROL!$C$19, $C$13, 100%, $E$13)</f>
        <v>6.6597</v>
      </c>
      <c r="C486" s="60">
        <f>6.6597 * CHOOSE(CONTROL!$C$19, $C$13, 100%, $E$13)</f>
        <v>6.6597</v>
      </c>
      <c r="D486" s="60">
        <f>6.6766 * CHOOSE(CONTROL!$C$19, $C$13, 100%, $E$13)</f>
        <v>6.6765999999999996</v>
      </c>
      <c r="E486" s="61">
        <f>7.4681 * CHOOSE(CONTROL!$C$19, $C$13, 100%, $E$13)</f>
        <v>7.4680999999999997</v>
      </c>
      <c r="F486" s="61">
        <f>7.4681 * CHOOSE(CONTROL!$C$19, $C$13, 100%, $E$13)</f>
        <v>7.4680999999999997</v>
      </c>
      <c r="G486" s="61">
        <f>7.4683 * CHOOSE(CONTROL!$C$19, $C$13, 100%, $E$13)</f>
        <v>7.4683000000000002</v>
      </c>
      <c r="H486" s="61">
        <f>11.0748* CHOOSE(CONTROL!$C$19, $C$13, 100%, $E$13)</f>
        <v>11.0748</v>
      </c>
      <c r="I486" s="61">
        <f>11.075 * CHOOSE(CONTROL!$C$19, $C$13, 100%, $E$13)</f>
        <v>11.074999999999999</v>
      </c>
      <c r="J486" s="61">
        <f>7.4681 * CHOOSE(CONTROL!$C$19, $C$13, 100%, $E$13)</f>
        <v>7.4680999999999997</v>
      </c>
      <c r="K486" s="61">
        <f>7.4683 * CHOOSE(CONTROL!$C$19, $C$13, 100%, $E$13)</f>
        <v>7.4683000000000002</v>
      </c>
    </row>
    <row r="487" spans="1:11" ht="15">
      <c r="A487" s="13">
        <v>56674</v>
      </c>
      <c r="B487" s="60">
        <f>6.6567 * CHOOSE(CONTROL!$C$19, $C$13, 100%, $E$13)</f>
        <v>6.6566999999999998</v>
      </c>
      <c r="C487" s="60">
        <f>6.6567 * CHOOSE(CONTROL!$C$19, $C$13, 100%, $E$13)</f>
        <v>6.6566999999999998</v>
      </c>
      <c r="D487" s="60">
        <f>6.6735 * CHOOSE(CONTROL!$C$19, $C$13, 100%, $E$13)</f>
        <v>6.6734999999999998</v>
      </c>
      <c r="E487" s="61">
        <f>7.5577 * CHOOSE(CONTROL!$C$19, $C$13, 100%, $E$13)</f>
        <v>7.5576999999999996</v>
      </c>
      <c r="F487" s="61">
        <f>7.5577 * CHOOSE(CONTROL!$C$19, $C$13, 100%, $E$13)</f>
        <v>7.5576999999999996</v>
      </c>
      <c r="G487" s="61">
        <f>7.5579 * CHOOSE(CONTROL!$C$19, $C$13, 100%, $E$13)</f>
        <v>7.5579000000000001</v>
      </c>
      <c r="H487" s="61">
        <f>11.0978* CHOOSE(CONTROL!$C$19, $C$13, 100%, $E$13)</f>
        <v>11.097799999999999</v>
      </c>
      <c r="I487" s="61">
        <f>11.098 * CHOOSE(CONTROL!$C$19, $C$13, 100%, $E$13)</f>
        <v>11.098000000000001</v>
      </c>
      <c r="J487" s="61">
        <f>7.5577 * CHOOSE(CONTROL!$C$19, $C$13, 100%, $E$13)</f>
        <v>7.5576999999999996</v>
      </c>
      <c r="K487" s="61">
        <f>7.5579 * CHOOSE(CONTROL!$C$19, $C$13, 100%, $E$13)</f>
        <v>7.5579000000000001</v>
      </c>
    </row>
    <row r="488" spans="1:11" ht="15">
      <c r="A488" s="13">
        <v>56705</v>
      </c>
      <c r="B488" s="60">
        <f>6.657 * CHOOSE(CONTROL!$C$19, $C$13, 100%, $E$13)</f>
        <v>6.657</v>
      </c>
      <c r="C488" s="60">
        <f>6.657 * CHOOSE(CONTROL!$C$19, $C$13, 100%, $E$13)</f>
        <v>6.657</v>
      </c>
      <c r="D488" s="60">
        <f>6.6738 * CHOOSE(CONTROL!$C$19, $C$13, 100%, $E$13)</f>
        <v>6.6738</v>
      </c>
      <c r="E488" s="61">
        <f>7.652 * CHOOSE(CONTROL!$C$19, $C$13, 100%, $E$13)</f>
        <v>7.6520000000000001</v>
      </c>
      <c r="F488" s="61">
        <f>7.652 * CHOOSE(CONTROL!$C$19, $C$13, 100%, $E$13)</f>
        <v>7.6520000000000001</v>
      </c>
      <c r="G488" s="61">
        <f>7.6521 * CHOOSE(CONTROL!$C$19, $C$13, 100%, $E$13)</f>
        <v>7.6520999999999999</v>
      </c>
      <c r="H488" s="61">
        <f>11.121* CHOOSE(CONTROL!$C$19, $C$13, 100%, $E$13)</f>
        <v>11.121</v>
      </c>
      <c r="I488" s="61">
        <f>11.1211 * CHOOSE(CONTROL!$C$19, $C$13, 100%, $E$13)</f>
        <v>11.1211</v>
      </c>
      <c r="J488" s="61">
        <f>7.652 * CHOOSE(CONTROL!$C$19, $C$13, 100%, $E$13)</f>
        <v>7.6520000000000001</v>
      </c>
      <c r="K488" s="61">
        <f>7.6521 * CHOOSE(CONTROL!$C$19, $C$13, 100%, $E$13)</f>
        <v>7.6520999999999999</v>
      </c>
    </row>
    <row r="489" spans="1:11" ht="15">
      <c r="A489" s="13">
        <v>56735</v>
      </c>
      <c r="B489" s="60">
        <f>6.657 * CHOOSE(CONTROL!$C$19, $C$13, 100%, $E$13)</f>
        <v>6.657</v>
      </c>
      <c r="C489" s="60">
        <f>6.657 * CHOOSE(CONTROL!$C$19, $C$13, 100%, $E$13)</f>
        <v>6.657</v>
      </c>
      <c r="D489" s="60">
        <f>6.6907 * CHOOSE(CONTROL!$C$19, $C$13, 100%, $E$13)</f>
        <v>6.6906999999999996</v>
      </c>
      <c r="E489" s="61">
        <f>7.6889 * CHOOSE(CONTROL!$C$19, $C$13, 100%, $E$13)</f>
        <v>7.6889000000000003</v>
      </c>
      <c r="F489" s="61">
        <f>7.6889 * CHOOSE(CONTROL!$C$19, $C$13, 100%, $E$13)</f>
        <v>7.6889000000000003</v>
      </c>
      <c r="G489" s="61">
        <f>7.691 * CHOOSE(CONTROL!$C$19, $C$13, 100%, $E$13)</f>
        <v>7.6909999999999998</v>
      </c>
      <c r="H489" s="61">
        <f>11.1441* CHOOSE(CONTROL!$C$19, $C$13, 100%, $E$13)</f>
        <v>11.1441</v>
      </c>
      <c r="I489" s="61">
        <f>11.1462 * CHOOSE(CONTROL!$C$19, $C$13, 100%, $E$13)</f>
        <v>11.1462</v>
      </c>
      <c r="J489" s="61">
        <f>7.6889 * CHOOSE(CONTROL!$C$19, $C$13, 100%, $E$13)</f>
        <v>7.6889000000000003</v>
      </c>
      <c r="K489" s="61">
        <f>7.691 * CHOOSE(CONTROL!$C$19, $C$13, 100%, $E$13)</f>
        <v>7.6909999999999998</v>
      </c>
    </row>
    <row r="490" spans="1:11" ht="15">
      <c r="A490" s="13">
        <v>56766</v>
      </c>
      <c r="B490" s="60">
        <f>6.6631 * CHOOSE(CONTROL!$C$19, $C$13, 100%, $E$13)</f>
        <v>6.6631</v>
      </c>
      <c r="C490" s="60">
        <f>6.6631 * CHOOSE(CONTROL!$C$19, $C$13, 100%, $E$13)</f>
        <v>6.6631</v>
      </c>
      <c r="D490" s="60">
        <f>6.6967 * CHOOSE(CONTROL!$C$19, $C$13, 100%, $E$13)</f>
        <v>6.6966999999999999</v>
      </c>
      <c r="E490" s="61">
        <f>7.6562 * CHOOSE(CONTROL!$C$19, $C$13, 100%, $E$13)</f>
        <v>7.6562000000000001</v>
      </c>
      <c r="F490" s="61">
        <f>7.6562 * CHOOSE(CONTROL!$C$19, $C$13, 100%, $E$13)</f>
        <v>7.6562000000000001</v>
      </c>
      <c r="G490" s="61">
        <f>7.6583 * CHOOSE(CONTROL!$C$19, $C$13, 100%, $E$13)</f>
        <v>7.6582999999999997</v>
      </c>
      <c r="H490" s="61">
        <f>11.1674* CHOOSE(CONTROL!$C$19, $C$13, 100%, $E$13)</f>
        <v>11.167400000000001</v>
      </c>
      <c r="I490" s="61">
        <f>11.1694 * CHOOSE(CONTROL!$C$19, $C$13, 100%, $E$13)</f>
        <v>11.1694</v>
      </c>
      <c r="J490" s="61">
        <f>7.6562 * CHOOSE(CONTROL!$C$19, $C$13, 100%, $E$13)</f>
        <v>7.6562000000000001</v>
      </c>
      <c r="K490" s="61">
        <f>7.6583 * CHOOSE(CONTROL!$C$19, $C$13, 100%, $E$13)</f>
        <v>7.6582999999999997</v>
      </c>
    </row>
    <row r="491" spans="1:11" ht="15">
      <c r="A491" s="13">
        <v>56796</v>
      </c>
      <c r="B491" s="60">
        <f>6.7624 * CHOOSE(CONTROL!$C$19, $C$13, 100%, $E$13)</f>
        <v>6.7624000000000004</v>
      </c>
      <c r="C491" s="60">
        <f>6.7624 * CHOOSE(CONTROL!$C$19, $C$13, 100%, $E$13)</f>
        <v>6.7624000000000004</v>
      </c>
      <c r="D491" s="60">
        <f>6.7961 * CHOOSE(CONTROL!$C$19, $C$13, 100%, $E$13)</f>
        <v>6.7961</v>
      </c>
      <c r="E491" s="61">
        <f>7.8009 * CHOOSE(CONTROL!$C$19, $C$13, 100%, $E$13)</f>
        <v>7.8009000000000004</v>
      </c>
      <c r="F491" s="61">
        <f>7.8009 * CHOOSE(CONTROL!$C$19, $C$13, 100%, $E$13)</f>
        <v>7.8009000000000004</v>
      </c>
      <c r="G491" s="61">
        <f>7.803 * CHOOSE(CONTROL!$C$19, $C$13, 100%, $E$13)</f>
        <v>7.8029999999999999</v>
      </c>
      <c r="H491" s="61">
        <f>11.1906* CHOOSE(CONTROL!$C$19, $C$13, 100%, $E$13)</f>
        <v>11.1906</v>
      </c>
      <c r="I491" s="61">
        <f>11.1927 * CHOOSE(CONTROL!$C$19, $C$13, 100%, $E$13)</f>
        <v>11.1927</v>
      </c>
      <c r="J491" s="61">
        <f>7.8009 * CHOOSE(CONTROL!$C$19, $C$13, 100%, $E$13)</f>
        <v>7.8009000000000004</v>
      </c>
      <c r="K491" s="61">
        <f>7.803 * CHOOSE(CONTROL!$C$19, $C$13, 100%, $E$13)</f>
        <v>7.8029999999999999</v>
      </c>
    </row>
    <row r="492" spans="1:11" ht="15">
      <c r="A492" s="13">
        <v>56827</v>
      </c>
      <c r="B492" s="60">
        <f>6.7691 * CHOOSE(CONTROL!$C$19, $C$13, 100%, $E$13)</f>
        <v>6.7690999999999999</v>
      </c>
      <c r="C492" s="60">
        <f>6.7691 * CHOOSE(CONTROL!$C$19, $C$13, 100%, $E$13)</f>
        <v>6.7690999999999999</v>
      </c>
      <c r="D492" s="60">
        <f>6.8028 * CHOOSE(CONTROL!$C$19, $C$13, 100%, $E$13)</f>
        <v>6.8028000000000004</v>
      </c>
      <c r="E492" s="61">
        <f>7.6948 * CHOOSE(CONTROL!$C$19, $C$13, 100%, $E$13)</f>
        <v>7.6947999999999999</v>
      </c>
      <c r="F492" s="61">
        <f>7.6948 * CHOOSE(CONTROL!$C$19, $C$13, 100%, $E$13)</f>
        <v>7.6947999999999999</v>
      </c>
      <c r="G492" s="61">
        <f>7.6969 * CHOOSE(CONTROL!$C$19, $C$13, 100%, $E$13)</f>
        <v>7.6969000000000003</v>
      </c>
      <c r="H492" s="61">
        <f>11.2139* CHOOSE(CONTROL!$C$19, $C$13, 100%, $E$13)</f>
        <v>11.213900000000001</v>
      </c>
      <c r="I492" s="61">
        <f>11.216 * CHOOSE(CONTROL!$C$19, $C$13, 100%, $E$13)</f>
        <v>11.215999999999999</v>
      </c>
      <c r="J492" s="61">
        <f>7.6948 * CHOOSE(CONTROL!$C$19, $C$13, 100%, $E$13)</f>
        <v>7.6947999999999999</v>
      </c>
      <c r="K492" s="61">
        <f>7.6969 * CHOOSE(CONTROL!$C$19, $C$13, 100%, $E$13)</f>
        <v>7.6969000000000003</v>
      </c>
    </row>
    <row r="493" spans="1:11" ht="15">
      <c r="A493" s="13">
        <v>56858</v>
      </c>
      <c r="B493" s="60">
        <f>6.7661 * CHOOSE(CONTROL!$C$19, $C$13, 100%, $E$13)</f>
        <v>6.7660999999999998</v>
      </c>
      <c r="C493" s="60">
        <f>6.7661 * CHOOSE(CONTROL!$C$19, $C$13, 100%, $E$13)</f>
        <v>6.7660999999999998</v>
      </c>
      <c r="D493" s="60">
        <f>6.7997 * CHOOSE(CONTROL!$C$19, $C$13, 100%, $E$13)</f>
        <v>6.7996999999999996</v>
      </c>
      <c r="E493" s="61">
        <f>7.6803 * CHOOSE(CONTROL!$C$19, $C$13, 100%, $E$13)</f>
        <v>7.6802999999999999</v>
      </c>
      <c r="F493" s="61">
        <f>7.6803 * CHOOSE(CONTROL!$C$19, $C$13, 100%, $E$13)</f>
        <v>7.6802999999999999</v>
      </c>
      <c r="G493" s="61">
        <f>7.6824 * CHOOSE(CONTROL!$C$19, $C$13, 100%, $E$13)</f>
        <v>7.6824000000000003</v>
      </c>
      <c r="H493" s="61">
        <f>11.2373* CHOOSE(CONTROL!$C$19, $C$13, 100%, $E$13)</f>
        <v>11.237299999999999</v>
      </c>
      <c r="I493" s="61">
        <f>11.2394 * CHOOSE(CONTROL!$C$19, $C$13, 100%, $E$13)</f>
        <v>11.2394</v>
      </c>
      <c r="J493" s="61">
        <f>7.6803 * CHOOSE(CONTROL!$C$19, $C$13, 100%, $E$13)</f>
        <v>7.6802999999999999</v>
      </c>
      <c r="K493" s="61">
        <f>7.6824 * CHOOSE(CONTROL!$C$19, $C$13, 100%, $E$13)</f>
        <v>7.6824000000000003</v>
      </c>
    </row>
    <row r="494" spans="1:11" ht="15">
      <c r="A494" s="13">
        <v>56888</v>
      </c>
      <c r="B494" s="60">
        <f>6.7717 * CHOOSE(CONTROL!$C$19, $C$13, 100%, $E$13)</f>
        <v>6.7717000000000001</v>
      </c>
      <c r="C494" s="60">
        <f>6.7717 * CHOOSE(CONTROL!$C$19, $C$13, 100%, $E$13)</f>
        <v>6.7717000000000001</v>
      </c>
      <c r="D494" s="60">
        <f>6.7885 * CHOOSE(CONTROL!$C$19, $C$13, 100%, $E$13)</f>
        <v>6.7885</v>
      </c>
      <c r="E494" s="61">
        <f>7.7162 * CHOOSE(CONTROL!$C$19, $C$13, 100%, $E$13)</f>
        <v>7.7161999999999997</v>
      </c>
      <c r="F494" s="61">
        <f>7.7162 * CHOOSE(CONTROL!$C$19, $C$13, 100%, $E$13)</f>
        <v>7.7161999999999997</v>
      </c>
      <c r="G494" s="61">
        <f>7.7163 * CHOOSE(CONTROL!$C$19, $C$13, 100%, $E$13)</f>
        <v>7.7163000000000004</v>
      </c>
      <c r="H494" s="61">
        <f>11.2607* CHOOSE(CONTROL!$C$19, $C$13, 100%, $E$13)</f>
        <v>11.2607</v>
      </c>
      <c r="I494" s="61">
        <f>11.2609 * CHOOSE(CONTROL!$C$19, $C$13, 100%, $E$13)</f>
        <v>11.260899999999999</v>
      </c>
      <c r="J494" s="61">
        <f>7.7162 * CHOOSE(CONTROL!$C$19, $C$13, 100%, $E$13)</f>
        <v>7.7161999999999997</v>
      </c>
      <c r="K494" s="61">
        <f>7.7163 * CHOOSE(CONTROL!$C$19, $C$13, 100%, $E$13)</f>
        <v>7.7163000000000004</v>
      </c>
    </row>
    <row r="495" spans="1:11" ht="15">
      <c r="A495" s="13">
        <v>56919</v>
      </c>
      <c r="B495" s="60">
        <f>6.7747 * CHOOSE(CONTROL!$C$19, $C$13, 100%, $E$13)</f>
        <v>6.7747000000000002</v>
      </c>
      <c r="C495" s="60">
        <f>6.7747 * CHOOSE(CONTROL!$C$19, $C$13, 100%, $E$13)</f>
        <v>6.7747000000000002</v>
      </c>
      <c r="D495" s="60">
        <f>6.7916 * CHOOSE(CONTROL!$C$19, $C$13, 100%, $E$13)</f>
        <v>6.7915999999999999</v>
      </c>
      <c r="E495" s="61">
        <f>7.7429 * CHOOSE(CONTROL!$C$19, $C$13, 100%, $E$13)</f>
        <v>7.7428999999999997</v>
      </c>
      <c r="F495" s="61">
        <f>7.7429 * CHOOSE(CONTROL!$C$19, $C$13, 100%, $E$13)</f>
        <v>7.7428999999999997</v>
      </c>
      <c r="G495" s="61">
        <f>7.7431 * CHOOSE(CONTROL!$C$19, $C$13, 100%, $E$13)</f>
        <v>7.7431000000000001</v>
      </c>
      <c r="H495" s="61">
        <f>11.2842* CHOOSE(CONTROL!$C$19, $C$13, 100%, $E$13)</f>
        <v>11.2842</v>
      </c>
      <c r="I495" s="61">
        <f>11.2843 * CHOOSE(CONTROL!$C$19, $C$13, 100%, $E$13)</f>
        <v>11.2843</v>
      </c>
      <c r="J495" s="61">
        <f>7.7429 * CHOOSE(CONTROL!$C$19, $C$13, 100%, $E$13)</f>
        <v>7.7428999999999997</v>
      </c>
      <c r="K495" s="61">
        <f>7.7431 * CHOOSE(CONTROL!$C$19, $C$13, 100%, $E$13)</f>
        <v>7.7431000000000001</v>
      </c>
    </row>
    <row r="496" spans="1:11" ht="15">
      <c r="A496" s="13">
        <v>56949</v>
      </c>
      <c r="B496" s="60">
        <f>6.7747 * CHOOSE(CONTROL!$C$19, $C$13, 100%, $E$13)</f>
        <v>6.7747000000000002</v>
      </c>
      <c r="C496" s="60">
        <f>6.7747 * CHOOSE(CONTROL!$C$19, $C$13, 100%, $E$13)</f>
        <v>6.7747000000000002</v>
      </c>
      <c r="D496" s="60">
        <f>6.7916 * CHOOSE(CONTROL!$C$19, $C$13, 100%, $E$13)</f>
        <v>6.7915999999999999</v>
      </c>
      <c r="E496" s="61">
        <f>7.6814 * CHOOSE(CONTROL!$C$19, $C$13, 100%, $E$13)</f>
        <v>7.6814</v>
      </c>
      <c r="F496" s="61">
        <f>7.6814 * CHOOSE(CONTROL!$C$19, $C$13, 100%, $E$13)</f>
        <v>7.6814</v>
      </c>
      <c r="G496" s="61">
        <f>7.6815 * CHOOSE(CONTROL!$C$19, $C$13, 100%, $E$13)</f>
        <v>7.6814999999999998</v>
      </c>
      <c r="H496" s="61">
        <f>11.3077* CHOOSE(CONTROL!$C$19, $C$13, 100%, $E$13)</f>
        <v>11.307700000000001</v>
      </c>
      <c r="I496" s="61">
        <f>11.3078 * CHOOSE(CONTROL!$C$19, $C$13, 100%, $E$13)</f>
        <v>11.3078</v>
      </c>
      <c r="J496" s="61">
        <f>7.6814 * CHOOSE(CONTROL!$C$19, $C$13, 100%, $E$13)</f>
        <v>7.6814</v>
      </c>
      <c r="K496" s="61">
        <f>7.6815 * CHOOSE(CONTROL!$C$19, $C$13, 100%, $E$13)</f>
        <v>7.6814999999999998</v>
      </c>
    </row>
    <row r="497" spans="1:11" ht="15">
      <c r="A497" s="13">
        <v>56980</v>
      </c>
      <c r="B497" s="60">
        <f>6.8319 * CHOOSE(CONTROL!$C$19, $C$13, 100%, $E$13)</f>
        <v>6.8319000000000001</v>
      </c>
      <c r="C497" s="60">
        <f>6.8319 * CHOOSE(CONTROL!$C$19, $C$13, 100%, $E$13)</f>
        <v>6.8319000000000001</v>
      </c>
      <c r="D497" s="60">
        <f>6.8487 * CHOOSE(CONTROL!$C$19, $C$13, 100%, $E$13)</f>
        <v>6.8487</v>
      </c>
      <c r="E497" s="61">
        <f>7.7997 * CHOOSE(CONTROL!$C$19, $C$13, 100%, $E$13)</f>
        <v>7.7996999999999996</v>
      </c>
      <c r="F497" s="61">
        <f>7.7997 * CHOOSE(CONTROL!$C$19, $C$13, 100%, $E$13)</f>
        <v>7.7996999999999996</v>
      </c>
      <c r="G497" s="61">
        <f>7.7999 * CHOOSE(CONTROL!$C$19, $C$13, 100%, $E$13)</f>
        <v>7.7999000000000001</v>
      </c>
      <c r="H497" s="61">
        <f>11.3312* CHOOSE(CONTROL!$C$19, $C$13, 100%, $E$13)</f>
        <v>11.331200000000001</v>
      </c>
      <c r="I497" s="61">
        <f>11.3314 * CHOOSE(CONTROL!$C$19, $C$13, 100%, $E$13)</f>
        <v>11.3314</v>
      </c>
      <c r="J497" s="61">
        <f>7.7997 * CHOOSE(CONTROL!$C$19, $C$13, 100%, $E$13)</f>
        <v>7.7996999999999996</v>
      </c>
      <c r="K497" s="61">
        <f>7.7999 * CHOOSE(CONTROL!$C$19, $C$13, 100%, $E$13)</f>
        <v>7.7999000000000001</v>
      </c>
    </row>
    <row r="498" spans="1:11" ht="15">
      <c r="A498" s="13">
        <v>57011</v>
      </c>
      <c r="B498" s="60">
        <f>6.8289 * CHOOSE(CONTROL!$C$19, $C$13, 100%, $E$13)</f>
        <v>6.8289</v>
      </c>
      <c r="C498" s="60">
        <f>6.8289 * CHOOSE(CONTROL!$C$19, $C$13, 100%, $E$13)</f>
        <v>6.8289</v>
      </c>
      <c r="D498" s="60">
        <f>6.8457 * CHOOSE(CONTROL!$C$19, $C$13, 100%, $E$13)</f>
        <v>6.8456999999999999</v>
      </c>
      <c r="E498" s="61">
        <f>7.6775 * CHOOSE(CONTROL!$C$19, $C$13, 100%, $E$13)</f>
        <v>7.6775000000000002</v>
      </c>
      <c r="F498" s="61">
        <f>7.6775 * CHOOSE(CONTROL!$C$19, $C$13, 100%, $E$13)</f>
        <v>7.6775000000000002</v>
      </c>
      <c r="G498" s="61">
        <f>7.6777 * CHOOSE(CONTROL!$C$19, $C$13, 100%, $E$13)</f>
        <v>7.6776999999999997</v>
      </c>
      <c r="H498" s="61">
        <f>11.3548* CHOOSE(CONTROL!$C$19, $C$13, 100%, $E$13)</f>
        <v>11.354799999999999</v>
      </c>
      <c r="I498" s="61">
        <f>11.355 * CHOOSE(CONTROL!$C$19, $C$13, 100%, $E$13)</f>
        <v>11.355</v>
      </c>
      <c r="J498" s="61">
        <f>7.6775 * CHOOSE(CONTROL!$C$19, $C$13, 100%, $E$13)</f>
        <v>7.6775000000000002</v>
      </c>
      <c r="K498" s="61">
        <f>7.6777 * CHOOSE(CONTROL!$C$19, $C$13, 100%, $E$13)</f>
        <v>7.6776999999999997</v>
      </c>
    </row>
    <row r="499" spans="1:11" ht="15">
      <c r="A499" s="13">
        <v>57040</v>
      </c>
      <c r="B499" s="60">
        <f>6.8258 * CHOOSE(CONTROL!$C$19, $C$13, 100%, $E$13)</f>
        <v>6.8258000000000001</v>
      </c>
      <c r="C499" s="60">
        <f>6.8258 * CHOOSE(CONTROL!$C$19, $C$13, 100%, $E$13)</f>
        <v>6.8258000000000001</v>
      </c>
      <c r="D499" s="60">
        <f>6.8426 * CHOOSE(CONTROL!$C$19, $C$13, 100%, $E$13)</f>
        <v>6.8426</v>
      </c>
      <c r="E499" s="61">
        <f>7.77 * CHOOSE(CONTROL!$C$19, $C$13, 100%, $E$13)</f>
        <v>7.77</v>
      </c>
      <c r="F499" s="61">
        <f>7.77 * CHOOSE(CONTROL!$C$19, $C$13, 100%, $E$13)</f>
        <v>7.77</v>
      </c>
      <c r="G499" s="61">
        <f>7.7702 * CHOOSE(CONTROL!$C$19, $C$13, 100%, $E$13)</f>
        <v>7.7702</v>
      </c>
      <c r="H499" s="61">
        <f>11.3785* CHOOSE(CONTROL!$C$19, $C$13, 100%, $E$13)</f>
        <v>11.378500000000001</v>
      </c>
      <c r="I499" s="61">
        <f>11.3787 * CHOOSE(CONTROL!$C$19, $C$13, 100%, $E$13)</f>
        <v>11.3787</v>
      </c>
      <c r="J499" s="61">
        <f>7.77 * CHOOSE(CONTROL!$C$19, $C$13, 100%, $E$13)</f>
        <v>7.77</v>
      </c>
      <c r="K499" s="61">
        <f>7.7702 * CHOOSE(CONTROL!$C$19, $C$13, 100%, $E$13)</f>
        <v>7.7702</v>
      </c>
    </row>
    <row r="500" spans="1:11" ht="15">
      <c r="A500" s="13">
        <v>57071</v>
      </c>
      <c r="B500" s="60">
        <f>6.8263 * CHOOSE(CONTROL!$C$19, $C$13, 100%, $E$13)</f>
        <v>6.8262999999999998</v>
      </c>
      <c r="C500" s="60">
        <f>6.8263 * CHOOSE(CONTROL!$C$19, $C$13, 100%, $E$13)</f>
        <v>6.8262999999999998</v>
      </c>
      <c r="D500" s="60">
        <f>6.8431 * CHOOSE(CONTROL!$C$19, $C$13, 100%, $E$13)</f>
        <v>6.8430999999999997</v>
      </c>
      <c r="E500" s="61">
        <f>7.8675 * CHOOSE(CONTROL!$C$19, $C$13, 100%, $E$13)</f>
        <v>7.8674999999999997</v>
      </c>
      <c r="F500" s="61">
        <f>7.8675 * CHOOSE(CONTROL!$C$19, $C$13, 100%, $E$13)</f>
        <v>7.8674999999999997</v>
      </c>
      <c r="G500" s="61">
        <f>7.8676 * CHOOSE(CONTROL!$C$19, $C$13, 100%, $E$13)</f>
        <v>7.8676000000000004</v>
      </c>
      <c r="H500" s="61">
        <f>11.4022* CHOOSE(CONTROL!$C$19, $C$13, 100%, $E$13)</f>
        <v>11.402200000000001</v>
      </c>
      <c r="I500" s="61">
        <f>11.4024 * CHOOSE(CONTROL!$C$19, $C$13, 100%, $E$13)</f>
        <v>11.4024</v>
      </c>
      <c r="J500" s="61">
        <f>7.8675 * CHOOSE(CONTROL!$C$19, $C$13, 100%, $E$13)</f>
        <v>7.8674999999999997</v>
      </c>
      <c r="K500" s="61">
        <f>7.8676 * CHOOSE(CONTROL!$C$19, $C$13, 100%, $E$13)</f>
        <v>7.8676000000000004</v>
      </c>
    </row>
    <row r="501" spans="1:11" ht="15">
      <c r="A501" s="13">
        <v>57101</v>
      </c>
      <c r="B501" s="60">
        <f>6.8263 * CHOOSE(CONTROL!$C$19, $C$13, 100%, $E$13)</f>
        <v>6.8262999999999998</v>
      </c>
      <c r="C501" s="60">
        <f>6.8263 * CHOOSE(CONTROL!$C$19, $C$13, 100%, $E$13)</f>
        <v>6.8262999999999998</v>
      </c>
      <c r="D501" s="60">
        <f>6.8599 * CHOOSE(CONTROL!$C$19, $C$13, 100%, $E$13)</f>
        <v>6.8598999999999997</v>
      </c>
      <c r="E501" s="61">
        <f>7.9056 * CHOOSE(CONTROL!$C$19, $C$13, 100%, $E$13)</f>
        <v>7.9055999999999997</v>
      </c>
      <c r="F501" s="61">
        <f>7.9056 * CHOOSE(CONTROL!$C$19, $C$13, 100%, $E$13)</f>
        <v>7.9055999999999997</v>
      </c>
      <c r="G501" s="61">
        <f>7.9077 * CHOOSE(CONTROL!$C$19, $C$13, 100%, $E$13)</f>
        <v>7.9077000000000002</v>
      </c>
      <c r="H501" s="61">
        <f>11.426* CHOOSE(CONTROL!$C$19, $C$13, 100%, $E$13)</f>
        <v>11.426</v>
      </c>
      <c r="I501" s="61">
        <f>11.428 * CHOOSE(CONTROL!$C$19, $C$13, 100%, $E$13)</f>
        <v>11.428000000000001</v>
      </c>
      <c r="J501" s="61">
        <f>7.9056 * CHOOSE(CONTROL!$C$19, $C$13, 100%, $E$13)</f>
        <v>7.9055999999999997</v>
      </c>
      <c r="K501" s="61">
        <f>7.9077 * CHOOSE(CONTROL!$C$19, $C$13, 100%, $E$13)</f>
        <v>7.9077000000000002</v>
      </c>
    </row>
    <row r="502" spans="1:11" ht="15">
      <c r="A502" s="13">
        <v>57132</v>
      </c>
      <c r="B502" s="60">
        <f>6.8323 * CHOOSE(CONTROL!$C$19, $C$13, 100%, $E$13)</f>
        <v>6.8323</v>
      </c>
      <c r="C502" s="60">
        <f>6.8323 * CHOOSE(CONTROL!$C$19, $C$13, 100%, $E$13)</f>
        <v>6.8323</v>
      </c>
      <c r="D502" s="60">
        <f>6.866 * CHOOSE(CONTROL!$C$19, $C$13, 100%, $E$13)</f>
        <v>6.8659999999999997</v>
      </c>
      <c r="E502" s="61">
        <f>7.8717 * CHOOSE(CONTROL!$C$19, $C$13, 100%, $E$13)</f>
        <v>7.8716999999999997</v>
      </c>
      <c r="F502" s="61">
        <f>7.8717 * CHOOSE(CONTROL!$C$19, $C$13, 100%, $E$13)</f>
        <v>7.8716999999999997</v>
      </c>
      <c r="G502" s="61">
        <f>7.8738 * CHOOSE(CONTROL!$C$19, $C$13, 100%, $E$13)</f>
        <v>7.8738000000000001</v>
      </c>
      <c r="H502" s="61">
        <f>11.4498* CHOOSE(CONTROL!$C$19, $C$13, 100%, $E$13)</f>
        <v>11.4498</v>
      </c>
      <c r="I502" s="61">
        <f>11.4518 * CHOOSE(CONTROL!$C$19, $C$13, 100%, $E$13)</f>
        <v>11.4518</v>
      </c>
      <c r="J502" s="61">
        <f>7.8717 * CHOOSE(CONTROL!$C$19, $C$13, 100%, $E$13)</f>
        <v>7.8716999999999997</v>
      </c>
      <c r="K502" s="61">
        <f>7.8738 * CHOOSE(CONTROL!$C$19, $C$13, 100%, $E$13)</f>
        <v>7.8738000000000001</v>
      </c>
    </row>
    <row r="503" spans="1:11" ht="15">
      <c r="A503" s="13">
        <v>57162</v>
      </c>
      <c r="B503" s="60">
        <f>6.9339 * CHOOSE(CONTROL!$C$19, $C$13, 100%, $E$13)</f>
        <v>6.9339000000000004</v>
      </c>
      <c r="C503" s="60">
        <f>6.9339 * CHOOSE(CONTROL!$C$19, $C$13, 100%, $E$13)</f>
        <v>6.9339000000000004</v>
      </c>
      <c r="D503" s="60">
        <f>6.9675 * CHOOSE(CONTROL!$C$19, $C$13, 100%, $E$13)</f>
        <v>6.9675000000000002</v>
      </c>
      <c r="E503" s="61">
        <f>8.0202 * CHOOSE(CONTROL!$C$19, $C$13, 100%, $E$13)</f>
        <v>8.0202000000000009</v>
      </c>
      <c r="F503" s="61">
        <f>8.0202 * CHOOSE(CONTROL!$C$19, $C$13, 100%, $E$13)</f>
        <v>8.0202000000000009</v>
      </c>
      <c r="G503" s="61">
        <f>8.0223 * CHOOSE(CONTROL!$C$19, $C$13, 100%, $E$13)</f>
        <v>8.0222999999999995</v>
      </c>
      <c r="H503" s="61">
        <f>11.4736* CHOOSE(CONTROL!$C$19, $C$13, 100%, $E$13)</f>
        <v>11.473599999999999</v>
      </c>
      <c r="I503" s="61">
        <f>11.4757 * CHOOSE(CONTROL!$C$19, $C$13, 100%, $E$13)</f>
        <v>11.4757</v>
      </c>
      <c r="J503" s="61">
        <f>8.0202 * CHOOSE(CONTROL!$C$19, $C$13, 100%, $E$13)</f>
        <v>8.0202000000000009</v>
      </c>
      <c r="K503" s="61">
        <f>8.0223 * CHOOSE(CONTROL!$C$19, $C$13, 100%, $E$13)</f>
        <v>8.0222999999999995</v>
      </c>
    </row>
    <row r="504" spans="1:11" ht="15">
      <c r="A504" s="13">
        <v>57193</v>
      </c>
      <c r="B504" s="60">
        <f>6.9406 * CHOOSE(CONTROL!$C$19, $C$13, 100%, $E$13)</f>
        <v>6.9405999999999999</v>
      </c>
      <c r="C504" s="60">
        <f>6.9406 * CHOOSE(CONTROL!$C$19, $C$13, 100%, $E$13)</f>
        <v>6.9405999999999999</v>
      </c>
      <c r="D504" s="60">
        <f>6.9742 * CHOOSE(CONTROL!$C$19, $C$13, 100%, $E$13)</f>
        <v>6.9741999999999997</v>
      </c>
      <c r="E504" s="61">
        <f>7.9105 * CHOOSE(CONTROL!$C$19, $C$13, 100%, $E$13)</f>
        <v>7.9104999999999999</v>
      </c>
      <c r="F504" s="61">
        <f>7.9105 * CHOOSE(CONTROL!$C$19, $C$13, 100%, $E$13)</f>
        <v>7.9104999999999999</v>
      </c>
      <c r="G504" s="61">
        <f>7.9126 * CHOOSE(CONTROL!$C$19, $C$13, 100%, $E$13)</f>
        <v>7.9126000000000003</v>
      </c>
      <c r="H504" s="61">
        <f>11.4975* CHOOSE(CONTROL!$C$19, $C$13, 100%, $E$13)</f>
        <v>11.4975</v>
      </c>
      <c r="I504" s="61">
        <f>11.4996 * CHOOSE(CONTROL!$C$19, $C$13, 100%, $E$13)</f>
        <v>11.499599999999999</v>
      </c>
      <c r="J504" s="61">
        <f>7.9105 * CHOOSE(CONTROL!$C$19, $C$13, 100%, $E$13)</f>
        <v>7.9104999999999999</v>
      </c>
      <c r="K504" s="61">
        <f>7.9126 * CHOOSE(CONTROL!$C$19, $C$13, 100%, $E$13)</f>
        <v>7.9126000000000003</v>
      </c>
    </row>
    <row r="505" spans="1:11" ht="15">
      <c r="A505" s="13">
        <v>57224</v>
      </c>
      <c r="B505" s="60">
        <f>6.9375 * CHOOSE(CONTROL!$C$19, $C$13, 100%, $E$13)</f>
        <v>6.9375</v>
      </c>
      <c r="C505" s="60">
        <f>6.9375 * CHOOSE(CONTROL!$C$19, $C$13, 100%, $E$13)</f>
        <v>6.9375</v>
      </c>
      <c r="D505" s="60">
        <f>6.9712 * CHOOSE(CONTROL!$C$19, $C$13, 100%, $E$13)</f>
        <v>6.9711999999999996</v>
      </c>
      <c r="E505" s="61">
        <f>7.8957 * CHOOSE(CONTROL!$C$19, $C$13, 100%, $E$13)</f>
        <v>7.8956999999999997</v>
      </c>
      <c r="F505" s="61">
        <f>7.8957 * CHOOSE(CONTROL!$C$19, $C$13, 100%, $E$13)</f>
        <v>7.8956999999999997</v>
      </c>
      <c r="G505" s="61">
        <f>7.8977 * CHOOSE(CONTROL!$C$19, $C$13, 100%, $E$13)</f>
        <v>7.8977000000000004</v>
      </c>
      <c r="H505" s="61">
        <f>11.5215* CHOOSE(CONTROL!$C$19, $C$13, 100%, $E$13)</f>
        <v>11.5215</v>
      </c>
      <c r="I505" s="61">
        <f>11.5236 * CHOOSE(CONTROL!$C$19, $C$13, 100%, $E$13)</f>
        <v>11.5236</v>
      </c>
      <c r="J505" s="61">
        <f>7.8957 * CHOOSE(CONTROL!$C$19, $C$13, 100%, $E$13)</f>
        <v>7.8956999999999997</v>
      </c>
      <c r="K505" s="61">
        <f>7.8977 * CHOOSE(CONTROL!$C$19, $C$13, 100%, $E$13)</f>
        <v>7.8977000000000004</v>
      </c>
    </row>
    <row r="506" spans="1:11" ht="15">
      <c r="A506" s="13">
        <v>57254</v>
      </c>
      <c r="B506" s="60">
        <f>6.9438 * CHOOSE(CONTROL!$C$19, $C$13, 100%, $E$13)</f>
        <v>6.9438000000000004</v>
      </c>
      <c r="C506" s="60">
        <f>6.9438 * CHOOSE(CONTROL!$C$19, $C$13, 100%, $E$13)</f>
        <v>6.9438000000000004</v>
      </c>
      <c r="D506" s="60">
        <f>6.9606 * CHOOSE(CONTROL!$C$19, $C$13, 100%, $E$13)</f>
        <v>6.9606000000000003</v>
      </c>
      <c r="E506" s="61">
        <f>7.9331 * CHOOSE(CONTROL!$C$19, $C$13, 100%, $E$13)</f>
        <v>7.9330999999999996</v>
      </c>
      <c r="F506" s="61">
        <f>7.9331 * CHOOSE(CONTROL!$C$19, $C$13, 100%, $E$13)</f>
        <v>7.9330999999999996</v>
      </c>
      <c r="G506" s="61">
        <f>7.9332 * CHOOSE(CONTROL!$C$19, $C$13, 100%, $E$13)</f>
        <v>7.9332000000000003</v>
      </c>
      <c r="H506" s="61">
        <f>11.5455* CHOOSE(CONTROL!$C$19, $C$13, 100%, $E$13)</f>
        <v>11.545500000000001</v>
      </c>
      <c r="I506" s="61">
        <f>11.5456 * CHOOSE(CONTROL!$C$19, $C$13, 100%, $E$13)</f>
        <v>11.5456</v>
      </c>
      <c r="J506" s="61">
        <f>7.9331 * CHOOSE(CONTROL!$C$19, $C$13, 100%, $E$13)</f>
        <v>7.9330999999999996</v>
      </c>
      <c r="K506" s="61">
        <f>7.9332 * CHOOSE(CONTROL!$C$19, $C$13, 100%, $E$13)</f>
        <v>7.9332000000000003</v>
      </c>
    </row>
    <row r="507" spans="1:11" ht="15">
      <c r="A507" s="13">
        <v>57285</v>
      </c>
      <c r="B507" s="60">
        <f>6.9468 * CHOOSE(CONTROL!$C$19, $C$13, 100%, $E$13)</f>
        <v>6.9467999999999996</v>
      </c>
      <c r="C507" s="60">
        <f>6.9468 * CHOOSE(CONTROL!$C$19, $C$13, 100%, $E$13)</f>
        <v>6.9467999999999996</v>
      </c>
      <c r="D507" s="60">
        <f>6.9637 * CHOOSE(CONTROL!$C$19, $C$13, 100%, $E$13)</f>
        <v>6.9637000000000002</v>
      </c>
      <c r="E507" s="61">
        <f>7.9606 * CHOOSE(CONTROL!$C$19, $C$13, 100%, $E$13)</f>
        <v>7.9606000000000003</v>
      </c>
      <c r="F507" s="61">
        <f>7.9606 * CHOOSE(CONTROL!$C$19, $C$13, 100%, $E$13)</f>
        <v>7.9606000000000003</v>
      </c>
      <c r="G507" s="61">
        <f>7.9608 * CHOOSE(CONTROL!$C$19, $C$13, 100%, $E$13)</f>
        <v>7.9607999999999999</v>
      </c>
      <c r="H507" s="61">
        <f>11.5695* CHOOSE(CONTROL!$C$19, $C$13, 100%, $E$13)</f>
        <v>11.5695</v>
      </c>
      <c r="I507" s="61">
        <f>11.5697 * CHOOSE(CONTROL!$C$19, $C$13, 100%, $E$13)</f>
        <v>11.569699999999999</v>
      </c>
      <c r="J507" s="61">
        <f>7.9606 * CHOOSE(CONTROL!$C$19, $C$13, 100%, $E$13)</f>
        <v>7.9606000000000003</v>
      </c>
      <c r="K507" s="61">
        <f>7.9608 * CHOOSE(CONTROL!$C$19, $C$13, 100%, $E$13)</f>
        <v>7.9607999999999999</v>
      </c>
    </row>
    <row r="508" spans="1:11" ht="15">
      <c r="A508" s="13">
        <v>57315</v>
      </c>
      <c r="B508" s="60">
        <f>6.9468 * CHOOSE(CONTROL!$C$19, $C$13, 100%, $E$13)</f>
        <v>6.9467999999999996</v>
      </c>
      <c r="C508" s="60">
        <f>6.9468 * CHOOSE(CONTROL!$C$19, $C$13, 100%, $E$13)</f>
        <v>6.9467999999999996</v>
      </c>
      <c r="D508" s="60">
        <f>6.9637 * CHOOSE(CONTROL!$C$19, $C$13, 100%, $E$13)</f>
        <v>6.9637000000000002</v>
      </c>
      <c r="E508" s="61">
        <f>7.8971 * CHOOSE(CONTROL!$C$19, $C$13, 100%, $E$13)</f>
        <v>7.8971</v>
      </c>
      <c r="F508" s="61">
        <f>7.8971 * CHOOSE(CONTROL!$C$19, $C$13, 100%, $E$13)</f>
        <v>7.8971</v>
      </c>
      <c r="G508" s="61">
        <f>7.8972 * CHOOSE(CONTROL!$C$19, $C$13, 100%, $E$13)</f>
        <v>7.8971999999999998</v>
      </c>
      <c r="H508" s="61">
        <f>11.5936* CHOOSE(CONTROL!$C$19, $C$13, 100%, $E$13)</f>
        <v>11.5936</v>
      </c>
      <c r="I508" s="61">
        <f>11.5938 * CHOOSE(CONTROL!$C$19, $C$13, 100%, $E$13)</f>
        <v>11.5938</v>
      </c>
      <c r="J508" s="61">
        <f>7.8971 * CHOOSE(CONTROL!$C$19, $C$13, 100%, $E$13)</f>
        <v>7.8971</v>
      </c>
      <c r="K508" s="61">
        <f>7.8972 * CHOOSE(CONTROL!$C$19, $C$13, 100%, $E$13)</f>
        <v>7.8971999999999998</v>
      </c>
    </row>
    <row r="509" spans="1:11" ht="15">
      <c r="A509" s="13">
        <v>57346</v>
      </c>
      <c r="B509" s="60">
        <f>7.0053 * CHOOSE(CONTROL!$C$19, $C$13, 100%, $E$13)</f>
        <v>7.0053000000000001</v>
      </c>
      <c r="C509" s="60">
        <f>7.0053 * CHOOSE(CONTROL!$C$19, $C$13, 100%, $E$13)</f>
        <v>7.0053000000000001</v>
      </c>
      <c r="D509" s="60">
        <f>7.0221 * CHOOSE(CONTROL!$C$19, $C$13, 100%, $E$13)</f>
        <v>7.0221</v>
      </c>
      <c r="E509" s="61">
        <f>8.0188 * CHOOSE(CONTROL!$C$19, $C$13, 100%, $E$13)</f>
        <v>8.0188000000000006</v>
      </c>
      <c r="F509" s="61">
        <f>8.0188 * CHOOSE(CONTROL!$C$19, $C$13, 100%, $E$13)</f>
        <v>8.0188000000000006</v>
      </c>
      <c r="G509" s="61">
        <f>8.019 * CHOOSE(CONTROL!$C$19, $C$13, 100%, $E$13)</f>
        <v>8.0190000000000001</v>
      </c>
      <c r="H509" s="61">
        <f>11.6178* CHOOSE(CONTROL!$C$19, $C$13, 100%, $E$13)</f>
        <v>11.617800000000001</v>
      </c>
      <c r="I509" s="61">
        <f>11.618 * CHOOSE(CONTROL!$C$19, $C$13, 100%, $E$13)</f>
        <v>11.618</v>
      </c>
      <c r="J509" s="61">
        <f>8.0188 * CHOOSE(CONTROL!$C$19, $C$13, 100%, $E$13)</f>
        <v>8.0188000000000006</v>
      </c>
      <c r="K509" s="61">
        <f>8.019 * CHOOSE(CONTROL!$C$19, $C$13, 100%, $E$13)</f>
        <v>8.0190000000000001</v>
      </c>
    </row>
    <row r="510" spans="1:11" ht="15">
      <c r="A510" s="13">
        <v>57377</v>
      </c>
      <c r="B510" s="60">
        <f>7.0023 * CHOOSE(CONTROL!$C$19, $C$13, 100%, $E$13)</f>
        <v>7.0023</v>
      </c>
      <c r="C510" s="60">
        <f>7.0023 * CHOOSE(CONTROL!$C$19, $C$13, 100%, $E$13)</f>
        <v>7.0023</v>
      </c>
      <c r="D510" s="60">
        <f>7.0191 * CHOOSE(CONTROL!$C$19, $C$13, 100%, $E$13)</f>
        <v>7.0190999999999999</v>
      </c>
      <c r="E510" s="61">
        <f>7.8928 * CHOOSE(CONTROL!$C$19, $C$13, 100%, $E$13)</f>
        <v>7.8928000000000003</v>
      </c>
      <c r="F510" s="61">
        <f>7.8928 * CHOOSE(CONTROL!$C$19, $C$13, 100%, $E$13)</f>
        <v>7.8928000000000003</v>
      </c>
      <c r="G510" s="61">
        <f>7.893 * CHOOSE(CONTROL!$C$19, $C$13, 100%, $E$13)</f>
        <v>7.8929999999999998</v>
      </c>
      <c r="H510" s="61">
        <f>11.642* CHOOSE(CONTROL!$C$19, $C$13, 100%, $E$13)</f>
        <v>11.641999999999999</v>
      </c>
      <c r="I510" s="61">
        <f>11.6422 * CHOOSE(CONTROL!$C$19, $C$13, 100%, $E$13)</f>
        <v>11.642200000000001</v>
      </c>
      <c r="J510" s="61">
        <f>7.8928 * CHOOSE(CONTROL!$C$19, $C$13, 100%, $E$13)</f>
        <v>7.8928000000000003</v>
      </c>
      <c r="K510" s="61">
        <f>7.893 * CHOOSE(CONTROL!$C$19, $C$13, 100%, $E$13)</f>
        <v>7.8929999999999998</v>
      </c>
    </row>
    <row r="511" spans="1:11" ht="15">
      <c r="A511" s="13">
        <v>57405</v>
      </c>
      <c r="B511" s="60">
        <f>6.9992 * CHOOSE(CONTROL!$C$19, $C$13, 100%, $E$13)</f>
        <v>6.9992000000000001</v>
      </c>
      <c r="C511" s="60">
        <f>6.9992 * CHOOSE(CONTROL!$C$19, $C$13, 100%, $E$13)</f>
        <v>6.9992000000000001</v>
      </c>
      <c r="D511" s="60">
        <f>7.0161 * CHOOSE(CONTROL!$C$19, $C$13, 100%, $E$13)</f>
        <v>7.0160999999999998</v>
      </c>
      <c r="E511" s="61">
        <f>7.9884 * CHOOSE(CONTROL!$C$19, $C$13, 100%, $E$13)</f>
        <v>7.9884000000000004</v>
      </c>
      <c r="F511" s="61">
        <f>7.9884 * CHOOSE(CONTROL!$C$19, $C$13, 100%, $E$13)</f>
        <v>7.9884000000000004</v>
      </c>
      <c r="G511" s="61">
        <f>7.9886 * CHOOSE(CONTROL!$C$19, $C$13, 100%, $E$13)</f>
        <v>7.9885999999999999</v>
      </c>
      <c r="H511" s="61">
        <f>11.6662* CHOOSE(CONTROL!$C$19, $C$13, 100%, $E$13)</f>
        <v>11.6662</v>
      </c>
      <c r="I511" s="61">
        <f>11.6664 * CHOOSE(CONTROL!$C$19, $C$13, 100%, $E$13)</f>
        <v>11.666399999999999</v>
      </c>
      <c r="J511" s="61">
        <f>7.9884 * CHOOSE(CONTROL!$C$19, $C$13, 100%, $E$13)</f>
        <v>7.9884000000000004</v>
      </c>
      <c r="K511" s="61">
        <f>7.9886 * CHOOSE(CONTROL!$C$19, $C$13, 100%, $E$13)</f>
        <v>7.9885999999999999</v>
      </c>
    </row>
    <row r="512" spans="1:11" ht="15">
      <c r="A512" s="13">
        <v>57436</v>
      </c>
      <c r="B512" s="60">
        <f>6.9999 * CHOOSE(CONTROL!$C$19, $C$13, 100%, $E$13)</f>
        <v>6.9999000000000002</v>
      </c>
      <c r="C512" s="60">
        <f>6.9999 * CHOOSE(CONTROL!$C$19, $C$13, 100%, $E$13)</f>
        <v>6.9999000000000002</v>
      </c>
      <c r="D512" s="60">
        <f>7.0167 * CHOOSE(CONTROL!$C$19, $C$13, 100%, $E$13)</f>
        <v>7.0167000000000002</v>
      </c>
      <c r="E512" s="61">
        <f>8.089 * CHOOSE(CONTROL!$C$19, $C$13, 100%, $E$13)</f>
        <v>8.0890000000000004</v>
      </c>
      <c r="F512" s="61">
        <f>8.089 * CHOOSE(CONTROL!$C$19, $C$13, 100%, $E$13)</f>
        <v>8.0890000000000004</v>
      </c>
      <c r="G512" s="61">
        <f>8.0892 * CHOOSE(CONTROL!$C$19, $C$13, 100%, $E$13)</f>
        <v>8.0891999999999999</v>
      </c>
      <c r="H512" s="61">
        <f>11.6905* CHOOSE(CONTROL!$C$19, $C$13, 100%, $E$13)</f>
        <v>11.6905</v>
      </c>
      <c r="I512" s="61">
        <f>11.6907 * CHOOSE(CONTROL!$C$19, $C$13, 100%, $E$13)</f>
        <v>11.6907</v>
      </c>
      <c r="J512" s="61">
        <f>8.089 * CHOOSE(CONTROL!$C$19, $C$13, 100%, $E$13)</f>
        <v>8.0890000000000004</v>
      </c>
      <c r="K512" s="61">
        <f>8.0892 * CHOOSE(CONTROL!$C$19, $C$13, 100%, $E$13)</f>
        <v>8.0891999999999999</v>
      </c>
    </row>
    <row r="513" spans="1:11" ht="15">
      <c r="A513" s="13">
        <v>57466</v>
      </c>
      <c r="B513" s="60">
        <f>6.9999 * CHOOSE(CONTROL!$C$19, $C$13, 100%, $E$13)</f>
        <v>6.9999000000000002</v>
      </c>
      <c r="C513" s="60">
        <f>6.9999 * CHOOSE(CONTROL!$C$19, $C$13, 100%, $E$13)</f>
        <v>6.9999000000000002</v>
      </c>
      <c r="D513" s="60">
        <f>7.0335 * CHOOSE(CONTROL!$C$19, $C$13, 100%, $E$13)</f>
        <v>7.0335000000000001</v>
      </c>
      <c r="E513" s="61">
        <f>8.1284 * CHOOSE(CONTROL!$C$19, $C$13, 100%, $E$13)</f>
        <v>8.1283999999999992</v>
      </c>
      <c r="F513" s="61">
        <f>8.1284 * CHOOSE(CONTROL!$C$19, $C$13, 100%, $E$13)</f>
        <v>8.1283999999999992</v>
      </c>
      <c r="G513" s="61">
        <f>8.1304 * CHOOSE(CONTROL!$C$19, $C$13, 100%, $E$13)</f>
        <v>8.1303999999999998</v>
      </c>
      <c r="H513" s="61">
        <f>11.7149* CHOOSE(CONTROL!$C$19, $C$13, 100%, $E$13)</f>
        <v>11.7149</v>
      </c>
      <c r="I513" s="61">
        <f>11.717 * CHOOSE(CONTROL!$C$19, $C$13, 100%, $E$13)</f>
        <v>11.717000000000001</v>
      </c>
      <c r="J513" s="61">
        <f>8.1284 * CHOOSE(CONTROL!$C$19, $C$13, 100%, $E$13)</f>
        <v>8.1283999999999992</v>
      </c>
      <c r="K513" s="61">
        <f>8.1304 * CHOOSE(CONTROL!$C$19, $C$13, 100%, $E$13)</f>
        <v>8.1303999999999998</v>
      </c>
    </row>
    <row r="514" spans="1:11" ht="15">
      <c r="A514" s="13">
        <v>57497</v>
      </c>
      <c r="B514" s="60">
        <f>7.0059 * CHOOSE(CONTROL!$C$19, $C$13, 100%, $E$13)</f>
        <v>7.0058999999999996</v>
      </c>
      <c r="C514" s="60">
        <f>7.0059 * CHOOSE(CONTROL!$C$19, $C$13, 100%, $E$13)</f>
        <v>7.0058999999999996</v>
      </c>
      <c r="D514" s="60">
        <f>7.0396 * CHOOSE(CONTROL!$C$19, $C$13, 100%, $E$13)</f>
        <v>7.0396000000000001</v>
      </c>
      <c r="E514" s="61">
        <f>8.0933 * CHOOSE(CONTROL!$C$19, $C$13, 100%, $E$13)</f>
        <v>8.0932999999999993</v>
      </c>
      <c r="F514" s="61">
        <f>8.0933 * CHOOSE(CONTROL!$C$19, $C$13, 100%, $E$13)</f>
        <v>8.0932999999999993</v>
      </c>
      <c r="G514" s="61">
        <f>8.0954 * CHOOSE(CONTROL!$C$19, $C$13, 100%, $E$13)</f>
        <v>8.0953999999999997</v>
      </c>
      <c r="H514" s="61">
        <f>11.7393* CHOOSE(CONTROL!$C$19, $C$13, 100%, $E$13)</f>
        <v>11.7393</v>
      </c>
      <c r="I514" s="61">
        <f>11.7414 * CHOOSE(CONTROL!$C$19, $C$13, 100%, $E$13)</f>
        <v>11.741400000000001</v>
      </c>
      <c r="J514" s="61">
        <f>8.0933 * CHOOSE(CONTROL!$C$19, $C$13, 100%, $E$13)</f>
        <v>8.0932999999999993</v>
      </c>
      <c r="K514" s="61">
        <f>8.0954 * CHOOSE(CONTROL!$C$19, $C$13, 100%, $E$13)</f>
        <v>8.0953999999999997</v>
      </c>
    </row>
    <row r="515" spans="1:11" ht="15">
      <c r="A515" s="13">
        <v>57527</v>
      </c>
      <c r="B515" s="60">
        <f>7.1097 * CHOOSE(CONTROL!$C$19, $C$13, 100%, $E$13)</f>
        <v>7.1097000000000001</v>
      </c>
      <c r="C515" s="60">
        <f>7.1097 * CHOOSE(CONTROL!$C$19, $C$13, 100%, $E$13)</f>
        <v>7.1097000000000001</v>
      </c>
      <c r="D515" s="60">
        <f>7.1433 * CHOOSE(CONTROL!$C$19, $C$13, 100%, $E$13)</f>
        <v>7.1433</v>
      </c>
      <c r="E515" s="61">
        <f>8.2456 * CHOOSE(CONTROL!$C$19, $C$13, 100%, $E$13)</f>
        <v>8.2455999999999996</v>
      </c>
      <c r="F515" s="61">
        <f>8.2456 * CHOOSE(CONTROL!$C$19, $C$13, 100%, $E$13)</f>
        <v>8.2455999999999996</v>
      </c>
      <c r="G515" s="61">
        <f>8.2477 * CHOOSE(CONTROL!$C$19, $C$13, 100%, $E$13)</f>
        <v>8.2477</v>
      </c>
      <c r="H515" s="61">
        <f>11.7638* CHOOSE(CONTROL!$C$19, $C$13, 100%, $E$13)</f>
        <v>11.7638</v>
      </c>
      <c r="I515" s="61">
        <f>11.7658 * CHOOSE(CONTROL!$C$19, $C$13, 100%, $E$13)</f>
        <v>11.7658</v>
      </c>
      <c r="J515" s="61">
        <f>8.2456 * CHOOSE(CONTROL!$C$19, $C$13, 100%, $E$13)</f>
        <v>8.2455999999999996</v>
      </c>
      <c r="K515" s="61">
        <f>8.2477 * CHOOSE(CONTROL!$C$19, $C$13, 100%, $E$13)</f>
        <v>8.2477</v>
      </c>
    </row>
    <row r="516" spans="1:11" ht="15">
      <c r="A516" s="13">
        <v>57558</v>
      </c>
      <c r="B516" s="60">
        <f>7.1163 * CHOOSE(CONTROL!$C$19, $C$13, 100%, $E$13)</f>
        <v>7.1162999999999998</v>
      </c>
      <c r="C516" s="60">
        <f>7.1163 * CHOOSE(CONTROL!$C$19, $C$13, 100%, $E$13)</f>
        <v>7.1162999999999998</v>
      </c>
      <c r="D516" s="60">
        <f>7.15 * CHOOSE(CONTROL!$C$19, $C$13, 100%, $E$13)</f>
        <v>7.15</v>
      </c>
      <c r="E516" s="61">
        <f>8.1323 * CHOOSE(CONTROL!$C$19, $C$13, 100%, $E$13)</f>
        <v>8.1323000000000008</v>
      </c>
      <c r="F516" s="61">
        <f>8.1323 * CHOOSE(CONTROL!$C$19, $C$13, 100%, $E$13)</f>
        <v>8.1323000000000008</v>
      </c>
      <c r="G516" s="61">
        <f>8.1344 * CHOOSE(CONTROL!$C$19, $C$13, 100%, $E$13)</f>
        <v>8.1343999999999994</v>
      </c>
      <c r="H516" s="61">
        <f>11.7883* CHOOSE(CONTROL!$C$19, $C$13, 100%, $E$13)</f>
        <v>11.7883</v>
      </c>
      <c r="I516" s="61">
        <f>11.7904 * CHOOSE(CONTROL!$C$19, $C$13, 100%, $E$13)</f>
        <v>11.7904</v>
      </c>
      <c r="J516" s="61">
        <f>8.1323 * CHOOSE(CONTROL!$C$19, $C$13, 100%, $E$13)</f>
        <v>8.1323000000000008</v>
      </c>
      <c r="K516" s="61">
        <f>8.1344 * CHOOSE(CONTROL!$C$19, $C$13, 100%, $E$13)</f>
        <v>8.1343999999999994</v>
      </c>
    </row>
    <row r="517" spans="1:11" ht="15">
      <c r="A517" s="13">
        <v>57589</v>
      </c>
      <c r="B517" s="60">
        <f>7.1133 * CHOOSE(CONTROL!$C$19, $C$13, 100%, $E$13)</f>
        <v>7.1132999999999997</v>
      </c>
      <c r="C517" s="60">
        <f>7.1133 * CHOOSE(CONTROL!$C$19, $C$13, 100%, $E$13)</f>
        <v>7.1132999999999997</v>
      </c>
      <c r="D517" s="60">
        <f>7.147 * CHOOSE(CONTROL!$C$19, $C$13, 100%, $E$13)</f>
        <v>7.1470000000000002</v>
      </c>
      <c r="E517" s="61">
        <f>8.117 * CHOOSE(CONTROL!$C$19, $C$13, 100%, $E$13)</f>
        <v>8.1170000000000009</v>
      </c>
      <c r="F517" s="61">
        <f>8.117 * CHOOSE(CONTROL!$C$19, $C$13, 100%, $E$13)</f>
        <v>8.1170000000000009</v>
      </c>
      <c r="G517" s="61">
        <f>8.1191 * CHOOSE(CONTROL!$C$19, $C$13, 100%, $E$13)</f>
        <v>8.1190999999999995</v>
      </c>
      <c r="H517" s="61">
        <f>11.8128* CHOOSE(CONTROL!$C$19, $C$13, 100%, $E$13)</f>
        <v>11.812799999999999</v>
      </c>
      <c r="I517" s="61">
        <f>11.8149 * CHOOSE(CONTROL!$C$19, $C$13, 100%, $E$13)</f>
        <v>11.8149</v>
      </c>
      <c r="J517" s="61">
        <f>8.117 * CHOOSE(CONTROL!$C$19, $C$13, 100%, $E$13)</f>
        <v>8.1170000000000009</v>
      </c>
      <c r="K517" s="61">
        <f>8.1191 * CHOOSE(CONTROL!$C$19, $C$13, 100%, $E$13)</f>
        <v>8.1190999999999995</v>
      </c>
    </row>
    <row r="518" spans="1:11" ht="15">
      <c r="A518" s="13">
        <v>57619</v>
      </c>
      <c r="B518" s="60">
        <f>7.1202 * CHOOSE(CONTROL!$C$19, $C$13, 100%, $E$13)</f>
        <v>7.1201999999999996</v>
      </c>
      <c r="C518" s="60">
        <f>7.1202 * CHOOSE(CONTROL!$C$19, $C$13, 100%, $E$13)</f>
        <v>7.1201999999999996</v>
      </c>
      <c r="D518" s="60">
        <f>7.1371 * CHOOSE(CONTROL!$C$19, $C$13, 100%, $E$13)</f>
        <v>7.1371000000000002</v>
      </c>
      <c r="E518" s="61">
        <f>8.1561 * CHOOSE(CONTROL!$C$19, $C$13, 100%, $E$13)</f>
        <v>8.1561000000000003</v>
      </c>
      <c r="F518" s="61">
        <f>8.1561 * CHOOSE(CONTROL!$C$19, $C$13, 100%, $E$13)</f>
        <v>8.1561000000000003</v>
      </c>
      <c r="G518" s="61">
        <f>8.1562 * CHOOSE(CONTROL!$C$19, $C$13, 100%, $E$13)</f>
        <v>8.1562000000000001</v>
      </c>
      <c r="H518" s="61">
        <f>11.8374* CHOOSE(CONTROL!$C$19, $C$13, 100%, $E$13)</f>
        <v>11.837400000000001</v>
      </c>
      <c r="I518" s="61">
        <f>11.8376 * CHOOSE(CONTROL!$C$19, $C$13, 100%, $E$13)</f>
        <v>11.8376</v>
      </c>
      <c r="J518" s="61">
        <f>8.1561 * CHOOSE(CONTROL!$C$19, $C$13, 100%, $E$13)</f>
        <v>8.1561000000000003</v>
      </c>
      <c r="K518" s="61">
        <f>8.1562 * CHOOSE(CONTROL!$C$19, $C$13, 100%, $E$13)</f>
        <v>8.1562000000000001</v>
      </c>
    </row>
    <row r="519" spans="1:11" ht="15">
      <c r="A519" s="13">
        <v>57650</v>
      </c>
      <c r="B519" s="60">
        <f>7.1233 * CHOOSE(CONTROL!$C$19, $C$13, 100%, $E$13)</f>
        <v>7.1233000000000004</v>
      </c>
      <c r="C519" s="60">
        <f>7.1233 * CHOOSE(CONTROL!$C$19, $C$13, 100%, $E$13)</f>
        <v>7.1233000000000004</v>
      </c>
      <c r="D519" s="60">
        <f>7.1401 * CHOOSE(CONTROL!$C$19, $C$13, 100%, $E$13)</f>
        <v>7.1401000000000003</v>
      </c>
      <c r="E519" s="61">
        <f>8.1844 * CHOOSE(CONTROL!$C$19, $C$13, 100%, $E$13)</f>
        <v>8.1844000000000001</v>
      </c>
      <c r="F519" s="61">
        <f>8.1844 * CHOOSE(CONTROL!$C$19, $C$13, 100%, $E$13)</f>
        <v>8.1844000000000001</v>
      </c>
      <c r="G519" s="61">
        <f>8.1846 * CHOOSE(CONTROL!$C$19, $C$13, 100%, $E$13)</f>
        <v>8.1845999999999997</v>
      </c>
      <c r="H519" s="61">
        <f>11.8621* CHOOSE(CONTROL!$C$19, $C$13, 100%, $E$13)</f>
        <v>11.8621</v>
      </c>
      <c r="I519" s="61">
        <f>11.8623 * CHOOSE(CONTROL!$C$19, $C$13, 100%, $E$13)</f>
        <v>11.862299999999999</v>
      </c>
      <c r="J519" s="61">
        <f>8.1844 * CHOOSE(CONTROL!$C$19, $C$13, 100%, $E$13)</f>
        <v>8.1844000000000001</v>
      </c>
      <c r="K519" s="61">
        <f>8.1846 * CHOOSE(CONTROL!$C$19, $C$13, 100%, $E$13)</f>
        <v>8.1845999999999997</v>
      </c>
    </row>
    <row r="520" spans="1:11" ht="15">
      <c r="A520" s="13">
        <v>57680</v>
      </c>
      <c r="B520" s="60">
        <f>7.1233 * CHOOSE(CONTROL!$C$19, $C$13, 100%, $E$13)</f>
        <v>7.1233000000000004</v>
      </c>
      <c r="C520" s="60">
        <f>7.1233 * CHOOSE(CONTROL!$C$19, $C$13, 100%, $E$13)</f>
        <v>7.1233000000000004</v>
      </c>
      <c r="D520" s="60">
        <f>7.1401 * CHOOSE(CONTROL!$C$19, $C$13, 100%, $E$13)</f>
        <v>7.1401000000000003</v>
      </c>
      <c r="E520" s="61">
        <f>8.1189 * CHOOSE(CONTROL!$C$19, $C$13, 100%, $E$13)</f>
        <v>8.1189</v>
      </c>
      <c r="F520" s="61">
        <f>8.1189 * CHOOSE(CONTROL!$C$19, $C$13, 100%, $E$13)</f>
        <v>8.1189</v>
      </c>
      <c r="G520" s="61">
        <f>8.119 * CHOOSE(CONTROL!$C$19, $C$13, 100%, $E$13)</f>
        <v>8.1189999999999998</v>
      </c>
      <c r="H520" s="61">
        <f>11.8868* CHOOSE(CONTROL!$C$19, $C$13, 100%, $E$13)</f>
        <v>11.886799999999999</v>
      </c>
      <c r="I520" s="61">
        <f>11.887 * CHOOSE(CONTROL!$C$19, $C$13, 100%, $E$13)</f>
        <v>11.887</v>
      </c>
      <c r="J520" s="61">
        <f>8.1189 * CHOOSE(CONTROL!$C$19, $C$13, 100%, $E$13)</f>
        <v>8.1189</v>
      </c>
      <c r="K520" s="61">
        <f>8.119 * CHOOSE(CONTROL!$C$19, $C$13, 100%, $E$13)</f>
        <v>8.1189999999999998</v>
      </c>
    </row>
    <row r="521" spans="1:11" ht="15">
      <c r="A521" s="13">
        <v>57711</v>
      </c>
      <c r="B521" s="60">
        <f>7.1831 * CHOOSE(CONTROL!$C$19, $C$13, 100%, $E$13)</f>
        <v>7.1830999999999996</v>
      </c>
      <c r="C521" s="60">
        <f>7.1831 * CHOOSE(CONTROL!$C$19, $C$13, 100%, $E$13)</f>
        <v>7.1830999999999996</v>
      </c>
      <c r="D521" s="60">
        <f>7.2 * CHOOSE(CONTROL!$C$19, $C$13, 100%, $E$13)</f>
        <v>7.2</v>
      </c>
      <c r="E521" s="61">
        <f>8.2442 * CHOOSE(CONTROL!$C$19, $C$13, 100%, $E$13)</f>
        <v>8.2441999999999993</v>
      </c>
      <c r="F521" s="61">
        <f>8.2442 * CHOOSE(CONTROL!$C$19, $C$13, 100%, $E$13)</f>
        <v>8.2441999999999993</v>
      </c>
      <c r="G521" s="61">
        <f>8.2443 * CHOOSE(CONTROL!$C$19, $C$13, 100%, $E$13)</f>
        <v>8.2443000000000008</v>
      </c>
      <c r="H521" s="61">
        <f>11.9116* CHOOSE(CONTROL!$C$19, $C$13, 100%, $E$13)</f>
        <v>11.9116</v>
      </c>
      <c r="I521" s="61">
        <f>11.9118 * CHOOSE(CONTROL!$C$19, $C$13, 100%, $E$13)</f>
        <v>11.911799999999999</v>
      </c>
      <c r="J521" s="61">
        <f>8.2442 * CHOOSE(CONTROL!$C$19, $C$13, 100%, $E$13)</f>
        <v>8.2441999999999993</v>
      </c>
      <c r="K521" s="61">
        <f>8.2443 * CHOOSE(CONTROL!$C$19, $C$13, 100%, $E$13)</f>
        <v>8.2443000000000008</v>
      </c>
    </row>
    <row r="522" spans="1:11" ht="15">
      <c r="A522" s="13">
        <v>57742</v>
      </c>
      <c r="B522" s="60">
        <f>7.1801 * CHOOSE(CONTROL!$C$19, $C$13, 100%, $E$13)</f>
        <v>7.1801000000000004</v>
      </c>
      <c r="C522" s="60">
        <f>7.1801 * CHOOSE(CONTROL!$C$19, $C$13, 100%, $E$13)</f>
        <v>7.1801000000000004</v>
      </c>
      <c r="D522" s="60">
        <f>7.1969 * CHOOSE(CONTROL!$C$19, $C$13, 100%, $E$13)</f>
        <v>7.1969000000000003</v>
      </c>
      <c r="E522" s="61">
        <f>8.1142 * CHOOSE(CONTROL!$C$19, $C$13, 100%, $E$13)</f>
        <v>8.1142000000000003</v>
      </c>
      <c r="F522" s="61">
        <f>8.1142 * CHOOSE(CONTROL!$C$19, $C$13, 100%, $E$13)</f>
        <v>8.1142000000000003</v>
      </c>
      <c r="G522" s="61">
        <f>8.1144 * CHOOSE(CONTROL!$C$19, $C$13, 100%, $E$13)</f>
        <v>8.1143999999999998</v>
      </c>
      <c r="H522" s="61">
        <f>11.9364* CHOOSE(CONTROL!$C$19, $C$13, 100%, $E$13)</f>
        <v>11.936400000000001</v>
      </c>
      <c r="I522" s="61">
        <f>11.9366 * CHOOSE(CONTROL!$C$19, $C$13, 100%, $E$13)</f>
        <v>11.9366</v>
      </c>
      <c r="J522" s="61">
        <f>8.1142 * CHOOSE(CONTROL!$C$19, $C$13, 100%, $E$13)</f>
        <v>8.1142000000000003</v>
      </c>
      <c r="K522" s="61">
        <f>8.1144 * CHOOSE(CONTROL!$C$19, $C$13, 100%, $E$13)</f>
        <v>8.1143999999999998</v>
      </c>
    </row>
    <row r="523" spans="1:11" ht="15">
      <c r="A523" s="13">
        <v>57770</v>
      </c>
      <c r="B523" s="60">
        <f>7.1771 * CHOOSE(CONTROL!$C$19, $C$13, 100%, $E$13)</f>
        <v>7.1771000000000003</v>
      </c>
      <c r="C523" s="60">
        <f>7.1771 * CHOOSE(CONTROL!$C$19, $C$13, 100%, $E$13)</f>
        <v>7.1771000000000003</v>
      </c>
      <c r="D523" s="60">
        <f>7.1939 * CHOOSE(CONTROL!$C$19, $C$13, 100%, $E$13)</f>
        <v>7.1939000000000002</v>
      </c>
      <c r="E523" s="61">
        <f>8.2129 * CHOOSE(CONTROL!$C$19, $C$13, 100%, $E$13)</f>
        <v>8.2128999999999994</v>
      </c>
      <c r="F523" s="61">
        <f>8.2129 * CHOOSE(CONTROL!$C$19, $C$13, 100%, $E$13)</f>
        <v>8.2128999999999994</v>
      </c>
      <c r="G523" s="61">
        <f>8.2131 * CHOOSE(CONTROL!$C$19, $C$13, 100%, $E$13)</f>
        <v>8.2131000000000007</v>
      </c>
      <c r="H523" s="61">
        <f>11.9613* CHOOSE(CONTROL!$C$19, $C$13, 100%, $E$13)</f>
        <v>11.9613</v>
      </c>
      <c r="I523" s="61">
        <f>11.9614 * CHOOSE(CONTROL!$C$19, $C$13, 100%, $E$13)</f>
        <v>11.961399999999999</v>
      </c>
      <c r="J523" s="61">
        <f>8.2129 * CHOOSE(CONTROL!$C$19, $C$13, 100%, $E$13)</f>
        <v>8.2128999999999994</v>
      </c>
      <c r="K523" s="61">
        <f>8.2131 * CHOOSE(CONTROL!$C$19, $C$13, 100%, $E$13)</f>
        <v>8.2131000000000007</v>
      </c>
    </row>
    <row r="524" spans="1:11" ht="15">
      <c r="A524" s="13">
        <v>57801</v>
      </c>
      <c r="B524" s="60">
        <f>7.1779 * CHOOSE(CONTROL!$C$19, $C$13, 100%, $E$13)</f>
        <v>7.1779000000000002</v>
      </c>
      <c r="C524" s="60">
        <f>7.1779 * CHOOSE(CONTROL!$C$19, $C$13, 100%, $E$13)</f>
        <v>7.1779000000000002</v>
      </c>
      <c r="D524" s="60">
        <f>7.1947 * CHOOSE(CONTROL!$C$19, $C$13, 100%, $E$13)</f>
        <v>7.1947000000000001</v>
      </c>
      <c r="E524" s="61">
        <f>8.3169 * CHOOSE(CONTROL!$C$19, $C$13, 100%, $E$13)</f>
        <v>8.3169000000000004</v>
      </c>
      <c r="F524" s="61">
        <f>8.3169 * CHOOSE(CONTROL!$C$19, $C$13, 100%, $E$13)</f>
        <v>8.3169000000000004</v>
      </c>
      <c r="G524" s="61">
        <f>8.317 * CHOOSE(CONTROL!$C$19, $C$13, 100%, $E$13)</f>
        <v>8.3170000000000002</v>
      </c>
      <c r="H524" s="61">
        <f>11.9862* CHOOSE(CONTROL!$C$19, $C$13, 100%, $E$13)</f>
        <v>11.9862</v>
      </c>
      <c r="I524" s="61">
        <f>11.9864 * CHOOSE(CONTROL!$C$19, $C$13, 100%, $E$13)</f>
        <v>11.9864</v>
      </c>
      <c r="J524" s="61">
        <f>8.3169 * CHOOSE(CONTROL!$C$19, $C$13, 100%, $E$13)</f>
        <v>8.3169000000000004</v>
      </c>
      <c r="K524" s="61">
        <f>8.317 * CHOOSE(CONTROL!$C$19, $C$13, 100%, $E$13)</f>
        <v>8.3170000000000002</v>
      </c>
    </row>
    <row r="525" spans="1:11" ht="15">
      <c r="A525" s="13">
        <v>57831</v>
      </c>
      <c r="B525" s="60">
        <f>7.1779 * CHOOSE(CONTROL!$C$19, $C$13, 100%, $E$13)</f>
        <v>7.1779000000000002</v>
      </c>
      <c r="C525" s="60">
        <f>7.1779 * CHOOSE(CONTROL!$C$19, $C$13, 100%, $E$13)</f>
        <v>7.1779000000000002</v>
      </c>
      <c r="D525" s="60">
        <f>7.2115 * CHOOSE(CONTROL!$C$19, $C$13, 100%, $E$13)</f>
        <v>7.2115</v>
      </c>
      <c r="E525" s="61">
        <f>8.3574 * CHOOSE(CONTROL!$C$19, $C$13, 100%, $E$13)</f>
        <v>8.3574000000000002</v>
      </c>
      <c r="F525" s="61">
        <f>8.3574 * CHOOSE(CONTROL!$C$19, $C$13, 100%, $E$13)</f>
        <v>8.3574000000000002</v>
      </c>
      <c r="G525" s="61">
        <f>8.3595 * CHOOSE(CONTROL!$C$19, $C$13, 100%, $E$13)</f>
        <v>8.3595000000000006</v>
      </c>
      <c r="H525" s="61">
        <f>12.0111* CHOOSE(CONTROL!$C$19, $C$13, 100%, $E$13)</f>
        <v>12.011100000000001</v>
      </c>
      <c r="I525" s="61">
        <f>12.0132 * CHOOSE(CONTROL!$C$19, $C$13, 100%, $E$13)</f>
        <v>12.013199999999999</v>
      </c>
      <c r="J525" s="61">
        <f>8.3574 * CHOOSE(CONTROL!$C$19, $C$13, 100%, $E$13)</f>
        <v>8.3574000000000002</v>
      </c>
      <c r="K525" s="61">
        <f>8.3595 * CHOOSE(CONTROL!$C$19, $C$13, 100%, $E$13)</f>
        <v>8.3595000000000006</v>
      </c>
    </row>
    <row r="526" spans="1:11" ht="15">
      <c r="A526" s="13">
        <v>57862</v>
      </c>
      <c r="B526" s="60">
        <f>7.1839 * CHOOSE(CONTROL!$C$19, $C$13, 100%, $E$13)</f>
        <v>7.1839000000000004</v>
      </c>
      <c r="C526" s="60">
        <f>7.1839 * CHOOSE(CONTROL!$C$19, $C$13, 100%, $E$13)</f>
        <v>7.1839000000000004</v>
      </c>
      <c r="D526" s="60">
        <f>7.2176 * CHOOSE(CONTROL!$C$19, $C$13, 100%, $E$13)</f>
        <v>7.2176</v>
      </c>
      <c r="E526" s="61">
        <f>8.3211 * CHOOSE(CONTROL!$C$19, $C$13, 100%, $E$13)</f>
        <v>8.3210999999999995</v>
      </c>
      <c r="F526" s="61">
        <f>8.3211 * CHOOSE(CONTROL!$C$19, $C$13, 100%, $E$13)</f>
        <v>8.3210999999999995</v>
      </c>
      <c r="G526" s="61">
        <f>8.3232 * CHOOSE(CONTROL!$C$19, $C$13, 100%, $E$13)</f>
        <v>8.3231999999999999</v>
      </c>
      <c r="H526" s="61">
        <f>12.0362* CHOOSE(CONTROL!$C$19, $C$13, 100%, $E$13)</f>
        <v>12.036199999999999</v>
      </c>
      <c r="I526" s="61">
        <f>12.0383 * CHOOSE(CONTROL!$C$19, $C$13, 100%, $E$13)</f>
        <v>12.0383</v>
      </c>
      <c r="J526" s="61">
        <f>8.3211 * CHOOSE(CONTROL!$C$19, $C$13, 100%, $E$13)</f>
        <v>8.3210999999999995</v>
      </c>
      <c r="K526" s="61">
        <f>8.3232 * CHOOSE(CONTROL!$C$19, $C$13, 100%, $E$13)</f>
        <v>8.3231999999999999</v>
      </c>
    </row>
    <row r="527" spans="1:11" ht="15">
      <c r="A527" s="13">
        <v>57892</v>
      </c>
      <c r="B527" s="60">
        <f>7.2899 * CHOOSE(CONTROL!$C$19, $C$13, 100%, $E$13)</f>
        <v>7.2899000000000003</v>
      </c>
      <c r="C527" s="60">
        <f>7.2899 * CHOOSE(CONTROL!$C$19, $C$13, 100%, $E$13)</f>
        <v>7.2899000000000003</v>
      </c>
      <c r="D527" s="60">
        <f>7.3236 * CHOOSE(CONTROL!$C$19, $C$13, 100%, $E$13)</f>
        <v>7.3235999999999999</v>
      </c>
      <c r="E527" s="61">
        <f>8.4774 * CHOOSE(CONTROL!$C$19, $C$13, 100%, $E$13)</f>
        <v>8.4773999999999994</v>
      </c>
      <c r="F527" s="61">
        <f>8.4774 * CHOOSE(CONTROL!$C$19, $C$13, 100%, $E$13)</f>
        <v>8.4773999999999994</v>
      </c>
      <c r="G527" s="61">
        <f>8.4795 * CHOOSE(CONTROL!$C$19, $C$13, 100%, $E$13)</f>
        <v>8.4794999999999998</v>
      </c>
      <c r="H527" s="61">
        <f>12.0612* CHOOSE(CONTROL!$C$19, $C$13, 100%, $E$13)</f>
        <v>12.061199999999999</v>
      </c>
      <c r="I527" s="61">
        <f>12.0633 * CHOOSE(CONTROL!$C$19, $C$13, 100%, $E$13)</f>
        <v>12.0633</v>
      </c>
      <c r="J527" s="61">
        <f>8.4774 * CHOOSE(CONTROL!$C$19, $C$13, 100%, $E$13)</f>
        <v>8.4773999999999994</v>
      </c>
      <c r="K527" s="61">
        <f>8.4795 * CHOOSE(CONTROL!$C$19, $C$13, 100%, $E$13)</f>
        <v>8.4794999999999998</v>
      </c>
    </row>
    <row r="528" spans="1:11" ht="15">
      <c r="A528" s="13">
        <v>57923</v>
      </c>
      <c r="B528" s="60">
        <f>7.2966 * CHOOSE(CONTROL!$C$19, $C$13, 100%, $E$13)</f>
        <v>7.2965999999999998</v>
      </c>
      <c r="C528" s="60">
        <f>7.2966 * CHOOSE(CONTROL!$C$19, $C$13, 100%, $E$13)</f>
        <v>7.2965999999999998</v>
      </c>
      <c r="D528" s="60">
        <f>7.3303 * CHOOSE(CONTROL!$C$19, $C$13, 100%, $E$13)</f>
        <v>7.3303000000000003</v>
      </c>
      <c r="E528" s="61">
        <f>8.3603 * CHOOSE(CONTROL!$C$19, $C$13, 100%, $E$13)</f>
        <v>8.3603000000000005</v>
      </c>
      <c r="F528" s="61">
        <f>8.3603 * CHOOSE(CONTROL!$C$19, $C$13, 100%, $E$13)</f>
        <v>8.3603000000000005</v>
      </c>
      <c r="G528" s="61">
        <f>8.3624 * CHOOSE(CONTROL!$C$19, $C$13, 100%, $E$13)</f>
        <v>8.3623999999999992</v>
      </c>
      <c r="H528" s="61">
        <f>12.0864* CHOOSE(CONTROL!$C$19, $C$13, 100%, $E$13)</f>
        <v>12.086399999999999</v>
      </c>
      <c r="I528" s="61">
        <f>12.0885 * CHOOSE(CONTROL!$C$19, $C$13, 100%, $E$13)</f>
        <v>12.0885</v>
      </c>
      <c r="J528" s="61">
        <f>8.3603 * CHOOSE(CONTROL!$C$19, $C$13, 100%, $E$13)</f>
        <v>8.3603000000000005</v>
      </c>
      <c r="K528" s="61">
        <f>8.3624 * CHOOSE(CONTROL!$C$19, $C$13, 100%, $E$13)</f>
        <v>8.3623999999999992</v>
      </c>
    </row>
    <row r="529" spans="1:11" ht="15">
      <c r="A529" s="13">
        <v>57954</v>
      </c>
      <c r="B529" s="60">
        <f>7.2936 * CHOOSE(CONTROL!$C$19, $C$13, 100%, $E$13)</f>
        <v>7.2935999999999996</v>
      </c>
      <c r="C529" s="60">
        <f>7.2936 * CHOOSE(CONTROL!$C$19, $C$13, 100%, $E$13)</f>
        <v>7.2935999999999996</v>
      </c>
      <c r="D529" s="60">
        <f>7.3272 * CHOOSE(CONTROL!$C$19, $C$13, 100%, $E$13)</f>
        <v>7.3272000000000004</v>
      </c>
      <c r="E529" s="61">
        <f>8.3447 * CHOOSE(CONTROL!$C$19, $C$13, 100%, $E$13)</f>
        <v>8.3446999999999996</v>
      </c>
      <c r="F529" s="61">
        <f>8.3447 * CHOOSE(CONTROL!$C$19, $C$13, 100%, $E$13)</f>
        <v>8.3446999999999996</v>
      </c>
      <c r="G529" s="61">
        <f>8.3468 * CHOOSE(CONTROL!$C$19, $C$13, 100%, $E$13)</f>
        <v>8.3468</v>
      </c>
      <c r="H529" s="61">
        <f>12.1116* CHOOSE(CONTROL!$C$19, $C$13, 100%, $E$13)</f>
        <v>12.111599999999999</v>
      </c>
      <c r="I529" s="61">
        <f>12.1136 * CHOOSE(CONTROL!$C$19, $C$13, 100%, $E$13)</f>
        <v>12.1136</v>
      </c>
      <c r="J529" s="61">
        <f>8.3447 * CHOOSE(CONTROL!$C$19, $C$13, 100%, $E$13)</f>
        <v>8.3446999999999996</v>
      </c>
      <c r="K529" s="61">
        <f>8.3468 * CHOOSE(CONTROL!$C$19, $C$13, 100%, $E$13)</f>
        <v>8.3468</v>
      </c>
    </row>
    <row r="530" spans="1:11" ht="15">
      <c r="A530" s="13">
        <v>57984</v>
      </c>
      <c r="B530" s="60">
        <f>7.3012 * CHOOSE(CONTROL!$C$19, $C$13, 100%, $E$13)</f>
        <v>7.3011999999999997</v>
      </c>
      <c r="C530" s="60">
        <f>7.3012 * CHOOSE(CONTROL!$C$19, $C$13, 100%, $E$13)</f>
        <v>7.3011999999999997</v>
      </c>
      <c r="D530" s="60">
        <f>7.318 * CHOOSE(CONTROL!$C$19, $C$13, 100%, $E$13)</f>
        <v>7.3179999999999996</v>
      </c>
      <c r="E530" s="61">
        <f>8.3854 * CHOOSE(CONTROL!$C$19, $C$13, 100%, $E$13)</f>
        <v>8.3854000000000006</v>
      </c>
      <c r="F530" s="61">
        <f>8.3854 * CHOOSE(CONTROL!$C$19, $C$13, 100%, $E$13)</f>
        <v>8.3854000000000006</v>
      </c>
      <c r="G530" s="61">
        <f>8.3855 * CHOOSE(CONTROL!$C$19, $C$13, 100%, $E$13)</f>
        <v>8.3855000000000004</v>
      </c>
      <c r="H530" s="61">
        <f>12.1368* CHOOSE(CONTROL!$C$19, $C$13, 100%, $E$13)</f>
        <v>12.136799999999999</v>
      </c>
      <c r="I530" s="61">
        <f>12.137 * CHOOSE(CONTROL!$C$19, $C$13, 100%, $E$13)</f>
        <v>12.137</v>
      </c>
      <c r="J530" s="61">
        <f>8.3854 * CHOOSE(CONTROL!$C$19, $C$13, 100%, $E$13)</f>
        <v>8.3854000000000006</v>
      </c>
      <c r="K530" s="61">
        <f>8.3855 * CHOOSE(CONTROL!$C$19, $C$13, 100%, $E$13)</f>
        <v>8.3855000000000004</v>
      </c>
    </row>
    <row r="531" spans="1:11" ht="15">
      <c r="A531" s="13">
        <v>58015</v>
      </c>
      <c r="B531" s="60">
        <f>7.3042 * CHOOSE(CONTROL!$C$19, $C$13, 100%, $E$13)</f>
        <v>7.3041999999999998</v>
      </c>
      <c r="C531" s="60">
        <f>7.3042 * CHOOSE(CONTROL!$C$19, $C$13, 100%, $E$13)</f>
        <v>7.3041999999999998</v>
      </c>
      <c r="D531" s="60">
        <f>7.3211 * CHOOSE(CONTROL!$C$19, $C$13, 100%, $E$13)</f>
        <v>7.3211000000000004</v>
      </c>
      <c r="E531" s="61">
        <f>8.4145 * CHOOSE(CONTROL!$C$19, $C$13, 100%, $E$13)</f>
        <v>8.4145000000000003</v>
      </c>
      <c r="F531" s="61">
        <f>8.4145 * CHOOSE(CONTROL!$C$19, $C$13, 100%, $E$13)</f>
        <v>8.4145000000000003</v>
      </c>
      <c r="G531" s="61">
        <f>8.4147 * CHOOSE(CONTROL!$C$19, $C$13, 100%, $E$13)</f>
        <v>8.4146999999999998</v>
      </c>
      <c r="H531" s="61">
        <f>12.1621* CHOOSE(CONTROL!$C$19, $C$13, 100%, $E$13)</f>
        <v>12.162100000000001</v>
      </c>
      <c r="I531" s="61">
        <f>12.1622 * CHOOSE(CONTROL!$C$19, $C$13, 100%, $E$13)</f>
        <v>12.1622</v>
      </c>
      <c r="J531" s="61">
        <f>8.4145 * CHOOSE(CONTROL!$C$19, $C$13, 100%, $E$13)</f>
        <v>8.4145000000000003</v>
      </c>
      <c r="K531" s="61">
        <f>8.4147 * CHOOSE(CONTROL!$C$19, $C$13, 100%, $E$13)</f>
        <v>8.4146999999999998</v>
      </c>
    </row>
    <row r="532" spans="1:11" ht="15">
      <c r="A532" s="13">
        <v>58045</v>
      </c>
      <c r="B532" s="60">
        <f>7.3042 * CHOOSE(CONTROL!$C$19, $C$13, 100%, $E$13)</f>
        <v>7.3041999999999998</v>
      </c>
      <c r="C532" s="60">
        <f>7.3042 * CHOOSE(CONTROL!$C$19, $C$13, 100%, $E$13)</f>
        <v>7.3041999999999998</v>
      </c>
      <c r="D532" s="60">
        <f>7.3211 * CHOOSE(CONTROL!$C$19, $C$13, 100%, $E$13)</f>
        <v>7.3211000000000004</v>
      </c>
      <c r="E532" s="61">
        <f>8.3469 * CHOOSE(CONTROL!$C$19, $C$13, 100%, $E$13)</f>
        <v>8.3468999999999998</v>
      </c>
      <c r="F532" s="61">
        <f>8.3469 * CHOOSE(CONTROL!$C$19, $C$13, 100%, $E$13)</f>
        <v>8.3468999999999998</v>
      </c>
      <c r="G532" s="61">
        <f>8.3471 * CHOOSE(CONTROL!$C$19, $C$13, 100%, $E$13)</f>
        <v>8.3470999999999993</v>
      </c>
      <c r="H532" s="61">
        <f>12.1874* CHOOSE(CONTROL!$C$19, $C$13, 100%, $E$13)</f>
        <v>12.1874</v>
      </c>
      <c r="I532" s="61">
        <f>12.1876 * CHOOSE(CONTROL!$C$19, $C$13, 100%, $E$13)</f>
        <v>12.1876</v>
      </c>
      <c r="J532" s="61">
        <f>8.3469 * CHOOSE(CONTROL!$C$19, $C$13, 100%, $E$13)</f>
        <v>8.3468999999999998</v>
      </c>
      <c r="K532" s="61">
        <f>8.3471 * CHOOSE(CONTROL!$C$19, $C$13, 100%, $E$13)</f>
        <v>8.3470999999999993</v>
      </c>
    </row>
    <row r="533" spans="1:11" ht="15">
      <c r="A533" s="13">
        <v>58076</v>
      </c>
      <c r="B533" s="60">
        <f>7.3655 * CHOOSE(CONTROL!$C$19, $C$13, 100%, $E$13)</f>
        <v>7.3654999999999999</v>
      </c>
      <c r="C533" s="60">
        <f>7.3655 * CHOOSE(CONTROL!$C$19, $C$13, 100%, $E$13)</f>
        <v>7.3654999999999999</v>
      </c>
      <c r="D533" s="60">
        <f>7.3823 * CHOOSE(CONTROL!$C$19, $C$13, 100%, $E$13)</f>
        <v>7.3822999999999999</v>
      </c>
      <c r="E533" s="61">
        <f>8.4758 * CHOOSE(CONTROL!$C$19, $C$13, 100%, $E$13)</f>
        <v>8.4757999999999996</v>
      </c>
      <c r="F533" s="61">
        <f>8.4758 * CHOOSE(CONTROL!$C$19, $C$13, 100%, $E$13)</f>
        <v>8.4757999999999996</v>
      </c>
      <c r="G533" s="61">
        <f>8.476 * CHOOSE(CONTROL!$C$19, $C$13, 100%, $E$13)</f>
        <v>8.4760000000000009</v>
      </c>
      <c r="H533" s="61">
        <f>12.2128* CHOOSE(CONTROL!$C$19, $C$13, 100%, $E$13)</f>
        <v>12.2128</v>
      </c>
      <c r="I533" s="61">
        <f>12.213 * CHOOSE(CONTROL!$C$19, $C$13, 100%, $E$13)</f>
        <v>12.212999999999999</v>
      </c>
      <c r="J533" s="61">
        <f>8.4758 * CHOOSE(CONTROL!$C$19, $C$13, 100%, $E$13)</f>
        <v>8.4757999999999996</v>
      </c>
      <c r="K533" s="61">
        <f>8.476 * CHOOSE(CONTROL!$C$19, $C$13, 100%, $E$13)</f>
        <v>8.4760000000000009</v>
      </c>
    </row>
    <row r="534" spans="1:11" ht="15">
      <c r="A534" s="13">
        <v>58107</v>
      </c>
      <c r="B534" s="60">
        <f>7.3624 * CHOOSE(CONTROL!$C$19, $C$13, 100%, $E$13)</f>
        <v>7.3624000000000001</v>
      </c>
      <c r="C534" s="60">
        <f>7.3624 * CHOOSE(CONTROL!$C$19, $C$13, 100%, $E$13)</f>
        <v>7.3624000000000001</v>
      </c>
      <c r="D534" s="60">
        <f>7.3793 * CHOOSE(CONTROL!$C$19, $C$13, 100%, $E$13)</f>
        <v>7.3792999999999997</v>
      </c>
      <c r="E534" s="61">
        <f>8.3418 * CHOOSE(CONTROL!$C$19, $C$13, 100%, $E$13)</f>
        <v>8.3417999999999992</v>
      </c>
      <c r="F534" s="61">
        <f>8.3418 * CHOOSE(CONTROL!$C$19, $C$13, 100%, $E$13)</f>
        <v>8.3417999999999992</v>
      </c>
      <c r="G534" s="61">
        <f>8.342 * CHOOSE(CONTROL!$C$19, $C$13, 100%, $E$13)</f>
        <v>8.3420000000000005</v>
      </c>
      <c r="H534" s="61">
        <f>12.2382* CHOOSE(CONTROL!$C$19, $C$13, 100%, $E$13)</f>
        <v>12.238200000000001</v>
      </c>
      <c r="I534" s="61">
        <f>12.2384 * CHOOSE(CONTROL!$C$19, $C$13, 100%, $E$13)</f>
        <v>12.2384</v>
      </c>
      <c r="J534" s="61">
        <f>8.3418 * CHOOSE(CONTROL!$C$19, $C$13, 100%, $E$13)</f>
        <v>8.3417999999999992</v>
      </c>
      <c r="K534" s="61">
        <f>8.342 * CHOOSE(CONTROL!$C$19, $C$13, 100%, $E$13)</f>
        <v>8.3420000000000005</v>
      </c>
    </row>
    <row r="535" spans="1:11" ht="15">
      <c r="A535" s="13">
        <v>58135</v>
      </c>
      <c r="B535" s="60">
        <f>7.3594 * CHOOSE(CONTROL!$C$19, $C$13, 100%, $E$13)</f>
        <v>7.3593999999999999</v>
      </c>
      <c r="C535" s="60">
        <f>7.3594 * CHOOSE(CONTROL!$C$19, $C$13, 100%, $E$13)</f>
        <v>7.3593999999999999</v>
      </c>
      <c r="D535" s="60">
        <f>7.3762 * CHOOSE(CONTROL!$C$19, $C$13, 100%, $E$13)</f>
        <v>7.3761999999999999</v>
      </c>
      <c r="E535" s="61">
        <f>8.4437 * CHOOSE(CONTROL!$C$19, $C$13, 100%, $E$13)</f>
        <v>8.4436999999999998</v>
      </c>
      <c r="F535" s="61">
        <f>8.4437 * CHOOSE(CONTROL!$C$19, $C$13, 100%, $E$13)</f>
        <v>8.4436999999999998</v>
      </c>
      <c r="G535" s="61">
        <f>8.4439 * CHOOSE(CONTROL!$C$19, $C$13, 100%, $E$13)</f>
        <v>8.4438999999999993</v>
      </c>
      <c r="H535" s="61">
        <f>12.2637* CHOOSE(CONTROL!$C$19, $C$13, 100%, $E$13)</f>
        <v>12.2637</v>
      </c>
      <c r="I535" s="61">
        <f>12.2639 * CHOOSE(CONTROL!$C$19, $C$13, 100%, $E$13)</f>
        <v>12.2639</v>
      </c>
      <c r="J535" s="61">
        <f>8.4437 * CHOOSE(CONTROL!$C$19, $C$13, 100%, $E$13)</f>
        <v>8.4436999999999998</v>
      </c>
      <c r="K535" s="61">
        <f>8.4439 * CHOOSE(CONTROL!$C$19, $C$13, 100%, $E$13)</f>
        <v>8.4438999999999993</v>
      </c>
    </row>
    <row r="536" spans="1:11" ht="15">
      <c r="A536" s="13">
        <v>58166</v>
      </c>
      <c r="B536" s="60">
        <f>7.3604 * CHOOSE(CONTROL!$C$19, $C$13, 100%, $E$13)</f>
        <v>7.3604000000000003</v>
      </c>
      <c r="C536" s="60">
        <f>7.3604 * CHOOSE(CONTROL!$C$19, $C$13, 100%, $E$13)</f>
        <v>7.3604000000000003</v>
      </c>
      <c r="D536" s="60">
        <f>7.3772 * CHOOSE(CONTROL!$C$19, $C$13, 100%, $E$13)</f>
        <v>7.3772000000000002</v>
      </c>
      <c r="E536" s="61">
        <f>8.5511 * CHOOSE(CONTROL!$C$19, $C$13, 100%, $E$13)</f>
        <v>8.5510999999999999</v>
      </c>
      <c r="F536" s="61">
        <f>8.5511 * CHOOSE(CONTROL!$C$19, $C$13, 100%, $E$13)</f>
        <v>8.5510999999999999</v>
      </c>
      <c r="G536" s="61">
        <f>8.5513 * CHOOSE(CONTROL!$C$19, $C$13, 100%, $E$13)</f>
        <v>8.5512999999999995</v>
      </c>
      <c r="H536" s="61">
        <f>12.2893* CHOOSE(CONTROL!$C$19, $C$13, 100%, $E$13)</f>
        <v>12.289300000000001</v>
      </c>
      <c r="I536" s="61">
        <f>12.2895 * CHOOSE(CONTROL!$C$19, $C$13, 100%, $E$13)</f>
        <v>12.2895</v>
      </c>
      <c r="J536" s="61">
        <f>8.5511 * CHOOSE(CONTROL!$C$19, $C$13, 100%, $E$13)</f>
        <v>8.5510999999999999</v>
      </c>
      <c r="K536" s="61">
        <f>8.5513 * CHOOSE(CONTROL!$C$19, $C$13, 100%, $E$13)</f>
        <v>8.5512999999999995</v>
      </c>
    </row>
    <row r="537" spans="1:11" ht="15">
      <c r="A537" s="13">
        <v>58196</v>
      </c>
      <c r="B537" s="60">
        <f>7.3604 * CHOOSE(CONTROL!$C$19, $C$13, 100%, $E$13)</f>
        <v>7.3604000000000003</v>
      </c>
      <c r="C537" s="60">
        <f>7.3604 * CHOOSE(CONTROL!$C$19, $C$13, 100%, $E$13)</f>
        <v>7.3604000000000003</v>
      </c>
      <c r="D537" s="60">
        <f>7.394 * CHOOSE(CONTROL!$C$19, $C$13, 100%, $E$13)</f>
        <v>7.3940000000000001</v>
      </c>
      <c r="E537" s="61">
        <f>8.593 * CHOOSE(CONTROL!$C$19, $C$13, 100%, $E$13)</f>
        <v>8.593</v>
      </c>
      <c r="F537" s="61">
        <f>8.593 * CHOOSE(CONTROL!$C$19, $C$13, 100%, $E$13)</f>
        <v>8.593</v>
      </c>
      <c r="G537" s="61">
        <f>8.5951 * CHOOSE(CONTROL!$C$19, $C$13, 100%, $E$13)</f>
        <v>8.5951000000000004</v>
      </c>
      <c r="H537" s="61">
        <f>12.3149* CHOOSE(CONTROL!$C$19, $C$13, 100%, $E$13)</f>
        <v>12.3149</v>
      </c>
      <c r="I537" s="61">
        <f>12.317 * CHOOSE(CONTROL!$C$19, $C$13, 100%, $E$13)</f>
        <v>12.317</v>
      </c>
      <c r="J537" s="61">
        <f>8.593 * CHOOSE(CONTROL!$C$19, $C$13, 100%, $E$13)</f>
        <v>8.593</v>
      </c>
      <c r="K537" s="61">
        <f>8.5951 * CHOOSE(CONTROL!$C$19, $C$13, 100%, $E$13)</f>
        <v>8.5951000000000004</v>
      </c>
    </row>
    <row r="538" spans="1:11" ht="15">
      <c r="A538" s="13">
        <v>58227</v>
      </c>
      <c r="B538" s="60">
        <f>7.3665 * CHOOSE(CONTROL!$C$19, $C$13, 100%, $E$13)</f>
        <v>7.3665000000000003</v>
      </c>
      <c r="C538" s="60">
        <f>7.3665 * CHOOSE(CONTROL!$C$19, $C$13, 100%, $E$13)</f>
        <v>7.3665000000000003</v>
      </c>
      <c r="D538" s="60">
        <f>7.4001 * CHOOSE(CONTROL!$C$19, $C$13, 100%, $E$13)</f>
        <v>7.4001000000000001</v>
      </c>
      <c r="E538" s="61">
        <f>8.5553 * CHOOSE(CONTROL!$C$19, $C$13, 100%, $E$13)</f>
        <v>8.5553000000000008</v>
      </c>
      <c r="F538" s="61">
        <f>8.5553 * CHOOSE(CONTROL!$C$19, $C$13, 100%, $E$13)</f>
        <v>8.5553000000000008</v>
      </c>
      <c r="G538" s="61">
        <f>8.5574 * CHOOSE(CONTROL!$C$19, $C$13, 100%, $E$13)</f>
        <v>8.5573999999999995</v>
      </c>
      <c r="H538" s="61">
        <f>12.3405* CHOOSE(CONTROL!$C$19, $C$13, 100%, $E$13)</f>
        <v>12.3405</v>
      </c>
      <c r="I538" s="61">
        <f>12.3426 * CHOOSE(CONTROL!$C$19, $C$13, 100%, $E$13)</f>
        <v>12.342599999999999</v>
      </c>
      <c r="J538" s="61">
        <f>8.5553 * CHOOSE(CONTROL!$C$19, $C$13, 100%, $E$13)</f>
        <v>8.5553000000000008</v>
      </c>
      <c r="K538" s="61">
        <f>8.5574 * CHOOSE(CONTROL!$C$19, $C$13, 100%, $E$13)</f>
        <v>8.5573999999999995</v>
      </c>
    </row>
    <row r="539" spans="1:11" ht="15">
      <c r="A539" s="13">
        <v>58257</v>
      </c>
      <c r="B539" s="60">
        <f>7.4748 * CHOOSE(CONTROL!$C$19, $C$13, 100%, $E$13)</f>
        <v>7.4748000000000001</v>
      </c>
      <c r="C539" s="60">
        <f>7.4748 * CHOOSE(CONTROL!$C$19, $C$13, 100%, $E$13)</f>
        <v>7.4748000000000001</v>
      </c>
      <c r="D539" s="60">
        <f>7.5084 * CHOOSE(CONTROL!$C$19, $C$13, 100%, $E$13)</f>
        <v>7.5084</v>
      </c>
      <c r="E539" s="61">
        <f>8.7157 * CHOOSE(CONTROL!$C$19, $C$13, 100%, $E$13)</f>
        <v>8.7157</v>
      </c>
      <c r="F539" s="61">
        <f>8.7157 * CHOOSE(CONTROL!$C$19, $C$13, 100%, $E$13)</f>
        <v>8.7157</v>
      </c>
      <c r="G539" s="61">
        <f>8.7178 * CHOOSE(CONTROL!$C$19, $C$13, 100%, $E$13)</f>
        <v>8.7178000000000004</v>
      </c>
      <c r="H539" s="61">
        <f>12.3663* CHOOSE(CONTROL!$C$19, $C$13, 100%, $E$13)</f>
        <v>12.366300000000001</v>
      </c>
      <c r="I539" s="61">
        <f>12.3683 * CHOOSE(CONTROL!$C$19, $C$13, 100%, $E$13)</f>
        <v>12.3683</v>
      </c>
      <c r="J539" s="61">
        <f>8.7157 * CHOOSE(CONTROL!$C$19, $C$13, 100%, $E$13)</f>
        <v>8.7157</v>
      </c>
      <c r="K539" s="61">
        <f>8.7178 * CHOOSE(CONTROL!$C$19, $C$13, 100%, $E$13)</f>
        <v>8.7178000000000004</v>
      </c>
    </row>
    <row r="540" spans="1:11" ht="15">
      <c r="A540" s="13">
        <v>58288</v>
      </c>
      <c r="B540" s="60">
        <f>7.4815 * CHOOSE(CONTROL!$C$19, $C$13, 100%, $E$13)</f>
        <v>7.4814999999999996</v>
      </c>
      <c r="C540" s="60">
        <f>7.4815 * CHOOSE(CONTROL!$C$19, $C$13, 100%, $E$13)</f>
        <v>7.4814999999999996</v>
      </c>
      <c r="D540" s="60">
        <f>7.5151 * CHOOSE(CONTROL!$C$19, $C$13, 100%, $E$13)</f>
        <v>7.5151000000000003</v>
      </c>
      <c r="E540" s="61">
        <f>8.5948 * CHOOSE(CONTROL!$C$19, $C$13, 100%, $E$13)</f>
        <v>8.5947999999999993</v>
      </c>
      <c r="F540" s="61">
        <f>8.5948 * CHOOSE(CONTROL!$C$19, $C$13, 100%, $E$13)</f>
        <v>8.5947999999999993</v>
      </c>
      <c r="G540" s="61">
        <f>8.5969 * CHOOSE(CONTROL!$C$19, $C$13, 100%, $E$13)</f>
        <v>8.5968999999999998</v>
      </c>
      <c r="H540" s="61">
        <f>12.392* CHOOSE(CONTROL!$C$19, $C$13, 100%, $E$13)</f>
        <v>12.391999999999999</v>
      </c>
      <c r="I540" s="61">
        <f>12.3941 * CHOOSE(CONTROL!$C$19, $C$13, 100%, $E$13)</f>
        <v>12.3941</v>
      </c>
      <c r="J540" s="61">
        <f>8.5948 * CHOOSE(CONTROL!$C$19, $C$13, 100%, $E$13)</f>
        <v>8.5947999999999993</v>
      </c>
      <c r="K540" s="61">
        <f>8.5969 * CHOOSE(CONTROL!$C$19, $C$13, 100%, $E$13)</f>
        <v>8.5968999999999998</v>
      </c>
    </row>
    <row r="541" spans="1:11" ht="15">
      <c r="A541" s="13">
        <v>58319</v>
      </c>
      <c r="B541" s="60">
        <f>7.4784 * CHOOSE(CONTROL!$C$19, $C$13, 100%, $E$13)</f>
        <v>7.4783999999999997</v>
      </c>
      <c r="C541" s="60">
        <f>7.4784 * CHOOSE(CONTROL!$C$19, $C$13, 100%, $E$13)</f>
        <v>7.4783999999999997</v>
      </c>
      <c r="D541" s="60">
        <f>7.5121 * CHOOSE(CONTROL!$C$19, $C$13, 100%, $E$13)</f>
        <v>7.5121000000000002</v>
      </c>
      <c r="E541" s="61">
        <f>8.5787 * CHOOSE(CONTROL!$C$19, $C$13, 100%, $E$13)</f>
        <v>8.5786999999999995</v>
      </c>
      <c r="F541" s="61">
        <f>8.5787 * CHOOSE(CONTROL!$C$19, $C$13, 100%, $E$13)</f>
        <v>8.5786999999999995</v>
      </c>
      <c r="G541" s="61">
        <f>8.5808 * CHOOSE(CONTROL!$C$19, $C$13, 100%, $E$13)</f>
        <v>8.5808</v>
      </c>
      <c r="H541" s="61">
        <f>12.4178* CHOOSE(CONTROL!$C$19, $C$13, 100%, $E$13)</f>
        <v>12.4178</v>
      </c>
      <c r="I541" s="61">
        <f>12.4199 * CHOOSE(CONTROL!$C$19, $C$13, 100%, $E$13)</f>
        <v>12.4199</v>
      </c>
      <c r="J541" s="61">
        <f>8.5787 * CHOOSE(CONTROL!$C$19, $C$13, 100%, $E$13)</f>
        <v>8.5786999999999995</v>
      </c>
      <c r="K541" s="61">
        <f>8.5808 * CHOOSE(CONTROL!$C$19, $C$13, 100%, $E$13)</f>
        <v>8.5808</v>
      </c>
    </row>
    <row r="542" spans="1:11" ht="15">
      <c r="A542" s="13">
        <v>58349</v>
      </c>
      <c r="B542" s="60">
        <f>7.4867 * CHOOSE(CONTROL!$C$19, $C$13, 100%, $E$13)</f>
        <v>7.4866999999999999</v>
      </c>
      <c r="C542" s="60">
        <f>7.4867 * CHOOSE(CONTROL!$C$19, $C$13, 100%, $E$13)</f>
        <v>7.4866999999999999</v>
      </c>
      <c r="D542" s="60">
        <f>7.5036 * CHOOSE(CONTROL!$C$19, $C$13, 100%, $E$13)</f>
        <v>7.5035999999999996</v>
      </c>
      <c r="E542" s="61">
        <f>8.6211 * CHOOSE(CONTROL!$C$19, $C$13, 100%, $E$13)</f>
        <v>8.6211000000000002</v>
      </c>
      <c r="F542" s="61">
        <f>8.6211 * CHOOSE(CONTROL!$C$19, $C$13, 100%, $E$13)</f>
        <v>8.6211000000000002</v>
      </c>
      <c r="G542" s="61">
        <f>8.6213 * CHOOSE(CONTROL!$C$19, $C$13, 100%, $E$13)</f>
        <v>8.6212999999999997</v>
      </c>
      <c r="H542" s="61">
        <f>12.4437* CHOOSE(CONTROL!$C$19, $C$13, 100%, $E$13)</f>
        <v>12.4437</v>
      </c>
      <c r="I542" s="61">
        <f>12.4439 * CHOOSE(CONTROL!$C$19, $C$13, 100%, $E$13)</f>
        <v>12.443899999999999</v>
      </c>
      <c r="J542" s="61">
        <f>8.6211 * CHOOSE(CONTROL!$C$19, $C$13, 100%, $E$13)</f>
        <v>8.6211000000000002</v>
      </c>
      <c r="K542" s="61">
        <f>8.6213 * CHOOSE(CONTROL!$C$19, $C$13, 100%, $E$13)</f>
        <v>8.6212999999999997</v>
      </c>
    </row>
    <row r="543" spans="1:11" ht="15">
      <c r="A543" s="13">
        <v>58380</v>
      </c>
      <c r="B543" s="60">
        <f>7.4898 * CHOOSE(CONTROL!$C$19, $C$13, 100%, $E$13)</f>
        <v>7.4897999999999998</v>
      </c>
      <c r="C543" s="60">
        <f>7.4898 * CHOOSE(CONTROL!$C$19, $C$13, 100%, $E$13)</f>
        <v>7.4897999999999998</v>
      </c>
      <c r="D543" s="60">
        <f>7.5066 * CHOOSE(CONTROL!$C$19, $C$13, 100%, $E$13)</f>
        <v>7.5065999999999997</v>
      </c>
      <c r="E543" s="61">
        <f>8.6511 * CHOOSE(CONTROL!$C$19, $C$13, 100%, $E$13)</f>
        <v>8.6510999999999996</v>
      </c>
      <c r="F543" s="61">
        <f>8.6511 * CHOOSE(CONTROL!$C$19, $C$13, 100%, $E$13)</f>
        <v>8.6510999999999996</v>
      </c>
      <c r="G543" s="61">
        <f>8.6513 * CHOOSE(CONTROL!$C$19, $C$13, 100%, $E$13)</f>
        <v>8.6513000000000009</v>
      </c>
      <c r="H543" s="61">
        <f>12.4696* CHOOSE(CONTROL!$C$19, $C$13, 100%, $E$13)</f>
        <v>12.4696</v>
      </c>
      <c r="I543" s="61">
        <f>12.4698 * CHOOSE(CONTROL!$C$19, $C$13, 100%, $E$13)</f>
        <v>12.469799999999999</v>
      </c>
      <c r="J543" s="61">
        <f>8.6511 * CHOOSE(CONTROL!$C$19, $C$13, 100%, $E$13)</f>
        <v>8.6510999999999996</v>
      </c>
      <c r="K543" s="61">
        <f>8.6513 * CHOOSE(CONTROL!$C$19, $C$13, 100%, $E$13)</f>
        <v>8.6513000000000009</v>
      </c>
    </row>
    <row r="544" spans="1:11" ht="15">
      <c r="A544" s="13">
        <v>58410</v>
      </c>
      <c r="B544" s="60">
        <f>7.4898 * CHOOSE(CONTROL!$C$19, $C$13, 100%, $E$13)</f>
        <v>7.4897999999999998</v>
      </c>
      <c r="C544" s="60">
        <f>7.4898 * CHOOSE(CONTROL!$C$19, $C$13, 100%, $E$13)</f>
        <v>7.4897999999999998</v>
      </c>
      <c r="D544" s="60">
        <f>7.5066 * CHOOSE(CONTROL!$C$19, $C$13, 100%, $E$13)</f>
        <v>7.5065999999999997</v>
      </c>
      <c r="E544" s="61">
        <f>8.5813 * CHOOSE(CONTROL!$C$19, $C$13, 100%, $E$13)</f>
        <v>8.5813000000000006</v>
      </c>
      <c r="F544" s="61">
        <f>8.5813 * CHOOSE(CONTROL!$C$19, $C$13, 100%, $E$13)</f>
        <v>8.5813000000000006</v>
      </c>
      <c r="G544" s="61">
        <f>8.5815 * CHOOSE(CONTROL!$C$19, $C$13, 100%, $E$13)</f>
        <v>8.5815000000000001</v>
      </c>
      <c r="H544" s="61">
        <f>12.4956* CHOOSE(CONTROL!$C$19, $C$13, 100%, $E$13)</f>
        <v>12.4956</v>
      </c>
      <c r="I544" s="61">
        <f>12.4958 * CHOOSE(CONTROL!$C$19, $C$13, 100%, $E$13)</f>
        <v>12.495799999999999</v>
      </c>
      <c r="J544" s="61">
        <f>8.5813 * CHOOSE(CONTROL!$C$19, $C$13, 100%, $E$13)</f>
        <v>8.5813000000000006</v>
      </c>
      <c r="K544" s="61">
        <f>8.5815 * CHOOSE(CONTROL!$C$19, $C$13, 100%, $E$13)</f>
        <v>8.5815000000000001</v>
      </c>
    </row>
    <row r="545" spans="1:11" ht="15">
      <c r="A545" s="13">
        <v>58441</v>
      </c>
      <c r="B545" s="60">
        <f>7.5525 * CHOOSE(CONTROL!$C$19, $C$13, 100%, $E$13)</f>
        <v>7.5525000000000002</v>
      </c>
      <c r="C545" s="60">
        <f>7.5525 * CHOOSE(CONTROL!$C$19, $C$13, 100%, $E$13)</f>
        <v>7.5525000000000002</v>
      </c>
      <c r="D545" s="60">
        <f>7.5693 * CHOOSE(CONTROL!$C$19, $C$13, 100%, $E$13)</f>
        <v>7.5693000000000001</v>
      </c>
      <c r="E545" s="61">
        <f>8.7141 * CHOOSE(CONTROL!$C$19, $C$13, 100%, $E$13)</f>
        <v>8.7141000000000002</v>
      </c>
      <c r="F545" s="61">
        <f>8.7141 * CHOOSE(CONTROL!$C$19, $C$13, 100%, $E$13)</f>
        <v>8.7141000000000002</v>
      </c>
      <c r="G545" s="61">
        <f>8.7142 * CHOOSE(CONTROL!$C$19, $C$13, 100%, $E$13)</f>
        <v>8.7141999999999999</v>
      </c>
      <c r="H545" s="61">
        <f>12.5216* CHOOSE(CONTROL!$C$19, $C$13, 100%, $E$13)</f>
        <v>12.521599999999999</v>
      </c>
      <c r="I545" s="61">
        <f>12.5218 * CHOOSE(CONTROL!$C$19, $C$13, 100%, $E$13)</f>
        <v>12.521800000000001</v>
      </c>
      <c r="J545" s="61">
        <f>8.7141 * CHOOSE(CONTROL!$C$19, $C$13, 100%, $E$13)</f>
        <v>8.7141000000000002</v>
      </c>
      <c r="K545" s="61">
        <f>8.7142 * CHOOSE(CONTROL!$C$19, $C$13, 100%, $E$13)</f>
        <v>8.7141999999999999</v>
      </c>
    </row>
    <row r="546" spans="1:11" ht="15">
      <c r="A546" s="13">
        <v>58472</v>
      </c>
      <c r="B546" s="60">
        <f>7.5494 * CHOOSE(CONTROL!$C$19, $C$13, 100%, $E$13)</f>
        <v>7.5494000000000003</v>
      </c>
      <c r="C546" s="60">
        <f>7.5494 * CHOOSE(CONTROL!$C$19, $C$13, 100%, $E$13)</f>
        <v>7.5494000000000003</v>
      </c>
      <c r="D546" s="60">
        <f>7.5663 * CHOOSE(CONTROL!$C$19, $C$13, 100%, $E$13)</f>
        <v>7.5663</v>
      </c>
      <c r="E546" s="61">
        <f>8.5758 * CHOOSE(CONTROL!$C$19, $C$13, 100%, $E$13)</f>
        <v>8.5757999999999992</v>
      </c>
      <c r="F546" s="61">
        <f>8.5758 * CHOOSE(CONTROL!$C$19, $C$13, 100%, $E$13)</f>
        <v>8.5757999999999992</v>
      </c>
      <c r="G546" s="61">
        <f>8.576 * CHOOSE(CONTROL!$C$19, $C$13, 100%, $E$13)</f>
        <v>8.5760000000000005</v>
      </c>
      <c r="H546" s="61">
        <f>12.5477* CHOOSE(CONTROL!$C$19, $C$13, 100%, $E$13)</f>
        <v>12.547700000000001</v>
      </c>
      <c r="I546" s="61">
        <f>12.5479 * CHOOSE(CONTROL!$C$19, $C$13, 100%, $E$13)</f>
        <v>12.5479</v>
      </c>
      <c r="J546" s="61">
        <f>8.5758 * CHOOSE(CONTROL!$C$19, $C$13, 100%, $E$13)</f>
        <v>8.5757999999999992</v>
      </c>
      <c r="K546" s="61">
        <f>8.576 * CHOOSE(CONTROL!$C$19, $C$13, 100%, $E$13)</f>
        <v>8.5760000000000005</v>
      </c>
    </row>
    <row r="547" spans="1:11" ht="15">
      <c r="A547" s="13">
        <v>58501</v>
      </c>
      <c r="B547" s="60">
        <f>7.5464 * CHOOSE(CONTROL!$C$19, $C$13, 100%, $E$13)</f>
        <v>7.5464000000000002</v>
      </c>
      <c r="C547" s="60">
        <f>7.5464 * CHOOSE(CONTROL!$C$19, $C$13, 100%, $E$13)</f>
        <v>7.5464000000000002</v>
      </c>
      <c r="D547" s="60">
        <f>7.5632 * CHOOSE(CONTROL!$C$19, $C$13, 100%, $E$13)</f>
        <v>7.5632000000000001</v>
      </c>
      <c r="E547" s="61">
        <f>8.681 * CHOOSE(CONTROL!$C$19, $C$13, 100%, $E$13)</f>
        <v>8.6809999999999992</v>
      </c>
      <c r="F547" s="61">
        <f>8.681 * CHOOSE(CONTROL!$C$19, $C$13, 100%, $E$13)</f>
        <v>8.6809999999999992</v>
      </c>
      <c r="G547" s="61">
        <f>8.6812 * CHOOSE(CONTROL!$C$19, $C$13, 100%, $E$13)</f>
        <v>8.6812000000000005</v>
      </c>
      <c r="H547" s="61">
        <f>12.5739* CHOOSE(CONTROL!$C$19, $C$13, 100%, $E$13)</f>
        <v>12.5739</v>
      </c>
      <c r="I547" s="61">
        <f>12.574 * CHOOSE(CONTROL!$C$19, $C$13, 100%, $E$13)</f>
        <v>12.574</v>
      </c>
      <c r="J547" s="61">
        <f>8.681 * CHOOSE(CONTROL!$C$19, $C$13, 100%, $E$13)</f>
        <v>8.6809999999999992</v>
      </c>
      <c r="K547" s="61">
        <f>8.6812 * CHOOSE(CONTROL!$C$19, $C$13, 100%, $E$13)</f>
        <v>8.6812000000000005</v>
      </c>
    </row>
    <row r="548" spans="1:11" ht="15">
      <c r="A548" s="13">
        <v>58532</v>
      </c>
      <c r="B548" s="60">
        <f>7.5475 * CHOOSE(CONTROL!$C$19, $C$13, 100%, $E$13)</f>
        <v>7.5475000000000003</v>
      </c>
      <c r="C548" s="60">
        <f>7.5475 * CHOOSE(CONTROL!$C$19, $C$13, 100%, $E$13)</f>
        <v>7.5475000000000003</v>
      </c>
      <c r="D548" s="60">
        <f>7.5644 * CHOOSE(CONTROL!$C$19, $C$13, 100%, $E$13)</f>
        <v>7.5644</v>
      </c>
      <c r="E548" s="61">
        <f>8.792 * CHOOSE(CONTROL!$C$19, $C$13, 100%, $E$13)</f>
        <v>8.7919999999999998</v>
      </c>
      <c r="F548" s="61">
        <f>8.792 * CHOOSE(CONTROL!$C$19, $C$13, 100%, $E$13)</f>
        <v>8.7919999999999998</v>
      </c>
      <c r="G548" s="61">
        <f>8.7922 * CHOOSE(CONTROL!$C$19, $C$13, 100%, $E$13)</f>
        <v>8.7921999999999993</v>
      </c>
      <c r="H548" s="61">
        <f>12.6001* CHOOSE(CONTROL!$C$19, $C$13, 100%, $E$13)</f>
        <v>12.600099999999999</v>
      </c>
      <c r="I548" s="61">
        <f>12.6002 * CHOOSE(CONTROL!$C$19, $C$13, 100%, $E$13)</f>
        <v>12.600199999999999</v>
      </c>
      <c r="J548" s="61">
        <f>8.792 * CHOOSE(CONTROL!$C$19, $C$13, 100%, $E$13)</f>
        <v>8.7919999999999998</v>
      </c>
      <c r="K548" s="61">
        <f>8.7922 * CHOOSE(CONTROL!$C$19, $C$13, 100%, $E$13)</f>
        <v>8.7921999999999993</v>
      </c>
    </row>
    <row r="549" spans="1:11" ht="15">
      <c r="A549" s="13">
        <v>58562</v>
      </c>
      <c r="B549" s="60">
        <f>7.5475 * CHOOSE(CONTROL!$C$19, $C$13, 100%, $E$13)</f>
        <v>7.5475000000000003</v>
      </c>
      <c r="C549" s="60">
        <f>7.5475 * CHOOSE(CONTROL!$C$19, $C$13, 100%, $E$13)</f>
        <v>7.5475000000000003</v>
      </c>
      <c r="D549" s="60">
        <f>7.5812 * CHOOSE(CONTROL!$C$19, $C$13, 100%, $E$13)</f>
        <v>7.5811999999999999</v>
      </c>
      <c r="E549" s="61">
        <f>8.8352 * CHOOSE(CONTROL!$C$19, $C$13, 100%, $E$13)</f>
        <v>8.8352000000000004</v>
      </c>
      <c r="F549" s="61">
        <f>8.8352 * CHOOSE(CONTROL!$C$19, $C$13, 100%, $E$13)</f>
        <v>8.8352000000000004</v>
      </c>
      <c r="G549" s="61">
        <f>8.8373 * CHOOSE(CONTROL!$C$19, $C$13, 100%, $E$13)</f>
        <v>8.8373000000000008</v>
      </c>
      <c r="H549" s="61">
        <f>12.6263* CHOOSE(CONTROL!$C$19, $C$13, 100%, $E$13)</f>
        <v>12.626300000000001</v>
      </c>
      <c r="I549" s="61">
        <f>12.6284 * CHOOSE(CONTROL!$C$19, $C$13, 100%, $E$13)</f>
        <v>12.628399999999999</v>
      </c>
      <c r="J549" s="61">
        <f>8.8352 * CHOOSE(CONTROL!$C$19, $C$13, 100%, $E$13)</f>
        <v>8.8352000000000004</v>
      </c>
      <c r="K549" s="61">
        <f>8.8373 * CHOOSE(CONTROL!$C$19, $C$13, 100%, $E$13)</f>
        <v>8.8373000000000008</v>
      </c>
    </row>
    <row r="550" spans="1:11" ht="15">
      <c r="A550" s="13">
        <v>58593</v>
      </c>
      <c r="B550" s="60">
        <f>7.5536 * CHOOSE(CONTROL!$C$19, $C$13, 100%, $E$13)</f>
        <v>7.5536000000000003</v>
      </c>
      <c r="C550" s="60">
        <f>7.5536 * CHOOSE(CONTROL!$C$19, $C$13, 100%, $E$13)</f>
        <v>7.5536000000000003</v>
      </c>
      <c r="D550" s="60">
        <f>7.5873 * CHOOSE(CONTROL!$C$19, $C$13, 100%, $E$13)</f>
        <v>7.5872999999999999</v>
      </c>
      <c r="E550" s="61">
        <f>8.7962 * CHOOSE(CONTROL!$C$19, $C$13, 100%, $E$13)</f>
        <v>8.7962000000000007</v>
      </c>
      <c r="F550" s="61">
        <f>8.7962 * CHOOSE(CONTROL!$C$19, $C$13, 100%, $E$13)</f>
        <v>8.7962000000000007</v>
      </c>
      <c r="G550" s="61">
        <f>8.7983 * CHOOSE(CONTROL!$C$19, $C$13, 100%, $E$13)</f>
        <v>8.7982999999999993</v>
      </c>
      <c r="H550" s="61">
        <f>12.6526* CHOOSE(CONTROL!$C$19, $C$13, 100%, $E$13)</f>
        <v>12.6526</v>
      </c>
      <c r="I550" s="61">
        <f>12.6547 * CHOOSE(CONTROL!$C$19, $C$13, 100%, $E$13)</f>
        <v>12.6547</v>
      </c>
      <c r="J550" s="61">
        <f>8.7962 * CHOOSE(CONTROL!$C$19, $C$13, 100%, $E$13)</f>
        <v>8.7962000000000007</v>
      </c>
      <c r="K550" s="61">
        <f>8.7983 * CHOOSE(CONTROL!$C$19, $C$13, 100%, $E$13)</f>
        <v>8.7982999999999993</v>
      </c>
    </row>
    <row r="551" spans="1:11" ht="15">
      <c r="A551" s="13">
        <v>58623</v>
      </c>
      <c r="B551" s="60">
        <f>7.6643 * CHOOSE(CONTROL!$C$19, $C$13, 100%, $E$13)</f>
        <v>7.6642999999999999</v>
      </c>
      <c r="C551" s="60">
        <f>7.6643 * CHOOSE(CONTROL!$C$19, $C$13, 100%, $E$13)</f>
        <v>7.6642999999999999</v>
      </c>
      <c r="D551" s="60">
        <f>7.698 * CHOOSE(CONTROL!$C$19, $C$13, 100%, $E$13)</f>
        <v>7.6980000000000004</v>
      </c>
      <c r="E551" s="61">
        <f>8.9608 * CHOOSE(CONTROL!$C$19, $C$13, 100%, $E$13)</f>
        <v>8.9608000000000008</v>
      </c>
      <c r="F551" s="61">
        <f>8.9608 * CHOOSE(CONTROL!$C$19, $C$13, 100%, $E$13)</f>
        <v>8.9608000000000008</v>
      </c>
      <c r="G551" s="61">
        <f>8.9629 * CHOOSE(CONTROL!$C$19, $C$13, 100%, $E$13)</f>
        <v>8.9628999999999994</v>
      </c>
      <c r="H551" s="61">
        <f>12.679* CHOOSE(CONTROL!$C$19, $C$13, 100%, $E$13)</f>
        <v>12.679</v>
      </c>
      <c r="I551" s="61">
        <f>12.6811 * CHOOSE(CONTROL!$C$19, $C$13, 100%, $E$13)</f>
        <v>12.681100000000001</v>
      </c>
      <c r="J551" s="61">
        <f>8.9608 * CHOOSE(CONTROL!$C$19, $C$13, 100%, $E$13)</f>
        <v>8.9608000000000008</v>
      </c>
      <c r="K551" s="61">
        <f>8.9629 * CHOOSE(CONTROL!$C$19, $C$13, 100%, $E$13)</f>
        <v>8.9628999999999994</v>
      </c>
    </row>
    <row r="552" spans="1:11" ht="15">
      <c r="A552" s="13">
        <v>58654</v>
      </c>
      <c r="B552" s="60">
        <f>7.671 * CHOOSE(CONTROL!$C$19, $C$13, 100%, $E$13)</f>
        <v>7.6710000000000003</v>
      </c>
      <c r="C552" s="60">
        <f>7.671 * CHOOSE(CONTROL!$C$19, $C$13, 100%, $E$13)</f>
        <v>7.6710000000000003</v>
      </c>
      <c r="D552" s="60">
        <f>7.7047 * CHOOSE(CONTROL!$C$19, $C$13, 100%, $E$13)</f>
        <v>7.7046999999999999</v>
      </c>
      <c r="E552" s="61">
        <f>8.8358 * CHOOSE(CONTROL!$C$19, $C$13, 100%, $E$13)</f>
        <v>8.8358000000000008</v>
      </c>
      <c r="F552" s="61">
        <f>8.8358 * CHOOSE(CONTROL!$C$19, $C$13, 100%, $E$13)</f>
        <v>8.8358000000000008</v>
      </c>
      <c r="G552" s="61">
        <f>8.8379 * CHOOSE(CONTROL!$C$19, $C$13, 100%, $E$13)</f>
        <v>8.8378999999999994</v>
      </c>
      <c r="H552" s="61">
        <f>12.7054* CHOOSE(CONTROL!$C$19, $C$13, 100%, $E$13)</f>
        <v>12.705399999999999</v>
      </c>
      <c r="I552" s="61">
        <f>12.7075 * CHOOSE(CONTROL!$C$19, $C$13, 100%, $E$13)</f>
        <v>12.7075</v>
      </c>
      <c r="J552" s="61">
        <f>8.8358 * CHOOSE(CONTROL!$C$19, $C$13, 100%, $E$13)</f>
        <v>8.8358000000000008</v>
      </c>
      <c r="K552" s="61">
        <f>8.8379 * CHOOSE(CONTROL!$C$19, $C$13, 100%, $E$13)</f>
        <v>8.8378999999999994</v>
      </c>
    </row>
    <row r="553" spans="1:11" ht="15">
      <c r="A553" s="13">
        <v>58685</v>
      </c>
      <c r="B553" s="60">
        <f>7.668 * CHOOSE(CONTROL!$C$19, $C$13, 100%, $E$13)</f>
        <v>7.6680000000000001</v>
      </c>
      <c r="C553" s="60">
        <f>7.668 * CHOOSE(CONTROL!$C$19, $C$13, 100%, $E$13)</f>
        <v>7.6680000000000001</v>
      </c>
      <c r="D553" s="60">
        <f>7.7016 * CHOOSE(CONTROL!$C$19, $C$13, 100%, $E$13)</f>
        <v>7.7016</v>
      </c>
      <c r="E553" s="61">
        <f>8.8193 * CHOOSE(CONTROL!$C$19, $C$13, 100%, $E$13)</f>
        <v>8.8193000000000001</v>
      </c>
      <c r="F553" s="61">
        <f>8.8193 * CHOOSE(CONTROL!$C$19, $C$13, 100%, $E$13)</f>
        <v>8.8193000000000001</v>
      </c>
      <c r="G553" s="61">
        <f>8.8214 * CHOOSE(CONTROL!$C$19, $C$13, 100%, $E$13)</f>
        <v>8.8214000000000006</v>
      </c>
      <c r="H553" s="61">
        <f>12.7319* CHOOSE(CONTROL!$C$19, $C$13, 100%, $E$13)</f>
        <v>12.7319</v>
      </c>
      <c r="I553" s="61">
        <f>12.734 * CHOOSE(CONTROL!$C$19, $C$13, 100%, $E$13)</f>
        <v>12.734</v>
      </c>
      <c r="J553" s="61">
        <f>8.8193 * CHOOSE(CONTROL!$C$19, $C$13, 100%, $E$13)</f>
        <v>8.8193000000000001</v>
      </c>
      <c r="K553" s="61">
        <f>8.8214 * CHOOSE(CONTROL!$C$19, $C$13, 100%, $E$13)</f>
        <v>8.8214000000000006</v>
      </c>
    </row>
    <row r="554" spans="1:11" ht="15">
      <c r="A554" s="13">
        <v>58715</v>
      </c>
      <c r="B554" s="60">
        <f>7.677 * CHOOSE(CONTROL!$C$19, $C$13, 100%, $E$13)</f>
        <v>7.6769999999999996</v>
      </c>
      <c r="C554" s="60">
        <f>7.677 * CHOOSE(CONTROL!$C$19, $C$13, 100%, $E$13)</f>
        <v>7.6769999999999996</v>
      </c>
      <c r="D554" s="60">
        <f>7.6938 * CHOOSE(CONTROL!$C$19, $C$13, 100%, $E$13)</f>
        <v>7.6938000000000004</v>
      </c>
      <c r="E554" s="61">
        <f>8.8635 * CHOOSE(CONTROL!$C$19, $C$13, 100%, $E$13)</f>
        <v>8.8635000000000002</v>
      </c>
      <c r="F554" s="61">
        <f>8.8635 * CHOOSE(CONTROL!$C$19, $C$13, 100%, $E$13)</f>
        <v>8.8635000000000002</v>
      </c>
      <c r="G554" s="61">
        <f>8.8637 * CHOOSE(CONTROL!$C$19, $C$13, 100%, $E$13)</f>
        <v>8.8636999999999997</v>
      </c>
      <c r="H554" s="61">
        <f>12.7584* CHOOSE(CONTROL!$C$19, $C$13, 100%, $E$13)</f>
        <v>12.7584</v>
      </c>
      <c r="I554" s="61">
        <f>12.7586 * CHOOSE(CONTROL!$C$19, $C$13, 100%, $E$13)</f>
        <v>12.758599999999999</v>
      </c>
      <c r="J554" s="61">
        <f>8.8635 * CHOOSE(CONTROL!$C$19, $C$13, 100%, $E$13)</f>
        <v>8.8635000000000002</v>
      </c>
      <c r="K554" s="61">
        <f>8.8637 * CHOOSE(CONTROL!$C$19, $C$13, 100%, $E$13)</f>
        <v>8.8636999999999997</v>
      </c>
    </row>
    <row r="555" spans="1:11" ht="15">
      <c r="A555" s="13">
        <v>58746</v>
      </c>
      <c r="B555" s="60">
        <f>7.68 * CHOOSE(CONTROL!$C$19, $C$13, 100%, $E$13)</f>
        <v>7.68</v>
      </c>
      <c r="C555" s="60">
        <f>7.68 * CHOOSE(CONTROL!$C$19, $C$13, 100%, $E$13)</f>
        <v>7.68</v>
      </c>
      <c r="D555" s="60">
        <f>7.6969 * CHOOSE(CONTROL!$C$19, $C$13, 100%, $E$13)</f>
        <v>7.6969000000000003</v>
      </c>
      <c r="E555" s="61">
        <f>8.8944 * CHOOSE(CONTROL!$C$19, $C$13, 100%, $E$13)</f>
        <v>8.8943999999999992</v>
      </c>
      <c r="F555" s="61">
        <f>8.8944 * CHOOSE(CONTROL!$C$19, $C$13, 100%, $E$13)</f>
        <v>8.8943999999999992</v>
      </c>
      <c r="G555" s="61">
        <f>8.8946 * CHOOSE(CONTROL!$C$19, $C$13, 100%, $E$13)</f>
        <v>8.8946000000000005</v>
      </c>
      <c r="H555" s="61">
        <f>12.785* CHOOSE(CONTROL!$C$19, $C$13, 100%, $E$13)</f>
        <v>12.785</v>
      </c>
      <c r="I555" s="61">
        <f>12.7851 * CHOOSE(CONTROL!$C$19, $C$13, 100%, $E$13)</f>
        <v>12.7851</v>
      </c>
      <c r="J555" s="61">
        <f>8.8944 * CHOOSE(CONTROL!$C$19, $C$13, 100%, $E$13)</f>
        <v>8.8943999999999992</v>
      </c>
      <c r="K555" s="61">
        <f>8.8946 * CHOOSE(CONTROL!$C$19, $C$13, 100%, $E$13)</f>
        <v>8.8946000000000005</v>
      </c>
    </row>
    <row r="556" spans="1:11" ht="15">
      <c r="A556" s="13">
        <v>58776</v>
      </c>
      <c r="B556" s="60">
        <f>7.68 * CHOOSE(CONTROL!$C$19, $C$13, 100%, $E$13)</f>
        <v>7.68</v>
      </c>
      <c r="C556" s="60">
        <f>7.68 * CHOOSE(CONTROL!$C$19, $C$13, 100%, $E$13)</f>
        <v>7.68</v>
      </c>
      <c r="D556" s="60">
        <f>7.6969 * CHOOSE(CONTROL!$C$19, $C$13, 100%, $E$13)</f>
        <v>7.6969000000000003</v>
      </c>
      <c r="E556" s="61">
        <f>8.8224 * CHOOSE(CONTROL!$C$19, $C$13, 100%, $E$13)</f>
        <v>8.8224</v>
      </c>
      <c r="F556" s="61">
        <f>8.8224 * CHOOSE(CONTROL!$C$19, $C$13, 100%, $E$13)</f>
        <v>8.8224</v>
      </c>
      <c r="G556" s="61">
        <f>8.8226 * CHOOSE(CONTROL!$C$19, $C$13, 100%, $E$13)</f>
        <v>8.8225999999999996</v>
      </c>
      <c r="H556" s="61">
        <f>12.8116* CHOOSE(CONTROL!$C$19, $C$13, 100%, $E$13)</f>
        <v>12.8116</v>
      </c>
      <c r="I556" s="61">
        <f>12.8118 * CHOOSE(CONTROL!$C$19, $C$13, 100%, $E$13)</f>
        <v>12.8118</v>
      </c>
      <c r="J556" s="61">
        <f>8.8224 * CHOOSE(CONTROL!$C$19, $C$13, 100%, $E$13)</f>
        <v>8.8224</v>
      </c>
      <c r="K556" s="61">
        <f>8.8226 * CHOOSE(CONTROL!$C$19, $C$13, 100%, $E$13)</f>
        <v>8.8225999999999996</v>
      </c>
    </row>
    <row r="557" spans="1:11" ht="15">
      <c r="A557" s="13">
        <v>58807</v>
      </c>
      <c r="B557" s="60">
        <f>7.7442 * CHOOSE(CONTROL!$C$19, $C$13, 100%, $E$13)</f>
        <v>7.7442000000000002</v>
      </c>
      <c r="C557" s="60">
        <f>7.7442 * CHOOSE(CONTROL!$C$19, $C$13, 100%, $E$13)</f>
        <v>7.7442000000000002</v>
      </c>
      <c r="D557" s="60">
        <f>7.761 * CHOOSE(CONTROL!$C$19, $C$13, 100%, $E$13)</f>
        <v>7.7610000000000001</v>
      </c>
      <c r="E557" s="61">
        <f>8.959 * CHOOSE(CONTROL!$C$19, $C$13, 100%, $E$13)</f>
        <v>8.9589999999999996</v>
      </c>
      <c r="F557" s="61">
        <f>8.959 * CHOOSE(CONTROL!$C$19, $C$13, 100%, $E$13)</f>
        <v>8.9589999999999996</v>
      </c>
      <c r="G557" s="61">
        <f>8.9592 * CHOOSE(CONTROL!$C$19, $C$13, 100%, $E$13)</f>
        <v>8.9591999999999992</v>
      </c>
      <c r="H557" s="61">
        <f>12.8383* CHOOSE(CONTROL!$C$19, $C$13, 100%, $E$13)</f>
        <v>12.8383</v>
      </c>
      <c r="I557" s="61">
        <f>12.8385 * CHOOSE(CONTROL!$C$19, $C$13, 100%, $E$13)</f>
        <v>12.8385</v>
      </c>
      <c r="J557" s="61">
        <f>8.959 * CHOOSE(CONTROL!$C$19, $C$13, 100%, $E$13)</f>
        <v>8.9589999999999996</v>
      </c>
      <c r="K557" s="61">
        <f>8.9592 * CHOOSE(CONTROL!$C$19, $C$13, 100%, $E$13)</f>
        <v>8.9591999999999992</v>
      </c>
    </row>
    <row r="558" spans="1:11" ht="15">
      <c r="A558" s="13">
        <v>58838</v>
      </c>
      <c r="B558" s="60">
        <f>7.7412 * CHOOSE(CONTROL!$C$19, $C$13, 100%, $E$13)</f>
        <v>7.7412000000000001</v>
      </c>
      <c r="C558" s="60">
        <f>7.7412 * CHOOSE(CONTROL!$C$19, $C$13, 100%, $E$13)</f>
        <v>7.7412000000000001</v>
      </c>
      <c r="D558" s="60">
        <f>7.758 * CHOOSE(CONTROL!$C$19, $C$13, 100%, $E$13)</f>
        <v>7.758</v>
      </c>
      <c r="E558" s="61">
        <f>8.8164 * CHOOSE(CONTROL!$C$19, $C$13, 100%, $E$13)</f>
        <v>8.8163999999999998</v>
      </c>
      <c r="F558" s="61">
        <f>8.8164 * CHOOSE(CONTROL!$C$19, $C$13, 100%, $E$13)</f>
        <v>8.8163999999999998</v>
      </c>
      <c r="G558" s="61">
        <f>8.8166 * CHOOSE(CONTROL!$C$19, $C$13, 100%, $E$13)</f>
        <v>8.8165999999999993</v>
      </c>
      <c r="H558" s="61">
        <f>12.865* CHOOSE(CONTROL!$C$19, $C$13, 100%, $E$13)</f>
        <v>12.865</v>
      </c>
      <c r="I558" s="61">
        <f>12.8652 * CHOOSE(CONTROL!$C$19, $C$13, 100%, $E$13)</f>
        <v>12.8652</v>
      </c>
      <c r="J558" s="61">
        <f>8.8164 * CHOOSE(CONTROL!$C$19, $C$13, 100%, $E$13)</f>
        <v>8.8163999999999998</v>
      </c>
      <c r="K558" s="61">
        <f>8.8166 * CHOOSE(CONTROL!$C$19, $C$13, 100%, $E$13)</f>
        <v>8.8165999999999993</v>
      </c>
    </row>
    <row r="559" spans="1:11" ht="15">
      <c r="A559" s="13">
        <v>58866</v>
      </c>
      <c r="B559" s="60">
        <f>7.7381 * CHOOSE(CONTROL!$C$19, $C$13, 100%, $E$13)</f>
        <v>7.7381000000000002</v>
      </c>
      <c r="C559" s="60">
        <f>7.7381 * CHOOSE(CONTROL!$C$19, $C$13, 100%, $E$13)</f>
        <v>7.7381000000000002</v>
      </c>
      <c r="D559" s="60">
        <f>7.755 * CHOOSE(CONTROL!$C$19, $C$13, 100%, $E$13)</f>
        <v>7.7549999999999999</v>
      </c>
      <c r="E559" s="61">
        <f>8.925 * CHOOSE(CONTROL!$C$19, $C$13, 100%, $E$13)</f>
        <v>8.9250000000000007</v>
      </c>
      <c r="F559" s="61">
        <f>8.925 * CHOOSE(CONTROL!$C$19, $C$13, 100%, $E$13)</f>
        <v>8.9250000000000007</v>
      </c>
      <c r="G559" s="61">
        <f>8.9252 * CHOOSE(CONTROL!$C$19, $C$13, 100%, $E$13)</f>
        <v>8.9252000000000002</v>
      </c>
      <c r="H559" s="61">
        <f>12.8918* CHOOSE(CONTROL!$C$19, $C$13, 100%, $E$13)</f>
        <v>12.8918</v>
      </c>
      <c r="I559" s="61">
        <f>12.892 * CHOOSE(CONTROL!$C$19, $C$13, 100%, $E$13)</f>
        <v>12.891999999999999</v>
      </c>
      <c r="J559" s="61">
        <f>8.925 * CHOOSE(CONTROL!$C$19, $C$13, 100%, $E$13)</f>
        <v>8.9250000000000007</v>
      </c>
      <c r="K559" s="61">
        <f>8.9252 * CHOOSE(CONTROL!$C$19, $C$13, 100%, $E$13)</f>
        <v>8.9252000000000002</v>
      </c>
    </row>
    <row r="560" spans="1:11" ht="15">
      <c r="A560" s="13">
        <v>58897</v>
      </c>
      <c r="B560" s="60">
        <f>7.7395 * CHOOSE(CONTROL!$C$19, $C$13, 100%, $E$13)</f>
        <v>7.7394999999999996</v>
      </c>
      <c r="C560" s="60">
        <f>7.7395 * CHOOSE(CONTROL!$C$19, $C$13, 100%, $E$13)</f>
        <v>7.7394999999999996</v>
      </c>
      <c r="D560" s="60">
        <f>7.7563 * CHOOSE(CONTROL!$C$19, $C$13, 100%, $E$13)</f>
        <v>7.7563000000000004</v>
      </c>
      <c r="E560" s="61">
        <f>9.0397 * CHOOSE(CONTROL!$C$19, $C$13, 100%, $E$13)</f>
        <v>9.0396999999999998</v>
      </c>
      <c r="F560" s="61">
        <f>9.0397 * CHOOSE(CONTROL!$C$19, $C$13, 100%, $E$13)</f>
        <v>9.0396999999999998</v>
      </c>
      <c r="G560" s="61">
        <f>9.0398 * CHOOSE(CONTROL!$C$19, $C$13, 100%, $E$13)</f>
        <v>9.0397999999999996</v>
      </c>
      <c r="H560" s="61">
        <f>12.9187* CHOOSE(CONTROL!$C$19, $C$13, 100%, $E$13)</f>
        <v>12.918699999999999</v>
      </c>
      <c r="I560" s="61">
        <f>12.9189 * CHOOSE(CONTROL!$C$19, $C$13, 100%, $E$13)</f>
        <v>12.918900000000001</v>
      </c>
      <c r="J560" s="61">
        <f>9.0397 * CHOOSE(CONTROL!$C$19, $C$13, 100%, $E$13)</f>
        <v>9.0396999999999998</v>
      </c>
      <c r="K560" s="61">
        <f>9.0398 * CHOOSE(CONTROL!$C$19, $C$13, 100%, $E$13)</f>
        <v>9.0397999999999996</v>
      </c>
    </row>
    <row r="561" spans="1:11" ht="15">
      <c r="A561" s="13">
        <v>58927</v>
      </c>
      <c r="B561" s="60">
        <f>7.7395 * CHOOSE(CONTROL!$C$19, $C$13, 100%, $E$13)</f>
        <v>7.7394999999999996</v>
      </c>
      <c r="C561" s="60">
        <f>7.7395 * CHOOSE(CONTROL!$C$19, $C$13, 100%, $E$13)</f>
        <v>7.7394999999999996</v>
      </c>
      <c r="D561" s="60">
        <f>7.7731 * CHOOSE(CONTROL!$C$19, $C$13, 100%, $E$13)</f>
        <v>7.7731000000000003</v>
      </c>
      <c r="E561" s="61">
        <f>9.0842 * CHOOSE(CONTROL!$C$19, $C$13, 100%, $E$13)</f>
        <v>9.0841999999999992</v>
      </c>
      <c r="F561" s="61">
        <f>9.0842 * CHOOSE(CONTROL!$C$19, $C$13, 100%, $E$13)</f>
        <v>9.0841999999999992</v>
      </c>
      <c r="G561" s="61">
        <f>9.0863 * CHOOSE(CONTROL!$C$19, $C$13, 100%, $E$13)</f>
        <v>9.0862999999999996</v>
      </c>
      <c r="H561" s="61">
        <f>12.9456* CHOOSE(CONTROL!$C$19, $C$13, 100%, $E$13)</f>
        <v>12.945600000000001</v>
      </c>
      <c r="I561" s="61">
        <f>12.9477 * CHOOSE(CONTROL!$C$19, $C$13, 100%, $E$13)</f>
        <v>12.947699999999999</v>
      </c>
      <c r="J561" s="61">
        <f>9.0842 * CHOOSE(CONTROL!$C$19, $C$13, 100%, $E$13)</f>
        <v>9.0841999999999992</v>
      </c>
      <c r="K561" s="61">
        <f>9.0863 * CHOOSE(CONTROL!$C$19, $C$13, 100%, $E$13)</f>
        <v>9.0862999999999996</v>
      </c>
    </row>
    <row r="562" spans="1:11" ht="15">
      <c r="A562" s="13">
        <v>58958</v>
      </c>
      <c r="B562" s="60">
        <f>7.7456 * CHOOSE(CONTROL!$C$19, $C$13, 100%, $E$13)</f>
        <v>7.7455999999999996</v>
      </c>
      <c r="C562" s="60">
        <f>7.7456 * CHOOSE(CONTROL!$C$19, $C$13, 100%, $E$13)</f>
        <v>7.7455999999999996</v>
      </c>
      <c r="D562" s="60">
        <f>7.7792 * CHOOSE(CONTROL!$C$19, $C$13, 100%, $E$13)</f>
        <v>7.7792000000000003</v>
      </c>
      <c r="E562" s="61">
        <f>9.0439 * CHOOSE(CONTROL!$C$19, $C$13, 100%, $E$13)</f>
        <v>9.0439000000000007</v>
      </c>
      <c r="F562" s="61">
        <f>9.0439 * CHOOSE(CONTROL!$C$19, $C$13, 100%, $E$13)</f>
        <v>9.0439000000000007</v>
      </c>
      <c r="G562" s="61">
        <f>9.046 * CHOOSE(CONTROL!$C$19, $C$13, 100%, $E$13)</f>
        <v>9.0459999999999994</v>
      </c>
      <c r="H562" s="61">
        <f>12.9726* CHOOSE(CONTROL!$C$19, $C$13, 100%, $E$13)</f>
        <v>12.9726</v>
      </c>
      <c r="I562" s="61">
        <f>12.9747 * CHOOSE(CONTROL!$C$19, $C$13, 100%, $E$13)</f>
        <v>12.9747</v>
      </c>
      <c r="J562" s="61">
        <f>9.0439 * CHOOSE(CONTROL!$C$19, $C$13, 100%, $E$13)</f>
        <v>9.0439000000000007</v>
      </c>
      <c r="K562" s="61">
        <f>9.046 * CHOOSE(CONTROL!$C$19, $C$13, 100%, $E$13)</f>
        <v>9.0459999999999994</v>
      </c>
    </row>
    <row r="563" spans="1:11" ht="15">
      <c r="A563" s="13">
        <v>58988</v>
      </c>
      <c r="B563" s="60">
        <f>7.8587 * CHOOSE(CONTROL!$C$19, $C$13, 100%, $E$13)</f>
        <v>7.8586999999999998</v>
      </c>
      <c r="C563" s="60">
        <f>7.8587 * CHOOSE(CONTROL!$C$19, $C$13, 100%, $E$13)</f>
        <v>7.8586999999999998</v>
      </c>
      <c r="D563" s="60">
        <f>7.8923 * CHOOSE(CONTROL!$C$19, $C$13, 100%, $E$13)</f>
        <v>7.8922999999999996</v>
      </c>
      <c r="E563" s="61">
        <f>9.2128 * CHOOSE(CONTROL!$C$19, $C$13, 100%, $E$13)</f>
        <v>9.2127999999999997</v>
      </c>
      <c r="F563" s="61">
        <f>9.2128 * CHOOSE(CONTROL!$C$19, $C$13, 100%, $E$13)</f>
        <v>9.2127999999999997</v>
      </c>
      <c r="G563" s="61">
        <f>9.2149 * CHOOSE(CONTROL!$C$19, $C$13, 100%, $E$13)</f>
        <v>9.2149000000000001</v>
      </c>
      <c r="H563" s="61">
        <f>12.9996* CHOOSE(CONTROL!$C$19, $C$13, 100%, $E$13)</f>
        <v>12.999599999999999</v>
      </c>
      <c r="I563" s="61">
        <f>13.0017 * CHOOSE(CONTROL!$C$19, $C$13, 100%, $E$13)</f>
        <v>13.0017</v>
      </c>
      <c r="J563" s="61">
        <f>9.2128 * CHOOSE(CONTROL!$C$19, $C$13, 100%, $E$13)</f>
        <v>9.2127999999999997</v>
      </c>
      <c r="K563" s="61">
        <f>9.2149 * CHOOSE(CONTROL!$C$19, $C$13, 100%, $E$13)</f>
        <v>9.2149000000000001</v>
      </c>
    </row>
    <row r="564" spans="1:11" ht="15">
      <c r="A564" s="13">
        <v>59019</v>
      </c>
      <c r="B564" s="60">
        <f>7.8654 * CHOOSE(CONTROL!$C$19, $C$13, 100%, $E$13)</f>
        <v>7.8654000000000002</v>
      </c>
      <c r="C564" s="60">
        <f>7.8654 * CHOOSE(CONTROL!$C$19, $C$13, 100%, $E$13)</f>
        <v>7.8654000000000002</v>
      </c>
      <c r="D564" s="60">
        <f>7.899 * CHOOSE(CONTROL!$C$19, $C$13, 100%, $E$13)</f>
        <v>7.899</v>
      </c>
      <c r="E564" s="61">
        <f>9.0837 * CHOOSE(CONTROL!$C$19, $C$13, 100%, $E$13)</f>
        <v>9.0837000000000003</v>
      </c>
      <c r="F564" s="61">
        <f>9.0837 * CHOOSE(CONTROL!$C$19, $C$13, 100%, $E$13)</f>
        <v>9.0837000000000003</v>
      </c>
      <c r="G564" s="61">
        <f>9.0858 * CHOOSE(CONTROL!$C$19, $C$13, 100%, $E$13)</f>
        <v>9.0858000000000008</v>
      </c>
      <c r="H564" s="61">
        <f>13.0267* CHOOSE(CONTROL!$C$19, $C$13, 100%, $E$13)</f>
        <v>13.0267</v>
      </c>
      <c r="I564" s="61">
        <f>13.0288 * CHOOSE(CONTROL!$C$19, $C$13, 100%, $E$13)</f>
        <v>13.0288</v>
      </c>
      <c r="J564" s="61">
        <f>9.0837 * CHOOSE(CONTROL!$C$19, $C$13, 100%, $E$13)</f>
        <v>9.0837000000000003</v>
      </c>
      <c r="K564" s="61">
        <f>9.0858 * CHOOSE(CONTROL!$C$19, $C$13, 100%, $E$13)</f>
        <v>9.0858000000000008</v>
      </c>
    </row>
    <row r="565" spans="1:11" ht="15">
      <c r="A565" s="13">
        <v>59050</v>
      </c>
      <c r="B565" s="60">
        <f>7.8623 * CHOOSE(CONTROL!$C$19, $C$13, 100%, $E$13)</f>
        <v>7.8623000000000003</v>
      </c>
      <c r="C565" s="60">
        <f>7.8623 * CHOOSE(CONTROL!$C$19, $C$13, 100%, $E$13)</f>
        <v>7.8623000000000003</v>
      </c>
      <c r="D565" s="60">
        <f>7.896 * CHOOSE(CONTROL!$C$19, $C$13, 100%, $E$13)</f>
        <v>7.8959999999999999</v>
      </c>
      <c r="E565" s="61">
        <f>9.0667 * CHOOSE(CONTROL!$C$19, $C$13, 100%, $E$13)</f>
        <v>9.0667000000000009</v>
      </c>
      <c r="F565" s="61">
        <f>9.0667 * CHOOSE(CONTROL!$C$19, $C$13, 100%, $E$13)</f>
        <v>9.0667000000000009</v>
      </c>
      <c r="G565" s="61">
        <f>9.0688 * CHOOSE(CONTROL!$C$19, $C$13, 100%, $E$13)</f>
        <v>9.0687999999999995</v>
      </c>
      <c r="H565" s="61">
        <f>13.0538* CHOOSE(CONTROL!$C$19, $C$13, 100%, $E$13)</f>
        <v>13.053800000000001</v>
      </c>
      <c r="I565" s="61">
        <f>13.0559 * CHOOSE(CONTROL!$C$19, $C$13, 100%, $E$13)</f>
        <v>13.055899999999999</v>
      </c>
      <c r="J565" s="61">
        <f>9.0667 * CHOOSE(CONTROL!$C$19, $C$13, 100%, $E$13)</f>
        <v>9.0667000000000009</v>
      </c>
      <c r="K565" s="61">
        <f>9.0688 * CHOOSE(CONTROL!$C$19, $C$13, 100%, $E$13)</f>
        <v>9.0687999999999995</v>
      </c>
    </row>
    <row r="566" spans="1:11" ht="15">
      <c r="A566" s="13">
        <v>59080</v>
      </c>
      <c r="B566" s="60">
        <f>7.8721 * CHOOSE(CONTROL!$C$19, $C$13, 100%, $E$13)</f>
        <v>7.8720999999999997</v>
      </c>
      <c r="C566" s="60">
        <f>7.8721 * CHOOSE(CONTROL!$C$19, $C$13, 100%, $E$13)</f>
        <v>7.8720999999999997</v>
      </c>
      <c r="D566" s="60">
        <f>7.8889 * CHOOSE(CONTROL!$C$19, $C$13, 100%, $E$13)</f>
        <v>7.8888999999999996</v>
      </c>
      <c r="E566" s="61">
        <f>9.1127 * CHOOSE(CONTROL!$C$19, $C$13, 100%, $E$13)</f>
        <v>9.1127000000000002</v>
      </c>
      <c r="F566" s="61">
        <f>9.1127 * CHOOSE(CONTROL!$C$19, $C$13, 100%, $E$13)</f>
        <v>9.1127000000000002</v>
      </c>
      <c r="G566" s="61">
        <f>9.1129 * CHOOSE(CONTROL!$C$19, $C$13, 100%, $E$13)</f>
        <v>9.1128999999999998</v>
      </c>
      <c r="H566" s="61">
        <f>13.081* CHOOSE(CONTROL!$C$19, $C$13, 100%, $E$13)</f>
        <v>13.081</v>
      </c>
      <c r="I566" s="61">
        <f>13.0812 * CHOOSE(CONTROL!$C$19, $C$13, 100%, $E$13)</f>
        <v>13.081200000000001</v>
      </c>
      <c r="J566" s="61">
        <f>9.1127 * CHOOSE(CONTROL!$C$19, $C$13, 100%, $E$13)</f>
        <v>9.1127000000000002</v>
      </c>
      <c r="K566" s="61">
        <f>9.1129 * CHOOSE(CONTROL!$C$19, $C$13, 100%, $E$13)</f>
        <v>9.1128999999999998</v>
      </c>
    </row>
    <row r="567" spans="1:11" ht="15">
      <c r="A567" s="13">
        <v>59111</v>
      </c>
      <c r="B567" s="60">
        <f>7.8751 * CHOOSE(CONTROL!$C$19, $C$13, 100%, $E$13)</f>
        <v>7.8750999999999998</v>
      </c>
      <c r="C567" s="60">
        <f>7.8751 * CHOOSE(CONTROL!$C$19, $C$13, 100%, $E$13)</f>
        <v>7.8750999999999998</v>
      </c>
      <c r="D567" s="60">
        <f>7.892 * CHOOSE(CONTROL!$C$19, $C$13, 100%, $E$13)</f>
        <v>7.8920000000000003</v>
      </c>
      <c r="E567" s="61">
        <f>9.1446 * CHOOSE(CONTROL!$C$19, $C$13, 100%, $E$13)</f>
        <v>9.1446000000000005</v>
      </c>
      <c r="F567" s="61">
        <f>9.1446 * CHOOSE(CONTROL!$C$19, $C$13, 100%, $E$13)</f>
        <v>9.1446000000000005</v>
      </c>
      <c r="G567" s="61">
        <f>9.1448 * CHOOSE(CONTROL!$C$19, $C$13, 100%, $E$13)</f>
        <v>9.1448</v>
      </c>
      <c r="H567" s="61">
        <f>13.1083* CHOOSE(CONTROL!$C$19, $C$13, 100%, $E$13)</f>
        <v>13.1083</v>
      </c>
      <c r="I567" s="61">
        <f>13.1085 * CHOOSE(CONTROL!$C$19, $C$13, 100%, $E$13)</f>
        <v>13.108499999999999</v>
      </c>
      <c r="J567" s="61">
        <f>9.1446 * CHOOSE(CONTROL!$C$19, $C$13, 100%, $E$13)</f>
        <v>9.1446000000000005</v>
      </c>
      <c r="K567" s="61">
        <f>9.1448 * CHOOSE(CONTROL!$C$19, $C$13, 100%, $E$13)</f>
        <v>9.1448</v>
      </c>
    </row>
    <row r="568" spans="1:11" ht="15">
      <c r="A568" s="13">
        <v>59141</v>
      </c>
      <c r="B568" s="60">
        <f>7.8751 * CHOOSE(CONTROL!$C$19, $C$13, 100%, $E$13)</f>
        <v>7.8750999999999998</v>
      </c>
      <c r="C568" s="60">
        <f>7.8751 * CHOOSE(CONTROL!$C$19, $C$13, 100%, $E$13)</f>
        <v>7.8750999999999998</v>
      </c>
      <c r="D568" s="60">
        <f>7.892 * CHOOSE(CONTROL!$C$19, $C$13, 100%, $E$13)</f>
        <v>7.8920000000000003</v>
      </c>
      <c r="E568" s="61">
        <f>9.0703 * CHOOSE(CONTROL!$C$19, $C$13, 100%, $E$13)</f>
        <v>9.0702999999999996</v>
      </c>
      <c r="F568" s="61">
        <f>9.0703 * CHOOSE(CONTROL!$C$19, $C$13, 100%, $E$13)</f>
        <v>9.0702999999999996</v>
      </c>
      <c r="G568" s="61">
        <f>9.0705 * CHOOSE(CONTROL!$C$19, $C$13, 100%, $E$13)</f>
        <v>9.0704999999999991</v>
      </c>
      <c r="H568" s="61">
        <f>13.1356* CHOOSE(CONTROL!$C$19, $C$13, 100%, $E$13)</f>
        <v>13.1356</v>
      </c>
      <c r="I568" s="61">
        <f>13.1358 * CHOOSE(CONTROL!$C$19, $C$13, 100%, $E$13)</f>
        <v>13.1358</v>
      </c>
      <c r="J568" s="61">
        <f>9.0703 * CHOOSE(CONTROL!$C$19, $C$13, 100%, $E$13)</f>
        <v>9.0702999999999996</v>
      </c>
      <c r="K568" s="61">
        <f>9.0705 * CHOOSE(CONTROL!$C$19, $C$13, 100%, $E$13)</f>
        <v>9.0704999999999991</v>
      </c>
    </row>
    <row r="569" spans="1:11" ht="15">
      <c r="A569" s="13">
        <v>59172</v>
      </c>
      <c r="B569" s="60">
        <f>7.9408 * CHOOSE(CONTROL!$C$19, $C$13, 100%, $E$13)</f>
        <v>7.9408000000000003</v>
      </c>
      <c r="C569" s="60">
        <f>7.9408 * CHOOSE(CONTROL!$C$19, $C$13, 100%, $E$13)</f>
        <v>7.9408000000000003</v>
      </c>
      <c r="D569" s="60">
        <f>7.9577 * CHOOSE(CONTROL!$C$19, $C$13, 100%, $E$13)</f>
        <v>7.9577</v>
      </c>
      <c r="E569" s="61">
        <f>9.2108 * CHOOSE(CONTROL!$C$19, $C$13, 100%, $E$13)</f>
        <v>9.2108000000000008</v>
      </c>
      <c r="F569" s="61">
        <f>9.2108 * CHOOSE(CONTROL!$C$19, $C$13, 100%, $E$13)</f>
        <v>9.2108000000000008</v>
      </c>
      <c r="G569" s="61">
        <f>9.211 * CHOOSE(CONTROL!$C$19, $C$13, 100%, $E$13)</f>
        <v>9.2110000000000003</v>
      </c>
      <c r="H569" s="61">
        <f>13.163* CHOOSE(CONTROL!$C$19, $C$13, 100%, $E$13)</f>
        <v>13.163</v>
      </c>
      <c r="I569" s="61">
        <f>13.1631 * CHOOSE(CONTROL!$C$19, $C$13, 100%, $E$13)</f>
        <v>13.1631</v>
      </c>
      <c r="J569" s="61">
        <f>9.2108 * CHOOSE(CONTROL!$C$19, $C$13, 100%, $E$13)</f>
        <v>9.2108000000000008</v>
      </c>
      <c r="K569" s="61">
        <f>9.211 * CHOOSE(CONTROL!$C$19, $C$13, 100%, $E$13)</f>
        <v>9.2110000000000003</v>
      </c>
    </row>
    <row r="570" spans="1:11" ht="15">
      <c r="A570" s="13">
        <v>59203</v>
      </c>
      <c r="B570" s="60">
        <f>7.9378 * CHOOSE(CONTROL!$C$19, $C$13, 100%, $E$13)</f>
        <v>7.9378000000000002</v>
      </c>
      <c r="C570" s="60">
        <f>7.9378 * CHOOSE(CONTROL!$C$19, $C$13, 100%, $E$13)</f>
        <v>7.9378000000000002</v>
      </c>
      <c r="D570" s="60">
        <f>7.9546 * CHOOSE(CONTROL!$C$19, $C$13, 100%, $E$13)</f>
        <v>7.9546000000000001</v>
      </c>
      <c r="E570" s="61">
        <f>9.0638 * CHOOSE(CONTROL!$C$19, $C$13, 100%, $E$13)</f>
        <v>9.0638000000000005</v>
      </c>
      <c r="F570" s="61">
        <f>9.0638 * CHOOSE(CONTROL!$C$19, $C$13, 100%, $E$13)</f>
        <v>9.0638000000000005</v>
      </c>
      <c r="G570" s="61">
        <f>9.064 * CHOOSE(CONTROL!$C$19, $C$13, 100%, $E$13)</f>
        <v>9.0640000000000001</v>
      </c>
      <c r="H570" s="61">
        <f>13.1904* CHOOSE(CONTROL!$C$19, $C$13, 100%, $E$13)</f>
        <v>13.1904</v>
      </c>
      <c r="I570" s="61">
        <f>13.1906 * CHOOSE(CONTROL!$C$19, $C$13, 100%, $E$13)</f>
        <v>13.1906</v>
      </c>
      <c r="J570" s="61">
        <f>9.0638 * CHOOSE(CONTROL!$C$19, $C$13, 100%, $E$13)</f>
        <v>9.0638000000000005</v>
      </c>
      <c r="K570" s="61">
        <f>9.064 * CHOOSE(CONTROL!$C$19, $C$13, 100%, $E$13)</f>
        <v>9.0640000000000001</v>
      </c>
    </row>
    <row r="571" spans="1:11" ht="15">
      <c r="A571" s="13">
        <v>59231</v>
      </c>
      <c r="B571" s="60">
        <f>7.9347 * CHOOSE(CONTROL!$C$19, $C$13, 100%, $E$13)</f>
        <v>7.9347000000000003</v>
      </c>
      <c r="C571" s="60">
        <f>7.9347 * CHOOSE(CONTROL!$C$19, $C$13, 100%, $E$13)</f>
        <v>7.9347000000000003</v>
      </c>
      <c r="D571" s="60">
        <f>7.9516 * CHOOSE(CONTROL!$C$19, $C$13, 100%, $E$13)</f>
        <v>7.9516</v>
      </c>
      <c r="E571" s="61">
        <f>9.1759 * CHOOSE(CONTROL!$C$19, $C$13, 100%, $E$13)</f>
        <v>9.1759000000000004</v>
      </c>
      <c r="F571" s="61">
        <f>9.1759 * CHOOSE(CONTROL!$C$19, $C$13, 100%, $E$13)</f>
        <v>9.1759000000000004</v>
      </c>
      <c r="G571" s="61">
        <f>9.1761 * CHOOSE(CONTROL!$C$19, $C$13, 100%, $E$13)</f>
        <v>9.1760999999999999</v>
      </c>
      <c r="H571" s="61">
        <f>13.2179* CHOOSE(CONTROL!$C$19, $C$13, 100%, $E$13)</f>
        <v>13.2179</v>
      </c>
      <c r="I571" s="61">
        <f>13.218 * CHOOSE(CONTROL!$C$19, $C$13, 100%, $E$13)</f>
        <v>13.218</v>
      </c>
      <c r="J571" s="61">
        <f>9.1759 * CHOOSE(CONTROL!$C$19, $C$13, 100%, $E$13)</f>
        <v>9.1759000000000004</v>
      </c>
      <c r="K571" s="61">
        <f>9.1761 * CHOOSE(CONTROL!$C$19, $C$13, 100%, $E$13)</f>
        <v>9.1760999999999999</v>
      </c>
    </row>
    <row r="572" spans="1:11" ht="15">
      <c r="A572" s="13">
        <v>59262</v>
      </c>
      <c r="B572" s="60">
        <f>7.9363 * CHOOSE(CONTROL!$C$19, $C$13, 100%, $E$13)</f>
        <v>7.9363000000000001</v>
      </c>
      <c r="C572" s="60">
        <f>7.9363 * CHOOSE(CONTROL!$C$19, $C$13, 100%, $E$13)</f>
        <v>7.9363000000000001</v>
      </c>
      <c r="D572" s="60">
        <f>7.9531 * CHOOSE(CONTROL!$C$19, $C$13, 100%, $E$13)</f>
        <v>7.9531000000000001</v>
      </c>
      <c r="E572" s="61">
        <f>9.2943 * CHOOSE(CONTROL!$C$19, $C$13, 100%, $E$13)</f>
        <v>9.2942999999999998</v>
      </c>
      <c r="F572" s="61">
        <f>9.2943 * CHOOSE(CONTROL!$C$19, $C$13, 100%, $E$13)</f>
        <v>9.2942999999999998</v>
      </c>
      <c r="G572" s="61">
        <f>9.2945 * CHOOSE(CONTROL!$C$19, $C$13, 100%, $E$13)</f>
        <v>9.2944999999999993</v>
      </c>
      <c r="H572" s="61">
        <f>13.2454* CHOOSE(CONTROL!$C$19, $C$13, 100%, $E$13)</f>
        <v>13.2454</v>
      </c>
      <c r="I572" s="61">
        <f>13.2456 * CHOOSE(CONTROL!$C$19, $C$13, 100%, $E$13)</f>
        <v>13.2456</v>
      </c>
      <c r="J572" s="61">
        <f>9.2943 * CHOOSE(CONTROL!$C$19, $C$13, 100%, $E$13)</f>
        <v>9.2942999999999998</v>
      </c>
      <c r="K572" s="61">
        <f>9.2945 * CHOOSE(CONTROL!$C$19, $C$13, 100%, $E$13)</f>
        <v>9.2944999999999993</v>
      </c>
    </row>
    <row r="573" spans="1:11" ht="15">
      <c r="A573" s="13">
        <v>59292</v>
      </c>
      <c r="B573" s="60">
        <f>7.9363 * CHOOSE(CONTROL!$C$19, $C$13, 100%, $E$13)</f>
        <v>7.9363000000000001</v>
      </c>
      <c r="C573" s="60">
        <f>7.9363 * CHOOSE(CONTROL!$C$19, $C$13, 100%, $E$13)</f>
        <v>7.9363000000000001</v>
      </c>
      <c r="D573" s="60">
        <f>7.97 * CHOOSE(CONTROL!$C$19, $C$13, 100%, $E$13)</f>
        <v>7.97</v>
      </c>
      <c r="E573" s="61">
        <f>9.3403 * CHOOSE(CONTROL!$C$19, $C$13, 100%, $E$13)</f>
        <v>9.3402999999999992</v>
      </c>
      <c r="F573" s="61">
        <f>9.3403 * CHOOSE(CONTROL!$C$19, $C$13, 100%, $E$13)</f>
        <v>9.3402999999999992</v>
      </c>
      <c r="G573" s="61">
        <f>9.3424 * CHOOSE(CONTROL!$C$19, $C$13, 100%, $E$13)</f>
        <v>9.3423999999999996</v>
      </c>
      <c r="H573" s="61">
        <f>13.273* CHOOSE(CONTROL!$C$19, $C$13, 100%, $E$13)</f>
        <v>13.273</v>
      </c>
      <c r="I573" s="61">
        <f>13.2751 * CHOOSE(CONTROL!$C$19, $C$13, 100%, $E$13)</f>
        <v>13.2751</v>
      </c>
      <c r="J573" s="61">
        <f>9.3403 * CHOOSE(CONTROL!$C$19, $C$13, 100%, $E$13)</f>
        <v>9.3402999999999992</v>
      </c>
      <c r="K573" s="61">
        <f>9.3424 * CHOOSE(CONTROL!$C$19, $C$13, 100%, $E$13)</f>
        <v>9.3423999999999996</v>
      </c>
    </row>
    <row r="574" spans="1:11" ht="15">
      <c r="A574" s="13">
        <v>59323</v>
      </c>
      <c r="B574" s="60">
        <f>7.9424 * CHOOSE(CONTROL!$C$19, $C$13, 100%, $E$13)</f>
        <v>7.9424000000000001</v>
      </c>
      <c r="C574" s="60">
        <f>7.9424 * CHOOSE(CONTROL!$C$19, $C$13, 100%, $E$13)</f>
        <v>7.9424000000000001</v>
      </c>
      <c r="D574" s="60">
        <f>7.976 * CHOOSE(CONTROL!$C$19, $C$13, 100%, $E$13)</f>
        <v>7.976</v>
      </c>
      <c r="E574" s="61">
        <f>9.2986 * CHOOSE(CONTROL!$C$19, $C$13, 100%, $E$13)</f>
        <v>9.2986000000000004</v>
      </c>
      <c r="F574" s="61">
        <f>9.2986 * CHOOSE(CONTROL!$C$19, $C$13, 100%, $E$13)</f>
        <v>9.2986000000000004</v>
      </c>
      <c r="G574" s="61">
        <f>9.3007 * CHOOSE(CONTROL!$C$19, $C$13, 100%, $E$13)</f>
        <v>9.3007000000000009</v>
      </c>
      <c r="H574" s="61">
        <f>13.3006* CHOOSE(CONTROL!$C$19, $C$13, 100%, $E$13)</f>
        <v>13.300599999999999</v>
      </c>
      <c r="I574" s="61">
        <f>13.3027 * CHOOSE(CONTROL!$C$19, $C$13, 100%, $E$13)</f>
        <v>13.3027</v>
      </c>
      <c r="J574" s="61">
        <f>9.2986 * CHOOSE(CONTROL!$C$19, $C$13, 100%, $E$13)</f>
        <v>9.2986000000000004</v>
      </c>
      <c r="K574" s="61">
        <f>9.3007 * CHOOSE(CONTROL!$C$19, $C$13, 100%, $E$13)</f>
        <v>9.3007000000000009</v>
      </c>
    </row>
    <row r="575" spans="1:11" ht="15">
      <c r="A575" s="13">
        <v>59353</v>
      </c>
      <c r="B575" s="60">
        <f>8.058 * CHOOSE(CONTROL!$C$19, $C$13, 100%, $E$13)</f>
        <v>8.0579999999999998</v>
      </c>
      <c r="C575" s="60">
        <f>8.058 * CHOOSE(CONTROL!$C$19, $C$13, 100%, $E$13)</f>
        <v>8.0579999999999998</v>
      </c>
      <c r="D575" s="60">
        <f>8.0917 * CHOOSE(CONTROL!$C$19, $C$13, 100%, $E$13)</f>
        <v>8.0916999999999994</v>
      </c>
      <c r="E575" s="61">
        <f>9.4719 * CHOOSE(CONTROL!$C$19, $C$13, 100%, $E$13)</f>
        <v>9.4718999999999998</v>
      </c>
      <c r="F575" s="61">
        <f>9.4719 * CHOOSE(CONTROL!$C$19, $C$13, 100%, $E$13)</f>
        <v>9.4718999999999998</v>
      </c>
      <c r="G575" s="61">
        <f>9.474 * CHOOSE(CONTROL!$C$19, $C$13, 100%, $E$13)</f>
        <v>9.4740000000000002</v>
      </c>
      <c r="H575" s="61">
        <f>13.3284* CHOOSE(CONTROL!$C$19, $C$13, 100%, $E$13)</f>
        <v>13.3284</v>
      </c>
      <c r="I575" s="61">
        <f>13.3304 * CHOOSE(CONTROL!$C$19, $C$13, 100%, $E$13)</f>
        <v>13.330399999999999</v>
      </c>
      <c r="J575" s="61">
        <f>9.4719 * CHOOSE(CONTROL!$C$19, $C$13, 100%, $E$13)</f>
        <v>9.4718999999999998</v>
      </c>
      <c r="K575" s="61">
        <f>9.474 * CHOOSE(CONTROL!$C$19, $C$13, 100%, $E$13)</f>
        <v>9.4740000000000002</v>
      </c>
    </row>
    <row r="576" spans="1:11" ht="15">
      <c r="A576" s="13">
        <v>59384</v>
      </c>
      <c r="B576" s="60">
        <f>8.0647 * CHOOSE(CONTROL!$C$19, $C$13, 100%, $E$13)</f>
        <v>8.0647000000000002</v>
      </c>
      <c r="C576" s="60">
        <f>8.0647 * CHOOSE(CONTROL!$C$19, $C$13, 100%, $E$13)</f>
        <v>8.0647000000000002</v>
      </c>
      <c r="D576" s="60">
        <f>8.0984 * CHOOSE(CONTROL!$C$19, $C$13, 100%, $E$13)</f>
        <v>8.0983999999999998</v>
      </c>
      <c r="E576" s="61">
        <f>9.3385 * CHOOSE(CONTROL!$C$19, $C$13, 100%, $E$13)</f>
        <v>9.3384999999999998</v>
      </c>
      <c r="F576" s="61">
        <f>9.3385 * CHOOSE(CONTROL!$C$19, $C$13, 100%, $E$13)</f>
        <v>9.3384999999999998</v>
      </c>
      <c r="G576" s="61">
        <f>9.3406 * CHOOSE(CONTROL!$C$19, $C$13, 100%, $E$13)</f>
        <v>9.3406000000000002</v>
      </c>
      <c r="H576" s="61">
        <f>13.3561* CHOOSE(CONTROL!$C$19, $C$13, 100%, $E$13)</f>
        <v>13.3561</v>
      </c>
      <c r="I576" s="61">
        <f>13.3582 * CHOOSE(CONTROL!$C$19, $C$13, 100%, $E$13)</f>
        <v>13.3582</v>
      </c>
      <c r="J576" s="61">
        <f>9.3385 * CHOOSE(CONTROL!$C$19, $C$13, 100%, $E$13)</f>
        <v>9.3384999999999998</v>
      </c>
      <c r="K576" s="61">
        <f>9.3406 * CHOOSE(CONTROL!$C$19, $C$13, 100%, $E$13)</f>
        <v>9.3406000000000002</v>
      </c>
    </row>
    <row r="577" spans="1:11" ht="15">
      <c r="A577" s="13">
        <v>59415</v>
      </c>
      <c r="B577" s="60">
        <f>8.0616 * CHOOSE(CONTROL!$C$19, $C$13, 100%, $E$13)</f>
        <v>8.0616000000000003</v>
      </c>
      <c r="C577" s="60">
        <f>8.0616 * CHOOSE(CONTROL!$C$19, $C$13, 100%, $E$13)</f>
        <v>8.0616000000000003</v>
      </c>
      <c r="D577" s="60">
        <f>8.0953 * CHOOSE(CONTROL!$C$19, $C$13, 100%, $E$13)</f>
        <v>8.0952999999999999</v>
      </c>
      <c r="E577" s="61">
        <f>9.3211 * CHOOSE(CONTROL!$C$19, $C$13, 100%, $E$13)</f>
        <v>9.3210999999999995</v>
      </c>
      <c r="F577" s="61">
        <f>9.3211 * CHOOSE(CONTROL!$C$19, $C$13, 100%, $E$13)</f>
        <v>9.3210999999999995</v>
      </c>
      <c r="G577" s="61">
        <f>9.3232 * CHOOSE(CONTROL!$C$19, $C$13, 100%, $E$13)</f>
        <v>9.3231999999999999</v>
      </c>
      <c r="H577" s="61">
        <f>13.3839* CHOOSE(CONTROL!$C$19, $C$13, 100%, $E$13)</f>
        <v>13.383900000000001</v>
      </c>
      <c r="I577" s="61">
        <f>13.386 * CHOOSE(CONTROL!$C$19, $C$13, 100%, $E$13)</f>
        <v>13.385999999999999</v>
      </c>
      <c r="J577" s="61">
        <f>9.3211 * CHOOSE(CONTROL!$C$19, $C$13, 100%, $E$13)</f>
        <v>9.3210999999999995</v>
      </c>
      <c r="K577" s="61">
        <f>9.3232 * CHOOSE(CONTROL!$C$19, $C$13, 100%, $E$13)</f>
        <v>9.3231999999999999</v>
      </c>
    </row>
    <row r="578" spans="1:11" ht="15">
      <c r="A578" s="13">
        <v>59445</v>
      </c>
      <c r="B578" s="60">
        <f>8.0722 * CHOOSE(CONTROL!$C$19, $C$13, 100%, $E$13)</f>
        <v>8.0722000000000005</v>
      </c>
      <c r="C578" s="60">
        <f>8.0722 * CHOOSE(CONTROL!$C$19, $C$13, 100%, $E$13)</f>
        <v>8.0722000000000005</v>
      </c>
      <c r="D578" s="60">
        <f>8.089 * CHOOSE(CONTROL!$C$19, $C$13, 100%, $E$13)</f>
        <v>8.0890000000000004</v>
      </c>
      <c r="E578" s="61">
        <f>9.369 * CHOOSE(CONTROL!$C$19, $C$13, 100%, $E$13)</f>
        <v>9.3689999999999998</v>
      </c>
      <c r="F578" s="61">
        <f>9.369 * CHOOSE(CONTROL!$C$19, $C$13, 100%, $E$13)</f>
        <v>9.3689999999999998</v>
      </c>
      <c r="G578" s="61">
        <f>9.3692 * CHOOSE(CONTROL!$C$19, $C$13, 100%, $E$13)</f>
        <v>9.3691999999999993</v>
      </c>
      <c r="H578" s="61">
        <f>13.4118* CHOOSE(CONTROL!$C$19, $C$13, 100%, $E$13)</f>
        <v>13.411799999999999</v>
      </c>
      <c r="I578" s="61">
        <f>13.412 * CHOOSE(CONTROL!$C$19, $C$13, 100%, $E$13)</f>
        <v>13.412000000000001</v>
      </c>
      <c r="J578" s="61">
        <f>9.369 * CHOOSE(CONTROL!$C$19, $C$13, 100%, $E$13)</f>
        <v>9.3689999999999998</v>
      </c>
      <c r="K578" s="61">
        <f>9.3692 * CHOOSE(CONTROL!$C$19, $C$13, 100%, $E$13)</f>
        <v>9.3691999999999993</v>
      </c>
    </row>
    <row r="579" spans="1:11" ht="15">
      <c r="A579" s="13">
        <v>59476</v>
      </c>
      <c r="B579" s="60">
        <f>8.0752 * CHOOSE(CONTROL!$C$19, $C$13, 100%, $E$13)</f>
        <v>8.0752000000000006</v>
      </c>
      <c r="C579" s="60">
        <f>8.0752 * CHOOSE(CONTROL!$C$19, $C$13, 100%, $E$13)</f>
        <v>8.0752000000000006</v>
      </c>
      <c r="D579" s="60">
        <f>8.092 * CHOOSE(CONTROL!$C$19, $C$13, 100%, $E$13)</f>
        <v>8.0920000000000005</v>
      </c>
      <c r="E579" s="61">
        <f>9.4018 * CHOOSE(CONTROL!$C$19, $C$13, 100%, $E$13)</f>
        <v>9.4017999999999997</v>
      </c>
      <c r="F579" s="61">
        <f>9.4018 * CHOOSE(CONTROL!$C$19, $C$13, 100%, $E$13)</f>
        <v>9.4017999999999997</v>
      </c>
      <c r="G579" s="61">
        <f>9.402 * CHOOSE(CONTROL!$C$19, $C$13, 100%, $E$13)</f>
        <v>9.4019999999999992</v>
      </c>
      <c r="H579" s="61">
        <f>13.4398* CHOOSE(CONTROL!$C$19, $C$13, 100%, $E$13)</f>
        <v>13.4398</v>
      </c>
      <c r="I579" s="61">
        <f>13.4399 * CHOOSE(CONTROL!$C$19, $C$13, 100%, $E$13)</f>
        <v>13.4399</v>
      </c>
      <c r="J579" s="61">
        <f>9.4018 * CHOOSE(CONTROL!$C$19, $C$13, 100%, $E$13)</f>
        <v>9.4017999999999997</v>
      </c>
      <c r="K579" s="61">
        <f>9.402 * CHOOSE(CONTROL!$C$19, $C$13, 100%, $E$13)</f>
        <v>9.4019999999999992</v>
      </c>
    </row>
    <row r="580" spans="1:11" ht="15">
      <c r="A580" s="13">
        <v>59506</v>
      </c>
      <c r="B580" s="60">
        <f>8.0752 * CHOOSE(CONTROL!$C$19, $C$13, 100%, $E$13)</f>
        <v>8.0752000000000006</v>
      </c>
      <c r="C580" s="60">
        <f>8.0752 * CHOOSE(CONTROL!$C$19, $C$13, 100%, $E$13)</f>
        <v>8.0752000000000006</v>
      </c>
      <c r="D580" s="60">
        <f>8.092 * CHOOSE(CONTROL!$C$19, $C$13, 100%, $E$13)</f>
        <v>8.0920000000000005</v>
      </c>
      <c r="E580" s="61">
        <f>9.3251 * CHOOSE(CONTROL!$C$19, $C$13, 100%, $E$13)</f>
        <v>9.3251000000000008</v>
      </c>
      <c r="F580" s="61">
        <f>9.3251 * CHOOSE(CONTROL!$C$19, $C$13, 100%, $E$13)</f>
        <v>9.3251000000000008</v>
      </c>
      <c r="G580" s="61">
        <f>9.3253 * CHOOSE(CONTROL!$C$19, $C$13, 100%, $E$13)</f>
        <v>9.3253000000000004</v>
      </c>
      <c r="H580" s="61">
        <f>13.4678* CHOOSE(CONTROL!$C$19, $C$13, 100%, $E$13)</f>
        <v>13.4678</v>
      </c>
      <c r="I580" s="61">
        <f>13.4679 * CHOOSE(CONTROL!$C$19, $C$13, 100%, $E$13)</f>
        <v>13.4679</v>
      </c>
      <c r="J580" s="61">
        <f>9.3251 * CHOOSE(CONTROL!$C$19, $C$13, 100%, $E$13)</f>
        <v>9.3251000000000008</v>
      </c>
      <c r="K580" s="61">
        <f>9.3253 * CHOOSE(CONTROL!$C$19, $C$13, 100%, $E$13)</f>
        <v>9.3253000000000004</v>
      </c>
    </row>
    <row r="581" spans="1:11" ht="15">
      <c r="A581" s="13">
        <v>59537</v>
      </c>
      <c r="B581" s="60">
        <f>8.1374 * CHOOSE(CONTROL!$C$19, $C$13, 100%, $E$13)</f>
        <v>8.1373999999999995</v>
      </c>
      <c r="C581" s="60">
        <f>8.1374 * CHOOSE(CONTROL!$C$19, $C$13, 100%, $E$13)</f>
        <v>8.1373999999999995</v>
      </c>
      <c r="D581" s="60">
        <f>8.1543 * CHOOSE(CONTROL!$C$19, $C$13, 100%, $E$13)</f>
        <v>8.1542999999999992</v>
      </c>
      <c r="E581" s="61">
        <f>9.4627 * CHOOSE(CONTROL!$C$19, $C$13, 100%, $E$13)</f>
        <v>9.4626999999999999</v>
      </c>
      <c r="F581" s="61">
        <f>9.4627 * CHOOSE(CONTROL!$C$19, $C$13, 100%, $E$13)</f>
        <v>9.4626999999999999</v>
      </c>
      <c r="G581" s="61">
        <f>9.4628 * CHOOSE(CONTROL!$C$19, $C$13, 100%, $E$13)</f>
        <v>9.4627999999999997</v>
      </c>
      <c r="H581" s="61">
        <f>13.4876* CHOOSE(CONTROL!$C$19, $C$13, 100%, $E$13)</f>
        <v>13.4876</v>
      </c>
      <c r="I581" s="61">
        <f>13.4878 * CHOOSE(CONTROL!$C$19, $C$13, 100%, $E$13)</f>
        <v>13.4878</v>
      </c>
      <c r="J581" s="61">
        <f>9.4627 * CHOOSE(CONTROL!$C$19, $C$13, 100%, $E$13)</f>
        <v>9.4626999999999999</v>
      </c>
      <c r="K581" s="61">
        <f>9.4628 * CHOOSE(CONTROL!$C$19, $C$13, 100%, $E$13)</f>
        <v>9.4627999999999997</v>
      </c>
    </row>
    <row r="582" spans="1:11" ht="15">
      <c r="A582" s="13">
        <v>59568</v>
      </c>
      <c r="B582" s="60">
        <f>8.1344 * CHOOSE(CONTROL!$C$19, $C$13, 100%, $E$13)</f>
        <v>8.1343999999999994</v>
      </c>
      <c r="C582" s="60">
        <f>8.1344 * CHOOSE(CONTROL!$C$19, $C$13, 100%, $E$13)</f>
        <v>8.1343999999999994</v>
      </c>
      <c r="D582" s="60">
        <f>8.1512 * CHOOSE(CONTROL!$C$19, $C$13, 100%, $E$13)</f>
        <v>8.1511999999999993</v>
      </c>
      <c r="E582" s="61">
        <f>9.3112 * CHOOSE(CONTROL!$C$19, $C$13, 100%, $E$13)</f>
        <v>9.3111999999999995</v>
      </c>
      <c r="F582" s="61">
        <f>9.3112 * CHOOSE(CONTROL!$C$19, $C$13, 100%, $E$13)</f>
        <v>9.3111999999999995</v>
      </c>
      <c r="G582" s="61">
        <f>9.3114 * CHOOSE(CONTROL!$C$19, $C$13, 100%, $E$13)</f>
        <v>9.3114000000000008</v>
      </c>
      <c r="H582" s="61">
        <f>13.5157* CHOOSE(CONTROL!$C$19, $C$13, 100%, $E$13)</f>
        <v>13.515700000000001</v>
      </c>
      <c r="I582" s="61">
        <f>13.5159 * CHOOSE(CONTROL!$C$19, $C$13, 100%, $E$13)</f>
        <v>13.5159</v>
      </c>
      <c r="J582" s="61">
        <f>9.3112 * CHOOSE(CONTROL!$C$19, $C$13, 100%, $E$13)</f>
        <v>9.3111999999999995</v>
      </c>
      <c r="K582" s="61">
        <f>9.3114 * CHOOSE(CONTROL!$C$19, $C$13, 100%, $E$13)</f>
        <v>9.3114000000000008</v>
      </c>
    </row>
    <row r="583" spans="1:11" ht="15">
      <c r="A583" s="13">
        <v>59596</v>
      </c>
      <c r="B583" s="60">
        <f>8.1314 * CHOOSE(CONTROL!$C$19, $C$13, 100%, $E$13)</f>
        <v>8.1313999999999993</v>
      </c>
      <c r="C583" s="60">
        <f>8.1314 * CHOOSE(CONTROL!$C$19, $C$13, 100%, $E$13)</f>
        <v>8.1313999999999993</v>
      </c>
      <c r="D583" s="60">
        <f>8.1482 * CHOOSE(CONTROL!$C$19, $C$13, 100%, $E$13)</f>
        <v>8.1481999999999992</v>
      </c>
      <c r="E583" s="61">
        <f>9.4268 * CHOOSE(CONTROL!$C$19, $C$13, 100%, $E$13)</f>
        <v>9.4268000000000001</v>
      </c>
      <c r="F583" s="61">
        <f>9.4268 * CHOOSE(CONTROL!$C$19, $C$13, 100%, $E$13)</f>
        <v>9.4268000000000001</v>
      </c>
      <c r="G583" s="61">
        <f>9.427 * CHOOSE(CONTROL!$C$19, $C$13, 100%, $E$13)</f>
        <v>9.4269999999999996</v>
      </c>
      <c r="H583" s="61">
        <f>13.5439* CHOOSE(CONTROL!$C$19, $C$13, 100%, $E$13)</f>
        <v>13.543900000000001</v>
      </c>
      <c r="I583" s="61">
        <f>13.5441 * CHOOSE(CONTROL!$C$19, $C$13, 100%, $E$13)</f>
        <v>13.5441</v>
      </c>
      <c r="J583" s="61">
        <f>9.4268 * CHOOSE(CONTROL!$C$19, $C$13, 100%, $E$13)</f>
        <v>9.4268000000000001</v>
      </c>
      <c r="K583" s="61">
        <f>9.427 * CHOOSE(CONTROL!$C$19, $C$13, 100%, $E$13)</f>
        <v>9.4269999999999996</v>
      </c>
    </row>
    <row r="584" spans="1:11" ht="15">
      <c r="A584" s="13">
        <v>59627</v>
      </c>
      <c r="B584" s="60">
        <f>8.1331 * CHOOSE(CONTROL!$C$19, $C$13, 100%, $E$13)</f>
        <v>8.1331000000000007</v>
      </c>
      <c r="C584" s="60">
        <f>8.1331 * CHOOSE(CONTROL!$C$19, $C$13, 100%, $E$13)</f>
        <v>8.1331000000000007</v>
      </c>
      <c r="D584" s="60">
        <f>8.1499 * CHOOSE(CONTROL!$C$19, $C$13, 100%, $E$13)</f>
        <v>8.1499000000000006</v>
      </c>
      <c r="E584" s="61">
        <f>9.549 * CHOOSE(CONTROL!$C$19, $C$13, 100%, $E$13)</f>
        <v>9.5489999999999995</v>
      </c>
      <c r="F584" s="61">
        <f>9.549 * CHOOSE(CONTROL!$C$19, $C$13, 100%, $E$13)</f>
        <v>9.5489999999999995</v>
      </c>
      <c r="G584" s="61">
        <f>9.5492 * CHOOSE(CONTROL!$C$19, $C$13, 100%, $E$13)</f>
        <v>9.5492000000000008</v>
      </c>
      <c r="H584" s="61">
        <f>13.5721* CHOOSE(CONTROL!$C$19, $C$13, 100%, $E$13)</f>
        <v>13.572100000000001</v>
      </c>
      <c r="I584" s="61">
        <f>13.5723 * CHOOSE(CONTROL!$C$19, $C$13, 100%, $E$13)</f>
        <v>13.5723</v>
      </c>
      <c r="J584" s="61">
        <f>9.549 * CHOOSE(CONTROL!$C$19, $C$13, 100%, $E$13)</f>
        <v>9.5489999999999995</v>
      </c>
      <c r="K584" s="61">
        <f>9.5492 * CHOOSE(CONTROL!$C$19, $C$13, 100%, $E$13)</f>
        <v>9.5492000000000008</v>
      </c>
    </row>
    <row r="585" spans="1:11" ht="15">
      <c r="A585" s="13">
        <v>59657</v>
      </c>
      <c r="B585" s="60">
        <f>8.1331 * CHOOSE(CONTROL!$C$19, $C$13, 100%, $E$13)</f>
        <v>8.1331000000000007</v>
      </c>
      <c r="C585" s="60">
        <f>8.1331 * CHOOSE(CONTROL!$C$19, $C$13, 100%, $E$13)</f>
        <v>8.1331000000000007</v>
      </c>
      <c r="D585" s="60">
        <f>8.1668 * CHOOSE(CONTROL!$C$19, $C$13, 100%, $E$13)</f>
        <v>8.1668000000000003</v>
      </c>
      <c r="E585" s="61">
        <f>9.5964 * CHOOSE(CONTROL!$C$19, $C$13, 100%, $E$13)</f>
        <v>9.5963999999999992</v>
      </c>
      <c r="F585" s="61">
        <f>9.5964 * CHOOSE(CONTROL!$C$19, $C$13, 100%, $E$13)</f>
        <v>9.5963999999999992</v>
      </c>
      <c r="G585" s="61">
        <f>9.5985 * CHOOSE(CONTROL!$C$19, $C$13, 100%, $E$13)</f>
        <v>9.5984999999999996</v>
      </c>
      <c r="H585" s="61">
        <f>13.6004* CHOOSE(CONTROL!$C$19, $C$13, 100%, $E$13)</f>
        <v>13.6004</v>
      </c>
      <c r="I585" s="61">
        <f>13.6025 * CHOOSE(CONTROL!$C$19, $C$13, 100%, $E$13)</f>
        <v>13.602499999999999</v>
      </c>
      <c r="J585" s="61">
        <f>9.5964 * CHOOSE(CONTROL!$C$19, $C$13, 100%, $E$13)</f>
        <v>9.5963999999999992</v>
      </c>
      <c r="K585" s="61">
        <f>9.5985 * CHOOSE(CONTROL!$C$19, $C$13, 100%, $E$13)</f>
        <v>9.5984999999999996</v>
      </c>
    </row>
    <row r="586" spans="1:11" ht="15">
      <c r="A586" s="13">
        <v>59688</v>
      </c>
      <c r="B586" s="60">
        <f>8.1392 * CHOOSE(CONTROL!$C$19, $C$13, 100%, $E$13)</f>
        <v>8.1392000000000007</v>
      </c>
      <c r="C586" s="60">
        <f>8.1392 * CHOOSE(CONTROL!$C$19, $C$13, 100%, $E$13)</f>
        <v>8.1392000000000007</v>
      </c>
      <c r="D586" s="60">
        <f>8.1728 * CHOOSE(CONTROL!$C$19, $C$13, 100%, $E$13)</f>
        <v>8.1728000000000005</v>
      </c>
      <c r="E586" s="61">
        <f>9.5533 * CHOOSE(CONTROL!$C$19, $C$13, 100%, $E$13)</f>
        <v>9.5533000000000001</v>
      </c>
      <c r="F586" s="61">
        <f>9.5533 * CHOOSE(CONTROL!$C$19, $C$13, 100%, $E$13)</f>
        <v>9.5533000000000001</v>
      </c>
      <c r="G586" s="61">
        <f>9.5553 * CHOOSE(CONTROL!$C$19, $C$13, 100%, $E$13)</f>
        <v>9.5553000000000008</v>
      </c>
      <c r="H586" s="61">
        <f>13.6287* CHOOSE(CONTROL!$C$19, $C$13, 100%, $E$13)</f>
        <v>13.6287</v>
      </c>
      <c r="I586" s="61">
        <f>13.6308 * CHOOSE(CONTROL!$C$19, $C$13, 100%, $E$13)</f>
        <v>13.630800000000001</v>
      </c>
      <c r="J586" s="61">
        <f>9.5533 * CHOOSE(CONTROL!$C$19, $C$13, 100%, $E$13)</f>
        <v>9.5533000000000001</v>
      </c>
      <c r="K586" s="61">
        <f>9.5553 * CHOOSE(CONTROL!$C$19, $C$13, 100%, $E$13)</f>
        <v>9.5553000000000008</v>
      </c>
    </row>
    <row r="587" spans="1:11" ht="15">
      <c r="A587" s="13">
        <v>59718</v>
      </c>
      <c r="B587" s="60">
        <f>8.2573 * CHOOSE(CONTROL!$C$19, $C$13, 100%, $E$13)</f>
        <v>8.2573000000000008</v>
      </c>
      <c r="C587" s="60">
        <f>8.2573 * CHOOSE(CONTROL!$C$19, $C$13, 100%, $E$13)</f>
        <v>8.2573000000000008</v>
      </c>
      <c r="D587" s="60">
        <f>8.291 * CHOOSE(CONTROL!$C$19, $C$13, 100%, $E$13)</f>
        <v>8.2910000000000004</v>
      </c>
      <c r="E587" s="61">
        <f>9.731 * CHOOSE(CONTROL!$C$19, $C$13, 100%, $E$13)</f>
        <v>9.7309999999999999</v>
      </c>
      <c r="F587" s="61">
        <f>9.731 * CHOOSE(CONTROL!$C$19, $C$13, 100%, $E$13)</f>
        <v>9.7309999999999999</v>
      </c>
      <c r="G587" s="61">
        <f>9.7331 * CHOOSE(CONTROL!$C$19, $C$13, 100%, $E$13)</f>
        <v>9.7331000000000003</v>
      </c>
      <c r="H587" s="61">
        <f>13.6571* CHOOSE(CONTROL!$C$19, $C$13, 100%, $E$13)</f>
        <v>13.6571</v>
      </c>
      <c r="I587" s="61">
        <f>13.6592 * CHOOSE(CONTROL!$C$19, $C$13, 100%, $E$13)</f>
        <v>13.6592</v>
      </c>
      <c r="J587" s="61">
        <f>9.731 * CHOOSE(CONTROL!$C$19, $C$13, 100%, $E$13)</f>
        <v>9.7309999999999999</v>
      </c>
      <c r="K587" s="61">
        <f>9.7331 * CHOOSE(CONTROL!$C$19, $C$13, 100%, $E$13)</f>
        <v>9.7331000000000003</v>
      </c>
    </row>
    <row r="588" spans="1:11" ht="15">
      <c r="A588" s="13">
        <v>59749</v>
      </c>
      <c r="B588" s="60">
        <f>8.264 * CHOOSE(CONTROL!$C$19, $C$13, 100%, $E$13)</f>
        <v>8.2639999999999993</v>
      </c>
      <c r="C588" s="60">
        <f>8.264 * CHOOSE(CONTROL!$C$19, $C$13, 100%, $E$13)</f>
        <v>8.2639999999999993</v>
      </c>
      <c r="D588" s="60">
        <f>8.2977 * CHOOSE(CONTROL!$C$19, $C$13, 100%, $E$13)</f>
        <v>8.2977000000000007</v>
      </c>
      <c r="E588" s="61">
        <f>9.5934 * CHOOSE(CONTROL!$C$19, $C$13, 100%, $E$13)</f>
        <v>9.5934000000000008</v>
      </c>
      <c r="F588" s="61">
        <f>9.5934 * CHOOSE(CONTROL!$C$19, $C$13, 100%, $E$13)</f>
        <v>9.5934000000000008</v>
      </c>
      <c r="G588" s="61">
        <f>9.5955 * CHOOSE(CONTROL!$C$19, $C$13, 100%, $E$13)</f>
        <v>9.5954999999999995</v>
      </c>
      <c r="H588" s="61">
        <f>13.6855* CHOOSE(CONTROL!$C$19, $C$13, 100%, $E$13)</f>
        <v>13.685499999999999</v>
      </c>
      <c r="I588" s="61">
        <f>13.6876 * CHOOSE(CONTROL!$C$19, $C$13, 100%, $E$13)</f>
        <v>13.6876</v>
      </c>
      <c r="J588" s="61">
        <f>9.5934 * CHOOSE(CONTROL!$C$19, $C$13, 100%, $E$13)</f>
        <v>9.5934000000000008</v>
      </c>
      <c r="K588" s="61">
        <f>9.5955 * CHOOSE(CONTROL!$C$19, $C$13, 100%, $E$13)</f>
        <v>9.5954999999999995</v>
      </c>
    </row>
    <row r="589" spans="1:11" ht="15">
      <c r="A589" s="13">
        <v>59780</v>
      </c>
      <c r="B589" s="60">
        <f>8.261 * CHOOSE(CONTROL!$C$19, $C$13, 100%, $E$13)</f>
        <v>8.2609999999999992</v>
      </c>
      <c r="C589" s="60">
        <f>8.261 * CHOOSE(CONTROL!$C$19, $C$13, 100%, $E$13)</f>
        <v>8.2609999999999992</v>
      </c>
      <c r="D589" s="60">
        <f>8.2946 * CHOOSE(CONTROL!$C$19, $C$13, 100%, $E$13)</f>
        <v>8.2946000000000009</v>
      </c>
      <c r="E589" s="61">
        <f>9.5755 * CHOOSE(CONTROL!$C$19, $C$13, 100%, $E$13)</f>
        <v>9.5754999999999999</v>
      </c>
      <c r="F589" s="61">
        <f>9.5755 * CHOOSE(CONTROL!$C$19, $C$13, 100%, $E$13)</f>
        <v>9.5754999999999999</v>
      </c>
      <c r="G589" s="61">
        <f>9.5775 * CHOOSE(CONTROL!$C$19, $C$13, 100%, $E$13)</f>
        <v>9.5775000000000006</v>
      </c>
      <c r="H589" s="61">
        <f>13.7141* CHOOSE(CONTROL!$C$19, $C$13, 100%, $E$13)</f>
        <v>13.7141</v>
      </c>
      <c r="I589" s="61">
        <f>13.7161 * CHOOSE(CONTROL!$C$19, $C$13, 100%, $E$13)</f>
        <v>13.716100000000001</v>
      </c>
      <c r="J589" s="61">
        <f>9.5755 * CHOOSE(CONTROL!$C$19, $C$13, 100%, $E$13)</f>
        <v>9.5754999999999999</v>
      </c>
      <c r="K589" s="61">
        <f>9.5775 * CHOOSE(CONTROL!$C$19, $C$13, 100%, $E$13)</f>
        <v>9.5775000000000006</v>
      </c>
    </row>
    <row r="590" spans="1:11" ht="15">
      <c r="A590" s="13">
        <v>59810</v>
      </c>
      <c r="B590" s="60">
        <f>8.2722 * CHOOSE(CONTROL!$C$19, $C$13, 100%, $E$13)</f>
        <v>8.2721999999999998</v>
      </c>
      <c r="C590" s="60">
        <f>8.2722 * CHOOSE(CONTROL!$C$19, $C$13, 100%, $E$13)</f>
        <v>8.2721999999999998</v>
      </c>
      <c r="D590" s="60">
        <f>8.2891 * CHOOSE(CONTROL!$C$19, $C$13, 100%, $E$13)</f>
        <v>8.2890999999999995</v>
      </c>
      <c r="E590" s="61">
        <f>9.6253 * CHOOSE(CONTROL!$C$19, $C$13, 100%, $E$13)</f>
        <v>9.6252999999999993</v>
      </c>
      <c r="F590" s="61">
        <f>9.6253 * CHOOSE(CONTROL!$C$19, $C$13, 100%, $E$13)</f>
        <v>9.6252999999999993</v>
      </c>
      <c r="G590" s="61">
        <f>9.6254 * CHOOSE(CONTROL!$C$19, $C$13, 100%, $E$13)</f>
        <v>9.6254000000000008</v>
      </c>
      <c r="H590" s="61">
        <f>13.7426* CHOOSE(CONTROL!$C$19, $C$13, 100%, $E$13)</f>
        <v>13.742599999999999</v>
      </c>
      <c r="I590" s="61">
        <f>13.7428 * CHOOSE(CONTROL!$C$19, $C$13, 100%, $E$13)</f>
        <v>13.742800000000001</v>
      </c>
      <c r="J590" s="61">
        <f>9.6253 * CHOOSE(CONTROL!$C$19, $C$13, 100%, $E$13)</f>
        <v>9.6252999999999993</v>
      </c>
      <c r="K590" s="61">
        <f>9.6254 * CHOOSE(CONTROL!$C$19, $C$13, 100%, $E$13)</f>
        <v>9.6254000000000008</v>
      </c>
    </row>
    <row r="591" spans="1:11" ht="15">
      <c r="A591" s="13">
        <v>59841</v>
      </c>
      <c r="B591" s="60">
        <f>8.2753 * CHOOSE(CONTROL!$C$19, $C$13, 100%, $E$13)</f>
        <v>8.2752999999999997</v>
      </c>
      <c r="C591" s="60">
        <f>8.2753 * CHOOSE(CONTROL!$C$19, $C$13, 100%, $E$13)</f>
        <v>8.2752999999999997</v>
      </c>
      <c r="D591" s="60">
        <f>8.2921 * CHOOSE(CONTROL!$C$19, $C$13, 100%, $E$13)</f>
        <v>8.2920999999999996</v>
      </c>
      <c r="E591" s="61">
        <f>9.659 * CHOOSE(CONTROL!$C$19, $C$13, 100%, $E$13)</f>
        <v>9.6590000000000007</v>
      </c>
      <c r="F591" s="61">
        <f>9.659 * CHOOSE(CONTROL!$C$19, $C$13, 100%, $E$13)</f>
        <v>9.6590000000000007</v>
      </c>
      <c r="G591" s="61">
        <f>9.6592 * CHOOSE(CONTROL!$C$19, $C$13, 100%, $E$13)</f>
        <v>9.6592000000000002</v>
      </c>
      <c r="H591" s="61">
        <f>13.7713* CHOOSE(CONTROL!$C$19, $C$13, 100%, $E$13)</f>
        <v>13.7713</v>
      </c>
      <c r="I591" s="61">
        <f>13.7714 * CHOOSE(CONTROL!$C$19, $C$13, 100%, $E$13)</f>
        <v>13.7714</v>
      </c>
      <c r="J591" s="61">
        <f>9.659 * CHOOSE(CONTROL!$C$19, $C$13, 100%, $E$13)</f>
        <v>9.6590000000000007</v>
      </c>
      <c r="K591" s="61">
        <f>9.6592 * CHOOSE(CONTROL!$C$19, $C$13, 100%, $E$13)</f>
        <v>9.6592000000000002</v>
      </c>
    </row>
    <row r="592" spans="1:11" ht="15">
      <c r="A592" s="13">
        <v>59871</v>
      </c>
      <c r="B592" s="60">
        <f>8.2753 * CHOOSE(CONTROL!$C$19, $C$13, 100%, $E$13)</f>
        <v>8.2752999999999997</v>
      </c>
      <c r="C592" s="60">
        <f>8.2753 * CHOOSE(CONTROL!$C$19, $C$13, 100%, $E$13)</f>
        <v>8.2752999999999997</v>
      </c>
      <c r="D592" s="60">
        <f>8.2921 * CHOOSE(CONTROL!$C$19, $C$13, 100%, $E$13)</f>
        <v>8.2920999999999996</v>
      </c>
      <c r="E592" s="61">
        <f>9.58 * CHOOSE(CONTROL!$C$19, $C$13, 100%, $E$13)</f>
        <v>9.58</v>
      </c>
      <c r="F592" s="61">
        <f>9.58 * CHOOSE(CONTROL!$C$19, $C$13, 100%, $E$13)</f>
        <v>9.58</v>
      </c>
      <c r="G592" s="61">
        <f>9.5801 * CHOOSE(CONTROL!$C$19, $C$13, 100%, $E$13)</f>
        <v>9.5800999999999998</v>
      </c>
      <c r="H592" s="61">
        <f>13.7999* CHOOSE(CONTROL!$C$19, $C$13, 100%, $E$13)</f>
        <v>13.799899999999999</v>
      </c>
      <c r="I592" s="61">
        <f>13.8001 * CHOOSE(CONTROL!$C$19, $C$13, 100%, $E$13)</f>
        <v>13.8001</v>
      </c>
      <c r="J592" s="61">
        <f>9.58 * CHOOSE(CONTROL!$C$19, $C$13, 100%, $E$13)</f>
        <v>9.58</v>
      </c>
      <c r="K592" s="61">
        <f>9.5801 * CHOOSE(CONTROL!$C$19, $C$13, 100%, $E$13)</f>
        <v>9.5800999999999998</v>
      </c>
    </row>
    <row r="593" spans="1:11" ht="15">
      <c r="A593" s="13">
        <v>59902</v>
      </c>
      <c r="B593" s="60">
        <f>8.3341 * CHOOSE(CONTROL!$C$19, $C$13, 100%, $E$13)</f>
        <v>8.3340999999999994</v>
      </c>
      <c r="C593" s="60">
        <f>8.3341 * CHOOSE(CONTROL!$C$19, $C$13, 100%, $E$13)</f>
        <v>8.3340999999999994</v>
      </c>
      <c r="D593" s="60">
        <f>8.3509 * CHOOSE(CONTROL!$C$19, $C$13, 100%, $E$13)</f>
        <v>8.3508999999999993</v>
      </c>
      <c r="E593" s="61">
        <f>9.7145 * CHOOSE(CONTROL!$C$19, $C$13, 100%, $E$13)</f>
        <v>9.7144999999999992</v>
      </c>
      <c r="F593" s="61">
        <f>9.7145 * CHOOSE(CONTROL!$C$19, $C$13, 100%, $E$13)</f>
        <v>9.7144999999999992</v>
      </c>
      <c r="G593" s="61">
        <f>9.7147 * CHOOSE(CONTROL!$C$19, $C$13, 100%, $E$13)</f>
        <v>9.7147000000000006</v>
      </c>
      <c r="H593" s="61">
        <f>13.8123* CHOOSE(CONTROL!$C$19, $C$13, 100%, $E$13)</f>
        <v>13.8123</v>
      </c>
      <c r="I593" s="61">
        <f>13.8125 * CHOOSE(CONTROL!$C$19, $C$13, 100%, $E$13)</f>
        <v>13.8125</v>
      </c>
      <c r="J593" s="61">
        <f>9.7145 * CHOOSE(CONTROL!$C$19, $C$13, 100%, $E$13)</f>
        <v>9.7144999999999992</v>
      </c>
      <c r="K593" s="61">
        <f>9.7147 * CHOOSE(CONTROL!$C$19, $C$13, 100%, $E$13)</f>
        <v>9.7147000000000006</v>
      </c>
    </row>
    <row r="594" spans="1:11" ht="15">
      <c r="A594" s="13">
        <v>59933</v>
      </c>
      <c r="B594" s="60">
        <f>8.331 * CHOOSE(CONTROL!$C$19, $C$13, 100%, $E$13)</f>
        <v>8.3309999999999995</v>
      </c>
      <c r="C594" s="60">
        <f>8.331 * CHOOSE(CONTROL!$C$19, $C$13, 100%, $E$13)</f>
        <v>8.3309999999999995</v>
      </c>
      <c r="D594" s="60">
        <f>8.3479 * CHOOSE(CONTROL!$C$19, $C$13, 100%, $E$13)</f>
        <v>8.3478999999999992</v>
      </c>
      <c r="E594" s="61">
        <f>9.5585 * CHOOSE(CONTROL!$C$19, $C$13, 100%, $E$13)</f>
        <v>9.5585000000000004</v>
      </c>
      <c r="F594" s="61">
        <f>9.5585 * CHOOSE(CONTROL!$C$19, $C$13, 100%, $E$13)</f>
        <v>9.5585000000000004</v>
      </c>
      <c r="G594" s="61">
        <f>9.5587 * CHOOSE(CONTROL!$C$19, $C$13, 100%, $E$13)</f>
        <v>9.5587</v>
      </c>
      <c r="H594" s="61">
        <f>13.8411* CHOOSE(CONTROL!$C$19, $C$13, 100%, $E$13)</f>
        <v>13.841100000000001</v>
      </c>
      <c r="I594" s="61">
        <f>13.8412 * CHOOSE(CONTROL!$C$19, $C$13, 100%, $E$13)</f>
        <v>13.841200000000001</v>
      </c>
      <c r="J594" s="61">
        <f>9.5585 * CHOOSE(CONTROL!$C$19, $C$13, 100%, $E$13)</f>
        <v>9.5585000000000004</v>
      </c>
      <c r="K594" s="61">
        <f>9.5587 * CHOOSE(CONTROL!$C$19, $C$13, 100%, $E$13)</f>
        <v>9.5587</v>
      </c>
    </row>
    <row r="595" spans="1:11" ht="15">
      <c r="A595" s="13">
        <v>59962</v>
      </c>
      <c r="B595" s="60">
        <f>8.328 * CHOOSE(CONTROL!$C$19, $C$13, 100%, $E$13)</f>
        <v>8.3279999999999994</v>
      </c>
      <c r="C595" s="60">
        <f>8.328 * CHOOSE(CONTROL!$C$19, $C$13, 100%, $E$13)</f>
        <v>8.3279999999999994</v>
      </c>
      <c r="D595" s="60">
        <f>8.3448 * CHOOSE(CONTROL!$C$19, $C$13, 100%, $E$13)</f>
        <v>8.3447999999999993</v>
      </c>
      <c r="E595" s="61">
        <f>9.6777 * CHOOSE(CONTROL!$C$19, $C$13, 100%, $E$13)</f>
        <v>9.6776999999999997</v>
      </c>
      <c r="F595" s="61">
        <f>9.6777 * CHOOSE(CONTROL!$C$19, $C$13, 100%, $E$13)</f>
        <v>9.6776999999999997</v>
      </c>
      <c r="G595" s="61">
        <f>9.6779 * CHOOSE(CONTROL!$C$19, $C$13, 100%, $E$13)</f>
        <v>9.6778999999999993</v>
      </c>
      <c r="H595" s="61">
        <f>13.8699* CHOOSE(CONTROL!$C$19, $C$13, 100%, $E$13)</f>
        <v>13.869899999999999</v>
      </c>
      <c r="I595" s="61">
        <f>13.8701 * CHOOSE(CONTROL!$C$19, $C$13, 100%, $E$13)</f>
        <v>13.870100000000001</v>
      </c>
      <c r="J595" s="61">
        <f>9.6777 * CHOOSE(CONTROL!$C$19, $C$13, 100%, $E$13)</f>
        <v>9.6776999999999997</v>
      </c>
      <c r="K595" s="61">
        <f>9.6779 * CHOOSE(CONTROL!$C$19, $C$13, 100%, $E$13)</f>
        <v>9.6778999999999993</v>
      </c>
    </row>
    <row r="596" spans="1:11" ht="15">
      <c r="A596" s="13">
        <v>59993</v>
      </c>
      <c r="B596" s="60">
        <f>8.3299 * CHOOSE(CONTROL!$C$19, $C$13, 100%, $E$13)</f>
        <v>8.3299000000000003</v>
      </c>
      <c r="C596" s="60">
        <f>8.3299 * CHOOSE(CONTROL!$C$19, $C$13, 100%, $E$13)</f>
        <v>8.3299000000000003</v>
      </c>
      <c r="D596" s="60">
        <f>8.3467 * CHOOSE(CONTROL!$C$19, $C$13, 100%, $E$13)</f>
        <v>8.3467000000000002</v>
      </c>
      <c r="E596" s="61">
        <f>9.8037 * CHOOSE(CONTROL!$C$19, $C$13, 100%, $E$13)</f>
        <v>9.8036999999999992</v>
      </c>
      <c r="F596" s="61">
        <f>9.8037 * CHOOSE(CONTROL!$C$19, $C$13, 100%, $E$13)</f>
        <v>9.8036999999999992</v>
      </c>
      <c r="G596" s="61">
        <f>9.8039 * CHOOSE(CONTROL!$C$19, $C$13, 100%, $E$13)</f>
        <v>9.8039000000000005</v>
      </c>
      <c r="H596" s="61">
        <f>13.8988* CHOOSE(CONTROL!$C$19, $C$13, 100%, $E$13)</f>
        <v>13.8988</v>
      </c>
      <c r="I596" s="61">
        <f>13.899 * CHOOSE(CONTROL!$C$19, $C$13, 100%, $E$13)</f>
        <v>13.898999999999999</v>
      </c>
      <c r="J596" s="61">
        <f>9.8037 * CHOOSE(CONTROL!$C$19, $C$13, 100%, $E$13)</f>
        <v>9.8036999999999992</v>
      </c>
      <c r="K596" s="61">
        <f>9.8039 * CHOOSE(CONTROL!$C$19, $C$13, 100%, $E$13)</f>
        <v>9.8039000000000005</v>
      </c>
    </row>
    <row r="597" spans="1:11" ht="15">
      <c r="A597" s="13">
        <v>60023</v>
      </c>
      <c r="B597" s="60">
        <f>8.3299 * CHOOSE(CONTROL!$C$19, $C$13, 100%, $E$13)</f>
        <v>8.3299000000000003</v>
      </c>
      <c r="C597" s="60">
        <f>8.3299 * CHOOSE(CONTROL!$C$19, $C$13, 100%, $E$13)</f>
        <v>8.3299000000000003</v>
      </c>
      <c r="D597" s="60">
        <f>8.3636 * CHOOSE(CONTROL!$C$19, $C$13, 100%, $E$13)</f>
        <v>8.3635999999999999</v>
      </c>
      <c r="E597" s="61">
        <f>9.8525 * CHOOSE(CONTROL!$C$19, $C$13, 100%, $E$13)</f>
        <v>9.8524999999999991</v>
      </c>
      <c r="F597" s="61">
        <f>9.8525 * CHOOSE(CONTROL!$C$19, $C$13, 100%, $E$13)</f>
        <v>9.8524999999999991</v>
      </c>
      <c r="G597" s="61">
        <f>9.8546 * CHOOSE(CONTROL!$C$19, $C$13, 100%, $E$13)</f>
        <v>9.8545999999999996</v>
      </c>
      <c r="H597" s="61">
        <f>13.9277* CHOOSE(CONTROL!$C$19, $C$13, 100%, $E$13)</f>
        <v>13.9277</v>
      </c>
      <c r="I597" s="61">
        <f>13.9298 * CHOOSE(CONTROL!$C$19, $C$13, 100%, $E$13)</f>
        <v>13.9298</v>
      </c>
      <c r="J597" s="61">
        <f>9.8525 * CHOOSE(CONTROL!$C$19, $C$13, 100%, $E$13)</f>
        <v>9.8524999999999991</v>
      </c>
      <c r="K597" s="61">
        <f>9.8546 * CHOOSE(CONTROL!$C$19, $C$13, 100%, $E$13)</f>
        <v>9.8545999999999996</v>
      </c>
    </row>
    <row r="598" spans="1:11" ht="15">
      <c r="A598" s="13">
        <v>60054</v>
      </c>
      <c r="B598" s="60">
        <f>8.336 * CHOOSE(CONTROL!$C$19, $C$13, 100%, $E$13)</f>
        <v>8.3360000000000003</v>
      </c>
      <c r="C598" s="60">
        <f>8.336 * CHOOSE(CONTROL!$C$19, $C$13, 100%, $E$13)</f>
        <v>8.3360000000000003</v>
      </c>
      <c r="D598" s="60">
        <f>8.3697 * CHOOSE(CONTROL!$C$19, $C$13, 100%, $E$13)</f>
        <v>8.3696999999999999</v>
      </c>
      <c r="E598" s="61">
        <f>9.8079 * CHOOSE(CONTROL!$C$19, $C$13, 100%, $E$13)</f>
        <v>9.8079000000000001</v>
      </c>
      <c r="F598" s="61">
        <f>9.8079 * CHOOSE(CONTROL!$C$19, $C$13, 100%, $E$13)</f>
        <v>9.8079000000000001</v>
      </c>
      <c r="G598" s="61">
        <f>9.81 * CHOOSE(CONTROL!$C$19, $C$13, 100%, $E$13)</f>
        <v>9.81</v>
      </c>
      <c r="H598" s="61">
        <f>13.9568* CHOOSE(CONTROL!$C$19, $C$13, 100%, $E$13)</f>
        <v>13.956799999999999</v>
      </c>
      <c r="I598" s="61">
        <f>13.9588 * CHOOSE(CONTROL!$C$19, $C$13, 100%, $E$13)</f>
        <v>13.9588</v>
      </c>
      <c r="J598" s="61">
        <f>9.8079 * CHOOSE(CONTROL!$C$19, $C$13, 100%, $E$13)</f>
        <v>9.8079000000000001</v>
      </c>
      <c r="K598" s="61">
        <f>9.81 * CHOOSE(CONTROL!$C$19, $C$13, 100%, $E$13)</f>
        <v>9.81</v>
      </c>
    </row>
    <row r="599" spans="1:11" ht="15">
      <c r="A599" s="13">
        <v>60084</v>
      </c>
      <c r="B599" s="60">
        <f>8.4566 * CHOOSE(CONTROL!$C$19, $C$13, 100%, $E$13)</f>
        <v>8.4565999999999999</v>
      </c>
      <c r="C599" s="60">
        <f>8.4566 * CHOOSE(CONTROL!$C$19, $C$13, 100%, $E$13)</f>
        <v>8.4565999999999999</v>
      </c>
      <c r="D599" s="60">
        <f>8.4903 * CHOOSE(CONTROL!$C$19, $C$13, 100%, $E$13)</f>
        <v>8.4902999999999995</v>
      </c>
      <c r="E599" s="61">
        <f>9.9901 * CHOOSE(CONTROL!$C$19, $C$13, 100%, $E$13)</f>
        <v>9.9901</v>
      </c>
      <c r="F599" s="61">
        <f>9.9901 * CHOOSE(CONTROL!$C$19, $C$13, 100%, $E$13)</f>
        <v>9.9901</v>
      </c>
      <c r="G599" s="61">
        <f>9.9922 * CHOOSE(CONTROL!$C$19, $C$13, 100%, $E$13)</f>
        <v>9.9922000000000004</v>
      </c>
      <c r="H599" s="61">
        <f>13.9858* CHOOSE(CONTROL!$C$19, $C$13, 100%, $E$13)</f>
        <v>13.985799999999999</v>
      </c>
      <c r="I599" s="61">
        <f>13.9879 * CHOOSE(CONTROL!$C$19, $C$13, 100%, $E$13)</f>
        <v>13.9879</v>
      </c>
      <c r="J599" s="61">
        <f>9.9901 * CHOOSE(CONTROL!$C$19, $C$13, 100%, $E$13)</f>
        <v>9.9901</v>
      </c>
      <c r="K599" s="61">
        <f>9.9922 * CHOOSE(CONTROL!$C$19, $C$13, 100%, $E$13)</f>
        <v>9.9922000000000004</v>
      </c>
    </row>
    <row r="600" spans="1:11" ht="15">
      <c r="A600" s="13">
        <v>60115</v>
      </c>
      <c r="B600" s="60">
        <f>8.4633 * CHOOSE(CONTROL!$C$19, $C$13, 100%, $E$13)</f>
        <v>8.4633000000000003</v>
      </c>
      <c r="C600" s="60">
        <f>8.4633 * CHOOSE(CONTROL!$C$19, $C$13, 100%, $E$13)</f>
        <v>8.4633000000000003</v>
      </c>
      <c r="D600" s="60">
        <f>8.497 * CHOOSE(CONTROL!$C$19, $C$13, 100%, $E$13)</f>
        <v>8.4969999999999999</v>
      </c>
      <c r="E600" s="61">
        <f>9.8482 * CHOOSE(CONTROL!$C$19, $C$13, 100%, $E$13)</f>
        <v>9.8482000000000003</v>
      </c>
      <c r="F600" s="61">
        <f>9.8482 * CHOOSE(CONTROL!$C$19, $C$13, 100%, $E$13)</f>
        <v>9.8482000000000003</v>
      </c>
      <c r="G600" s="61">
        <f>9.8503 * CHOOSE(CONTROL!$C$19, $C$13, 100%, $E$13)</f>
        <v>9.8503000000000007</v>
      </c>
      <c r="H600" s="61">
        <f>14.015* CHOOSE(CONTROL!$C$19, $C$13, 100%, $E$13)</f>
        <v>14.015000000000001</v>
      </c>
      <c r="I600" s="61">
        <f>14.0171 * CHOOSE(CONTROL!$C$19, $C$13, 100%, $E$13)</f>
        <v>14.017099999999999</v>
      </c>
      <c r="J600" s="61">
        <f>9.8482 * CHOOSE(CONTROL!$C$19, $C$13, 100%, $E$13)</f>
        <v>9.8482000000000003</v>
      </c>
      <c r="K600" s="61">
        <f>9.8503 * CHOOSE(CONTROL!$C$19, $C$13, 100%, $E$13)</f>
        <v>9.8503000000000007</v>
      </c>
    </row>
    <row r="601" spans="1:11" ht="15">
      <c r="A601" s="13">
        <v>60146</v>
      </c>
      <c r="B601" s="60">
        <f>8.4603 * CHOOSE(CONTROL!$C$19, $C$13, 100%, $E$13)</f>
        <v>8.4603000000000002</v>
      </c>
      <c r="C601" s="60">
        <f>8.4603 * CHOOSE(CONTROL!$C$19, $C$13, 100%, $E$13)</f>
        <v>8.4603000000000002</v>
      </c>
      <c r="D601" s="60">
        <f>8.4939 * CHOOSE(CONTROL!$C$19, $C$13, 100%, $E$13)</f>
        <v>8.4939</v>
      </c>
      <c r="E601" s="61">
        <f>9.8298 * CHOOSE(CONTROL!$C$19, $C$13, 100%, $E$13)</f>
        <v>9.8298000000000005</v>
      </c>
      <c r="F601" s="61">
        <f>9.8298 * CHOOSE(CONTROL!$C$19, $C$13, 100%, $E$13)</f>
        <v>9.8298000000000005</v>
      </c>
      <c r="G601" s="61">
        <f>9.8319 * CHOOSE(CONTROL!$C$19, $C$13, 100%, $E$13)</f>
        <v>9.8318999999999992</v>
      </c>
      <c r="H601" s="61">
        <f>14.0442* CHOOSE(CONTROL!$C$19, $C$13, 100%, $E$13)</f>
        <v>14.0442</v>
      </c>
      <c r="I601" s="61">
        <f>14.0463 * CHOOSE(CONTROL!$C$19, $C$13, 100%, $E$13)</f>
        <v>14.0463</v>
      </c>
      <c r="J601" s="61">
        <f>9.8298 * CHOOSE(CONTROL!$C$19, $C$13, 100%, $E$13)</f>
        <v>9.8298000000000005</v>
      </c>
      <c r="K601" s="61">
        <f>9.8319 * CHOOSE(CONTROL!$C$19, $C$13, 100%, $E$13)</f>
        <v>9.8318999999999992</v>
      </c>
    </row>
    <row r="602" spans="1:11" ht="15">
      <c r="A602" s="13">
        <v>60176</v>
      </c>
      <c r="B602" s="60">
        <f>8.4723 * CHOOSE(CONTROL!$C$19, $C$13, 100%, $E$13)</f>
        <v>8.4723000000000006</v>
      </c>
      <c r="C602" s="60">
        <f>8.4723 * CHOOSE(CONTROL!$C$19, $C$13, 100%, $E$13)</f>
        <v>8.4723000000000006</v>
      </c>
      <c r="D602" s="60">
        <f>8.4891 * CHOOSE(CONTROL!$C$19, $C$13, 100%, $E$13)</f>
        <v>8.4891000000000005</v>
      </c>
      <c r="E602" s="61">
        <f>9.8815 * CHOOSE(CONTROL!$C$19, $C$13, 100%, $E$13)</f>
        <v>9.8815000000000008</v>
      </c>
      <c r="F602" s="61">
        <f>9.8815 * CHOOSE(CONTROL!$C$19, $C$13, 100%, $E$13)</f>
        <v>9.8815000000000008</v>
      </c>
      <c r="G602" s="61">
        <f>9.8817 * CHOOSE(CONTROL!$C$19, $C$13, 100%, $E$13)</f>
        <v>9.8817000000000004</v>
      </c>
      <c r="H602" s="61">
        <f>14.0734* CHOOSE(CONTROL!$C$19, $C$13, 100%, $E$13)</f>
        <v>14.073399999999999</v>
      </c>
      <c r="I602" s="61">
        <f>14.0736 * CHOOSE(CONTROL!$C$19, $C$13, 100%, $E$13)</f>
        <v>14.073600000000001</v>
      </c>
      <c r="J602" s="61">
        <f>9.8815 * CHOOSE(CONTROL!$C$19, $C$13, 100%, $E$13)</f>
        <v>9.8815000000000008</v>
      </c>
      <c r="K602" s="61">
        <f>9.8817 * CHOOSE(CONTROL!$C$19, $C$13, 100%, $E$13)</f>
        <v>9.8817000000000004</v>
      </c>
    </row>
    <row r="603" spans="1:11" ht="15">
      <c r="A603" s="13">
        <v>60207</v>
      </c>
      <c r="B603" s="60">
        <f>8.4753 * CHOOSE(CONTROL!$C$19, $C$13, 100%, $E$13)</f>
        <v>8.4753000000000007</v>
      </c>
      <c r="C603" s="60">
        <f>8.4753 * CHOOSE(CONTROL!$C$19, $C$13, 100%, $E$13)</f>
        <v>8.4753000000000007</v>
      </c>
      <c r="D603" s="60">
        <f>8.4922 * CHOOSE(CONTROL!$C$19, $C$13, 100%, $E$13)</f>
        <v>8.4922000000000004</v>
      </c>
      <c r="E603" s="61">
        <f>9.9162 * CHOOSE(CONTROL!$C$19, $C$13, 100%, $E$13)</f>
        <v>9.9161999999999999</v>
      </c>
      <c r="F603" s="61">
        <f>9.9162 * CHOOSE(CONTROL!$C$19, $C$13, 100%, $E$13)</f>
        <v>9.9161999999999999</v>
      </c>
      <c r="G603" s="61">
        <f>9.9164 * CHOOSE(CONTROL!$C$19, $C$13, 100%, $E$13)</f>
        <v>9.9163999999999994</v>
      </c>
      <c r="H603" s="61">
        <f>14.1027* CHOOSE(CONTROL!$C$19, $C$13, 100%, $E$13)</f>
        <v>14.1027</v>
      </c>
      <c r="I603" s="61">
        <f>14.1029 * CHOOSE(CONTROL!$C$19, $C$13, 100%, $E$13)</f>
        <v>14.1029</v>
      </c>
      <c r="J603" s="61">
        <f>9.9162 * CHOOSE(CONTROL!$C$19, $C$13, 100%, $E$13)</f>
        <v>9.9161999999999999</v>
      </c>
      <c r="K603" s="61">
        <f>9.9164 * CHOOSE(CONTROL!$C$19, $C$13, 100%, $E$13)</f>
        <v>9.9163999999999994</v>
      </c>
    </row>
    <row r="604" spans="1:11" ht="15">
      <c r="A604" s="13">
        <v>60237</v>
      </c>
      <c r="B604" s="60">
        <f>8.4753 * CHOOSE(CONTROL!$C$19, $C$13, 100%, $E$13)</f>
        <v>8.4753000000000007</v>
      </c>
      <c r="C604" s="60">
        <f>8.4753 * CHOOSE(CONTROL!$C$19, $C$13, 100%, $E$13)</f>
        <v>8.4753000000000007</v>
      </c>
      <c r="D604" s="60">
        <f>8.4922 * CHOOSE(CONTROL!$C$19, $C$13, 100%, $E$13)</f>
        <v>8.4922000000000004</v>
      </c>
      <c r="E604" s="61">
        <f>9.8348 * CHOOSE(CONTROL!$C$19, $C$13, 100%, $E$13)</f>
        <v>9.8347999999999995</v>
      </c>
      <c r="F604" s="61">
        <f>9.8348 * CHOOSE(CONTROL!$C$19, $C$13, 100%, $E$13)</f>
        <v>9.8347999999999995</v>
      </c>
      <c r="G604" s="61">
        <f>9.835 * CHOOSE(CONTROL!$C$19, $C$13, 100%, $E$13)</f>
        <v>9.8350000000000009</v>
      </c>
      <c r="H604" s="61">
        <f>14.1321* CHOOSE(CONTROL!$C$19, $C$13, 100%, $E$13)</f>
        <v>14.132099999999999</v>
      </c>
      <c r="I604" s="61">
        <f>14.1323 * CHOOSE(CONTROL!$C$19, $C$13, 100%, $E$13)</f>
        <v>14.132300000000001</v>
      </c>
      <c r="J604" s="61">
        <f>9.8348 * CHOOSE(CONTROL!$C$19, $C$13, 100%, $E$13)</f>
        <v>9.8347999999999995</v>
      </c>
      <c r="K604" s="61">
        <f>9.835 * CHOOSE(CONTROL!$C$19, $C$13, 100%, $E$13)</f>
        <v>9.8350000000000009</v>
      </c>
    </row>
    <row r="605" spans="1:11" ht="15">
      <c r="A605" s="13">
        <v>60268</v>
      </c>
      <c r="B605" s="60">
        <f>8.5307 * CHOOSE(CONTROL!$C$19, $C$13, 100%, $E$13)</f>
        <v>8.5306999999999995</v>
      </c>
      <c r="C605" s="60">
        <f>8.5307 * CHOOSE(CONTROL!$C$19, $C$13, 100%, $E$13)</f>
        <v>8.5306999999999995</v>
      </c>
      <c r="D605" s="60">
        <f>8.5475 * CHOOSE(CONTROL!$C$19, $C$13, 100%, $E$13)</f>
        <v>8.5474999999999994</v>
      </c>
      <c r="E605" s="61">
        <f>9.9663 * CHOOSE(CONTROL!$C$19, $C$13, 100%, $E$13)</f>
        <v>9.9663000000000004</v>
      </c>
      <c r="F605" s="61">
        <f>9.9663 * CHOOSE(CONTROL!$C$19, $C$13, 100%, $E$13)</f>
        <v>9.9663000000000004</v>
      </c>
      <c r="G605" s="61">
        <f>9.9665 * CHOOSE(CONTROL!$C$19, $C$13, 100%, $E$13)</f>
        <v>9.9664999999999999</v>
      </c>
      <c r="H605" s="61">
        <f>14.1369* CHOOSE(CONTROL!$C$19, $C$13, 100%, $E$13)</f>
        <v>14.136900000000001</v>
      </c>
      <c r="I605" s="61">
        <f>14.1371 * CHOOSE(CONTROL!$C$19, $C$13, 100%, $E$13)</f>
        <v>14.1371</v>
      </c>
      <c r="J605" s="61">
        <f>9.9663 * CHOOSE(CONTROL!$C$19, $C$13, 100%, $E$13)</f>
        <v>9.9663000000000004</v>
      </c>
      <c r="K605" s="61">
        <f>9.9665 * CHOOSE(CONTROL!$C$19, $C$13, 100%, $E$13)</f>
        <v>9.9664999999999999</v>
      </c>
    </row>
    <row r="606" spans="1:11" ht="15">
      <c r="A606" s="13">
        <v>60299</v>
      </c>
      <c r="B606" s="60">
        <f>8.5276 * CHOOSE(CONTROL!$C$19, $C$13, 100%, $E$13)</f>
        <v>8.5275999999999996</v>
      </c>
      <c r="C606" s="60">
        <f>8.5276 * CHOOSE(CONTROL!$C$19, $C$13, 100%, $E$13)</f>
        <v>8.5275999999999996</v>
      </c>
      <c r="D606" s="60">
        <f>8.5445 * CHOOSE(CONTROL!$C$19, $C$13, 100%, $E$13)</f>
        <v>8.5444999999999993</v>
      </c>
      <c r="E606" s="61">
        <f>9.8059 * CHOOSE(CONTROL!$C$19, $C$13, 100%, $E$13)</f>
        <v>9.8058999999999994</v>
      </c>
      <c r="F606" s="61">
        <f>9.8059 * CHOOSE(CONTROL!$C$19, $C$13, 100%, $E$13)</f>
        <v>9.8058999999999994</v>
      </c>
      <c r="G606" s="61">
        <f>9.8061 * CHOOSE(CONTROL!$C$19, $C$13, 100%, $E$13)</f>
        <v>9.8061000000000007</v>
      </c>
      <c r="H606" s="61">
        <f>14.1664* CHOOSE(CONTROL!$C$19, $C$13, 100%, $E$13)</f>
        <v>14.166399999999999</v>
      </c>
      <c r="I606" s="61">
        <f>14.1666 * CHOOSE(CONTROL!$C$19, $C$13, 100%, $E$13)</f>
        <v>14.166600000000001</v>
      </c>
      <c r="J606" s="61">
        <f>9.8059 * CHOOSE(CONTROL!$C$19, $C$13, 100%, $E$13)</f>
        <v>9.8058999999999994</v>
      </c>
      <c r="K606" s="61">
        <f>9.8061 * CHOOSE(CONTROL!$C$19, $C$13, 100%, $E$13)</f>
        <v>9.8061000000000007</v>
      </c>
    </row>
    <row r="607" spans="1:11" ht="15">
      <c r="A607" s="13">
        <v>60327</v>
      </c>
      <c r="B607" s="60">
        <f>8.5246 * CHOOSE(CONTROL!$C$19, $C$13, 100%, $E$13)</f>
        <v>8.5245999999999995</v>
      </c>
      <c r="C607" s="60">
        <f>8.5246 * CHOOSE(CONTROL!$C$19, $C$13, 100%, $E$13)</f>
        <v>8.5245999999999995</v>
      </c>
      <c r="D607" s="60">
        <f>8.5414 * CHOOSE(CONTROL!$C$19, $C$13, 100%, $E$13)</f>
        <v>8.5413999999999994</v>
      </c>
      <c r="E607" s="61">
        <f>9.9286 * CHOOSE(CONTROL!$C$19, $C$13, 100%, $E$13)</f>
        <v>9.9285999999999994</v>
      </c>
      <c r="F607" s="61">
        <f>9.9286 * CHOOSE(CONTROL!$C$19, $C$13, 100%, $E$13)</f>
        <v>9.9285999999999994</v>
      </c>
      <c r="G607" s="61">
        <f>9.9288 * CHOOSE(CONTROL!$C$19, $C$13, 100%, $E$13)</f>
        <v>9.9288000000000007</v>
      </c>
      <c r="H607" s="61">
        <f>14.1959* CHOOSE(CONTROL!$C$19, $C$13, 100%, $E$13)</f>
        <v>14.1959</v>
      </c>
      <c r="I607" s="61">
        <f>14.1961 * CHOOSE(CONTROL!$C$19, $C$13, 100%, $E$13)</f>
        <v>14.196099999999999</v>
      </c>
      <c r="J607" s="61">
        <f>9.9286 * CHOOSE(CONTROL!$C$19, $C$13, 100%, $E$13)</f>
        <v>9.9285999999999994</v>
      </c>
      <c r="K607" s="61">
        <f>9.9288 * CHOOSE(CONTROL!$C$19, $C$13, 100%, $E$13)</f>
        <v>9.9288000000000007</v>
      </c>
    </row>
    <row r="608" spans="1:11" ht="15">
      <c r="A608" s="13">
        <v>60358</v>
      </c>
      <c r="B608" s="60">
        <f>8.5267 * CHOOSE(CONTROL!$C$19, $C$13, 100%, $E$13)</f>
        <v>8.5266999999999999</v>
      </c>
      <c r="C608" s="60">
        <f>8.5267 * CHOOSE(CONTROL!$C$19, $C$13, 100%, $E$13)</f>
        <v>8.5266999999999999</v>
      </c>
      <c r="D608" s="60">
        <f>8.5436 * CHOOSE(CONTROL!$C$19, $C$13, 100%, $E$13)</f>
        <v>8.5435999999999996</v>
      </c>
      <c r="E608" s="61">
        <f>10.0584 * CHOOSE(CONTROL!$C$19, $C$13, 100%, $E$13)</f>
        <v>10.058400000000001</v>
      </c>
      <c r="F608" s="61">
        <f>10.0584 * CHOOSE(CONTROL!$C$19, $C$13, 100%, $E$13)</f>
        <v>10.058400000000001</v>
      </c>
      <c r="G608" s="61">
        <f>10.0585 * CHOOSE(CONTROL!$C$19, $C$13, 100%, $E$13)</f>
        <v>10.0585</v>
      </c>
      <c r="H608" s="61">
        <f>14.2255* CHOOSE(CONTROL!$C$19, $C$13, 100%, $E$13)</f>
        <v>14.2255</v>
      </c>
      <c r="I608" s="61">
        <f>14.2257 * CHOOSE(CONTROL!$C$19, $C$13, 100%, $E$13)</f>
        <v>14.2257</v>
      </c>
      <c r="J608" s="61">
        <f>10.0584 * CHOOSE(CONTROL!$C$19, $C$13, 100%, $E$13)</f>
        <v>10.058400000000001</v>
      </c>
      <c r="K608" s="61">
        <f>10.0585 * CHOOSE(CONTROL!$C$19, $C$13, 100%, $E$13)</f>
        <v>10.0585</v>
      </c>
    </row>
    <row r="609" spans="1:11" ht="15">
      <c r="A609" s="13">
        <v>60388</v>
      </c>
      <c r="B609" s="60">
        <f>8.5267 * CHOOSE(CONTROL!$C$19, $C$13, 100%, $E$13)</f>
        <v>8.5266999999999999</v>
      </c>
      <c r="C609" s="60">
        <f>8.5267 * CHOOSE(CONTROL!$C$19, $C$13, 100%, $E$13)</f>
        <v>8.5266999999999999</v>
      </c>
      <c r="D609" s="60">
        <f>8.5604 * CHOOSE(CONTROL!$C$19, $C$13, 100%, $E$13)</f>
        <v>8.5603999999999996</v>
      </c>
      <c r="E609" s="61">
        <f>10.1086 * CHOOSE(CONTROL!$C$19, $C$13, 100%, $E$13)</f>
        <v>10.108599999999999</v>
      </c>
      <c r="F609" s="61">
        <f>10.1086 * CHOOSE(CONTROL!$C$19, $C$13, 100%, $E$13)</f>
        <v>10.108599999999999</v>
      </c>
      <c r="G609" s="61">
        <f>10.1107 * CHOOSE(CONTROL!$C$19, $C$13, 100%, $E$13)</f>
        <v>10.1107</v>
      </c>
      <c r="H609" s="61">
        <f>14.2551* CHOOSE(CONTROL!$C$19, $C$13, 100%, $E$13)</f>
        <v>14.255100000000001</v>
      </c>
      <c r="I609" s="61">
        <f>14.2572 * CHOOSE(CONTROL!$C$19, $C$13, 100%, $E$13)</f>
        <v>14.257199999999999</v>
      </c>
      <c r="J609" s="61">
        <f>10.1086 * CHOOSE(CONTROL!$C$19, $C$13, 100%, $E$13)</f>
        <v>10.108599999999999</v>
      </c>
      <c r="K609" s="61">
        <f>10.1107 * CHOOSE(CONTROL!$C$19, $C$13, 100%, $E$13)</f>
        <v>10.1107</v>
      </c>
    </row>
    <row r="610" spans="1:11" ht="15">
      <c r="A610" s="13">
        <v>60419</v>
      </c>
      <c r="B610" s="60">
        <f>8.5328 * CHOOSE(CONTROL!$C$19, $C$13, 100%, $E$13)</f>
        <v>8.5327999999999999</v>
      </c>
      <c r="C610" s="60">
        <f>8.5328 * CHOOSE(CONTROL!$C$19, $C$13, 100%, $E$13)</f>
        <v>8.5327999999999999</v>
      </c>
      <c r="D610" s="60">
        <f>8.5665 * CHOOSE(CONTROL!$C$19, $C$13, 100%, $E$13)</f>
        <v>8.5664999999999996</v>
      </c>
      <c r="E610" s="61">
        <f>10.0626 * CHOOSE(CONTROL!$C$19, $C$13, 100%, $E$13)</f>
        <v>10.0626</v>
      </c>
      <c r="F610" s="61">
        <f>10.0626 * CHOOSE(CONTROL!$C$19, $C$13, 100%, $E$13)</f>
        <v>10.0626</v>
      </c>
      <c r="G610" s="61">
        <f>10.0647 * CHOOSE(CONTROL!$C$19, $C$13, 100%, $E$13)</f>
        <v>10.0647</v>
      </c>
      <c r="H610" s="61">
        <f>14.2848* CHOOSE(CONTROL!$C$19, $C$13, 100%, $E$13)</f>
        <v>14.284800000000001</v>
      </c>
      <c r="I610" s="61">
        <f>14.2869 * CHOOSE(CONTROL!$C$19, $C$13, 100%, $E$13)</f>
        <v>14.286899999999999</v>
      </c>
      <c r="J610" s="61">
        <f>10.0626 * CHOOSE(CONTROL!$C$19, $C$13, 100%, $E$13)</f>
        <v>10.0626</v>
      </c>
      <c r="K610" s="61">
        <f>10.0647 * CHOOSE(CONTROL!$C$19, $C$13, 100%, $E$13)</f>
        <v>10.0647</v>
      </c>
    </row>
    <row r="611" spans="1:11" ht="15">
      <c r="A611" s="13">
        <v>60449</v>
      </c>
      <c r="B611" s="60">
        <f>8.6559 * CHOOSE(CONTROL!$C$19, $C$13, 100%, $E$13)</f>
        <v>8.6559000000000008</v>
      </c>
      <c r="C611" s="60">
        <f>8.6559 * CHOOSE(CONTROL!$C$19, $C$13, 100%, $E$13)</f>
        <v>8.6559000000000008</v>
      </c>
      <c r="D611" s="60">
        <f>8.6896 * CHOOSE(CONTROL!$C$19, $C$13, 100%, $E$13)</f>
        <v>8.6896000000000004</v>
      </c>
      <c r="E611" s="61">
        <f>10.2492 * CHOOSE(CONTROL!$C$19, $C$13, 100%, $E$13)</f>
        <v>10.2492</v>
      </c>
      <c r="F611" s="61">
        <f>10.2492 * CHOOSE(CONTROL!$C$19, $C$13, 100%, $E$13)</f>
        <v>10.2492</v>
      </c>
      <c r="G611" s="61">
        <f>10.2513 * CHOOSE(CONTROL!$C$19, $C$13, 100%, $E$13)</f>
        <v>10.251300000000001</v>
      </c>
      <c r="H611" s="61">
        <f>14.3146* CHOOSE(CONTROL!$C$19, $C$13, 100%, $E$13)</f>
        <v>14.3146</v>
      </c>
      <c r="I611" s="61">
        <f>14.3167 * CHOOSE(CONTROL!$C$19, $C$13, 100%, $E$13)</f>
        <v>14.316700000000001</v>
      </c>
      <c r="J611" s="61">
        <f>10.2492 * CHOOSE(CONTROL!$C$19, $C$13, 100%, $E$13)</f>
        <v>10.2492</v>
      </c>
      <c r="K611" s="61">
        <f>10.2513 * CHOOSE(CONTROL!$C$19, $C$13, 100%, $E$13)</f>
        <v>10.251300000000001</v>
      </c>
    </row>
    <row r="612" spans="1:11" ht="15">
      <c r="A612" s="13">
        <v>60480</v>
      </c>
      <c r="B612" s="60">
        <f>8.6626 * CHOOSE(CONTROL!$C$19, $C$13, 100%, $E$13)</f>
        <v>8.6625999999999994</v>
      </c>
      <c r="C612" s="60">
        <f>8.6626 * CHOOSE(CONTROL!$C$19, $C$13, 100%, $E$13)</f>
        <v>8.6625999999999994</v>
      </c>
      <c r="D612" s="60">
        <f>8.6963 * CHOOSE(CONTROL!$C$19, $C$13, 100%, $E$13)</f>
        <v>8.6963000000000008</v>
      </c>
      <c r="E612" s="61">
        <f>10.1031 * CHOOSE(CONTROL!$C$19, $C$13, 100%, $E$13)</f>
        <v>10.1031</v>
      </c>
      <c r="F612" s="61">
        <f>10.1031 * CHOOSE(CONTROL!$C$19, $C$13, 100%, $E$13)</f>
        <v>10.1031</v>
      </c>
      <c r="G612" s="61">
        <f>10.1052 * CHOOSE(CONTROL!$C$19, $C$13, 100%, $E$13)</f>
        <v>10.1052</v>
      </c>
      <c r="H612" s="61">
        <f>14.3444* CHOOSE(CONTROL!$C$19, $C$13, 100%, $E$13)</f>
        <v>14.3444</v>
      </c>
      <c r="I612" s="61">
        <f>14.3465 * CHOOSE(CONTROL!$C$19, $C$13, 100%, $E$13)</f>
        <v>14.346500000000001</v>
      </c>
      <c r="J612" s="61">
        <f>10.1031 * CHOOSE(CONTROL!$C$19, $C$13, 100%, $E$13)</f>
        <v>10.1031</v>
      </c>
      <c r="K612" s="61">
        <f>10.1052 * CHOOSE(CONTROL!$C$19, $C$13, 100%, $E$13)</f>
        <v>10.1052</v>
      </c>
    </row>
    <row r="613" spans="1:11" ht="15">
      <c r="A613" s="13">
        <v>60511</v>
      </c>
      <c r="B613" s="60">
        <f>8.6596 * CHOOSE(CONTROL!$C$19, $C$13, 100%, $E$13)</f>
        <v>8.6595999999999993</v>
      </c>
      <c r="C613" s="60">
        <f>8.6596 * CHOOSE(CONTROL!$C$19, $C$13, 100%, $E$13)</f>
        <v>8.6595999999999993</v>
      </c>
      <c r="D613" s="60">
        <f>8.6933 * CHOOSE(CONTROL!$C$19, $C$13, 100%, $E$13)</f>
        <v>8.6933000000000007</v>
      </c>
      <c r="E613" s="61">
        <f>10.0842 * CHOOSE(CONTROL!$C$19, $C$13, 100%, $E$13)</f>
        <v>10.084199999999999</v>
      </c>
      <c r="F613" s="61">
        <f>10.0842 * CHOOSE(CONTROL!$C$19, $C$13, 100%, $E$13)</f>
        <v>10.084199999999999</v>
      </c>
      <c r="G613" s="61">
        <f>10.0863 * CHOOSE(CONTROL!$C$19, $C$13, 100%, $E$13)</f>
        <v>10.0863</v>
      </c>
      <c r="H613" s="61">
        <f>14.3743* CHOOSE(CONTROL!$C$19, $C$13, 100%, $E$13)</f>
        <v>14.3743</v>
      </c>
      <c r="I613" s="61">
        <f>14.3764 * CHOOSE(CONTROL!$C$19, $C$13, 100%, $E$13)</f>
        <v>14.3764</v>
      </c>
      <c r="J613" s="61">
        <f>10.0842 * CHOOSE(CONTROL!$C$19, $C$13, 100%, $E$13)</f>
        <v>10.084199999999999</v>
      </c>
      <c r="K613" s="61">
        <f>10.0863 * CHOOSE(CONTROL!$C$19, $C$13, 100%, $E$13)</f>
        <v>10.0863</v>
      </c>
    </row>
    <row r="614" spans="1:11" ht="15">
      <c r="A614" s="13">
        <v>60541</v>
      </c>
      <c r="B614" s="60">
        <f>8.6724 * CHOOSE(CONTROL!$C$19, $C$13, 100%, $E$13)</f>
        <v>8.6723999999999997</v>
      </c>
      <c r="C614" s="60">
        <f>8.6724 * CHOOSE(CONTROL!$C$19, $C$13, 100%, $E$13)</f>
        <v>8.6723999999999997</v>
      </c>
      <c r="D614" s="60">
        <f>8.6892 * CHOOSE(CONTROL!$C$19, $C$13, 100%, $E$13)</f>
        <v>8.6891999999999996</v>
      </c>
      <c r="E614" s="61">
        <f>10.1378 * CHOOSE(CONTROL!$C$19, $C$13, 100%, $E$13)</f>
        <v>10.1378</v>
      </c>
      <c r="F614" s="61">
        <f>10.1378 * CHOOSE(CONTROL!$C$19, $C$13, 100%, $E$13)</f>
        <v>10.1378</v>
      </c>
      <c r="G614" s="61">
        <f>10.138 * CHOOSE(CONTROL!$C$19, $C$13, 100%, $E$13)</f>
        <v>10.138</v>
      </c>
      <c r="H614" s="61">
        <f>14.4042* CHOOSE(CONTROL!$C$19, $C$13, 100%, $E$13)</f>
        <v>14.404199999999999</v>
      </c>
      <c r="I614" s="61">
        <f>14.4044 * CHOOSE(CONTROL!$C$19, $C$13, 100%, $E$13)</f>
        <v>14.404400000000001</v>
      </c>
      <c r="J614" s="61">
        <f>10.1378 * CHOOSE(CONTROL!$C$19, $C$13, 100%, $E$13)</f>
        <v>10.1378</v>
      </c>
      <c r="K614" s="61">
        <f>10.138 * CHOOSE(CONTROL!$C$19, $C$13, 100%, $E$13)</f>
        <v>10.138</v>
      </c>
    </row>
    <row r="615" spans="1:11" ht="15">
      <c r="A615" s="13">
        <v>60572</v>
      </c>
      <c r="B615" s="60">
        <f>8.6754 * CHOOSE(CONTROL!$C$19, $C$13, 100%, $E$13)</f>
        <v>8.6753999999999998</v>
      </c>
      <c r="C615" s="60">
        <f>8.6754 * CHOOSE(CONTROL!$C$19, $C$13, 100%, $E$13)</f>
        <v>8.6753999999999998</v>
      </c>
      <c r="D615" s="60">
        <f>8.6922 * CHOOSE(CONTROL!$C$19, $C$13, 100%, $E$13)</f>
        <v>8.6921999999999997</v>
      </c>
      <c r="E615" s="61">
        <f>10.1734 * CHOOSE(CONTROL!$C$19, $C$13, 100%, $E$13)</f>
        <v>10.173400000000001</v>
      </c>
      <c r="F615" s="61">
        <f>10.1734 * CHOOSE(CONTROL!$C$19, $C$13, 100%, $E$13)</f>
        <v>10.173400000000001</v>
      </c>
      <c r="G615" s="61">
        <f>10.1736 * CHOOSE(CONTROL!$C$19, $C$13, 100%, $E$13)</f>
        <v>10.1736</v>
      </c>
      <c r="H615" s="61">
        <f>14.4342* CHOOSE(CONTROL!$C$19, $C$13, 100%, $E$13)</f>
        <v>14.434200000000001</v>
      </c>
      <c r="I615" s="61">
        <f>14.4344 * CHOOSE(CONTROL!$C$19, $C$13, 100%, $E$13)</f>
        <v>14.4344</v>
      </c>
      <c r="J615" s="61">
        <f>10.1734 * CHOOSE(CONTROL!$C$19, $C$13, 100%, $E$13)</f>
        <v>10.173400000000001</v>
      </c>
      <c r="K615" s="61">
        <f>10.1736 * CHOOSE(CONTROL!$C$19, $C$13, 100%, $E$13)</f>
        <v>10.1736</v>
      </c>
    </row>
    <row r="616" spans="1:11" ht="15">
      <c r="A616" s="13">
        <v>60602</v>
      </c>
      <c r="B616" s="60">
        <f>8.6754 * CHOOSE(CONTROL!$C$19, $C$13, 100%, $E$13)</f>
        <v>8.6753999999999998</v>
      </c>
      <c r="C616" s="60">
        <f>8.6754 * CHOOSE(CONTROL!$C$19, $C$13, 100%, $E$13)</f>
        <v>8.6753999999999998</v>
      </c>
      <c r="D616" s="60">
        <f>8.6922 * CHOOSE(CONTROL!$C$19, $C$13, 100%, $E$13)</f>
        <v>8.6921999999999997</v>
      </c>
      <c r="E616" s="61">
        <f>10.0896 * CHOOSE(CONTROL!$C$19, $C$13, 100%, $E$13)</f>
        <v>10.089600000000001</v>
      </c>
      <c r="F616" s="61">
        <f>10.0896 * CHOOSE(CONTROL!$C$19, $C$13, 100%, $E$13)</f>
        <v>10.089600000000001</v>
      </c>
      <c r="G616" s="61">
        <f>10.0898 * CHOOSE(CONTROL!$C$19, $C$13, 100%, $E$13)</f>
        <v>10.0898</v>
      </c>
      <c r="H616" s="61">
        <f>14.4643* CHOOSE(CONTROL!$C$19, $C$13, 100%, $E$13)</f>
        <v>14.4643</v>
      </c>
      <c r="I616" s="61">
        <f>14.4645 * CHOOSE(CONTROL!$C$19, $C$13, 100%, $E$13)</f>
        <v>14.464499999999999</v>
      </c>
      <c r="J616" s="61">
        <f>10.0896 * CHOOSE(CONTROL!$C$19, $C$13, 100%, $E$13)</f>
        <v>10.089600000000001</v>
      </c>
      <c r="K616" s="61">
        <f>10.0898 * CHOOSE(CONTROL!$C$19, $C$13, 100%, $E$13)</f>
        <v>10.0898</v>
      </c>
    </row>
    <row r="617" spans="1:11" ht="15">
      <c r="A617" s="13">
        <v>60633</v>
      </c>
      <c r="B617" s="60">
        <f>8.7273 * CHOOSE(CONTROL!$C$19, $C$13, 100%, $E$13)</f>
        <v>8.7272999999999996</v>
      </c>
      <c r="C617" s="60">
        <f>8.7273 * CHOOSE(CONTROL!$C$19, $C$13, 100%, $E$13)</f>
        <v>8.7272999999999996</v>
      </c>
      <c r="D617" s="60">
        <f>8.7441 * CHOOSE(CONTROL!$C$19, $C$13, 100%, $E$13)</f>
        <v>8.7440999999999995</v>
      </c>
      <c r="E617" s="61">
        <f>10.2182 * CHOOSE(CONTROL!$C$19, $C$13, 100%, $E$13)</f>
        <v>10.2182</v>
      </c>
      <c r="F617" s="61">
        <f>10.2182 * CHOOSE(CONTROL!$C$19, $C$13, 100%, $E$13)</f>
        <v>10.2182</v>
      </c>
      <c r="G617" s="61">
        <f>10.2183 * CHOOSE(CONTROL!$C$19, $C$13, 100%, $E$13)</f>
        <v>10.218299999999999</v>
      </c>
      <c r="H617" s="61">
        <f>14.4616* CHOOSE(CONTROL!$C$19, $C$13, 100%, $E$13)</f>
        <v>14.461600000000001</v>
      </c>
      <c r="I617" s="61">
        <f>14.4618 * CHOOSE(CONTROL!$C$19, $C$13, 100%, $E$13)</f>
        <v>14.4618</v>
      </c>
      <c r="J617" s="61">
        <f>10.2182 * CHOOSE(CONTROL!$C$19, $C$13, 100%, $E$13)</f>
        <v>10.2182</v>
      </c>
      <c r="K617" s="61">
        <f>10.2183 * CHOOSE(CONTROL!$C$19, $C$13, 100%, $E$13)</f>
        <v>10.218299999999999</v>
      </c>
    </row>
    <row r="618" spans="1:11" ht="15">
      <c r="A618" s="13">
        <v>60664</v>
      </c>
      <c r="B618" s="60">
        <f>8.7243 * CHOOSE(CONTROL!$C$19, $C$13, 100%, $E$13)</f>
        <v>8.7242999999999995</v>
      </c>
      <c r="C618" s="60">
        <f>8.7243 * CHOOSE(CONTROL!$C$19, $C$13, 100%, $E$13)</f>
        <v>8.7242999999999995</v>
      </c>
      <c r="D618" s="60">
        <f>8.7411 * CHOOSE(CONTROL!$C$19, $C$13, 100%, $E$13)</f>
        <v>8.7410999999999994</v>
      </c>
      <c r="E618" s="61">
        <f>10.0533 * CHOOSE(CONTROL!$C$19, $C$13, 100%, $E$13)</f>
        <v>10.0533</v>
      </c>
      <c r="F618" s="61">
        <f>10.0533 * CHOOSE(CONTROL!$C$19, $C$13, 100%, $E$13)</f>
        <v>10.0533</v>
      </c>
      <c r="G618" s="61">
        <f>10.0535 * CHOOSE(CONTROL!$C$19, $C$13, 100%, $E$13)</f>
        <v>10.0535</v>
      </c>
      <c r="H618" s="61">
        <f>14.4917* CHOOSE(CONTROL!$C$19, $C$13, 100%, $E$13)</f>
        <v>14.4917</v>
      </c>
      <c r="I618" s="61">
        <f>14.4919 * CHOOSE(CONTROL!$C$19, $C$13, 100%, $E$13)</f>
        <v>14.491899999999999</v>
      </c>
      <c r="J618" s="61">
        <f>10.0533 * CHOOSE(CONTROL!$C$19, $C$13, 100%, $E$13)</f>
        <v>10.0533</v>
      </c>
      <c r="K618" s="61">
        <f>10.0535 * CHOOSE(CONTROL!$C$19, $C$13, 100%, $E$13)</f>
        <v>10.0535</v>
      </c>
    </row>
    <row r="619" spans="1:11" ht="15">
      <c r="A619" s="13">
        <v>60692</v>
      </c>
      <c r="B619" s="60">
        <f>8.7212 * CHOOSE(CONTROL!$C$19, $C$13, 100%, $E$13)</f>
        <v>8.7211999999999996</v>
      </c>
      <c r="C619" s="60">
        <f>8.7212 * CHOOSE(CONTROL!$C$19, $C$13, 100%, $E$13)</f>
        <v>8.7211999999999996</v>
      </c>
      <c r="D619" s="60">
        <f>8.7381 * CHOOSE(CONTROL!$C$19, $C$13, 100%, $E$13)</f>
        <v>8.7380999999999993</v>
      </c>
      <c r="E619" s="61">
        <f>10.1795 * CHOOSE(CONTROL!$C$19, $C$13, 100%, $E$13)</f>
        <v>10.179500000000001</v>
      </c>
      <c r="F619" s="61">
        <f>10.1795 * CHOOSE(CONTROL!$C$19, $C$13, 100%, $E$13)</f>
        <v>10.179500000000001</v>
      </c>
      <c r="G619" s="61">
        <f>10.1797 * CHOOSE(CONTROL!$C$19, $C$13, 100%, $E$13)</f>
        <v>10.1797</v>
      </c>
      <c r="H619" s="61">
        <f>14.5219* CHOOSE(CONTROL!$C$19, $C$13, 100%, $E$13)</f>
        <v>14.5219</v>
      </c>
      <c r="I619" s="61">
        <f>14.5221 * CHOOSE(CONTROL!$C$19, $C$13, 100%, $E$13)</f>
        <v>14.5221</v>
      </c>
      <c r="J619" s="61">
        <f>10.1795 * CHOOSE(CONTROL!$C$19, $C$13, 100%, $E$13)</f>
        <v>10.179500000000001</v>
      </c>
      <c r="K619" s="61">
        <f>10.1797 * CHOOSE(CONTROL!$C$19, $C$13, 100%, $E$13)</f>
        <v>10.1797</v>
      </c>
    </row>
    <row r="620" spans="1:11" ht="15">
      <c r="A620" s="13">
        <v>60723</v>
      </c>
      <c r="B620" s="60">
        <f>8.7235 * CHOOSE(CONTROL!$C$19, $C$13, 100%, $E$13)</f>
        <v>8.7234999999999996</v>
      </c>
      <c r="C620" s="60">
        <f>8.7235 * CHOOSE(CONTROL!$C$19, $C$13, 100%, $E$13)</f>
        <v>8.7234999999999996</v>
      </c>
      <c r="D620" s="60">
        <f>8.7404 * CHOOSE(CONTROL!$C$19, $C$13, 100%, $E$13)</f>
        <v>8.7403999999999993</v>
      </c>
      <c r="E620" s="61">
        <f>10.313 * CHOOSE(CONTROL!$C$19, $C$13, 100%, $E$13)</f>
        <v>10.313000000000001</v>
      </c>
      <c r="F620" s="61">
        <f>10.313 * CHOOSE(CONTROL!$C$19, $C$13, 100%, $E$13)</f>
        <v>10.313000000000001</v>
      </c>
      <c r="G620" s="61">
        <f>10.3132 * CHOOSE(CONTROL!$C$19, $C$13, 100%, $E$13)</f>
        <v>10.3132</v>
      </c>
      <c r="H620" s="61">
        <f>14.5522* CHOOSE(CONTROL!$C$19, $C$13, 100%, $E$13)</f>
        <v>14.552199999999999</v>
      </c>
      <c r="I620" s="61">
        <f>14.5524 * CHOOSE(CONTROL!$C$19, $C$13, 100%, $E$13)</f>
        <v>14.5524</v>
      </c>
      <c r="J620" s="61">
        <f>10.313 * CHOOSE(CONTROL!$C$19, $C$13, 100%, $E$13)</f>
        <v>10.313000000000001</v>
      </c>
      <c r="K620" s="61">
        <f>10.3132 * CHOOSE(CONTROL!$C$19, $C$13, 100%, $E$13)</f>
        <v>10.3132</v>
      </c>
    </row>
    <row r="621" spans="1:11" ht="15">
      <c r="A621" s="13">
        <v>60753</v>
      </c>
      <c r="B621" s="60">
        <f>8.7235 * CHOOSE(CONTROL!$C$19, $C$13, 100%, $E$13)</f>
        <v>8.7234999999999996</v>
      </c>
      <c r="C621" s="60">
        <f>8.7235 * CHOOSE(CONTROL!$C$19, $C$13, 100%, $E$13)</f>
        <v>8.7234999999999996</v>
      </c>
      <c r="D621" s="60">
        <f>8.7572 * CHOOSE(CONTROL!$C$19, $C$13, 100%, $E$13)</f>
        <v>8.7571999999999992</v>
      </c>
      <c r="E621" s="61">
        <f>10.3647 * CHOOSE(CONTROL!$C$19, $C$13, 100%, $E$13)</f>
        <v>10.364699999999999</v>
      </c>
      <c r="F621" s="61">
        <f>10.3647 * CHOOSE(CONTROL!$C$19, $C$13, 100%, $E$13)</f>
        <v>10.364699999999999</v>
      </c>
      <c r="G621" s="61">
        <f>10.3668 * CHOOSE(CONTROL!$C$19, $C$13, 100%, $E$13)</f>
        <v>10.3668</v>
      </c>
      <c r="H621" s="61">
        <f>14.5825* CHOOSE(CONTROL!$C$19, $C$13, 100%, $E$13)</f>
        <v>14.5825</v>
      </c>
      <c r="I621" s="61">
        <f>14.5846 * CHOOSE(CONTROL!$C$19, $C$13, 100%, $E$13)</f>
        <v>14.5846</v>
      </c>
      <c r="J621" s="61">
        <f>10.3647 * CHOOSE(CONTROL!$C$19, $C$13, 100%, $E$13)</f>
        <v>10.364699999999999</v>
      </c>
      <c r="K621" s="61">
        <f>10.3668 * CHOOSE(CONTROL!$C$19, $C$13, 100%, $E$13)</f>
        <v>10.3668</v>
      </c>
    </row>
    <row r="622" spans="1:11" ht="15">
      <c r="A622" s="13">
        <v>60784</v>
      </c>
      <c r="B622" s="60">
        <f>8.7296 * CHOOSE(CONTROL!$C$19, $C$13, 100%, $E$13)</f>
        <v>8.7295999999999996</v>
      </c>
      <c r="C622" s="60">
        <f>8.7296 * CHOOSE(CONTROL!$C$19, $C$13, 100%, $E$13)</f>
        <v>8.7295999999999996</v>
      </c>
      <c r="D622" s="60">
        <f>8.7633 * CHOOSE(CONTROL!$C$19, $C$13, 100%, $E$13)</f>
        <v>8.7632999999999992</v>
      </c>
      <c r="E622" s="61">
        <f>10.3173 * CHOOSE(CONTROL!$C$19, $C$13, 100%, $E$13)</f>
        <v>10.317299999999999</v>
      </c>
      <c r="F622" s="61">
        <f>10.3173 * CHOOSE(CONTROL!$C$19, $C$13, 100%, $E$13)</f>
        <v>10.317299999999999</v>
      </c>
      <c r="G622" s="61">
        <f>10.3194 * CHOOSE(CONTROL!$C$19, $C$13, 100%, $E$13)</f>
        <v>10.3194</v>
      </c>
      <c r="H622" s="61">
        <f>14.6129* CHOOSE(CONTROL!$C$19, $C$13, 100%, $E$13)</f>
        <v>14.6129</v>
      </c>
      <c r="I622" s="61">
        <f>14.615 * CHOOSE(CONTROL!$C$19, $C$13, 100%, $E$13)</f>
        <v>14.615</v>
      </c>
      <c r="J622" s="61">
        <f>10.3173 * CHOOSE(CONTROL!$C$19, $C$13, 100%, $E$13)</f>
        <v>10.317299999999999</v>
      </c>
      <c r="K622" s="61">
        <f>10.3194 * CHOOSE(CONTROL!$C$19, $C$13, 100%, $E$13)</f>
        <v>10.3194</v>
      </c>
    </row>
    <row r="623" spans="1:11" ht="15">
      <c r="A623" s="13">
        <v>60814</v>
      </c>
      <c r="B623" s="60">
        <f>8.8553 * CHOOSE(CONTROL!$C$19, $C$13, 100%, $E$13)</f>
        <v>8.8552999999999997</v>
      </c>
      <c r="C623" s="60">
        <f>8.8553 * CHOOSE(CONTROL!$C$19, $C$13, 100%, $E$13)</f>
        <v>8.8552999999999997</v>
      </c>
      <c r="D623" s="60">
        <f>8.8889 * CHOOSE(CONTROL!$C$19, $C$13, 100%, $E$13)</f>
        <v>8.8888999999999996</v>
      </c>
      <c r="E623" s="61">
        <f>10.5083 * CHOOSE(CONTROL!$C$19, $C$13, 100%, $E$13)</f>
        <v>10.5083</v>
      </c>
      <c r="F623" s="61">
        <f>10.5083 * CHOOSE(CONTROL!$C$19, $C$13, 100%, $E$13)</f>
        <v>10.5083</v>
      </c>
      <c r="G623" s="61">
        <f>10.5104 * CHOOSE(CONTROL!$C$19, $C$13, 100%, $E$13)</f>
        <v>10.510400000000001</v>
      </c>
      <c r="H623" s="61">
        <f>14.6433* CHOOSE(CONTROL!$C$19, $C$13, 100%, $E$13)</f>
        <v>14.6433</v>
      </c>
      <c r="I623" s="61">
        <f>14.6454 * CHOOSE(CONTROL!$C$19, $C$13, 100%, $E$13)</f>
        <v>14.6454</v>
      </c>
      <c r="J623" s="61">
        <f>10.5083 * CHOOSE(CONTROL!$C$19, $C$13, 100%, $E$13)</f>
        <v>10.5083</v>
      </c>
      <c r="K623" s="61">
        <f>10.5104 * CHOOSE(CONTROL!$C$19, $C$13, 100%, $E$13)</f>
        <v>10.510400000000001</v>
      </c>
    </row>
    <row r="624" spans="1:11" ht="15">
      <c r="A624" s="13">
        <v>60845</v>
      </c>
      <c r="B624" s="60">
        <f>8.8619 * CHOOSE(CONTROL!$C$19, $C$13, 100%, $E$13)</f>
        <v>8.8619000000000003</v>
      </c>
      <c r="C624" s="60">
        <f>8.8619 * CHOOSE(CONTROL!$C$19, $C$13, 100%, $E$13)</f>
        <v>8.8619000000000003</v>
      </c>
      <c r="D624" s="60">
        <f>8.8956 * CHOOSE(CONTROL!$C$19, $C$13, 100%, $E$13)</f>
        <v>8.8956</v>
      </c>
      <c r="E624" s="61">
        <f>10.3579 * CHOOSE(CONTROL!$C$19, $C$13, 100%, $E$13)</f>
        <v>10.357900000000001</v>
      </c>
      <c r="F624" s="61">
        <f>10.3579 * CHOOSE(CONTROL!$C$19, $C$13, 100%, $E$13)</f>
        <v>10.357900000000001</v>
      </c>
      <c r="G624" s="61">
        <f>10.36 * CHOOSE(CONTROL!$C$19, $C$13, 100%, $E$13)</f>
        <v>10.36</v>
      </c>
      <c r="H624" s="61">
        <f>14.6738* CHOOSE(CONTROL!$C$19, $C$13, 100%, $E$13)</f>
        <v>14.6738</v>
      </c>
      <c r="I624" s="61">
        <f>14.6759 * CHOOSE(CONTROL!$C$19, $C$13, 100%, $E$13)</f>
        <v>14.6759</v>
      </c>
      <c r="J624" s="61">
        <f>10.3579 * CHOOSE(CONTROL!$C$19, $C$13, 100%, $E$13)</f>
        <v>10.357900000000001</v>
      </c>
      <c r="K624" s="61">
        <f>10.36 * CHOOSE(CONTROL!$C$19, $C$13, 100%, $E$13)</f>
        <v>10.36</v>
      </c>
    </row>
    <row r="625" spans="1:11" ht="15">
      <c r="A625" s="13">
        <v>60876</v>
      </c>
      <c r="B625" s="60">
        <f>8.8589 * CHOOSE(CONTROL!$C$19, $C$13, 100%, $E$13)</f>
        <v>8.8589000000000002</v>
      </c>
      <c r="C625" s="60">
        <f>8.8589 * CHOOSE(CONTROL!$C$19, $C$13, 100%, $E$13)</f>
        <v>8.8589000000000002</v>
      </c>
      <c r="D625" s="60">
        <f>8.8926 * CHOOSE(CONTROL!$C$19, $C$13, 100%, $E$13)</f>
        <v>8.8925999999999998</v>
      </c>
      <c r="E625" s="61">
        <f>10.3386 * CHOOSE(CONTROL!$C$19, $C$13, 100%, $E$13)</f>
        <v>10.3386</v>
      </c>
      <c r="F625" s="61">
        <f>10.3386 * CHOOSE(CONTROL!$C$19, $C$13, 100%, $E$13)</f>
        <v>10.3386</v>
      </c>
      <c r="G625" s="61">
        <f>10.3407 * CHOOSE(CONTROL!$C$19, $C$13, 100%, $E$13)</f>
        <v>10.3407</v>
      </c>
      <c r="H625" s="61">
        <f>14.7044* CHOOSE(CONTROL!$C$19, $C$13, 100%, $E$13)</f>
        <v>14.7044</v>
      </c>
      <c r="I625" s="61">
        <f>14.7065 * CHOOSE(CONTROL!$C$19, $C$13, 100%, $E$13)</f>
        <v>14.7065</v>
      </c>
      <c r="J625" s="61">
        <f>10.3386 * CHOOSE(CONTROL!$C$19, $C$13, 100%, $E$13)</f>
        <v>10.3386</v>
      </c>
      <c r="K625" s="61">
        <f>10.3407 * CHOOSE(CONTROL!$C$19, $C$13, 100%, $E$13)</f>
        <v>10.3407</v>
      </c>
    </row>
    <row r="626" spans="1:11" ht="15">
      <c r="A626" s="13">
        <v>60906</v>
      </c>
      <c r="B626" s="60">
        <f>8.8724 * CHOOSE(CONTROL!$C$19, $C$13, 100%, $E$13)</f>
        <v>8.8724000000000007</v>
      </c>
      <c r="C626" s="60">
        <f>8.8724 * CHOOSE(CONTROL!$C$19, $C$13, 100%, $E$13)</f>
        <v>8.8724000000000007</v>
      </c>
      <c r="D626" s="60">
        <f>8.8893 * CHOOSE(CONTROL!$C$19, $C$13, 100%, $E$13)</f>
        <v>8.8893000000000004</v>
      </c>
      <c r="E626" s="61">
        <f>10.394 * CHOOSE(CONTROL!$C$19, $C$13, 100%, $E$13)</f>
        <v>10.394</v>
      </c>
      <c r="F626" s="61">
        <f>10.394 * CHOOSE(CONTROL!$C$19, $C$13, 100%, $E$13)</f>
        <v>10.394</v>
      </c>
      <c r="G626" s="61">
        <f>10.3942 * CHOOSE(CONTROL!$C$19, $C$13, 100%, $E$13)</f>
        <v>10.3942</v>
      </c>
      <c r="H626" s="61">
        <f>14.735* CHOOSE(CONTROL!$C$19, $C$13, 100%, $E$13)</f>
        <v>14.734999999999999</v>
      </c>
      <c r="I626" s="61">
        <f>14.7352 * CHOOSE(CONTROL!$C$19, $C$13, 100%, $E$13)</f>
        <v>14.735200000000001</v>
      </c>
      <c r="J626" s="61">
        <f>10.394 * CHOOSE(CONTROL!$C$19, $C$13, 100%, $E$13)</f>
        <v>10.394</v>
      </c>
      <c r="K626" s="61">
        <f>10.3942 * CHOOSE(CONTROL!$C$19, $C$13, 100%, $E$13)</f>
        <v>10.3942</v>
      </c>
    </row>
    <row r="627" spans="1:11" ht="15">
      <c r="A627" s="13">
        <v>60937</v>
      </c>
      <c r="B627" s="60">
        <f>8.8755 * CHOOSE(CONTROL!$C$19, $C$13, 100%, $E$13)</f>
        <v>8.8755000000000006</v>
      </c>
      <c r="C627" s="60">
        <f>8.8755 * CHOOSE(CONTROL!$C$19, $C$13, 100%, $E$13)</f>
        <v>8.8755000000000006</v>
      </c>
      <c r="D627" s="60">
        <f>8.8923 * CHOOSE(CONTROL!$C$19, $C$13, 100%, $E$13)</f>
        <v>8.8923000000000005</v>
      </c>
      <c r="E627" s="61">
        <f>10.4306 * CHOOSE(CONTROL!$C$19, $C$13, 100%, $E$13)</f>
        <v>10.4306</v>
      </c>
      <c r="F627" s="61">
        <f>10.4306 * CHOOSE(CONTROL!$C$19, $C$13, 100%, $E$13)</f>
        <v>10.4306</v>
      </c>
      <c r="G627" s="61">
        <f>10.4308 * CHOOSE(CONTROL!$C$19, $C$13, 100%, $E$13)</f>
        <v>10.4308</v>
      </c>
      <c r="H627" s="61">
        <f>14.7657* CHOOSE(CONTROL!$C$19, $C$13, 100%, $E$13)</f>
        <v>14.765700000000001</v>
      </c>
      <c r="I627" s="61">
        <f>14.7659 * CHOOSE(CONTROL!$C$19, $C$13, 100%, $E$13)</f>
        <v>14.7659</v>
      </c>
      <c r="J627" s="61">
        <f>10.4306 * CHOOSE(CONTROL!$C$19, $C$13, 100%, $E$13)</f>
        <v>10.4306</v>
      </c>
      <c r="K627" s="61">
        <f>10.4308 * CHOOSE(CONTROL!$C$19, $C$13, 100%, $E$13)</f>
        <v>10.4308</v>
      </c>
    </row>
    <row r="628" spans="1:11" ht="15">
      <c r="A628" s="13">
        <v>60967</v>
      </c>
      <c r="B628" s="60">
        <f>8.8755 * CHOOSE(CONTROL!$C$19, $C$13, 100%, $E$13)</f>
        <v>8.8755000000000006</v>
      </c>
      <c r="C628" s="60">
        <f>8.8755 * CHOOSE(CONTROL!$C$19, $C$13, 100%, $E$13)</f>
        <v>8.8755000000000006</v>
      </c>
      <c r="D628" s="60">
        <f>8.8923 * CHOOSE(CONTROL!$C$19, $C$13, 100%, $E$13)</f>
        <v>8.8923000000000005</v>
      </c>
      <c r="E628" s="61">
        <f>10.3445 * CHOOSE(CONTROL!$C$19, $C$13, 100%, $E$13)</f>
        <v>10.3445</v>
      </c>
      <c r="F628" s="61">
        <f>10.3445 * CHOOSE(CONTROL!$C$19, $C$13, 100%, $E$13)</f>
        <v>10.3445</v>
      </c>
      <c r="G628" s="61">
        <f>10.3447 * CHOOSE(CONTROL!$C$19, $C$13, 100%, $E$13)</f>
        <v>10.3447</v>
      </c>
      <c r="H628" s="61">
        <f>14.7965* CHOOSE(CONTROL!$C$19, $C$13, 100%, $E$13)</f>
        <v>14.7965</v>
      </c>
      <c r="I628" s="61">
        <f>14.7967 * CHOOSE(CONTROL!$C$19, $C$13, 100%, $E$13)</f>
        <v>14.7967</v>
      </c>
      <c r="J628" s="61">
        <f>10.3445 * CHOOSE(CONTROL!$C$19, $C$13, 100%, $E$13)</f>
        <v>10.3445</v>
      </c>
      <c r="K628" s="61">
        <f>10.3447 * CHOOSE(CONTROL!$C$19, $C$13, 100%, $E$13)</f>
        <v>10.3447</v>
      </c>
    </row>
    <row r="629" spans="1:11" ht="15">
      <c r="A629" s="13">
        <v>60998</v>
      </c>
      <c r="B629" s="60">
        <f>8.9239 * CHOOSE(CONTROL!$C$19, $C$13, 100%, $E$13)</f>
        <v>8.9238999999999997</v>
      </c>
      <c r="C629" s="60">
        <f>8.9239 * CHOOSE(CONTROL!$C$19, $C$13, 100%, $E$13)</f>
        <v>8.9238999999999997</v>
      </c>
      <c r="D629" s="60">
        <f>8.9408 * CHOOSE(CONTROL!$C$19, $C$13, 100%, $E$13)</f>
        <v>8.9407999999999994</v>
      </c>
      <c r="E629" s="61">
        <f>10.47 * CHOOSE(CONTROL!$C$19, $C$13, 100%, $E$13)</f>
        <v>10.47</v>
      </c>
      <c r="F629" s="61">
        <f>10.47 * CHOOSE(CONTROL!$C$19, $C$13, 100%, $E$13)</f>
        <v>10.47</v>
      </c>
      <c r="G629" s="61">
        <f>10.4702 * CHOOSE(CONTROL!$C$19, $C$13, 100%, $E$13)</f>
        <v>10.4702</v>
      </c>
      <c r="H629" s="61">
        <f>14.7863* CHOOSE(CONTROL!$C$19, $C$13, 100%, $E$13)</f>
        <v>14.786300000000001</v>
      </c>
      <c r="I629" s="61">
        <f>14.7864 * CHOOSE(CONTROL!$C$19, $C$13, 100%, $E$13)</f>
        <v>14.7864</v>
      </c>
      <c r="J629" s="61">
        <f>10.47 * CHOOSE(CONTROL!$C$19, $C$13, 100%, $E$13)</f>
        <v>10.47</v>
      </c>
      <c r="K629" s="61">
        <f>10.4702 * CHOOSE(CONTROL!$C$19, $C$13, 100%, $E$13)</f>
        <v>10.4702</v>
      </c>
    </row>
    <row r="630" spans="1:11" ht="15">
      <c r="A630" s="13">
        <v>61029</v>
      </c>
      <c r="B630" s="60">
        <f>8.9209 * CHOOSE(CONTROL!$C$19, $C$13, 100%, $E$13)</f>
        <v>8.9208999999999996</v>
      </c>
      <c r="C630" s="60">
        <f>8.9209 * CHOOSE(CONTROL!$C$19, $C$13, 100%, $E$13)</f>
        <v>8.9208999999999996</v>
      </c>
      <c r="D630" s="60">
        <f>8.9377 * CHOOSE(CONTROL!$C$19, $C$13, 100%, $E$13)</f>
        <v>8.9376999999999995</v>
      </c>
      <c r="E630" s="61">
        <f>10.3006 * CHOOSE(CONTROL!$C$19, $C$13, 100%, $E$13)</f>
        <v>10.300599999999999</v>
      </c>
      <c r="F630" s="61">
        <f>10.3006 * CHOOSE(CONTROL!$C$19, $C$13, 100%, $E$13)</f>
        <v>10.300599999999999</v>
      </c>
      <c r="G630" s="61">
        <f>10.3008 * CHOOSE(CONTROL!$C$19, $C$13, 100%, $E$13)</f>
        <v>10.300800000000001</v>
      </c>
      <c r="H630" s="61">
        <f>14.8171* CHOOSE(CONTROL!$C$19, $C$13, 100%, $E$13)</f>
        <v>14.8171</v>
      </c>
      <c r="I630" s="61">
        <f>14.8172 * CHOOSE(CONTROL!$C$19, $C$13, 100%, $E$13)</f>
        <v>14.8172</v>
      </c>
      <c r="J630" s="61">
        <f>10.3006 * CHOOSE(CONTROL!$C$19, $C$13, 100%, $E$13)</f>
        <v>10.300599999999999</v>
      </c>
      <c r="K630" s="61">
        <f>10.3008 * CHOOSE(CONTROL!$C$19, $C$13, 100%, $E$13)</f>
        <v>10.300800000000001</v>
      </c>
    </row>
    <row r="631" spans="1:11" ht="15">
      <c r="A631" s="13">
        <v>61057</v>
      </c>
      <c r="B631" s="60">
        <f>8.9178 * CHOOSE(CONTROL!$C$19, $C$13, 100%, $E$13)</f>
        <v>8.9177999999999997</v>
      </c>
      <c r="C631" s="60">
        <f>8.9178 * CHOOSE(CONTROL!$C$19, $C$13, 100%, $E$13)</f>
        <v>8.9177999999999997</v>
      </c>
      <c r="D631" s="60">
        <f>8.9347 * CHOOSE(CONTROL!$C$19, $C$13, 100%, $E$13)</f>
        <v>8.9346999999999994</v>
      </c>
      <c r="E631" s="61">
        <f>10.4304 * CHOOSE(CONTROL!$C$19, $C$13, 100%, $E$13)</f>
        <v>10.430400000000001</v>
      </c>
      <c r="F631" s="61">
        <f>10.4304 * CHOOSE(CONTROL!$C$19, $C$13, 100%, $E$13)</f>
        <v>10.430400000000001</v>
      </c>
      <c r="G631" s="61">
        <f>10.4305 * CHOOSE(CONTROL!$C$19, $C$13, 100%, $E$13)</f>
        <v>10.4305</v>
      </c>
      <c r="H631" s="61">
        <f>14.8479* CHOOSE(CONTROL!$C$19, $C$13, 100%, $E$13)</f>
        <v>14.847899999999999</v>
      </c>
      <c r="I631" s="61">
        <f>14.8481 * CHOOSE(CONTROL!$C$19, $C$13, 100%, $E$13)</f>
        <v>14.848100000000001</v>
      </c>
      <c r="J631" s="61">
        <f>10.4304 * CHOOSE(CONTROL!$C$19, $C$13, 100%, $E$13)</f>
        <v>10.430400000000001</v>
      </c>
      <c r="K631" s="61">
        <f>10.4305 * CHOOSE(CONTROL!$C$19, $C$13, 100%, $E$13)</f>
        <v>10.4305</v>
      </c>
    </row>
    <row r="632" spans="1:11" ht="15">
      <c r="A632" s="13">
        <v>61088</v>
      </c>
      <c r="B632" s="60">
        <f>8.9203 * CHOOSE(CONTROL!$C$19, $C$13, 100%, $E$13)</f>
        <v>8.9202999999999992</v>
      </c>
      <c r="C632" s="60">
        <f>8.9203 * CHOOSE(CONTROL!$C$19, $C$13, 100%, $E$13)</f>
        <v>8.9202999999999992</v>
      </c>
      <c r="D632" s="60">
        <f>8.9372 * CHOOSE(CONTROL!$C$19, $C$13, 100%, $E$13)</f>
        <v>8.9372000000000007</v>
      </c>
      <c r="E632" s="61">
        <f>10.5677 * CHOOSE(CONTROL!$C$19, $C$13, 100%, $E$13)</f>
        <v>10.5677</v>
      </c>
      <c r="F632" s="61">
        <f>10.5677 * CHOOSE(CONTROL!$C$19, $C$13, 100%, $E$13)</f>
        <v>10.5677</v>
      </c>
      <c r="G632" s="61">
        <f>10.5679 * CHOOSE(CONTROL!$C$19, $C$13, 100%, $E$13)</f>
        <v>10.5679</v>
      </c>
      <c r="H632" s="61">
        <f>14.8789* CHOOSE(CONTROL!$C$19, $C$13, 100%, $E$13)</f>
        <v>14.8789</v>
      </c>
      <c r="I632" s="61">
        <f>14.879 * CHOOSE(CONTROL!$C$19, $C$13, 100%, $E$13)</f>
        <v>14.879</v>
      </c>
      <c r="J632" s="61">
        <f>10.5677 * CHOOSE(CONTROL!$C$19, $C$13, 100%, $E$13)</f>
        <v>10.5677</v>
      </c>
      <c r="K632" s="61">
        <f>10.5679 * CHOOSE(CONTROL!$C$19, $C$13, 100%, $E$13)</f>
        <v>10.5679</v>
      </c>
    </row>
    <row r="633" spans="1:11" ht="15">
      <c r="A633" s="13">
        <v>61118</v>
      </c>
      <c r="B633" s="60">
        <f>8.9203 * CHOOSE(CONTROL!$C$19, $C$13, 100%, $E$13)</f>
        <v>8.9202999999999992</v>
      </c>
      <c r="C633" s="60">
        <f>8.9203 * CHOOSE(CONTROL!$C$19, $C$13, 100%, $E$13)</f>
        <v>8.9202999999999992</v>
      </c>
      <c r="D633" s="60">
        <f>8.954 * CHOOSE(CONTROL!$C$19, $C$13, 100%, $E$13)</f>
        <v>8.9540000000000006</v>
      </c>
      <c r="E633" s="61">
        <f>10.6208 * CHOOSE(CONTROL!$C$19, $C$13, 100%, $E$13)</f>
        <v>10.620799999999999</v>
      </c>
      <c r="F633" s="61">
        <f>10.6208 * CHOOSE(CONTROL!$C$19, $C$13, 100%, $E$13)</f>
        <v>10.620799999999999</v>
      </c>
      <c r="G633" s="61">
        <f>10.6229 * CHOOSE(CONTROL!$C$19, $C$13, 100%, $E$13)</f>
        <v>10.6229</v>
      </c>
      <c r="H633" s="61">
        <f>14.9099* CHOOSE(CONTROL!$C$19, $C$13, 100%, $E$13)</f>
        <v>14.9099</v>
      </c>
      <c r="I633" s="61">
        <f>14.912 * CHOOSE(CONTROL!$C$19, $C$13, 100%, $E$13)</f>
        <v>14.912000000000001</v>
      </c>
      <c r="J633" s="61">
        <f>10.6208 * CHOOSE(CONTROL!$C$19, $C$13, 100%, $E$13)</f>
        <v>10.620799999999999</v>
      </c>
      <c r="K633" s="61">
        <f>10.6229 * CHOOSE(CONTROL!$C$19, $C$13, 100%, $E$13)</f>
        <v>10.6229</v>
      </c>
    </row>
    <row r="634" spans="1:11" ht="15">
      <c r="A634" s="13">
        <v>61149</v>
      </c>
      <c r="B634" s="60">
        <f>8.9264 * CHOOSE(CONTROL!$C$19, $C$13, 100%, $E$13)</f>
        <v>8.9263999999999992</v>
      </c>
      <c r="C634" s="60">
        <f>8.9264 * CHOOSE(CONTROL!$C$19, $C$13, 100%, $E$13)</f>
        <v>8.9263999999999992</v>
      </c>
      <c r="D634" s="60">
        <f>8.9601 * CHOOSE(CONTROL!$C$19, $C$13, 100%, $E$13)</f>
        <v>8.9601000000000006</v>
      </c>
      <c r="E634" s="61">
        <f>10.572 * CHOOSE(CONTROL!$C$19, $C$13, 100%, $E$13)</f>
        <v>10.571999999999999</v>
      </c>
      <c r="F634" s="61">
        <f>10.572 * CHOOSE(CONTROL!$C$19, $C$13, 100%, $E$13)</f>
        <v>10.571999999999999</v>
      </c>
      <c r="G634" s="61">
        <f>10.574 * CHOOSE(CONTROL!$C$19, $C$13, 100%, $E$13)</f>
        <v>10.574</v>
      </c>
      <c r="H634" s="61">
        <f>14.9409* CHOOSE(CONTROL!$C$19, $C$13, 100%, $E$13)</f>
        <v>14.940899999999999</v>
      </c>
      <c r="I634" s="61">
        <f>14.943 * CHOOSE(CONTROL!$C$19, $C$13, 100%, $E$13)</f>
        <v>14.943</v>
      </c>
      <c r="J634" s="61">
        <f>10.572 * CHOOSE(CONTROL!$C$19, $C$13, 100%, $E$13)</f>
        <v>10.571999999999999</v>
      </c>
      <c r="K634" s="61">
        <f>10.574 * CHOOSE(CONTROL!$C$19, $C$13, 100%, $E$13)</f>
        <v>10.574</v>
      </c>
    </row>
    <row r="635" spans="1:11" ht="15">
      <c r="A635" s="13">
        <v>61179</v>
      </c>
      <c r="B635" s="60">
        <f>9.0546 * CHOOSE(CONTROL!$C$19, $C$13, 100%, $E$13)</f>
        <v>9.0546000000000006</v>
      </c>
      <c r="C635" s="60">
        <f>9.0546 * CHOOSE(CONTROL!$C$19, $C$13, 100%, $E$13)</f>
        <v>9.0546000000000006</v>
      </c>
      <c r="D635" s="60">
        <f>9.0882 * CHOOSE(CONTROL!$C$19, $C$13, 100%, $E$13)</f>
        <v>9.0882000000000005</v>
      </c>
      <c r="E635" s="61">
        <f>10.7674 * CHOOSE(CONTROL!$C$19, $C$13, 100%, $E$13)</f>
        <v>10.7674</v>
      </c>
      <c r="F635" s="61">
        <f>10.7674 * CHOOSE(CONTROL!$C$19, $C$13, 100%, $E$13)</f>
        <v>10.7674</v>
      </c>
      <c r="G635" s="61">
        <f>10.7695 * CHOOSE(CONTROL!$C$19, $C$13, 100%, $E$13)</f>
        <v>10.769500000000001</v>
      </c>
      <c r="H635" s="61">
        <f>14.9721* CHOOSE(CONTROL!$C$19, $C$13, 100%, $E$13)</f>
        <v>14.972099999999999</v>
      </c>
      <c r="I635" s="61">
        <f>14.9741 * CHOOSE(CONTROL!$C$19, $C$13, 100%, $E$13)</f>
        <v>14.9741</v>
      </c>
      <c r="J635" s="61">
        <f>10.7674 * CHOOSE(CONTROL!$C$19, $C$13, 100%, $E$13)</f>
        <v>10.7674</v>
      </c>
      <c r="K635" s="61">
        <f>10.7695 * CHOOSE(CONTROL!$C$19, $C$13, 100%, $E$13)</f>
        <v>10.769500000000001</v>
      </c>
    </row>
    <row r="636" spans="1:11" ht="15">
      <c r="A636" s="13">
        <v>61210</v>
      </c>
      <c r="B636" s="60">
        <f>9.0613 * CHOOSE(CONTROL!$C$19, $C$13, 100%, $E$13)</f>
        <v>9.0612999999999992</v>
      </c>
      <c r="C636" s="60">
        <f>9.0613 * CHOOSE(CONTROL!$C$19, $C$13, 100%, $E$13)</f>
        <v>9.0612999999999992</v>
      </c>
      <c r="D636" s="60">
        <f>9.0949 * CHOOSE(CONTROL!$C$19, $C$13, 100%, $E$13)</f>
        <v>9.0949000000000009</v>
      </c>
      <c r="E636" s="61">
        <f>10.6127 * CHOOSE(CONTROL!$C$19, $C$13, 100%, $E$13)</f>
        <v>10.6127</v>
      </c>
      <c r="F636" s="61">
        <f>10.6127 * CHOOSE(CONTROL!$C$19, $C$13, 100%, $E$13)</f>
        <v>10.6127</v>
      </c>
      <c r="G636" s="61">
        <f>10.6148 * CHOOSE(CONTROL!$C$19, $C$13, 100%, $E$13)</f>
        <v>10.614800000000001</v>
      </c>
      <c r="H636" s="61">
        <f>15.0032* CHOOSE(CONTROL!$C$19, $C$13, 100%, $E$13)</f>
        <v>15.0032</v>
      </c>
      <c r="I636" s="61">
        <f>15.0053 * CHOOSE(CONTROL!$C$19, $C$13, 100%, $E$13)</f>
        <v>15.0053</v>
      </c>
      <c r="J636" s="61">
        <f>10.6127 * CHOOSE(CONTROL!$C$19, $C$13, 100%, $E$13)</f>
        <v>10.6127</v>
      </c>
      <c r="K636" s="61">
        <f>10.6148 * CHOOSE(CONTROL!$C$19, $C$13, 100%, $E$13)</f>
        <v>10.614800000000001</v>
      </c>
    </row>
    <row r="637" spans="1:11" ht="15">
      <c r="A637" s="13">
        <v>61241</v>
      </c>
      <c r="B637" s="60">
        <f>9.0582 * CHOOSE(CONTROL!$C$19, $C$13, 100%, $E$13)</f>
        <v>9.0581999999999994</v>
      </c>
      <c r="C637" s="60">
        <f>9.0582 * CHOOSE(CONTROL!$C$19, $C$13, 100%, $E$13)</f>
        <v>9.0581999999999994</v>
      </c>
      <c r="D637" s="60">
        <f>9.0919 * CHOOSE(CONTROL!$C$19, $C$13, 100%, $E$13)</f>
        <v>9.0919000000000008</v>
      </c>
      <c r="E637" s="61">
        <f>10.5929 * CHOOSE(CONTROL!$C$19, $C$13, 100%, $E$13)</f>
        <v>10.5929</v>
      </c>
      <c r="F637" s="61">
        <f>10.5929 * CHOOSE(CONTROL!$C$19, $C$13, 100%, $E$13)</f>
        <v>10.5929</v>
      </c>
      <c r="G637" s="61">
        <f>10.595 * CHOOSE(CONTROL!$C$19, $C$13, 100%, $E$13)</f>
        <v>10.595000000000001</v>
      </c>
      <c r="H637" s="61">
        <f>15.0345* CHOOSE(CONTROL!$C$19, $C$13, 100%, $E$13)</f>
        <v>15.0345</v>
      </c>
      <c r="I637" s="61">
        <f>15.0366 * CHOOSE(CONTROL!$C$19, $C$13, 100%, $E$13)</f>
        <v>15.0366</v>
      </c>
      <c r="J637" s="61">
        <f>10.5929 * CHOOSE(CONTROL!$C$19, $C$13, 100%, $E$13)</f>
        <v>10.5929</v>
      </c>
      <c r="K637" s="61">
        <f>10.595 * CHOOSE(CONTROL!$C$19, $C$13, 100%, $E$13)</f>
        <v>10.595000000000001</v>
      </c>
    </row>
    <row r="638" spans="1:11" ht="15">
      <c r="A638" s="13">
        <v>61271</v>
      </c>
      <c r="B638" s="60">
        <f>9.0725 * CHOOSE(CONTROL!$C$19, $C$13, 100%, $E$13)</f>
        <v>9.0724999999999998</v>
      </c>
      <c r="C638" s="60">
        <f>9.0725 * CHOOSE(CONTROL!$C$19, $C$13, 100%, $E$13)</f>
        <v>9.0724999999999998</v>
      </c>
      <c r="D638" s="60">
        <f>9.0893 * CHOOSE(CONTROL!$C$19, $C$13, 100%, $E$13)</f>
        <v>9.0892999999999997</v>
      </c>
      <c r="E638" s="61">
        <f>10.6503 * CHOOSE(CONTROL!$C$19, $C$13, 100%, $E$13)</f>
        <v>10.6503</v>
      </c>
      <c r="F638" s="61">
        <f>10.6503 * CHOOSE(CONTROL!$C$19, $C$13, 100%, $E$13)</f>
        <v>10.6503</v>
      </c>
      <c r="G638" s="61">
        <f>10.6505 * CHOOSE(CONTROL!$C$19, $C$13, 100%, $E$13)</f>
        <v>10.650499999999999</v>
      </c>
      <c r="H638" s="61">
        <f>15.0658* CHOOSE(CONTROL!$C$19, $C$13, 100%, $E$13)</f>
        <v>15.065799999999999</v>
      </c>
      <c r="I638" s="61">
        <f>15.066 * CHOOSE(CONTROL!$C$19, $C$13, 100%, $E$13)</f>
        <v>15.066000000000001</v>
      </c>
      <c r="J638" s="61">
        <f>10.6503 * CHOOSE(CONTROL!$C$19, $C$13, 100%, $E$13)</f>
        <v>10.6503</v>
      </c>
      <c r="K638" s="61">
        <f>10.6505 * CHOOSE(CONTROL!$C$19, $C$13, 100%, $E$13)</f>
        <v>10.650499999999999</v>
      </c>
    </row>
    <row r="639" spans="1:11" ht="15">
      <c r="A639" s="13">
        <v>61302</v>
      </c>
      <c r="B639" s="60">
        <f>9.0756 * CHOOSE(CONTROL!$C$19, $C$13, 100%, $E$13)</f>
        <v>9.0755999999999997</v>
      </c>
      <c r="C639" s="60">
        <f>9.0756 * CHOOSE(CONTROL!$C$19, $C$13, 100%, $E$13)</f>
        <v>9.0755999999999997</v>
      </c>
      <c r="D639" s="60">
        <f>9.0924 * CHOOSE(CONTROL!$C$19, $C$13, 100%, $E$13)</f>
        <v>9.0923999999999996</v>
      </c>
      <c r="E639" s="61">
        <f>10.6878 * CHOOSE(CONTROL!$C$19, $C$13, 100%, $E$13)</f>
        <v>10.687799999999999</v>
      </c>
      <c r="F639" s="61">
        <f>10.6878 * CHOOSE(CONTROL!$C$19, $C$13, 100%, $E$13)</f>
        <v>10.687799999999999</v>
      </c>
      <c r="G639" s="61">
        <f>10.688 * CHOOSE(CONTROL!$C$19, $C$13, 100%, $E$13)</f>
        <v>10.688000000000001</v>
      </c>
      <c r="H639" s="61">
        <f>15.0972* CHOOSE(CONTROL!$C$19, $C$13, 100%, $E$13)</f>
        <v>15.097200000000001</v>
      </c>
      <c r="I639" s="61">
        <f>15.0974 * CHOOSE(CONTROL!$C$19, $C$13, 100%, $E$13)</f>
        <v>15.0974</v>
      </c>
      <c r="J639" s="61">
        <f>10.6878 * CHOOSE(CONTROL!$C$19, $C$13, 100%, $E$13)</f>
        <v>10.687799999999999</v>
      </c>
      <c r="K639" s="61">
        <f>10.688 * CHOOSE(CONTROL!$C$19, $C$13, 100%, $E$13)</f>
        <v>10.688000000000001</v>
      </c>
    </row>
    <row r="640" spans="1:11" ht="15">
      <c r="A640" s="13">
        <v>61332</v>
      </c>
      <c r="B640" s="60">
        <f>9.0756 * CHOOSE(CONTROL!$C$19, $C$13, 100%, $E$13)</f>
        <v>9.0755999999999997</v>
      </c>
      <c r="C640" s="60">
        <f>9.0756 * CHOOSE(CONTROL!$C$19, $C$13, 100%, $E$13)</f>
        <v>9.0755999999999997</v>
      </c>
      <c r="D640" s="60">
        <f>9.0924 * CHOOSE(CONTROL!$C$19, $C$13, 100%, $E$13)</f>
        <v>9.0923999999999996</v>
      </c>
      <c r="E640" s="61">
        <f>10.5993 * CHOOSE(CONTROL!$C$19, $C$13, 100%, $E$13)</f>
        <v>10.599299999999999</v>
      </c>
      <c r="F640" s="61">
        <f>10.5993 * CHOOSE(CONTROL!$C$19, $C$13, 100%, $E$13)</f>
        <v>10.599299999999999</v>
      </c>
      <c r="G640" s="61">
        <f>10.5995 * CHOOSE(CONTROL!$C$19, $C$13, 100%, $E$13)</f>
        <v>10.599500000000001</v>
      </c>
      <c r="H640" s="61">
        <f>15.1287* CHOOSE(CONTROL!$C$19, $C$13, 100%, $E$13)</f>
        <v>15.1287</v>
      </c>
      <c r="I640" s="61">
        <f>15.1288 * CHOOSE(CONTROL!$C$19, $C$13, 100%, $E$13)</f>
        <v>15.1288</v>
      </c>
      <c r="J640" s="61">
        <f>10.5993 * CHOOSE(CONTROL!$C$19, $C$13, 100%, $E$13)</f>
        <v>10.599299999999999</v>
      </c>
      <c r="K640" s="61">
        <f>10.5995 * CHOOSE(CONTROL!$C$19, $C$13, 100%, $E$13)</f>
        <v>10.599500000000001</v>
      </c>
    </row>
    <row r="641" spans="1:11" ht="15">
      <c r="A641" s="13">
        <v>61363</v>
      </c>
      <c r="B641" s="60">
        <f>9.1205 * CHOOSE(CONTROL!$C$19, $C$13, 100%, $E$13)</f>
        <v>9.1204999999999998</v>
      </c>
      <c r="C641" s="60">
        <f>9.1205 * CHOOSE(CONTROL!$C$19, $C$13, 100%, $E$13)</f>
        <v>9.1204999999999998</v>
      </c>
      <c r="D641" s="60">
        <f>9.1374 * CHOOSE(CONTROL!$C$19, $C$13, 100%, $E$13)</f>
        <v>9.1373999999999995</v>
      </c>
      <c r="E641" s="61">
        <f>10.7218 * CHOOSE(CONTROL!$C$19, $C$13, 100%, $E$13)</f>
        <v>10.7218</v>
      </c>
      <c r="F641" s="61">
        <f>10.7218 * CHOOSE(CONTROL!$C$19, $C$13, 100%, $E$13)</f>
        <v>10.7218</v>
      </c>
      <c r="G641" s="61">
        <f>10.722 * CHOOSE(CONTROL!$C$19, $C$13, 100%, $E$13)</f>
        <v>10.722</v>
      </c>
      <c r="H641" s="61">
        <f>15.1109* CHOOSE(CONTROL!$C$19, $C$13, 100%, $E$13)</f>
        <v>15.110900000000001</v>
      </c>
      <c r="I641" s="61">
        <f>15.1111 * CHOOSE(CONTROL!$C$19, $C$13, 100%, $E$13)</f>
        <v>15.1111</v>
      </c>
      <c r="J641" s="61">
        <f>10.7218 * CHOOSE(CONTROL!$C$19, $C$13, 100%, $E$13)</f>
        <v>10.7218</v>
      </c>
      <c r="K641" s="61">
        <f>10.722 * CHOOSE(CONTROL!$C$19, $C$13, 100%, $E$13)</f>
        <v>10.722</v>
      </c>
    </row>
    <row r="642" spans="1:11" ht="15">
      <c r="A642" s="13">
        <v>61394</v>
      </c>
      <c r="B642" s="60">
        <f>9.1175 * CHOOSE(CONTROL!$C$19, $C$13, 100%, $E$13)</f>
        <v>9.1174999999999997</v>
      </c>
      <c r="C642" s="60">
        <f>9.1175 * CHOOSE(CONTROL!$C$19, $C$13, 100%, $E$13)</f>
        <v>9.1174999999999997</v>
      </c>
      <c r="D642" s="60">
        <f>9.1343 * CHOOSE(CONTROL!$C$19, $C$13, 100%, $E$13)</f>
        <v>9.1342999999999996</v>
      </c>
      <c r="E642" s="61">
        <f>10.548 * CHOOSE(CONTROL!$C$19, $C$13, 100%, $E$13)</f>
        <v>10.548</v>
      </c>
      <c r="F642" s="61">
        <f>10.548 * CHOOSE(CONTROL!$C$19, $C$13, 100%, $E$13)</f>
        <v>10.548</v>
      </c>
      <c r="G642" s="61">
        <f>10.5482 * CHOOSE(CONTROL!$C$19, $C$13, 100%, $E$13)</f>
        <v>10.5482</v>
      </c>
      <c r="H642" s="61">
        <f>15.1424* CHOOSE(CONTROL!$C$19, $C$13, 100%, $E$13)</f>
        <v>15.1424</v>
      </c>
      <c r="I642" s="61">
        <f>15.1426 * CHOOSE(CONTROL!$C$19, $C$13, 100%, $E$13)</f>
        <v>15.1426</v>
      </c>
      <c r="J642" s="61">
        <f>10.548 * CHOOSE(CONTROL!$C$19, $C$13, 100%, $E$13)</f>
        <v>10.548</v>
      </c>
      <c r="K642" s="61">
        <f>10.5482 * CHOOSE(CONTROL!$C$19, $C$13, 100%, $E$13)</f>
        <v>10.5482</v>
      </c>
    </row>
    <row r="643" spans="1:11" ht="15">
      <c r="A643" s="13">
        <v>61423</v>
      </c>
      <c r="B643" s="60">
        <f>9.1145 * CHOOSE(CONTROL!$C$19, $C$13, 100%, $E$13)</f>
        <v>9.1144999999999996</v>
      </c>
      <c r="C643" s="60">
        <f>9.1145 * CHOOSE(CONTROL!$C$19, $C$13, 100%, $E$13)</f>
        <v>9.1144999999999996</v>
      </c>
      <c r="D643" s="60">
        <f>9.1313 * CHOOSE(CONTROL!$C$19, $C$13, 100%, $E$13)</f>
        <v>9.1312999999999995</v>
      </c>
      <c r="E643" s="61">
        <f>10.6813 * CHOOSE(CONTROL!$C$19, $C$13, 100%, $E$13)</f>
        <v>10.6813</v>
      </c>
      <c r="F643" s="61">
        <f>10.6813 * CHOOSE(CONTROL!$C$19, $C$13, 100%, $E$13)</f>
        <v>10.6813</v>
      </c>
      <c r="G643" s="61">
        <f>10.6814 * CHOOSE(CONTROL!$C$19, $C$13, 100%, $E$13)</f>
        <v>10.6814</v>
      </c>
      <c r="H643" s="61">
        <f>15.1739* CHOOSE(CONTROL!$C$19, $C$13, 100%, $E$13)</f>
        <v>15.1739</v>
      </c>
      <c r="I643" s="61">
        <f>15.1741 * CHOOSE(CONTROL!$C$19, $C$13, 100%, $E$13)</f>
        <v>15.174099999999999</v>
      </c>
      <c r="J643" s="61">
        <f>10.6813 * CHOOSE(CONTROL!$C$19, $C$13, 100%, $E$13)</f>
        <v>10.6813</v>
      </c>
      <c r="K643" s="61">
        <f>10.6814 * CHOOSE(CONTROL!$C$19, $C$13, 100%, $E$13)</f>
        <v>10.6814</v>
      </c>
    </row>
    <row r="644" spans="1:11" ht="15">
      <c r="A644" s="13">
        <v>61454</v>
      </c>
      <c r="B644" s="60">
        <f>9.1172 * CHOOSE(CONTROL!$C$19, $C$13, 100%, $E$13)</f>
        <v>9.1172000000000004</v>
      </c>
      <c r="C644" s="60">
        <f>9.1172 * CHOOSE(CONTROL!$C$19, $C$13, 100%, $E$13)</f>
        <v>9.1172000000000004</v>
      </c>
      <c r="D644" s="60">
        <f>9.134 * CHOOSE(CONTROL!$C$19, $C$13, 100%, $E$13)</f>
        <v>9.1340000000000003</v>
      </c>
      <c r="E644" s="61">
        <f>10.8224 * CHOOSE(CONTROL!$C$19, $C$13, 100%, $E$13)</f>
        <v>10.8224</v>
      </c>
      <c r="F644" s="61">
        <f>10.8224 * CHOOSE(CONTROL!$C$19, $C$13, 100%, $E$13)</f>
        <v>10.8224</v>
      </c>
      <c r="G644" s="61">
        <f>10.8226 * CHOOSE(CONTROL!$C$19, $C$13, 100%, $E$13)</f>
        <v>10.8226</v>
      </c>
      <c r="H644" s="61">
        <f>15.2056* CHOOSE(CONTROL!$C$19, $C$13, 100%, $E$13)</f>
        <v>15.2056</v>
      </c>
      <c r="I644" s="61">
        <f>15.2057 * CHOOSE(CONTROL!$C$19, $C$13, 100%, $E$13)</f>
        <v>15.2057</v>
      </c>
      <c r="J644" s="61">
        <f>10.8224 * CHOOSE(CONTROL!$C$19, $C$13, 100%, $E$13)</f>
        <v>10.8224</v>
      </c>
      <c r="K644" s="61">
        <f>10.8226 * CHOOSE(CONTROL!$C$19, $C$13, 100%, $E$13)</f>
        <v>10.8226</v>
      </c>
    </row>
    <row r="645" spans="1:11" ht="15">
      <c r="A645" s="13">
        <v>61484</v>
      </c>
      <c r="B645" s="60">
        <f>9.1172 * CHOOSE(CONTROL!$C$19, $C$13, 100%, $E$13)</f>
        <v>9.1172000000000004</v>
      </c>
      <c r="C645" s="60">
        <f>9.1172 * CHOOSE(CONTROL!$C$19, $C$13, 100%, $E$13)</f>
        <v>9.1172000000000004</v>
      </c>
      <c r="D645" s="60">
        <f>9.1508 * CHOOSE(CONTROL!$C$19, $C$13, 100%, $E$13)</f>
        <v>9.1508000000000003</v>
      </c>
      <c r="E645" s="61">
        <f>10.8769 * CHOOSE(CONTROL!$C$19, $C$13, 100%, $E$13)</f>
        <v>10.876899999999999</v>
      </c>
      <c r="F645" s="61">
        <f>10.8769 * CHOOSE(CONTROL!$C$19, $C$13, 100%, $E$13)</f>
        <v>10.876899999999999</v>
      </c>
      <c r="G645" s="61">
        <f>10.879 * CHOOSE(CONTROL!$C$19, $C$13, 100%, $E$13)</f>
        <v>10.879</v>
      </c>
      <c r="H645" s="61">
        <f>15.2372* CHOOSE(CONTROL!$C$19, $C$13, 100%, $E$13)</f>
        <v>15.2372</v>
      </c>
      <c r="I645" s="61">
        <f>15.2393 * CHOOSE(CONTROL!$C$19, $C$13, 100%, $E$13)</f>
        <v>15.2393</v>
      </c>
      <c r="J645" s="61">
        <f>10.8769 * CHOOSE(CONTROL!$C$19, $C$13, 100%, $E$13)</f>
        <v>10.876899999999999</v>
      </c>
      <c r="K645" s="61">
        <f>10.879 * CHOOSE(CONTROL!$C$19, $C$13, 100%, $E$13)</f>
        <v>10.879</v>
      </c>
    </row>
    <row r="646" spans="1:11" ht="15">
      <c r="A646" s="13">
        <v>61515</v>
      </c>
      <c r="B646" s="60">
        <f>9.1232 * CHOOSE(CONTROL!$C$19, $C$13, 100%, $E$13)</f>
        <v>9.1232000000000006</v>
      </c>
      <c r="C646" s="60">
        <f>9.1232 * CHOOSE(CONTROL!$C$19, $C$13, 100%, $E$13)</f>
        <v>9.1232000000000006</v>
      </c>
      <c r="D646" s="60">
        <f>9.1569 * CHOOSE(CONTROL!$C$19, $C$13, 100%, $E$13)</f>
        <v>9.1569000000000003</v>
      </c>
      <c r="E646" s="61">
        <f>10.8266 * CHOOSE(CONTROL!$C$19, $C$13, 100%, $E$13)</f>
        <v>10.826599999999999</v>
      </c>
      <c r="F646" s="61">
        <f>10.8266 * CHOOSE(CONTROL!$C$19, $C$13, 100%, $E$13)</f>
        <v>10.826599999999999</v>
      </c>
      <c r="G646" s="61">
        <f>10.8287 * CHOOSE(CONTROL!$C$19, $C$13, 100%, $E$13)</f>
        <v>10.8287</v>
      </c>
      <c r="H646" s="61">
        <f>15.269* CHOOSE(CONTROL!$C$19, $C$13, 100%, $E$13)</f>
        <v>15.269</v>
      </c>
      <c r="I646" s="61">
        <f>15.2711 * CHOOSE(CONTROL!$C$19, $C$13, 100%, $E$13)</f>
        <v>15.271100000000001</v>
      </c>
      <c r="J646" s="61">
        <f>10.8266 * CHOOSE(CONTROL!$C$19, $C$13, 100%, $E$13)</f>
        <v>10.826599999999999</v>
      </c>
      <c r="K646" s="61">
        <f>10.8287 * CHOOSE(CONTROL!$C$19, $C$13, 100%, $E$13)</f>
        <v>10.8287</v>
      </c>
    </row>
    <row r="647" spans="1:11" ht="15">
      <c r="A647" s="13">
        <v>61545</v>
      </c>
      <c r="B647" s="60">
        <f>9.2539 * CHOOSE(CONTROL!$C$19, $C$13, 100%, $E$13)</f>
        <v>9.2538999999999998</v>
      </c>
      <c r="C647" s="60">
        <f>9.2539 * CHOOSE(CONTROL!$C$19, $C$13, 100%, $E$13)</f>
        <v>9.2538999999999998</v>
      </c>
      <c r="D647" s="60">
        <f>9.2875 * CHOOSE(CONTROL!$C$19, $C$13, 100%, $E$13)</f>
        <v>9.2874999999999996</v>
      </c>
      <c r="E647" s="61">
        <f>11.0265 * CHOOSE(CONTROL!$C$19, $C$13, 100%, $E$13)</f>
        <v>11.0265</v>
      </c>
      <c r="F647" s="61">
        <f>11.0265 * CHOOSE(CONTROL!$C$19, $C$13, 100%, $E$13)</f>
        <v>11.0265</v>
      </c>
      <c r="G647" s="61">
        <f>11.0286 * CHOOSE(CONTROL!$C$19, $C$13, 100%, $E$13)</f>
        <v>11.028600000000001</v>
      </c>
      <c r="H647" s="61">
        <f>15.3008* CHOOSE(CONTROL!$C$19, $C$13, 100%, $E$13)</f>
        <v>15.300800000000001</v>
      </c>
      <c r="I647" s="61">
        <f>15.3029 * CHOOSE(CONTROL!$C$19, $C$13, 100%, $E$13)</f>
        <v>15.302899999999999</v>
      </c>
      <c r="J647" s="61">
        <f>11.0265 * CHOOSE(CONTROL!$C$19, $C$13, 100%, $E$13)</f>
        <v>11.0265</v>
      </c>
      <c r="K647" s="61">
        <f>11.0286 * CHOOSE(CONTROL!$C$19, $C$13, 100%, $E$13)</f>
        <v>11.028600000000001</v>
      </c>
    </row>
    <row r="648" spans="1:11" ht="15">
      <c r="A648" s="13">
        <v>61576</v>
      </c>
      <c r="B648" s="60">
        <f>9.2606 * CHOOSE(CONTROL!$C$19, $C$13, 100%, $E$13)</f>
        <v>9.2606000000000002</v>
      </c>
      <c r="C648" s="60">
        <f>9.2606 * CHOOSE(CONTROL!$C$19, $C$13, 100%, $E$13)</f>
        <v>9.2606000000000002</v>
      </c>
      <c r="D648" s="60">
        <f>9.2942 * CHOOSE(CONTROL!$C$19, $C$13, 100%, $E$13)</f>
        <v>9.2942</v>
      </c>
      <c r="E648" s="61">
        <f>10.8676 * CHOOSE(CONTROL!$C$19, $C$13, 100%, $E$13)</f>
        <v>10.867599999999999</v>
      </c>
      <c r="F648" s="61">
        <f>10.8676 * CHOOSE(CONTROL!$C$19, $C$13, 100%, $E$13)</f>
        <v>10.867599999999999</v>
      </c>
      <c r="G648" s="61">
        <f>10.8697 * CHOOSE(CONTROL!$C$19, $C$13, 100%, $E$13)</f>
        <v>10.8697</v>
      </c>
      <c r="H648" s="61">
        <f>15.3327* CHOOSE(CONTROL!$C$19, $C$13, 100%, $E$13)</f>
        <v>15.332700000000001</v>
      </c>
      <c r="I648" s="61">
        <f>15.3348 * CHOOSE(CONTROL!$C$19, $C$13, 100%, $E$13)</f>
        <v>15.3348</v>
      </c>
      <c r="J648" s="61">
        <f>10.8676 * CHOOSE(CONTROL!$C$19, $C$13, 100%, $E$13)</f>
        <v>10.867599999999999</v>
      </c>
      <c r="K648" s="61">
        <f>10.8697 * CHOOSE(CONTROL!$C$19, $C$13, 100%, $E$13)</f>
        <v>10.8697</v>
      </c>
    </row>
    <row r="649" spans="1:11" ht="15">
      <c r="A649" s="13">
        <v>61607</v>
      </c>
      <c r="B649" s="60">
        <f>9.2575 * CHOOSE(CONTROL!$C$19, $C$13, 100%, $E$13)</f>
        <v>9.2575000000000003</v>
      </c>
      <c r="C649" s="60">
        <f>9.2575 * CHOOSE(CONTROL!$C$19, $C$13, 100%, $E$13)</f>
        <v>9.2575000000000003</v>
      </c>
      <c r="D649" s="60">
        <f>9.2912 * CHOOSE(CONTROL!$C$19, $C$13, 100%, $E$13)</f>
        <v>9.2911999999999999</v>
      </c>
      <c r="E649" s="61">
        <f>10.8473 * CHOOSE(CONTROL!$C$19, $C$13, 100%, $E$13)</f>
        <v>10.847300000000001</v>
      </c>
      <c r="F649" s="61">
        <f>10.8473 * CHOOSE(CONTROL!$C$19, $C$13, 100%, $E$13)</f>
        <v>10.847300000000001</v>
      </c>
      <c r="G649" s="61">
        <f>10.8494 * CHOOSE(CONTROL!$C$19, $C$13, 100%, $E$13)</f>
        <v>10.849399999999999</v>
      </c>
      <c r="H649" s="61">
        <f>15.3646* CHOOSE(CONTROL!$C$19, $C$13, 100%, $E$13)</f>
        <v>15.364599999999999</v>
      </c>
      <c r="I649" s="61">
        <f>15.3667 * CHOOSE(CONTROL!$C$19, $C$13, 100%, $E$13)</f>
        <v>15.3667</v>
      </c>
      <c r="J649" s="61">
        <f>10.8473 * CHOOSE(CONTROL!$C$19, $C$13, 100%, $E$13)</f>
        <v>10.847300000000001</v>
      </c>
      <c r="K649" s="61">
        <f>10.8494 * CHOOSE(CONTROL!$C$19, $C$13, 100%, $E$13)</f>
        <v>10.849399999999999</v>
      </c>
    </row>
    <row r="650" spans="1:11" ht="15">
      <c r="A650" s="13">
        <v>61637</v>
      </c>
      <c r="B650" s="60">
        <f>9.2726 * CHOOSE(CONTROL!$C$19, $C$13, 100%, $E$13)</f>
        <v>9.2726000000000006</v>
      </c>
      <c r="C650" s="60">
        <f>9.2726 * CHOOSE(CONTROL!$C$19, $C$13, 100%, $E$13)</f>
        <v>9.2726000000000006</v>
      </c>
      <c r="D650" s="60">
        <f>9.2894 * CHOOSE(CONTROL!$C$19, $C$13, 100%, $E$13)</f>
        <v>9.2894000000000005</v>
      </c>
      <c r="E650" s="61">
        <f>10.9066 * CHOOSE(CONTROL!$C$19, $C$13, 100%, $E$13)</f>
        <v>10.906599999999999</v>
      </c>
      <c r="F650" s="61">
        <f>10.9066 * CHOOSE(CONTROL!$C$19, $C$13, 100%, $E$13)</f>
        <v>10.906599999999999</v>
      </c>
      <c r="G650" s="61">
        <f>10.9067 * CHOOSE(CONTROL!$C$19, $C$13, 100%, $E$13)</f>
        <v>10.906700000000001</v>
      </c>
      <c r="H650" s="61">
        <f>15.3966* CHOOSE(CONTROL!$C$19, $C$13, 100%, $E$13)</f>
        <v>15.396599999999999</v>
      </c>
      <c r="I650" s="61">
        <f>15.3968 * CHOOSE(CONTROL!$C$19, $C$13, 100%, $E$13)</f>
        <v>15.396800000000001</v>
      </c>
      <c r="J650" s="61">
        <f>10.9066 * CHOOSE(CONTROL!$C$19, $C$13, 100%, $E$13)</f>
        <v>10.906599999999999</v>
      </c>
      <c r="K650" s="61">
        <f>10.9067 * CHOOSE(CONTROL!$C$19, $C$13, 100%, $E$13)</f>
        <v>10.906700000000001</v>
      </c>
    </row>
    <row r="651" spans="1:11" ht="15">
      <c r="A651" s="13">
        <v>61668</v>
      </c>
      <c r="B651" s="60">
        <f>9.2756 * CHOOSE(CONTROL!$C$19, $C$13, 100%, $E$13)</f>
        <v>9.2756000000000007</v>
      </c>
      <c r="C651" s="60">
        <f>9.2756 * CHOOSE(CONTROL!$C$19, $C$13, 100%, $E$13)</f>
        <v>9.2756000000000007</v>
      </c>
      <c r="D651" s="60">
        <f>9.2925 * CHOOSE(CONTROL!$C$19, $C$13, 100%, $E$13)</f>
        <v>9.2925000000000004</v>
      </c>
      <c r="E651" s="61">
        <f>10.945 * CHOOSE(CONTROL!$C$19, $C$13, 100%, $E$13)</f>
        <v>10.945</v>
      </c>
      <c r="F651" s="61">
        <f>10.945 * CHOOSE(CONTROL!$C$19, $C$13, 100%, $E$13)</f>
        <v>10.945</v>
      </c>
      <c r="G651" s="61">
        <f>10.9452 * CHOOSE(CONTROL!$C$19, $C$13, 100%, $E$13)</f>
        <v>10.9452</v>
      </c>
      <c r="H651" s="61">
        <f>15.4287* CHOOSE(CONTROL!$C$19, $C$13, 100%, $E$13)</f>
        <v>15.428699999999999</v>
      </c>
      <c r="I651" s="61">
        <f>15.4289 * CHOOSE(CONTROL!$C$19, $C$13, 100%, $E$13)</f>
        <v>15.428900000000001</v>
      </c>
      <c r="J651" s="61">
        <f>10.945 * CHOOSE(CONTROL!$C$19, $C$13, 100%, $E$13)</f>
        <v>10.945</v>
      </c>
      <c r="K651" s="61">
        <f>10.9452 * CHOOSE(CONTROL!$C$19, $C$13, 100%, $E$13)</f>
        <v>10.9452</v>
      </c>
    </row>
    <row r="652" spans="1:11" ht="15">
      <c r="A652" s="13">
        <v>61698</v>
      </c>
      <c r="B652" s="60">
        <f>9.2756 * CHOOSE(CONTROL!$C$19, $C$13, 100%, $E$13)</f>
        <v>9.2756000000000007</v>
      </c>
      <c r="C652" s="60">
        <f>9.2756 * CHOOSE(CONTROL!$C$19, $C$13, 100%, $E$13)</f>
        <v>9.2756000000000007</v>
      </c>
      <c r="D652" s="60">
        <f>9.2925 * CHOOSE(CONTROL!$C$19, $C$13, 100%, $E$13)</f>
        <v>9.2925000000000004</v>
      </c>
      <c r="E652" s="61">
        <f>10.8542 * CHOOSE(CONTROL!$C$19, $C$13, 100%, $E$13)</f>
        <v>10.854200000000001</v>
      </c>
      <c r="F652" s="61">
        <f>10.8542 * CHOOSE(CONTROL!$C$19, $C$13, 100%, $E$13)</f>
        <v>10.854200000000001</v>
      </c>
      <c r="G652" s="61">
        <f>10.8544 * CHOOSE(CONTROL!$C$19, $C$13, 100%, $E$13)</f>
        <v>10.8544</v>
      </c>
      <c r="H652" s="61">
        <f>15.4608* CHOOSE(CONTROL!$C$19, $C$13, 100%, $E$13)</f>
        <v>15.460800000000001</v>
      </c>
      <c r="I652" s="61">
        <f>15.461 * CHOOSE(CONTROL!$C$19, $C$13, 100%, $E$13)</f>
        <v>15.461</v>
      </c>
      <c r="J652" s="61">
        <f>10.8542 * CHOOSE(CONTROL!$C$19, $C$13, 100%, $E$13)</f>
        <v>10.854200000000001</v>
      </c>
      <c r="K652" s="61">
        <f>10.8544 * CHOOSE(CONTROL!$C$19, $C$13, 100%, $E$13)</f>
        <v>10.8544</v>
      </c>
    </row>
    <row r="653" spans="1:11" ht="15">
      <c r="A653" s="13">
        <v>61729</v>
      </c>
      <c r="B653" s="60">
        <f>9.3172 * CHOOSE(CONTROL!$C$19, $C$13, 100%, $E$13)</f>
        <v>9.3171999999999997</v>
      </c>
      <c r="C653" s="60">
        <f>9.3172 * CHOOSE(CONTROL!$C$19, $C$13, 100%, $E$13)</f>
        <v>9.3171999999999997</v>
      </c>
      <c r="D653" s="60">
        <f>9.334 * CHOOSE(CONTROL!$C$19, $C$13, 100%, $E$13)</f>
        <v>9.3339999999999996</v>
      </c>
      <c r="E653" s="61">
        <f>10.9737 * CHOOSE(CONTROL!$C$19, $C$13, 100%, $E$13)</f>
        <v>10.973699999999999</v>
      </c>
      <c r="F653" s="61">
        <f>10.9737 * CHOOSE(CONTROL!$C$19, $C$13, 100%, $E$13)</f>
        <v>10.973699999999999</v>
      </c>
      <c r="G653" s="61">
        <f>10.9738 * CHOOSE(CONTROL!$C$19, $C$13, 100%, $E$13)</f>
        <v>10.973800000000001</v>
      </c>
      <c r="H653" s="61">
        <f>15.4356* CHOOSE(CONTROL!$C$19, $C$13, 100%, $E$13)</f>
        <v>15.435600000000001</v>
      </c>
      <c r="I653" s="61">
        <f>15.4358 * CHOOSE(CONTROL!$C$19, $C$13, 100%, $E$13)</f>
        <v>15.4358</v>
      </c>
      <c r="J653" s="61">
        <f>10.9737 * CHOOSE(CONTROL!$C$19, $C$13, 100%, $E$13)</f>
        <v>10.973699999999999</v>
      </c>
      <c r="K653" s="61">
        <f>10.9738 * CHOOSE(CONTROL!$C$19, $C$13, 100%, $E$13)</f>
        <v>10.973800000000001</v>
      </c>
    </row>
    <row r="654" spans="1:11" ht="15">
      <c r="A654" s="13">
        <v>61760</v>
      </c>
      <c r="B654" s="60">
        <f>9.3141 * CHOOSE(CONTROL!$C$19, $C$13, 100%, $E$13)</f>
        <v>9.3140999999999998</v>
      </c>
      <c r="C654" s="60">
        <f>9.3141 * CHOOSE(CONTROL!$C$19, $C$13, 100%, $E$13)</f>
        <v>9.3140999999999998</v>
      </c>
      <c r="D654" s="60">
        <f>9.3309 * CHOOSE(CONTROL!$C$19, $C$13, 100%, $E$13)</f>
        <v>9.3308999999999997</v>
      </c>
      <c r="E654" s="61">
        <f>10.7954 * CHOOSE(CONTROL!$C$19, $C$13, 100%, $E$13)</f>
        <v>10.795400000000001</v>
      </c>
      <c r="F654" s="61">
        <f>10.7954 * CHOOSE(CONTROL!$C$19, $C$13, 100%, $E$13)</f>
        <v>10.795400000000001</v>
      </c>
      <c r="G654" s="61">
        <f>10.7956 * CHOOSE(CONTROL!$C$19, $C$13, 100%, $E$13)</f>
        <v>10.7956</v>
      </c>
      <c r="H654" s="61">
        <f>15.4677* CHOOSE(CONTROL!$C$19, $C$13, 100%, $E$13)</f>
        <v>15.467700000000001</v>
      </c>
      <c r="I654" s="61">
        <f>15.4679 * CHOOSE(CONTROL!$C$19, $C$13, 100%, $E$13)</f>
        <v>15.4679</v>
      </c>
      <c r="J654" s="61">
        <f>10.7954 * CHOOSE(CONTROL!$C$19, $C$13, 100%, $E$13)</f>
        <v>10.795400000000001</v>
      </c>
      <c r="K654" s="61">
        <f>10.7956 * CHOOSE(CONTROL!$C$19, $C$13, 100%, $E$13)</f>
        <v>10.7956</v>
      </c>
    </row>
    <row r="655" spans="1:11" ht="15">
      <c r="A655" s="13">
        <v>61788</v>
      </c>
      <c r="B655" s="60">
        <f>9.3111 * CHOOSE(CONTROL!$C$19, $C$13, 100%, $E$13)</f>
        <v>9.3110999999999997</v>
      </c>
      <c r="C655" s="60">
        <f>9.3111 * CHOOSE(CONTROL!$C$19, $C$13, 100%, $E$13)</f>
        <v>9.3110999999999997</v>
      </c>
      <c r="D655" s="60">
        <f>9.3279 * CHOOSE(CONTROL!$C$19, $C$13, 100%, $E$13)</f>
        <v>9.3278999999999996</v>
      </c>
      <c r="E655" s="61">
        <f>10.9321 * CHOOSE(CONTROL!$C$19, $C$13, 100%, $E$13)</f>
        <v>10.9321</v>
      </c>
      <c r="F655" s="61">
        <f>10.9321 * CHOOSE(CONTROL!$C$19, $C$13, 100%, $E$13)</f>
        <v>10.9321</v>
      </c>
      <c r="G655" s="61">
        <f>10.9323 * CHOOSE(CONTROL!$C$19, $C$13, 100%, $E$13)</f>
        <v>10.9323</v>
      </c>
      <c r="H655" s="61">
        <f>15.5* CHOOSE(CONTROL!$C$19, $C$13, 100%, $E$13)</f>
        <v>15.5</v>
      </c>
      <c r="I655" s="61">
        <f>15.5001 * CHOOSE(CONTROL!$C$19, $C$13, 100%, $E$13)</f>
        <v>15.5001</v>
      </c>
      <c r="J655" s="61">
        <f>10.9321 * CHOOSE(CONTROL!$C$19, $C$13, 100%, $E$13)</f>
        <v>10.9321</v>
      </c>
      <c r="K655" s="61">
        <f>10.9323 * CHOOSE(CONTROL!$C$19, $C$13, 100%, $E$13)</f>
        <v>10.9323</v>
      </c>
    </row>
    <row r="656" spans="1:11" ht="15">
      <c r="A656" s="13">
        <v>61819</v>
      </c>
      <c r="B656" s="60">
        <f>9.314 * CHOOSE(CONTROL!$C$19, $C$13, 100%, $E$13)</f>
        <v>9.3140000000000001</v>
      </c>
      <c r="C656" s="60">
        <f>9.314 * CHOOSE(CONTROL!$C$19, $C$13, 100%, $E$13)</f>
        <v>9.3140000000000001</v>
      </c>
      <c r="D656" s="60">
        <f>9.3308 * CHOOSE(CONTROL!$C$19, $C$13, 100%, $E$13)</f>
        <v>9.3308</v>
      </c>
      <c r="E656" s="61">
        <f>11.0771 * CHOOSE(CONTROL!$C$19, $C$13, 100%, $E$13)</f>
        <v>11.0771</v>
      </c>
      <c r="F656" s="61">
        <f>11.0771 * CHOOSE(CONTROL!$C$19, $C$13, 100%, $E$13)</f>
        <v>11.0771</v>
      </c>
      <c r="G656" s="61">
        <f>11.0772 * CHOOSE(CONTROL!$C$19, $C$13, 100%, $E$13)</f>
        <v>11.077199999999999</v>
      </c>
      <c r="H656" s="61">
        <f>15.5323* CHOOSE(CONTROL!$C$19, $C$13, 100%, $E$13)</f>
        <v>15.532299999999999</v>
      </c>
      <c r="I656" s="61">
        <f>15.5324 * CHOOSE(CONTROL!$C$19, $C$13, 100%, $E$13)</f>
        <v>15.532400000000001</v>
      </c>
      <c r="J656" s="61">
        <f>11.0771 * CHOOSE(CONTROL!$C$19, $C$13, 100%, $E$13)</f>
        <v>11.0771</v>
      </c>
      <c r="K656" s="61">
        <f>11.0772 * CHOOSE(CONTROL!$C$19, $C$13, 100%, $E$13)</f>
        <v>11.077199999999999</v>
      </c>
    </row>
    <row r="657" spans="1:11" ht="15">
      <c r="A657" s="13">
        <v>61849</v>
      </c>
      <c r="B657" s="60">
        <f>9.314 * CHOOSE(CONTROL!$C$19, $C$13, 100%, $E$13)</f>
        <v>9.3140000000000001</v>
      </c>
      <c r="C657" s="60">
        <f>9.314 * CHOOSE(CONTROL!$C$19, $C$13, 100%, $E$13)</f>
        <v>9.3140000000000001</v>
      </c>
      <c r="D657" s="60">
        <f>9.3476 * CHOOSE(CONTROL!$C$19, $C$13, 100%, $E$13)</f>
        <v>9.3475999999999999</v>
      </c>
      <c r="E657" s="61">
        <f>11.133 * CHOOSE(CONTROL!$C$19, $C$13, 100%, $E$13)</f>
        <v>11.132999999999999</v>
      </c>
      <c r="F657" s="61">
        <f>11.133 * CHOOSE(CONTROL!$C$19, $C$13, 100%, $E$13)</f>
        <v>11.132999999999999</v>
      </c>
      <c r="G657" s="61">
        <f>11.1351 * CHOOSE(CONTROL!$C$19, $C$13, 100%, $E$13)</f>
        <v>11.1351</v>
      </c>
      <c r="H657" s="61">
        <f>15.5646* CHOOSE(CONTROL!$C$19, $C$13, 100%, $E$13)</f>
        <v>15.5646</v>
      </c>
      <c r="I657" s="61">
        <f>15.5667 * CHOOSE(CONTROL!$C$19, $C$13, 100%, $E$13)</f>
        <v>15.566700000000001</v>
      </c>
      <c r="J657" s="61">
        <f>11.133 * CHOOSE(CONTROL!$C$19, $C$13, 100%, $E$13)</f>
        <v>11.132999999999999</v>
      </c>
      <c r="K657" s="61">
        <f>11.1351 * CHOOSE(CONTROL!$C$19, $C$13, 100%, $E$13)</f>
        <v>11.1351</v>
      </c>
    </row>
    <row r="658" spans="1:11" ht="15">
      <c r="A658" s="13">
        <v>61880</v>
      </c>
      <c r="B658" s="60">
        <f>9.3201 * CHOOSE(CONTROL!$C$19, $C$13, 100%, $E$13)</f>
        <v>9.3201000000000001</v>
      </c>
      <c r="C658" s="60">
        <f>9.3201 * CHOOSE(CONTROL!$C$19, $C$13, 100%, $E$13)</f>
        <v>9.3201000000000001</v>
      </c>
      <c r="D658" s="60">
        <f>9.3537 * CHOOSE(CONTROL!$C$19, $C$13, 100%, $E$13)</f>
        <v>9.3536999999999999</v>
      </c>
      <c r="E658" s="61">
        <f>11.0813 * CHOOSE(CONTROL!$C$19, $C$13, 100%, $E$13)</f>
        <v>11.081300000000001</v>
      </c>
      <c r="F658" s="61">
        <f>11.0813 * CHOOSE(CONTROL!$C$19, $C$13, 100%, $E$13)</f>
        <v>11.081300000000001</v>
      </c>
      <c r="G658" s="61">
        <f>11.0834 * CHOOSE(CONTROL!$C$19, $C$13, 100%, $E$13)</f>
        <v>11.083399999999999</v>
      </c>
      <c r="H658" s="61">
        <f>15.597* CHOOSE(CONTROL!$C$19, $C$13, 100%, $E$13)</f>
        <v>15.597</v>
      </c>
      <c r="I658" s="61">
        <f>15.5991 * CHOOSE(CONTROL!$C$19, $C$13, 100%, $E$13)</f>
        <v>15.5991</v>
      </c>
      <c r="J658" s="61">
        <f>11.0813 * CHOOSE(CONTROL!$C$19, $C$13, 100%, $E$13)</f>
        <v>11.081300000000001</v>
      </c>
      <c r="K658" s="61">
        <f>11.0834 * CHOOSE(CONTROL!$C$19, $C$13, 100%, $E$13)</f>
        <v>11.083399999999999</v>
      </c>
    </row>
    <row r="659" spans="1:11" ht="15">
      <c r="A659" s="13">
        <v>61910</v>
      </c>
      <c r="B659" s="60">
        <f>9.4532 * CHOOSE(CONTROL!$C$19, $C$13, 100%, $E$13)</f>
        <v>9.4532000000000007</v>
      </c>
      <c r="C659" s="60">
        <f>9.4532 * CHOOSE(CONTROL!$C$19, $C$13, 100%, $E$13)</f>
        <v>9.4532000000000007</v>
      </c>
      <c r="D659" s="60">
        <f>9.4869 * CHOOSE(CONTROL!$C$19, $C$13, 100%, $E$13)</f>
        <v>9.4869000000000003</v>
      </c>
      <c r="E659" s="61">
        <f>11.2856 * CHOOSE(CONTROL!$C$19, $C$13, 100%, $E$13)</f>
        <v>11.285600000000001</v>
      </c>
      <c r="F659" s="61">
        <f>11.2856 * CHOOSE(CONTROL!$C$19, $C$13, 100%, $E$13)</f>
        <v>11.285600000000001</v>
      </c>
      <c r="G659" s="61">
        <f>11.2877 * CHOOSE(CONTROL!$C$19, $C$13, 100%, $E$13)</f>
        <v>11.287699999999999</v>
      </c>
      <c r="H659" s="61">
        <f>15.6295* CHOOSE(CONTROL!$C$19, $C$13, 100%, $E$13)</f>
        <v>15.6295</v>
      </c>
      <c r="I659" s="61">
        <f>15.6316 * CHOOSE(CONTROL!$C$19, $C$13, 100%, $E$13)</f>
        <v>15.631600000000001</v>
      </c>
      <c r="J659" s="61">
        <f>11.2856 * CHOOSE(CONTROL!$C$19, $C$13, 100%, $E$13)</f>
        <v>11.285600000000001</v>
      </c>
      <c r="K659" s="61">
        <f>11.2877 * CHOOSE(CONTROL!$C$19, $C$13, 100%, $E$13)</f>
        <v>11.287699999999999</v>
      </c>
    </row>
    <row r="660" spans="1:11" ht="15">
      <c r="A660" s="13">
        <v>61941</v>
      </c>
      <c r="B660" s="60">
        <f>9.4599 * CHOOSE(CONTROL!$C$19, $C$13, 100%, $E$13)</f>
        <v>9.4598999999999993</v>
      </c>
      <c r="C660" s="60">
        <f>9.4599 * CHOOSE(CONTROL!$C$19, $C$13, 100%, $E$13)</f>
        <v>9.4598999999999993</v>
      </c>
      <c r="D660" s="60">
        <f>9.4935 * CHOOSE(CONTROL!$C$19, $C$13, 100%, $E$13)</f>
        <v>9.4934999999999992</v>
      </c>
      <c r="E660" s="61">
        <f>11.1224 * CHOOSE(CONTROL!$C$19, $C$13, 100%, $E$13)</f>
        <v>11.122400000000001</v>
      </c>
      <c r="F660" s="61">
        <f>11.1224 * CHOOSE(CONTROL!$C$19, $C$13, 100%, $E$13)</f>
        <v>11.122400000000001</v>
      </c>
      <c r="G660" s="61">
        <f>11.1245 * CHOOSE(CONTROL!$C$19, $C$13, 100%, $E$13)</f>
        <v>11.124499999999999</v>
      </c>
      <c r="H660" s="61">
        <f>15.6621* CHOOSE(CONTROL!$C$19, $C$13, 100%, $E$13)</f>
        <v>15.662100000000001</v>
      </c>
      <c r="I660" s="61">
        <f>15.6642 * CHOOSE(CONTROL!$C$19, $C$13, 100%, $E$13)</f>
        <v>15.664199999999999</v>
      </c>
      <c r="J660" s="61">
        <f>11.1224 * CHOOSE(CONTROL!$C$19, $C$13, 100%, $E$13)</f>
        <v>11.122400000000001</v>
      </c>
      <c r="K660" s="61">
        <f>11.1245 * CHOOSE(CONTROL!$C$19, $C$13, 100%, $E$13)</f>
        <v>11.124499999999999</v>
      </c>
    </row>
    <row r="661" spans="1:11" ht="15">
      <c r="A661" s="13">
        <v>61972</v>
      </c>
      <c r="B661" s="60">
        <f>9.4568 * CHOOSE(CONTROL!$C$19, $C$13, 100%, $E$13)</f>
        <v>9.4567999999999994</v>
      </c>
      <c r="C661" s="60">
        <f>9.4568 * CHOOSE(CONTROL!$C$19, $C$13, 100%, $E$13)</f>
        <v>9.4567999999999994</v>
      </c>
      <c r="D661" s="60">
        <f>9.4905 * CHOOSE(CONTROL!$C$19, $C$13, 100%, $E$13)</f>
        <v>9.4905000000000008</v>
      </c>
      <c r="E661" s="61">
        <f>11.1017 * CHOOSE(CONTROL!$C$19, $C$13, 100%, $E$13)</f>
        <v>11.101699999999999</v>
      </c>
      <c r="F661" s="61">
        <f>11.1017 * CHOOSE(CONTROL!$C$19, $C$13, 100%, $E$13)</f>
        <v>11.101699999999999</v>
      </c>
      <c r="G661" s="61">
        <f>11.1038 * CHOOSE(CONTROL!$C$19, $C$13, 100%, $E$13)</f>
        <v>11.1038</v>
      </c>
      <c r="H661" s="61">
        <f>15.6947* CHOOSE(CONTROL!$C$19, $C$13, 100%, $E$13)</f>
        <v>15.694699999999999</v>
      </c>
      <c r="I661" s="61">
        <f>15.6968 * CHOOSE(CONTROL!$C$19, $C$13, 100%, $E$13)</f>
        <v>15.6968</v>
      </c>
      <c r="J661" s="61">
        <f>11.1017 * CHOOSE(CONTROL!$C$19, $C$13, 100%, $E$13)</f>
        <v>11.101699999999999</v>
      </c>
      <c r="K661" s="61">
        <f>11.1038 * CHOOSE(CONTROL!$C$19, $C$13, 100%, $E$13)</f>
        <v>11.1038</v>
      </c>
    </row>
    <row r="662" spans="1:11" ht="15">
      <c r="A662" s="13">
        <v>62002</v>
      </c>
      <c r="B662" s="60">
        <f>9.4727 * CHOOSE(CONTROL!$C$19, $C$13, 100%, $E$13)</f>
        <v>9.4726999999999997</v>
      </c>
      <c r="C662" s="60">
        <f>9.4727 * CHOOSE(CONTROL!$C$19, $C$13, 100%, $E$13)</f>
        <v>9.4726999999999997</v>
      </c>
      <c r="D662" s="60">
        <f>9.4895 * CHOOSE(CONTROL!$C$19, $C$13, 100%, $E$13)</f>
        <v>9.4894999999999996</v>
      </c>
      <c r="E662" s="61">
        <f>11.1628 * CHOOSE(CONTROL!$C$19, $C$13, 100%, $E$13)</f>
        <v>11.162800000000001</v>
      </c>
      <c r="F662" s="61">
        <f>11.1628 * CHOOSE(CONTROL!$C$19, $C$13, 100%, $E$13)</f>
        <v>11.162800000000001</v>
      </c>
      <c r="G662" s="61">
        <f>11.163 * CHOOSE(CONTROL!$C$19, $C$13, 100%, $E$13)</f>
        <v>11.163</v>
      </c>
      <c r="H662" s="61">
        <f>15.7274* CHOOSE(CONTROL!$C$19, $C$13, 100%, $E$13)</f>
        <v>15.727399999999999</v>
      </c>
      <c r="I662" s="61">
        <f>15.7276 * CHOOSE(CONTROL!$C$19, $C$13, 100%, $E$13)</f>
        <v>15.727600000000001</v>
      </c>
      <c r="J662" s="61">
        <f>11.1628 * CHOOSE(CONTROL!$C$19, $C$13, 100%, $E$13)</f>
        <v>11.162800000000001</v>
      </c>
      <c r="K662" s="61">
        <f>11.163 * CHOOSE(CONTROL!$C$19, $C$13, 100%, $E$13)</f>
        <v>11.163</v>
      </c>
    </row>
    <row r="663" spans="1:11" ht="15">
      <c r="A663" s="13">
        <v>62033</v>
      </c>
      <c r="B663" s="60">
        <f>9.4757 * CHOOSE(CONTROL!$C$19, $C$13, 100%, $E$13)</f>
        <v>9.4756999999999998</v>
      </c>
      <c r="C663" s="60">
        <f>9.4757 * CHOOSE(CONTROL!$C$19, $C$13, 100%, $E$13)</f>
        <v>9.4756999999999998</v>
      </c>
      <c r="D663" s="60">
        <f>9.4925 * CHOOSE(CONTROL!$C$19, $C$13, 100%, $E$13)</f>
        <v>9.4924999999999997</v>
      </c>
      <c r="E663" s="61">
        <f>11.2022 * CHOOSE(CONTROL!$C$19, $C$13, 100%, $E$13)</f>
        <v>11.202199999999999</v>
      </c>
      <c r="F663" s="61">
        <f>11.2022 * CHOOSE(CONTROL!$C$19, $C$13, 100%, $E$13)</f>
        <v>11.202199999999999</v>
      </c>
      <c r="G663" s="61">
        <f>11.2024 * CHOOSE(CONTROL!$C$19, $C$13, 100%, $E$13)</f>
        <v>11.202400000000001</v>
      </c>
      <c r="H663" s="61">
        <f>15.7602* CHOOSE(CONTROL!$C$19, $C$13, 100%, $E$13)</f>
        <v>15.760199999999999</v>
      </c>
      <c r="I663" s="61">
        <f>15.7604 * CHOOSE(CONTROL!$C$19, $C$13, 100%, $E$13)</f>
        <v>15.760400000000001</v>
      </c>
      <c r="J663" s="61">
        <f>11.2022 * CHOOSE(CONTROL!$C$19, $C$13, 100%, $E$13)</f>
        <v>11.202199999999999</v>
      </c>
      <c r="K663" s="61">
        <f>11.2024 * CHOOSE(CONTROL!$C$19, $C$13, 100%, $E$13)</f>
        <v>11.202400000000001</v>
      </c>
    </row>
    <row r="664" spans="1:11" ht="15">
      <c r="A664" s="13">
        <v>62063</v>
      </c>
      <c r="B664" s="60">
        <f>9.4757 * CHOOSE(CONTROL!$C$19, $C$13, 100%, $E$13)</f>
        <v>9.4756999999999998</v>
      </c>
      <c r="C664" s="60">
        <f>9.4757 * CHOOSE(CONTROL!$C$19, $C$13, 100%, $E$13)</f>
        <v>9.4756999999999998</v>
      </c>
      <c r="D664" s="60">
        <f>9.4925 * CHOOSE(CONTROL!$C$19, $C$13, 100%, $E$13)</f>
        <v>9.4924999999999997</v>
      </c>
      <c r="E664" s="61">
        <f>11.109 * CHOOSE(CONTROL!$C$19, $C$13, 100%, $E$13)</f>
        <v>11.109</v>
      </c>
      <c r="F664" s="61">
        <f>11.109 * CHOOSE(CONTROL!$C$19, $C$13, 100%, $E$13)</f>
        <v>11.109</v>
      </c>
      <c r="G664" s="61">
        <f>11.1092 * CHOOSE(CONTROL!$C$19, $C$13, 100%, $E$13)</f>
        <v>11.1092</v>
      </c>
      <c r="H664" s="61">
        <f>15.793* CHOOSE(CONTROL!$C$19, $C$13, 100%, $E$13)</f>
        <v>15.792999999999999</v>
      </c>
      <c r="I664" s="61">
        <f>15.7932 * CHOOSE(CONTROL!$C$19, $C$13, 100%, $E$13)</f>
        <v>15.793200000000001</v>
      </c>
      <c r="J664" s="61">
        <f>11.109 * CHOOSE(CONTROL!$C$19, $C$13, 100%, $E$13)</f>
        <v>11.109</v>
      </c>
      <c r="K664" s="61">
        <f>11.1092 * CHOOSE(CONTROL!$C$19, $C$13, 100%, $E$13)</f>
        <v>11.1092</v>
      </c>
    </row>
    <row r="665" spans="1:11" ht="15">
      <c r="A665" s="13">
        <v>62094</v>
      </c>
      <c r="B665" s="60">
        <f>9.5138 * CHOOSE(CONTROL!$C$19, $C$13, 100%, $E$13)</f>
        <v>9.5137999999999998</v>
      </c>
      <c r="C665" s="60">
        <f>9.5138 * CHOOSE(CONTROL!$C$19, $C$13, 100%, $E$13)</f>
        <v>9.5137999999999998</v>
      </c>
      <c r="D665" s="60">
        <f>9.5306 * CHOOSE(CONTROL!$C$19, $C$13, 100%, $E$13)</f>
        <v>9.5305999999999997</v>
      </c>
      <c r="E665" s="61">
        <f>11.2255 * CHOOSE(CONTROL!$C$19, $C$13, 100%, $E$13)</f>
        <v>11.2255</v>
      </c>
      <c r="F665" s="61">
        <f>11.2255 * CHOOSE(CONTROL!$C$19, $C$13, 100%, $E$13)</f>
        <v>11.2255</v>
      </c>
      <c r="G665" s="61">
        <f>11.2257 * CHOOSE(CONTROL!$C$19, $C$13, 100%, $E$13)</f>
        <v>11.2257</v>
      </c>
      <c r="H665" s="61">
        <f>15.7602* CHOOSE(CONTROL!$C$19, $C$13, 100%, $E$13)</f>
        <v>15.760199999999999</v>
      </c>
      <c r="I665" s="61">
        <f>15.7604 * CHOOSE(CONTROL!$C$19, $C$13, 100%, $E$13)</f>
        <v>15.760400000000001</v>
      </c>
      <c r="J665" s="61">
        <f>11.2255 * CHOOSE(CONTROL!$C$19, $C$13, 100%, $E$13)</f>
        <v>11.2255</v>
      </c>
      <c r="K665" s="61">
        <f>11.2257 * CHOOSE(CONTROL!$C$19, $C$13, 100%, $E$13)</f>
        <v>11.2257</v>
      </c>
    </row>
    <row r="666" spans="1:11" ht="15">
      <c r="A666" s="13">
        <v>62125</v>
      </c>
      <c r="B666" s="60">
        <f>9.5107 * CHOOSE(CONTROL!$C$19, $C$13, 100%, $E$13)</f>
        <v>9.5106999999999999</v>
      </c>
      <c r="C666" s="60">
        <f>9.5107 * CHOOSE(CONTROL!$C$19, $C$13, 100%, $E$13)</f>
        <v>9.5106999999999999</v>
      </c>
      <c r="D666" s="60">
        <f>9.5276 * CHOOSE(CONTROL!$C$19, $C$13, 100%, $E$13)</f>
        <v>9.5275999999999996</v>
      </c>
      <c r="E666" s="61">
        <f>11.0428 * CHOOSE(CONTROL!$C$19, $C$13, 100%, $E$13)</f>
        <v>11.0428</v>
      </c>
      <c r="F666" s="61">
        <f>11.0428 * CHOOSE(CONTROL!$C$19, $C$13, 100%, $E$13)</f>
        <v>11.0428</v>
      </c>
      <c r="G666" s="61">
        <f>11.0429 * CHOOSE(CONTROL!$C$19, $C$13, 100%, $E$13)</f>
        <v>11.042899999999999</v>
      </c>
      <c r="H666" s="61">
        <f>15.7931* CHOOSE(CONTROL!$C$19, $C$13, 100%, $E$13)</f>
        <v>15.793100000000001</v>
      </c>
      <c r="I666" s="61">
        <f>15.7933 * CHOOSE(CONTROL!$C$19, $C$13, 100%, $E$13)</f>
        <v>15.7933</v>
      </c>
      <c r="J666" s="61">
        <f>11.0428 * CHOOSE(CONTROL!$C$19, $C$13, 100%, $E$13)</f>
        <v>11.0428</v>
      </c>
      <c r="K666" s="61">
        <f>11.0429 * CHOOSE(CONTROL!$C$19, $C$13, 100%, $E$13)</f>
        <v>11.042899999999999</v>
      </c>
    </row>
    <row r="667" spans="1:11" ht="15">
      <c r="A667" s="13">
        <v>62153</v>
      </c>
      <c r="B667" s="60">
        <f>9.5077 * CHOOSE(CONTROL!$C$19, $C$13, 100%, $E$13)</f>
        <v>9.5076999999999998</v>
      </c>
      <c r="C667" s="60">
        <f>9.5077 * CHOOSE(CONTROL!$C$19, $C$13, 100%, $E$13)</f>
        <v>9.5076999999999998</v>
      </c>
      <c r="D667" s="60">
        <f>9.5245 * CHOOSE(CONTROL!$C$19, $C$13, 100%, $E$13)</f>
        <v>9.5244999999999997</v>
      </c>
      <c r="E667" s="61">
        <f>11.183 * CHOOSE(CONTROL!$C$19, $C$13, 100%, $E$13)</f>
        <v>11.183</v>
      </c>
      <c r="F667" s="61">
        <f>11.183 * CHOOSE(CONTROL!$C$19, $C$13, 100%, $E$13)</f>
        <v>11.183</v>
      </c>
      <c r="G667" s="61">
        <f>11.1832 * CHOOSE(CONTROL!$C$19, $C$13, 100%, $E$13)</f>
        <v>11.183199999999999</v>
      </c>
      <c r="H667" s="61">
        <f>15.826* CHOOSE(CONTROL!$C$19, $C$13, 100%, $E$13)</f>
        <v>15.826000000000001</v>
      </c>
      <c r="I667" s="61">
        <f>15.8262 * CHOOSE(CONTROL!$C$19, $C$13, 100%, $E$13)</f>
        <v>15.8262</v>
      </c>
      <c r="J667" s="61">
        <f>11.183 * CHOOSE(CONTROL!$C$19, $C$13, 100%, $E$13)</f>
        <v>11.183</v>
      </c>
      <c r="K667" s="61">
        <f>11.1832 * CHOOSE(CONTROL!$C$19, $C$13, 100%, $E$13)</f>
        <v>11.183199999999999</v>
      </c>
    </row>
    <row r="668" spans="1:11" ht="15">
      <c r="A668" s="13">
        <v>62184</v>
      </c>
      <c r="B668" s="60">
        <f>9.5108 * CHOOSE(CONTROL!$C$19, $C$13, 100%, $E$13)</f>
        <v>9.5107999999999997</v>
      </c>
      <c r="C668" s="60">
        <f>9.5108 * CHOOSE(CONTROL!$C$19, $C$13, 100%, $E$13)</f>
        <v>9.5107999999999997</v>
      </c>
      <c r="D668" s="60">
        <f>9.5276 * CHOOSE(CONTROL!$C$19, $C$13, 100%, $E$13)</f>
        <v>9.5275999999999996</v>
      </c>
      <c r="E668" s="61">
        <f>11.3317 * CHOOSE(CONTROL!$C$19, $C$13, 100%, $E$13)</f>
        <v>11.3317</v>
      </c>
      <c r="F668" s="61">
        <f>11.3317 * CHOOSE(CONTROL!$C$19, $C$13, 100%, $E$13)</f>
        <v>11.3317</v>
      </c>
      <c r="G668" s="61">
        <f>11.3319 * CHOOSE(CONTROL!$C$19, $C$13, 100%, $E$13)</f>
        <v>11.331899999999999</v>
      </c>
      <c r="H668" s="61">
        <f>15.859* CHOOSE(CONTROL!$C$19, $C$13, 100%, $E$13)</f>
        <v>15.859</v>
      </c>
      <c r="I668" s="61">
        <f>15.8591 * CHOOSE(CONTROL!$C$19, $C$13, 100%, $E$13)</f>
        <v>15.8591</v>
      </c>
      <c r="J668" s="61">
        <f>11.3317 * CHOOSE(CONTROL!$C$19, $C$13, 100%, $E$13)</f>
        <v>11.3317</v>
      </c>
      <c r="K668" s="61">
        <f>11.3319 * CHOOSE(CONTROL!$C$19, $C$13, 100%, $E$13)</f>
        <v>11.331899999999999</v>
      </c>
    </row>
    <row r="669" spans="1:11" ht="15">
      <c r="A669" s="13">
        <v>62214</v>
      </c>
      <c r="B669" s="60">
        <f>9.5108 * CHOOSE(CONTROL!$C$19, $C$13, 100%, $E$13)</f>
        <v>9.5107999999999997</v>
      </c>
      <c r="C669" s="60">
        <f>9.5108 * CHOOSE(CONTROL!$C$19, $C$13, 100%, $E$13)</f>
        <v>9.5107999999999997</v>
      </c>
      <c r="D669" s="60">
        <f>9.5445 * CHOOSE(CONTROL!$C$19, $C$13, 100%, $E$13)</f>
        <v>9.5444999999999993</v>
      </c>
      <c r="E669" s="61">
        <f>11.3891 * CHOOSE(CONTROL!$C$19, $C$13, 100%, $E$13)</f>
        <v>11.389099999999999</v>
      </c>
      <c r="F669" s="61">
        <f>11.3891 * CHOOSE(CONTROL!$C$19, $C$13, 100%, $E$13)</f>
        <v>11.389099999999999</v>
      </c>
      <c r="G669" s="61">
        <f>11.3912 * CHOOSE(CONTROL!$C$19, $C$13, 100%, $E$13)</f>
        <v>11.3912</v>
      </c>
      <c r="H669" s="61">
        <f>15.892* CHOOSE(CONTROL!$C$19, $C$13, 100%, $E$13)</f>
        <v>15.891999999999999</v>
      </c>
      <c r="I669" s="61">
        <f>15.8941 * CHOOSE(CONTROL!$C$19, $C$13, 100%, $E$13)</f>
        <v>15.8941</v>
      </c>
      <c r="J669" s="61">
        <f>11.3891 * CHOOSE(CONTROL!$C$19, $C$13, 100%, $E$13)</f>
        <v>11.389099999999999</v>
      </c>
      <c r="K669" s="61">
        <f>11.3912 * CHOOSE(CONTROL!$C$19, $C$13, 100%, $E$13)</f>
        <v>11.3912</v>
      </c>
    </row>
    <row r="670" spans="1:11" ht="15">
      <c r="A670" s="13">
        <v>62245</v>
      </c>
      <c r="B670" s="60">
        <f>9.5169 * CHOOSE(CONTROL!$C$19, $C$13, 100%, $E$13)</f>
        <v>9.5168999999999997</v>
      </c>
      <c r="C670" s="60">
        <f>9.5169 * CHOOSE(CONTROL!$C$19, $C$13, 100%, $E$13)</f>
        <v>9.5168999999999997</v>
      </c>
      <c r="D670" s="60">
        <f>9.5505 * CHOOSE(CONTROL!$C$19, $C$13, 100%, $E$13)</f>
        <v>9.5504999999999995</v>
      </c>
      <c r="E670" s="61">
        <f>11.336 * CHOOSE(CONTROL!$C$19, $C$13, 100%, $E$13)</f>
        <v>11.336</v>
      </c>
      <c r="F670" s="61">
        <f>11.336 * CHOOSE(CONTROL!$C$19, $C$13, 100%, $E$13)</f>
        <v>11.336</v>
      </c>
      <c r="G670" s="61">
        <f>11.3381 * CHOOSE(CONTROL!$C$19, $C$13, 100%, $E$13)</f>
        <v>11.338100000000001</v>
      </c>
      <c r="H670" s="61">
        <f>15.9251* CHOOSE(CONTROL!$C$19, $C$13, 100%, $E$13)</f>
        <v>15.9251</v>
      </c>
      <c r="I670" s="61">
        <f>15.9272 * CHOOSE(CONTROL!$C$19, $C$13, 100%, $E$13)</f>
        <v>15.927199999999999</v>
      </c>
      <c r="J670" s="61">
        <f>11.336 * CHOOSE(CONTROL!$C$19, $C$13, 100%, $E$13)</f>
        <v>11.336</v>
      </c>
      <c r="K670" s="61">
        <f>11.3381 * CHOOSE(CONTROL!$C$19, $C$13, 100%, $E$13)</f>
        <v>11.338100000000001</v>
      </c>
    </row>
    <row r="671" spans="1:11" ht="15">
      <c r="A671" s="13">
        <v>62275</v>
      </c>
      <c r="B671" s="60">
        <f>9.6525 * CHOOSE(CONTROL!$C$19, $C$13, 100%, $E$13)</f>
        <v>9.6524999999999999</v>
      </c>
      <c r="C671" s="60">
        <f>9.6525 * CHOOSE(CONTROL!$C$19, $C$13, 100%, $E$13)</f>
        <v>9.6524999999999999</v>
      </c>
      <c r="D671" s="60">
        <f>9.6862 * CHOOSE(CONTROL!$C$19, $C$13, 100%, $E$13)</f>
        <v>9.6861999999999995</v>
      </c>
      <c r="E671" s="61">
        <f>11.5447 * CHOOSE(CONTROL!$C$19, $C$13, 100%, $E$13)</f>
        <v>11.544700000000001</v>
      </c>
      <c r="F671" s="61">
        <f>11.5447 * CHOOSE(CONTROL!$C$19, $C$13, 100%, $E$13)</f>
        <v>11.544700000000001</v>
      </c>
      <c r="G671" s="61">
        <f>11.5468 * CHOOSE(CONTROL!$C$19, $C$13, 100%, $E$13)</f>
        <v>11.546799999999999</v>
      </c>
      <c r="H671" s="61">
        <f>15.9583* CHOOSE(CONTROL!$C$19, $C$13, 100%, $E$13)</f>
        <v>15.958299999999999</v>
      </c>
      <c r="I671" s="61">
        <f>15.9604 * CHOOSE(CONTROL!$C$19, $C$13, 100%, $E$13)</f>
        <v>15.9604</v>
      </c>
      <c r="J671" s="61">
        <f>11.5447 * CHOOSE(CONTROL!$C$19, $C$13, 100%, $E$13)</f>
        <v>11.544700000000001</v>
      </c>
      <c r="K671" s="61">
        <f>11.5468 * CHOOSE(CONTROL!$C$19, $C$13, 100%, $E$13)</f>
        <v>11.546799999999999</v>
      </c>
    </row>
    <row r="672" spans="1:11" ht="15">
      <c r="A672" s="13">
        <v>62306</v>
      </c>
      <c r="B672" s="60">
        <f>9.6592 * CHOOSE(CONTROL!$C$19, $C$13, 100%, $E$13)</f>
        <v>9.6592000000000002</v>
      </c>
      <c r="C672" s="60">
        <f>9.6592 * CHOOSE(CONTROL!$C$19, $C$13, 100%, $E$13)</f>
        <v>9.6592000000000002</v>
      </c>
      <c r="D672" s="60">
        <f>9.6929 * CHOOSE(CONTROL!$C$19, $C$13, 100%, $E$13)</f>
        <v>9.6928999999999998</v>
      </c>
      <c r="E672" s="61">
        <f>11.3773 * CHOOSE(CONTROL!$C$19, $C$13, 100%, $E$13)</f>
        <v>11.3773</v>
      </c>
      <c r="F672" s="61">
        <f>11.3773 * CHOOSE(CONTROL!$C$19, $C$13, 100%, $E$13)</f>
        <v>11.3773</v>
      </c>
      <c r="G672" s="61">
        <f>11.3794 * CHOOSE(CONTROL!$C$19, $C$13, 100%, $E$13)</f>
        <v>11.3794</v>
      </c>
      <c r="H672" s="61">
        <f>15.9915* CHOOSE(CONTROL!$C$19, $C$13, 100%, $E$13)</f>
        <v>15.9915</v>
      </c>
      <c r="I672" s="61">
        <f>15.9936 * CHOOSE(CONTROL!$C$19, $C$13, 100%, $E$13)</f>
        <v>15.993600000000001</v>
      </c>
      <c r="J672" s="61">
        <f>11.3773 * CHOOSE(CONTROL!$C$19, $C$13, 100%, $E$13)</f>
        <v>11.3773</v>
      </c>
      <c r="K672" s="61">
        <f>11.3794 * CHOOSE(CONTROL!$C$19, $C$13, 100%, $E$13)</f>
        <v>11.3794</v>
      </c>
    </row>
    <row r="673" spans="1:11" ht="15">
      <c r="A673" s="13">
        <v>62337</v>
      </c>
      <c r="B673" s="60">
        <f>9.6562 * CHOOSE(CONTROL!$C$19, $C$13, 100%, $E$13)</f>
        <v>9.6562000000000001</v>
      </c>
      <c r="C673" s="60">
        <f>9.6562 * CHOOSE(CONTROL!$C$19, $C$13, 100%, $E$13)</f>
        <v>9.6562000000000001</v>
      </c>
      <c r="D673" s="60">
        <f>9.6898 * CHOOSE(CONTROL!$C$19, $C$13, 100%, $E$13)</f>
        <v>9.6898</v>
      </c>
      <c r="E673" s="61">
        <f>11.356 * CHOOSE(CONTROL!$C$19, $C$13, 100%, $E$13)</f>
        <v>11.356</v>
      </c>
      <c r="F673" s="61">
        <f>11.356 * CHOOSE(CONTROL!$C$19, $C$13, 100%, $E$13)</f>
        <v>11.356</v>
      </c>
      <c r="G673" s="61">
        <f>11.3581 * CHOOSE(CONTROL!$C$19, $C$13, 100%, $E$13)</f>
        <v>11.3581</v>
      </c>
      <c r="H673" s="61">
        <f>16.0248* CHOOSE(CONTROL!$C$19, $C$13, 100%, $E$13)</f>
        <v>16.024799999999999</v>
      </c>
      <c r="I673" s="61">
        <f>16.0269 * CHOOSE(CONTROL!$C$19, $C$13, 100%, $E$13)</f>
        <v>16.026900000000001</v>
      </c>
      <c r="J673" s="61">
        <f>11.356 * CHOOSE(CONTROL!$C$19, $C$13, 100%, $E$13)</f>
        <v>11.356</v>
      </c>
      <c r="K673" s="61">
        <f>11.3581 * CHOOSE(CONTROL!$C$19, $C$13, 100%, $E$13)</f>
        <v>11.3581</v>
      </c>
    </row>
    <row r="674" spans="1:11" ht="15">
      <c r="A674" s="13">
        <v>62367</v>
      </c>
      <c r="B674" s="60">
        <f>9.6727 * CHOOSE(CONTROL!$C$19, $C$13, 100%, $E$13)</f>
        <v>9.6727000000000007</v>
      </c>
      <c r="C674" s="60">
        <f>9.6727 * CHOOSE(CONTROL!$C$19, $C$13, 100%, $E$13)</f>
        <v>9.6727000000000007</v>
      </c>
      <c r="D674" s="60">
        <f>9.6896 * CHOOSE(CONTROL!$C$19, $C$13, 100%, $E$13)</f>
        <v>9.6896000000000004</v>
      </c>
      <c r="E674" s="61">
        <f>11.4191 * CHOOSE(CONTROL!$C$19, $C$13, 100%, $E$13)</f>
        <v>11.4191</v>
      </c>
      <c r="F674" s="61">
        <f>11.4191 * CHOOSE(CONTROL!$C$19, $C$13, 100%, $E$13)</f>
        <v>11.4191</v>
      </c>
      <c r="G674" s="61">
        <f>11.4193 * CHOOSE(CONTROL!$C$19, $C$13, 100%, $E$13)</f>
        <v>11.4193</v>
      </c>
      <c r="H674" s="61">
        <f>16.0582* CHOOSE(CONTROL!$C$19, $C$13, 100%, $E$13)</f>
        <v>16.058199999999999</v>
      </c>
      <c r="I674" s="61">
        <f>16.0584 * CHOOSE(CONTROL!$C$19, $C$13, 100%, $E$13)</f>
        <v>16.058399999999999</v>
      </c>
      <c r="J674" s="61">
        <f>11.4191 * CHOOSE(CONTROL!$C$19, $C$13, 100%, $E$13)</f>
        <v>11.4191</v>
      </c>
      <c r="K674" s="61">
        <f>11.4193 * CHOOSE(CONTROL!$C$19, $C$13, 100%, $E$13)</f>
        <v>11.4193</v>
      </c>
    </row>
    <row r="675" spans="1:11" ht="15">
      <c r="A675" s="13">
        <v>62398</v>
      </c>
      <c r="B675" s="60">
        <f>9.6758 * CHOOSE(CONTROL!$C$19, $C$13, 100%, $E$13)</f>
        <v>9.6758000000000006</v>
      </c>
      <c r="C675" s="60">
        <f>9.6758 * CHOOSE(CONTROL!$C$19, $C$13, 100%, $E$13)</f>
        <v>9.6758000000000006</v>
      </c>
      <c r="D675" s="60">
        <f>9.6926 * CHOOSE(CONTROL!$C$19, $C$13, 100%, $E$13)</f>
        <v>9.6926000000000005</v>
      </c>
      <c r="E675" s="61">
        <f>11.4594 * CHOOSE(CONTROL!$C$19, $C$13, 100%, $E$13)</f>
        <v>11.4594</v>
      </c>
      <c r="F675" s="61">
        <f>11.4594 * CHOOSE(CONTROL!$C$19, $C$13, 100%, $E$13)</f>
        <v>11.4594</v>
      </c>
      <c r="G675" s="61">
        <f>11.4596 * CHOOSE(CONTROL!$C$19, $C$13, 100%, $E$13)</f>
        <v>11.4596</v>
      </c>
      <c r="H675" s="61">
        <f>16.0917* CHOOSE(CONTROL!$C$19, $C$13, 100%, $E$13)</f>
        <v>16.091699999999999</v>
      </c>
      <c r="I675" s="61">
        <f>16.0919 * CHOOSE(CONTROL!$C$19, $C$13, 100%, $E$13)</f>
        <v>16.091899999999999</v>
      </c>
      <c r="J675" s="61">
        <f>11.4594 * CHOOSE(CONTROL!$C$19, $C$13, 100%, $E$13)</f>
        <v>11.4594</v>
      </c>
      <c r="K675" s="61">
        <f>11.4596 * CHOOSE(CONTROL!$C$19, $C$13, 100%, $E$13)</f>
        <v>11.4596</v>
      </c>
    </row>
    <row r="676" spans="1:11" ht="15">
      <c r="A676" s="13">
        <v>62428</v>
      </c>
      <c r="B676" s="60">
        <f>9.6758 * CHOOSE(CONTROL!$C$19, $C$13, 100%, $E$13)</f>
        <v>9.6758000000000006</v>
      </c>
      <c r="C676" s="60">
        <f>9.6758 * CHOOSE(CONTROL!$C$19, $C$13, 100%, $E$13)</f>
        <v>9.6758000000000006</v>
      </c>
      <c r="D676" s="60">
        <f>9.6926 * CHOOSE(CONTROL!$C$19, $C$13, 100%, $E$13)</f>
        <v>9.6926000000000005</v>
      </c>
      <c r="E676" s="61">
        <f>11.3639 * CHOOSE(CONTROL!$C$19, $C$13, 100%, $E$13)</f>
        <v>11.363899999999999</v>
      </c>
      <c r="F676" s="61">
        <f>11.3639 * CHOOSE(CONTROL!$C$19, $C$13, 100%, $E$13)</f>
        <v>11.363899999999999</v>
      </c>
      <c r="G676" s="61">
        <f>11.364 * CHOOSE(CONTROL!$C$19, $C$13, 100%, $E$13)</f>
        <v>11.364000000000001</v>
      </c>
      <c r="H676" s="61">
        <f>16.1252* CHOOSE(CONTROL!$C$19, $C$13, 100%, $E$13)</f>
        <v>16.1252</v>
      </c>
      <c r="I676" s="61">
        <f>16.1254 * CHOOSE(CONTROL!$C$19, $C$13, 100%, $E$13)</f>
        <v>16.125399999999999</v>
      </c>
      <c r="J676" s="61">
        <f>11.3639 * CHOOSE(CONTROL!$C$19, $C$13, 100%, $E$13)</f>
        <v>11.363899999999999</v>
      </c>
      <c r="K676" s="61">
        <f>11.364 * CHOOSE(CONTROL!$C$19, $C$13, 100%, $E$13)</f>
        <v>11.364000000000001</v>
      </c>
    </row>
    <row r="677" spans="1:11" ht="15">
      <c r="A677" s="13">
        <v>62459</v>
      </c>
      <c r="B677" s="60">
        <f>9.7104 * CHOOSE(CONTROL!$C$19, $C$13, 100%, $E$13)</f>
        <v>9.7103999999999999</v>
      </c>
      <c r="C677" s="60">
        <f>9.7104 * CHOOSE(CONTROL!$C$19, $C$13, 100%, $E$13)</f>
        <v>9.7103999999999999</v>
      </c>
      <c r="D677" s="60">
        <f>9.7272 * CHOOSE(CONTROL!$C$19, $C$13, 100%, $E$13)</f>
        <v>9.7271999999999998</v>
      </c>
      <c r="E677" s="61">
        <f>11.4773 * CHOOSE(CONTROL!$C$19, $C$13, 100%, $E$13)</f>
        <v>11.4773</v>
      </c>
      <c r="F677" s="61">
        <f>11.4773 * CHOOSE(CONTROL!$C$19, $C$13, 100%, $E$13)</f>
        <v>11.4773</v>
      </c>
      <c r="G677" s="61">
        <f>11.4775 * CHOOSE(CONTROL!$C$19, $C$13, 100%, $E$13)</f>
        <v>11.477499999999999</v>
      </c>
      <c r="H677" s="61">
        <f>16.0849* CHOOSE(CONTROL!$C$19, $C$13, 100%, $E$13)</f>
        <v>16.084900000000001</v>
      </c>
      <c r="I677" s="61">
        <f>16.0851 * CHOOSE(CONTROL!$C$19, $C$13, 100%, $E$13)</f>
        <v>16.085100000000001</v>
      </c>
      <c r="J677" s="61">
        <f>11.4773 * CHOOSE(CONTROL!$C$19, $C$13, 100%, $E$13)</f>
        <v>11.4773</v>
      </c>
      <c r="K677" s="61">
        <f>11.4775 * CHOOSE(CONTROL!$C$19, $C$13, 100%, $E$13)</f>
        <v>11.477499999999999</v>
      </c>
    </row>
    <row r="678" spans="1:11" ht="15">
      <c r="A678" s="13">
        <v>62490</v>
      </c>
      <c r="B678" s="60">
        <f>9.7074 * CHOOSE(CONTROL!$C$19, $C$13, 100%, $E$13)</f>
        <v>9.7073999999999998</v>
      </c>
      <c r="C678" s="60">
        <f>9.7074 * CHOOSE(CONTROL!$C$19, $C$13, 100%, $E$13)</f>
        <v>9.7073999999999998</v>
      </c>
      <c r="D678" s="60">
        <f>9.7242 * CHOOSE(CONTROL!$C$19, $C$13, 100%, $E$13)</f>
        <v>9.7241999999999997</v>
      </c>
      <c r="E678" s="61">
        <f>11.2901 * CHOOSE(CONTROL!$C$19, $C$13, 100%, $E$13)</f>
        <v>11.290100000000001</v>
      </c>
      <c r="F678" s="61">
        <f>11.2901 * CHOOSE(CONTROL!$C$19, $C$13, 100%, $E$13)</f>
        <v>11.290100000000001</v>
      </c>
      <c r="G678" s="61">
        <f>11.2903 * CHOOSE(CONTROL!$C$19, $C$13, 100%, $E$13)</f>
        <v>11.2903</v>
      </c>
      <c r="H678" s="61">
        <f>16.1184* CHOOSE(CONTROL!$C$19, $C$13, 100%, $E$13)</f>
        <v>16.118400000000001</v>
      </c>
      <c r="I678" s="61">
        <f>16.1186 * CHOOSE(CONTROL!$C$19, $C$13, 100%, $E$13)</f>
        <v>16.118600000000001</v>
      </c>
      <c r="J678" s="61">
        <f>11.2901 * CHOOSE(CONTROL!$C$19, $C$13, 100%, $E$13)</f>
        <v>11.290100000000001</v>
      </c>
      <c r="K678" s="61">
        <f>11.2903 * CHOOSE(CONTROL!$C$19, $C$13, 100%, $E$13)</f>
        <v>11.2903</v>
      </c>
    </row>
    <row r="679" spans="1:11" ht="15">
      <c r="A679" s="13">
        <v>62518</v>
      </c>
      <c r="B679" s="60">
        <f>9.7043 * CHOOSE(CONTROL!$C$19, $C$13, 100%, $E$13)</f>
        <v>9.7042999999999999</v>
      </c>
      <c r="C679" s="60">
        <f>9.7043 * CHOOSE(CONTROL!$C$19, $C$13, 100%, $E$13)</f>
        <v>9.7042999999999999</v>
      </c>
      <c r="D679" s="60">
        <f>9.7211 * CHOOSE(CONTROL!$C$19, $C$13, 100%, $E$13)</f>
        <v>9.7210999999999999</v>
      </c>
      <c r="E679" s="61">
        <f>11.4339 * CHOOSE(CONTROL!$C$19, $C$13, 100%, $E$13)</f>
        <v>11.4339</v>
      </c>
      <c r="F679" s="61">
        <f>11.4339 * CHOOSE(CONTROL!$C$19, $C$13, 100%, $E$13)</f>
        <v>11.4339</v>
      </c>
      <c r="G679" s="61">
        <f>11.4341 * CHOOSE(CONTROL!$C$19, $C$13, 100%, $E$13)</f>
        <v>11.434100000000001</v>
      </c>
      <c r="H679" s="61">
        <f>16.152* CHOOSE(CONTROL!$C$19, $C$13, 100%, $E$13)</f>
        <v>16.152000000000001</v>
      </c>
      <c r="I679" s="61">
        <f>16.1522 * CHOOSE(CONTROL!$C$19, $C$13, 100%, $E$13)</f>
        <v>16.152200000000001</v>
      </c>
      <c r="J679" s="61">
        <f>11.4339 * CHOOSE(CONTROL!$C$19, $C$13, 100%, $E$13)</f>
        <v>11.4339</v>
      </c>
      <c r="K679" s="61">
        <f>11.4341 * CHOOSE(CONTROL!$C$19, $C$13, 100%, $E$13)</f>
        <v>11.434100000000001</v>
      </c>
    </row>
    <row r="680" spans="1:11" ht="15">
      <c r="A680" s="13">
        <v>62549</v>
      </c>
      <c r="B680" s="60">
        <f>9.7076 * CHOOSE(CONTROL!$C$19, $C$13, 100%, $E$13)</f>
        <v>9.7075999999999993</v>
      </c>
      <c r="C680" s="60">
        <f>9.7076 * CHOOSE(CONTROL!$C$19, $C$13, 100%, $E$13)</f>
        <v>9.7075999999999993</v>
      </c>
      <c r="D680" s="60">
        <f>9.7244 * CHOOSE(CONTROL!$C$19, $C$13, 100%, $E$13)</f>
        <v>9.7243999999999993</v>
      </c>
      <c r="E680" s="61">
        <f>11.5864 * CHOOSE(CONTROL!$C$19, $C$13, 100%, $E$13)</f>
        <v>11.586399999999999</v>
      </c>
      <c r="F680" s="61">
        <f>11.5864 * CHOOSE(CONTROL!$C$19, $C$13, 100%, $E$13)</f>
        <v>11.586399999999999</v>
      </c>
      <c r="G680" s="61">
        <f>11.5866 * CHOOSE(CONTROL!$C$19, $C$13, 100%, $E$13)</f>
        <v>11.586600000000001</v>
      </c>
      <c r="H680" s="61">
        <f>16.1856* CHOOSE(CONTROL!$C$19, $C$13, 100%, $E$13)</f>
        <v>16.185600000000001</v>
      </c>
      <c r="I680" s="61">
        <f>16.1858 * CHOOSE(CONTROL!$C$19, $C$13, 100%, $E$13)</f>
        <v>16.1858</v>
      </c>
      <c r="J680" s="61">
        <f>11.5864 * CHOOSE(CONTROL!$C$19, $C$13, 100%, $E$13)</f>
        <v>11.586399999999999</v>
      </c>
      <c r="K680" s="61">
        <f>11.5866 * CHOOSE(CONTROL!$C$19, $C$13, 100%, $E$13)</f>
        <v>11.586600000000001</v>
      </c>
    </row>
    <row r="681" spans="1:11" ht="15">
      <c r="A681" s="13">
        <v>62579</v>
      </c>
      <c r="B681" s="60">
        <f>9.7076 * CHOOSE(CONTROL!$C$19, $C$13, 100%, $E$13)</f>
        <v>9.7075999999999993</v>
      </c>
      <c r="C681" s="60">
        <f>9.7076 * CHOOSE(CONTROL!$C$19, $C$13, 100%, $E$13)</f>
        <v>9.7075999999999993</v>
      </c>
      <c r="D681" s="60">
        <f>9.7413 * CHOOSE(CONTROL!$C$19, $C$13, 100%, $E$13)</f>
        <v>9.7413000000000007</v>
      </c>
      <c r="E681" s="61">
        <f>11.6452 * CHOOSE(CONTROL!$C$19, $C$13, 100%, $E$13)</f>
        <v>11.645200000000001</v>
      </c>
      <c r="F681" s="61">
        <f>11.6452 * CHOOSE(CONTROL!$C$19, $C$13, 100%, $E$13)</f>
        <v>11.645200000000001</v>
      </c>
      <c r="G681" s="61">
        <f>11.6473 * CHOOSE(CONTROL!$C$19, $C$13, 100%, $E$13)</f>
        <v>11.6473</v>
      </c>
      <c r="H681" s="61">
        <f>16.2194* CHOOSE(CONTROL!$C$19, $C$13, 100%, $E$13)</f>
        <v>16.2194</v>
      </c>
      <c r="I681" s="61">
        <f>16.2215 * CHOOSE(CONTROL!$C$19, $C$13, 100%, $E$13)</f>
        <v>16.221499999999999</v>
      </c>
      <c r="J681" s="61">
        <f>11.6452 * CHOOSE(CONTROL!$C$19, $C$13, 100%, $E$13)</f>
        <v>11.645200000000001</v>
      </c>
      <c r="K681" s="61">
        <f>11.6473 * CHOOSE(CONTROL!$C$19, $C$13, 100%, $E$13)</f>
        <v>11.6473</v>
      </c>
    </row>
    <row r="682" spans="1:11" ht="15">
      <c r="A682" s="13">
        <v>62610</v>
      </c>
      <c r="B682" s="60">
        <f>9.7137 * CHOOSE(CONTROL!$C$19, $C$13, 100%, $E$13)</f>
        <v>9.7136999999999993</v>
      </c>
      <c r="C682" s="60">
        <f>9.7137 * CHOOSE(CONTROL!$C$19, $C$13, 100%, $E$13)</f>
        <v>9.7136999999999993</v>
      </c>
      <c r="D682" s="60">
        <f>9.7473 * CHOOSE(CONTROL!$C$19, $C$13, 100%, $E$13)</f>
        <v>9.7472999999999992</v>
      </c>
      <c r="E682" s="61">
        <f>11.5907 * CHOOSE(CONTROL!$C$19, $C$13, 100%, $E$13)</f>
        <v>11.5907</v>
      </c>
      <c r="F682" s="61">
        <f>11.5907 * CHOOSE(CONTROL!$C$19, $C$13, 100%, $E$13)</f>
        <v>11.5907</v>
      </c>
      <c r="G682" s="61">
        <f>11.5927 * CHOOSE(CONTROL!$C$19, $C$13, 100%, $E$13)</f>
        <v>11.592700000000001</v>
      </c>
      <c r="H682" s="61">
        <f>16.2532* CHOOSE(CONTROL!$C$19, $C$13, 100%, $E$13)</f>
        <v>16.2532</v>
      </c>
      <c r="I682" s="61">
        <f>16.2552 * CHOOSE(CONTROL!$C$19, $C$13, 100%, $E$13)</f>
        <v>16.255199999999999</v>
      </c>
      <c r="J682" s="61">
        <f>11.5907 * CHOOSE(CONTROL!$C$19, $C$13, 100%, $E$13)</f>
        <v>11.5907</v>
      </c>
      <c r="K682" s="61">
        <f>11.5927 * CHOOSE(CONTROL!$C$19, $C$13, 100%, $E$13)</f>
        <v>11.592700000000001</v>
      </c>
    </row>
    <row r="683" spans="1:11" ht="15">
      <c r="A683" s="13">
        <v>62640</v>
      </c>
      <c r="B683" s="60">
        <f>9.8518 * CHOOSE(CONTROL!$C$19, $C$13, 100%, $E$13)</f>
        <v>9.8518000000000008</v>
      </c>
      <c r="C683" s="60">
        <f>9.8518 * CHOOSE(CONTROL!$C$19, $C$13, 100%, $E$13)</f>
        <v>9.8518000000000008</v>
      </c>
      <c r="D683" s="60">
        <f>9.8855 * CHOOSE(CONTROL!$C$19, $C$13, 100%, $E$13)</f>
        <v>9.8855000000000004</v>
      </c>
      <c r="E683" s="61">
        <f>11.8038 * CHOOSE(CONTROL!$C$19, $C$13, 100%, $E$13)</f>
        <v>11.803800000000001</v>
      </c>
      <c r="F683" s="61">
        <f>11.8038 * CHOOSE(CONTROL!$C$19, $C$13, 100%, $E$13)</f>
        <v>11.803800000000001</v>
      </c>
      <c r="G683" s="61">
        <f>11.8059 * CHOOSE(CONTROL!$C$19, $C$13, 100%, $E$13)</f>
        <v>11.805899999999999</v>
      </c>
      <c r="H683" s="61">
        <f>16.287* CHOOSE(CONTROL!$C$19, $C$13, 100%, $E$13)</f>
        <v>16.286999999999999</v>
      </c>
      <c r="I683" s="61">
        <f>16.2891 * CHOOSE(CONTROL!$C$19, $C$13, 100%, $E$13)</f>
        <v>16.289100000000001</v>
      </c>
      <c r="J683" s="61">
        <f>11.8038 * CHOOSE(CONTROL!$C$19, $C$13, 100%, $E$13)</f>
        <v>11.803800000000001</v>
      </c>
      <c r="K683" s="61">
        <f>11.8059 * CHOOSE(CONTROL!$C$19, $C$13, 100%, $E$13)</f>
        <v>11.805899999999999</v>
      </c>
    </row>
    <row r="684" spans="1:11" ht="15">
      <c r="A684" s="13">
        <v>62671</v>
      </c>
      <c r="B684" s="60">
        <f>9.8585 * CHOOSE(CONTROL!$C$19, $C$13, 100%, $E$13)</f>
        <v>9.8584999999999994</v>
      </c>
      <c r="C684" s="60">
        <f>9.8585 * CHOOSE(CONTROL!$C$19, $C$13, 100%, $E$13)</f>
        <v>9.8584999999999994</v>
      </c>
      <c r="D684" s="60">
        <f>9.8922 * CHOOSE(CONTROL!$C$19, $C$13, 100%, $E$13)</f>
        <v>9.8922000000000008</v>
      </c>
      <c r="E684" s="61">
        <f>11.6321 * CHOOSE(CONTROL!$C$19, $C$13, 100%, $E$13)</f>
        <v>11.632099999999999</v>
      </c>
      <c r="F684" s="61">
        <f>11.6321 * CHOOSE(CONTROL!$C$19, $C$13, 100%, $E$13)</f>
        <v>11.632099999999999</v>
      </c>
      <c r="G684" s="61">
        <f>11.6342 * CHOOSE(CONTROL!$C$19, $C$13, 100%, $E$13)</f>
        <v>11.6342</v>
      </c>
      <c r="H684" s="61">
        <f>16.3209* CHOOSE(CONTROL!$C$19, $C$13, 100%, $E$13)</f>
        <v>16.320900000000002</v>
      </c>
      <c r="I684" s="61">
        <f>16.323 * CHOOSE(CONTROL!$C$19, $C$13, 100%, $E$13)</f>
        <v>16.323</v>
      </c>
      <c r="J684" s="61">
        <f>11.6321 * CHOOSE(CONTROL!$C$19, $C$13, 100%, $E$13)</f>
        <v>11.632099999999999</v>
      </c>
      <c r="K684" s="61">
        <f>11.6342 * CHOOSE(CONTROL!$C$19, $C$13, 100%, $E$13)</f>
        <v>11.6342</v>
      </c>
    </row>
    <row r="685" spans="1:11" ht="15">
      <c r="A685" s="13">
        <v>62702</v>
      </c>
      <c r="B685" s="60">
        <f>9.8555 * CHOOSE(CONTROL!$C$19, $C$13, 100%, $E$13)</f>
        <v>9.8554999999999993</v>
      </c>
      <c r="C685" s="60">
        <f>9.8555 * CHOOSE(CONTROL!$C$19, $C$13, 100%, $E$13)</f>
        <v>9.8554999999999993</v>
      </c>
      <c r="D685" s="60">
        <f>9.8891 * CHOOSE(CONTROL!$C$19, $C$13, 100%, $E$13)</f>
        <v>9.8890999999999991</v>
      </c>
      <c r="E685" s="61">
        <f>11.6104 * CHOOSE(CONTROL!$C$19, $C$13, 100%, $E$13)</f>
        <v>11.6104</v>
      </c>
      <c r="F685" s="61">
        <f>11.6104 * CHOOSE(CONTROL!$C$19, $C$13, 100%, $E$13)</f>
        <v>11.6104</v>
      </c>
      <c r="G685" s="61">
        <f>11.6125 * CHOOSE(CONTROL!$C$19, $C$13, 100%, $E$13)</f>
        <v>11.612500000000001</v>
      </c>
      <c r="H685" s="61">
        <f>16.3549* CHOOSE(CONTROL!$C$19, $C$13, 100%, $E$13)</f>
        <v>16.354900000000001</v>
      </c>
      <c r="I685" s="61">
        <f>16.357 * CHOOSE(CONTROL!$C$19, $C$13, 100%, $E$13)</f>
        <v>16.356999999999999</v>
      </c>
      <c r="J685" s="61">
        <f>11.6104 * CHOOSE(CONTROL!$C$19, $C$13, 100%, $E$13)</f>
        <v>11.6104</v>
      </c>
      <c r="K685" s="61">
        <f>11.6125 * CHOOSE(CONTROL!$C$19, $C$13, 100%, $E$13)</f>
        <v>11.612500000000001</v>
      </c>
    </row>
    <row r="686" spans="1:11" ht="15">
      <c r="A686" s="13">
        <v>62732</v>
      </c>
      <c r="B686" s="60">
        <f>9.8728 * CHOOSE(CONTROL!$C$19, $C$13, 100%, $E$13)</f>
        <v>9.8727999999999998</v>
      </c>
      <c r="C686" s="60">
        <f>9.8728 * CHOOSE(CONTROL!$C$19, $C$13, 100%, $E$13)</f>
        <v>9.8727999999999998</v>
      </c>
      <c r="D686" s="60">
        <f>9.8896 * CHOOSE(CONTROL!$C$19, $C$13, 100%, $E$13)</f>
        <v>9.8895999999999997</v>
      </c>
      <c r="E686" s="61">
        <f>11.6754 * CHOOSE(CONTROL!$C$19, $C$13, 100%, $E$13)</f>
        <v>11.6754</v>
      </c>
      <c r="F686" s="61">
        <f>11.6754 * CHOOSE(CONTROL!$C$19, $C$13, 100%, $E$13)</f>
        <v>11.6754</v>
      </c>
      <c r="G686" s="61">
        <f>11.6755 * CHOOSE(CONTROL!$C$19, $C$13, 100%, $E$13)</f>
        <v>11.6755</v>
      </c>
      <c r="H686" s="61">
        <f>16.389* CHOOSE(CONTROL!$C$19, $C$13, 100%, $E$13)</f>
        <v>16.388999999999999</v>
      </c>
      <c r="I686" s="61">
        <f>16.3892 * CHOOSE(CONTROL!$C$19, $C$13, 100%, $E$13)</f>
        <v>16.389199999999999</v>
      </c>
      <c r="J686" s="61">
        <f>11.6754 * CHOOSE(CONTROL!$C$19, $C$13, 100%, $E$13)</f>
        <v>11.6754</v>
      </c>
      <c r="K686" s="61">
        <f>11.6755 * CHOOSE(CONTROL!$C$19, $C$13, 100%, $E$13)</f>
        <v>11.6755</v>
      </c>
    </row>
    <row r="687" spans="1:11" ht="15">
      <c r="A687" s="13">
        <v>62763</v>
      </c>
      <c r="B687" s="60">
        <f>9.8758 * CHOOSE(CONTROL!$C$19, $C$13, 100%, $E$13)</f>
        <v>9.8757999999999999</v>
      </c>
      <c r="C687" s="60">
        <f>9.8758 * CHOOSE(CONTROL!$C$19, $C$13, 100%, $E$13)</f>
        <v>9.8757999999999999</v>
      </c>
      <c r="D687" s="60">
        <f>9.8927 * CHOOSE(CONTROL!$C$19, $C$13, 100%, $E$13)</f>
        <v>9.8926999999999996</v>
      </c>
      <c r="E687" s="61">
        <f>11.7167 * CHOOSE(CONTROL!$C$19, $C$13, 100%, $E$13)</f>
        <v>11.716699999999999</v>
      </c>
      <c r="F687" s="61">
        <f>11.7167 * CHOOSE(CONTROL!$C$19, $C$13, 100%, $E$13)</f>
        <v>11.716699999999999</v>
      </c>
      <c r="G687" s="61">
        <f>11.7168 * CHOOSE(CONTROL!$C$19, $C$13, 100%, $E$13)</f>
        <v>11.716799999999999</v>
      </c>
      <c r="H687" s="61">
        <f>16.4232* CHOOSE(CONTROL!$C$19, $C$13, 100%, $E$13)</f>
        <v>16.423200000000001</v>
      </c>
      <c r="I687" s="61">
        <f>16.4233 * CHOOSE(CONTROL!$C$19, $C$13, 100%, $E$13)</f>
        <v>16.423300000000001</v>
      </c>
      <c r="J687" s="61">
        <f>11.7167 * CHOOSE(CONTROL!$C$19, $C$13, 100%, $E$13)</f>
        <v>11.716699999999999</v>
      </c>
      <c r="K687" s="61">
        <f>11.7168 * CHOOSE(CONTROL!$C$19, $C$13, 100%, $E$13)</f>
        <v>11.716799999999999</v>
      </c>
    </row>
    <row r="688" spans="1:11" ht="15">
      <c r="A688" s="13">
        <v>62793</v>
      </c>
      <c r="B688" s="60">
        <f>9.8758 * CHOOSE(CONTROL!$C$19, $C$13, 100%, $E$13)</f>
        <v>9.8757999999999999</v>
      </c>
      <c r="C688" s="60">
        <f>9.8758 * CHOOSE(CONTROL!$C$19, $C$13, 100%, $E$13)</f>
        <v>9.8757999999999999</v>
      </c>
      <c r="D688" s="60">
        <f>9.8927 * CHOOSE(CONTROL!$C$19, $C$13, 100%, $E$13)</f>
        <v>9.8926999999999996</v>
      </c>
      <c r="E688" s="61">
        <f>11.6187 * CHOOSE(CONTROL!$C$19, $C$13, 100%, $E$13)</f>
        <v>11.6187</v>
      </c>
      <c r="F688" s="61">
        <f>11.6187 * CHOOSE(CONTROL!$C$19, $C$13, 100%, $E$13)</f>
        <v>11.6187</v>
      </c>
      <c r="G688" s="61">
        <f>11.6189 * CHOOSE(CONTROL!$C$19, $C$13, 100%, $E$13)</f>
        <v>11.6189</v>
      </c>
      <c r="H688" s="61">
        <f>16.4574* CHOOSE(CONTROL!$C$19, $C$13, 100%, $E$13)</f>
        <v>16.4574</v>
      </c>
      <c r="I688" s="61">
        <f>16.4576 * CHOOSE(CONTROL!$C$19, $C$13, 100%, $E$13)</f>
        <v>16.457599999999999</v>
      </c>
      <c r="J688" s="61">
        <f>11.6187 * CHOOSE(CONTROL!$C$19, $C$13, 100%, $E$13)</f>
        <v>11.6187</v>
      </c>
      <c r="K688" s="61">
        <f>11.6189 * CHOOSE(CONTROL!$C$19, $C$13, 100%, $E$13)</f>
        <v>11.6189</v>
      </c>
    </row>
    <row r="689" spans="1:11" ht="15">
      <c r="A689" s="13">
        <v>62824</v>
      </c>
      <c r="B689" s="60">
        <f>9.907 * CHOOSE(CONTROL!$C$19, $C$13, 100%, $E$13)</f>
        <v>9.907</v>
      </c>
      <c r="C689" s="60">
        <f>9.907 * CHOOSE(CONTROL!$C$19, $C$13, 100%, $E$13)</f>
        <v>9.907</v>
      </c>
      <c r="D689" s="60">
        <f>9.9238 * CHOOSE(CONTROL!$C$19, $C$13, 100%, $E$13)</f>
        <v>9.9238</v>
      </c>
      <c r="E689" s="61">
        <f>11.7292 * CHOOSE(CONTROL!$C$19, $C$13, 100%, $E$13)</f>
        <v>11.729200000000001</v>
      </c>
      <c r="F689" s="61">
        <f>11.7292 * CHOOSE(CONTROL!$C$19, $C$13, 100%, $E$13)</f>
        <v>11.729200000000001</v>
      </c>
      <c r="G689" s="61">
        <f>11.7294 * CHOOSE(CONTROL!$C$19, $C$13, 100%, $E$13)</f>
        <v>11.7294</v>
      </c>
      <c r="H689" s="61">
        <f>16.4096* CHOOSE(CONTROL!$C$19, $C$13, 100%, $E$13)</f>
        <v>16.409600000000001</v>
      </c>
      <c r="I689" s="61">
        <f>16.4097 * CHOOSE(CONTROL!$C$19, $C$13, 100%, $E$13)</f>
        <v>16.409700000000001</v>
      </c>
      <c r="J689" s="61">
        <f>11.7292 * CHOOSE(CONTROL!$C$19, $C$13, 100%, $E$13)</f>
        <v>11.729200000000001</v>
      </c>
      <c r="K689" s="61">
        <f>11.7294 * CHOOSE(CONTROL!$C$19, $C$13, 100%, $E$13)</f>
        <v>11.7294</v>
      </c>
    </row>
    <row r="690" spans="1:11" ht="15">
      <c r="A690" s="13">
        <v>62855</v>
      </c>
      <c r="B690" s="60">
        <f>9.904 * CHOOSE(CONTROL!$C$19, $C$13, 100%, $E$13)</f>
        <v>9.9039999999999999</v>
      </c>
      <c r="C690" s="60">
        <f>9.904 * CHOOSE(CONTROL!$C$19, $C$13, 100%, $E$13)</f>
        <v>9.9039999999999999</v>
      </c>
      <c r="D690" s="60">
        <f>9.9208 * CHOOSE(CONTROL!$C$19, $C$13, 100%, $E$13)</f>
        <v>9.9207999999999998</v>
      </c>
      <c r="E690" s="61">
        <f>11.5375 * CHOOSE(CONTROL!$C$19, $C$13, 100%, $E$13)</f>
        <v>11.5375</v>
      </c>
      <c r="F690" s="61">
        <f>11.5375 * CHOOSE(CONTROL!$C$19, $C$13, 100%, $E$13)</f>
        <v>11.5375</v>
      </c>
      <c r="G690" s="61">
        <f>11.5377 * CHOOSE(CONTROL!$C$19, $C$13, 100%, $E$13)</f>
        <v>11.537699999999999</v>
      </c>
      <c r="H690" s="61">
        <f>16.4438* CHOOSE(CONTROL!$C$19, $C$13, 100%, $E$13)</f>
        <v>16.4438</v>
      </c>
      <c r="I690" s="61">
        <f>16.4439 * CHOOSE(CONTROL!$C$19, $C$13, 100%, $E$13)</f>
        <v>16.443899999999999</v>
      </c>
      <c r="J690" s="61">
        <f>11.5375 * CHOOSE(CONTROL!$C$19, $C$13, 100%, $E$13)</f>
        <v>11.5375</v>
      </c>
      <c r="K690" s="61">
        <f>11.5377 * CHOOSE(CONTROL!$C$19, $C$13, 100%, $E$13)</f>
        <v>11.537699999999999</v>
      </c>
    </row>
    <row r="691" spans="1:11" ht="15">
      <c r="A691" s="13">
        <v>62884</v>
      </c>
      <c r="B691" s="60">
        <f>9.9009 * CHOOSE(CONTROL!$C$19, $C$13, 100%, $E$13)</f>
        <v>9.9009</v>
      </c>
      <c r="C691" s="60">
        <f>9.9009 * CHOOSE(CONTROL!$C$19, $C$13, 100%, $E$13)</f>
        <v>9.9009</v>
      </c>
      <c r="D691" s="60">
        <f>9.9178 * CHOOSE(CONTROL!$C$19, $C$13, 100%, $E$13)</f>
        <v>9.9177999999999997</v>
      </c>
      <c r="E691" s="61">
        <f>11.6848 * CHOOSE(CONTROL!$C$19, $C$13, 100%, $E$13)</f>
        <v>11.684799999999999</v>
      </c>
      <c r="F691" s="61">
        <f>11.6848 * CHOOSE(CONTROL!$C$19, $C$13, 100%, $E$13)</f>
        <v>11.684799999999999</v>
      </c>
      <c r="G691" s="61">
        <f>11.685 * CHOOSE(CONTROL!$C$19, $C$13, 100%, $E$13)</f>
        <v>11.685</v>
      </c>
      <c r="H691" s="61">
        <f>16.478* CHOOSE(CONTROL!$C$19, $C$13, 100%, $E$13)</f>
        <v>16.478000000000002</v>
      </c>
      <c r="I691" s="61">
        <f>16.4782 * CHOOSE(CONTROL!$C$19, $C$13, 100%, $E$13)</f>
        <v>16.478200000000001</v>
      </c>
      <c r="J691" s="61">
        <f>11.6848 * CHOOSE(CONTROL!$C$19, $C$13, 100%, $E$13)</f>
        <v>11.684799999999999</v>
      </c>
      <c r="K691" s="61">
        <f>11.685 * CHOOSE(CONTROL!$C$19, $C$13, 100%, $E$13)</f>
        <v>11.685</v>
      </c>
    </row>
    <row r="692" spans="1:11" ht="15">
      <c r="A692" s="13">
        <v>62915</v>
      </c>
      <c r="B692" s="60">
        <f>9.9044 * CHOOSE(CONTROL!$C$19, $C$13, 100%, $E$13)</f>
        <v>9.9044000000000008</v>
      </c>
      <c r="C692" s="60">
        <f>9.9044 * CHOOSE(CONTROL!$C$19, $C$13, 100%, $E$13)</f>
        <v>9.9044000000000008</v>
      </c>
      <c r="D692" s="60">
        <f>9.9212 * CHOOSE(CONTROL!$C$19, $C$13, 100%, $E$13)</f>
        <v>9.9212000000000007</v>
      </c>
      <c r="E692" s="61">
        <f>11.8411 * CHOOSE(CONTROL!$C$19, $C$13, 100%, $E$13)</f>
        <v>11.841100000000001</v>
      </c>
      <c r="F692" s="61">
        <f>11.8411 * CHOOSE(CONTROL!$C$19, $C$13, 100%, $E$13)</f>
        <v>11.841100000000001</v>
      </c>
      <c r="G692" s="61">
        <f>11.8413 * CHOOSE(CONTROL!$C$19, $C$13, 100%, $E$13)</f>
        <v>11.8413</v>
      </c>
      <c r="H692" s="61">
        <f>16.5123* CHOOSE(CONTROL!$C$19, $C$13, 100%, $E$13)</f>
        <v>16.5123</v>
      </c>
      <c r="I692" s="61">
        <f>16.5125 * CHOOSE(CONTROL!$C$19, $C$13, 100%, $E$13)</f>
        <v>16.512499999999999</v>
      </c>
      <c r="J692" s="61">
        <f>11.8411 * CHOOSE(CONTROL!$C$19, $C$13, 100%, $E$13)</f>
        <v>11.841100000000001</v>
      </c>
      <c r="K692" s="61">
        <f>11.8413 * CHOOSE(CONTROL!$C$19, $C$13, 100%, $E$13)</f>
        <v>11.8413</v>
      </c>
    </row>
    <row r="693" spans="1:11" ht="15">
      <c r="A693" s="13">
        <v>62945</v>
      </c>
      <c r="B693" s="60">
        <f>9.9044 * CHOOSE(CONTROL!$C$19, $C$13, 100%, $E$13)</f>
        <v>9.9044000000000008</v>
      </c>
      <c r="C693" s="60">
        <f>9.9044 * CHOOSE(CONTROL!$C$19, $C$13, 100%, $E$13)</f>
        <v>9.9044000000000008</v>
      </c>
      <c r="D693" s="60">
        <f>9.9381 * CHOOSE(CONTROL!$C$19, $C$13, 100%, $E$13)</f>
        <v>9.9381000000000004</v>
      </c>
      <c r="E693" s="61">
        <f>11.9013 * CHOOSE(CONTROL!$C$19, $C$13, 100%, $E$13)</f>
        <v>11.901300000000001</v>
      </c>
      <c r="F693" s="61">
        <f>11.9013 * CHOOSE(CONTROL!$C$19, $C$13, 100%, $E$13)</f>
        <v>11.901300000000001</v>
      </c>
      <c r="G693" s="61">
        <f>11.9034 * CHOOSE(CONTROL!$C$19, $C$13, 100%, $E$13)</f>
        <v>11.9034</v>
      </c>
      <c r="H693" s="61">
        <f>16.5467* CHOOSE(CONTROL!$C$19, $C$13, 100%, $E$13)</f>
        <v>16.546700000000001</v>
      </c>
      <c r="I693" s="61">
        <f>16.5488 * CHOOSE(CONTROL!$C$19, $C$13, 100%, $E$13)</f>
        <v>16.5488</v>
      </c>
      <c r="J693" s="61">
        <f>11.9013 * CHOOSE(CONTROL!$C$19, $C$13, 100%, $E$13)</f>
        <v>11.901300000000001</v>
      </c>
      <c r="K693" s="61">
        <f>11.9034 * CHOOSE(CONTROL!$C$19, $C$13, 100%, $E$13)</f>
        <v>11.9034</v>
      </c>
    </row>
    <row r="694" spans="1:11" ht="15">
      <c r="A694" s="13">
        <v>62976</v>
      </c>
      <c r="B694" s="60">
        <f>9.9105 * CHOOSE(CONTROL!$C$19, $C$13, 100%, $E$13)</f>
        <v>9.9105000000000008</v>
      </c>
      <c r="C694" s="60">
        <f>9.9105 * CHOOSE(CONTROL!$C$19, $C$13, 100%, $E$13)</f>
        <v>9.9105000000000008</v>
      </c>
      <c r="D694" s="60">
        <f>9.9442 * CHOOSE(CONTROL!$C$19, $C$13, 100%, $E$13)</f>
        <v>9.9442000000000004</v>
      </c>
      <c r="E694" s="61">
        <f>11.8453 * CHOOSE(CONTROL!$C$19, $C$13, 100%, $E$13)</f>
        <v>11.8453</v>
      </c>
      <c r="F694" s="61">
        <f>11.8453 * CHOOSE(CONTROL!$C$19, $C$13, 100%, $E$13)</f>
        <v>11.8453</v>
      </c>
      <c r="G694" s="61">
        <f>11.8474 * CHOOSE(CONTROL!$C$19, $C$13, 100%, $E$13)</f>
        <v>11.8474</v>
      </c>
      <c r="H694" s="61">
        <f>16.5812* CHOOSE(CONTROL!$C$19, $C$13, 100%, $E$13)</f>
        <v>16.581199999999999</v>
      </c>
      <c r="I694" s="61">
        <f>16.5833 * CHOOSE(CONTROL!$C$19, $C$13, 100%, $E$13)</f>
        <v>16.583300000000001</v>
      </c>
      <c r="J694" s="61">
        <f>11.8453 * CHOOSE(CONTROL!$C$19, $C$13, 100%, $E$13)</f>
        <v>11.8453</v>
      </c>
      <c r="K694" s="61">
        <f>11.8474 * CHOOSE(CONTROL!$C$19, $C$13, 100%, $E$13)</f>
        <v>11.8474</v>
      </c>
    </row>
    <row r="695" spans="1:11" ht="15">
      <c r="A695" s="13">
        <v>63006</v>
      </c>
      <c r="B695" s="60">
        <f>10.0511 * CHOOSE(CONTROL!$C$19, $C$13, 100%, $E$13)</f>
        <v>10.0511</v>
      </c>
      <c r="C695" s="60">
        <f>10.0511 * CHOOSE(CONTROL!$C$19, $C$13, 100%, $E$13)</f>
        <v>10.0511</v>
      </c>
      <c r="D695" s="60">
        <f>10.0848 * CHOOSE(CONTROL!$C$19, $C$13, 100%, $E$13)</f>
        <v>10.0848</v>
      </c>
      <c r="E695" s="61">
        <f>12.0629 * CHOOSE(CONTROL!$C$19, $C$13, 100%, $E$13)</f>
        <v>12.062900000000001</v>
      </c>
      <c r="F695" s="61">
        <f>12.0629 * CHOOSE(CONTROL!$C$19, $C$13, 100%, $E$13)</f>
        <v>12.062900000000001</v>
      </c>
      <c r="G695" s="61">
        <f>12.065 * CHOOSE(CONTROL!$C$19, $C$13, 100%, $E$13)</f>
        <v>12.065</v>
      </c>
      <c r="H695" s="61">
        <f>16.6158* CHOOSE(CONTROL!$C$19, $C$13, 100%, $E$13)</f>
        <v>16.6158</v>
      </c>
      <c r="I695" s="61">
        <f>16.6178 * CHOOSE(CONTROL!$C$19, $C$13, 100%, $E$13)</f>
        <v>16.617799999999999</v>
      </c>
      <c r="J695" s="61">
        <f>12.0629 * CHOOSE(CONTROL!$C$19, $C$13, 100%, $E$13)</f>
        <v>12.062900000000001</v>
      </c>
      <c r="K695" s="61">
        <f>12.065 * CHOOSE(CONTROL!$C$19, $C$13, 100%, $E$13)</f>
        <v>12.065</v>
      </c>
    </row>
    <row r="696" spans="1:11" ht="15">
      <c r="A696" s="13">
        <v>63037</v>
      </c>
      <c r="B696" s="60">
        <f>10.0578 * CHOOSE(CONTROL!$C$19, $C$13, 100%, $E$13)</f>
        <v>10.0578</v>
      </c>
      <c r="C696" s="60">
        <f>10.0578 * CHOOSE(CONTROL!$C$19, $C$13, 100%, $E$13)</f>
        <v>10.0578</v>
      </c>
      <c r="D696" s="60">
        <f>10.0915 * CHOOSE(CONTROL!$C$19, $C$13, 100%, $E$13)</f>
        <v>10.0915</v>
      </c>
      <c r="E696" s="61">
        <f>11.887 * CHOOSE(CONTROL!$C$19, $C$13, 100%, $E$13)</f>
        <v>11.887</v>
      </c>
      <c r="F696" s="61">
        <f>11.887 * CHOOSE(CONTROL!$C$19, $C$13, 100%, $E$13)</f>
        <v>11.887</v>
      </c>
      <c r="G696" s="61">
        <f>11.8891 * CHOOSE(CONTROL!$C$19, $C$13, 100%, $E$13)</f>
        <v>11.889099999999999</v>
      </c>
      <c r="H696" s="61">
        <f>16.6504* CHOOSE(CONTROL!$C$19, $C$13, 100%, $E$13)</f>
        <v>16.650400000000001</v>
      </c>
      <c r="I696" s="61">
        <f>16.6525 * CHOOSE(CONTROL!$C$19, $C$13, 100%, $E$13)</f>
        <v>16.6525</v>
      </c>
      <c r="J696" s="61">
        <f>11.887 * CHOOSE(CONTROL!$C$19, $C$13, 100%, $E$13)</f>
        <v>11.887</v>
      </c>
      <c r="K696" s="61">
        <f>11.8891 * CHOOSE(CONTROL!$C$19, $C$13, 100%, $E$13)</f>
        <v>11.889099999999999</v>
      </c>
    </row>
    <row r="697" spans="1:11" ht="15">
      <c r="A697" s="13">
        <v>63068</v>
      </c>
      <c r="B697" s="60">
        <f>10.0548 * CHOOSE(CONTROL!$C$19, $C$13, 100%, $E$13)</f>
        <v>10.0548</v>
      </c>
      <c r="C697" s="60">
        <f>10.0548 * CHOOSE(CONTROL!$C$19, $C$13, 100%, $E$13)</f>
        <v>10.0548</v>
      </c>
      <c r="D697" s="60">
        <f>10.0884 * CHOOSE(CONTROL!$C$19, $C$13, 100%, $E$13)</f>
        <v>10.0884</v>
      </c>
      <c r="E697" s="61">
        <f>11.8648 * CHOOSE(CONTROL!$C$19, $C$13, 100%, $E$13)</f>
        <v>11.864800000000001</v>
      </c>
      <c r="F697" s="61">
        <f>11.8648 * CHOOSE(CONTROL!$C$19, $C$13, 100%, $E$13)</f>
        <v>11.864800000000001</v>
      </c>
      <c r="G697" s="61">
        <f>11.8669 * CHOOSE(CONTROL!$C$19, $C$13, 100%, $E$13)</f>
        <v>11.866899999999999</v>
      </c>
      <c r="H697" s="61">
        <f>16.6851* CHOOSE(CONTROL!$C$19, $C$13, 100%, $E$13)</f>
        <v>16.685099999999998</v>
      </c>
      <c r="I697" s="61">
        <f>16.6871 * CHOOSE(CONTROL!$C$19, $C$13, 100%, $E$13)</f>
        <v>16.687100000000001</v>
      </c>
      <c r="J697" s="61">
        <f>11.8648 * CHOOSE(CONTROL!$C$19, $C$13, 100%, $E$13)</f>
        <v>11.864800000000001</v>
      </c>
      <c r="K697" s="61">
        <f>11.8669 * CHOOSE(CONTROL!$C$19, $C$13, 100%, $E$13)</f>
        <v>11.866899999999999</v>
      </c>
    </row>
    <row r="698" spans="1:11" ht="15">
      <c r="A698" s="13">
        <v>63098</v>
      </c>
      <c r="B698" s="60">
        <f>10.0729 * CHOOSE(CONTROL!$C$19, $C$13, 100%, $E$13)</f>
        <v>10.072900000000001</v>
      </c>
      <c r="C698" s="60">
        <f>10.0729 * CHOOSE(CONTROL!$C$19, $C$13, 100%, $E$13)</f>
        <v>10.072900000000001</v>
      </c>
      <c r="D698" s="60">
        <f>10.0897 * CHOOSE(CONTROL!$C$19, $C$13, 100%, $E$13)</f>
        <v>10.089700000000001</v>
      </c>
      <c r="E698" s="61">
        <f>11.9316 * CHOOSE(CONTROL!$C$19, $C$13, 100%, $E$13)</f>
        <v>11.9316</v>
      </c>
      <c r="F698" s="61">
        <f>11.9316 * CHOOSE(CONTROL!$C$19, $C$13, 100%, $E$13)</f>
        <v>11.9316</v>
      </c>
      <c r="G698" s="61">
        <f>11.9318 * CHOOSE(CONTROL!$C$19, $C$13, 100%, $E$13)</f>
        <v>11.931800000000001</v>
      </c>
      <c r="H698" s="61">
        <f>16.7198* CHOOSE(CONTROL!$C$19, $C$13, 100%, $E$13)</f>
        <v>16.719799999999999</v>
      </c>
      <c r="I698" s="61">
        <f>16.72 * CHOOSE(CONTROL!$C$19, $C$13, 100%, $E$13)</f>
        <v>16.72</v>
      </c>
      <c r="J698" s="61">
        <f>11.9316 * CHOOSE(CONTROL!$C$19, $C$13, 100%, $E$13)</f>
        <v>11.9316</v>
      </c>
      <c r="K698" s="61">
        <f>11.9318 * CHOOSE(CONTROL!$C$19, $C$13, 100%, $E$13)</f>
        <v>11.931800000000001</v>
      </c>
    </row>
    <row r="699" spans="1:11" ht="15">
      <c r="A699" s="13">
        <v>63129</v>
      </c>
      <c r="B699" s="60">
        <f>10.0759 * CHOOSE(CONTROL!$C$19, $C$13, 100%, $E$13)</f>
        <v>10.075900000000001</v>
      </c>
      <c r="C699" s="60">
        <f>10.0759 * CHOOSE(CONTROL!$C$19, $C$13, 100%, $E$13)</f>
        <v>10.075900000000001</v>
      </c>
      <c r="D699" s="60">
        <f>10.0927 * CHOOSE(CONTROL!$C$19, $C$13, 100%, $E$13)</f>
        <v>10.092700000000001</v>
      </c>
      <c r="E699" s="61">
        <f>11.9739 * CHOOSE(CONTROL!$C$19, $C$13, 100%, $E$13)</f>
        <v>11.9739</v>
      </c>
      <c r="F699" s="61">
        <f>11.9739 * CHOOSE(CONTROL!$C$19, $C$13, 100%, $E$13)</f>
        <v>11.9739</v>
      </c>
      <c r="G699" s="61">
        <f>11.974 * CHOOSE(CONTROL!$C$19, $C$13, 100%, $E$13)</f>
        <v>11.974</v>
      </c>
      <c r="H699" s="61">
        <f>16.7547* CHOOSE(CONTROL!$C$19, $C$13, 100%, $E$13)</f>
        <v>16.7547</v>
      </c>
      <c r="I699" s="61">
        <f>16.7548 * CHOOSE(CONTROL!$C$19, $C$13, 100%, $E$13)</f>
        <v>16.754799999999999</v>
      </c>
      <c r="J699" s="61">
        <f>11.9739 * CHOOSE(CONTROL!$C$19, $C$13, 100%, $E$13)</f>
        <v>11.9739</v>
      </c>
      <c r="K699" s="61">
        <f>11.974 * CHOOSE(CONTROL!$C$19, $C$13, 100%, $E$13)</f>
        <v>11.974</v>
      </c>
    </row>
    <row r="700" spans="1:11" ht="15">
      <c r="A700" s="13">
        <v>63159</v>
      </c>
      <c r="B700" s="60">
        <f>10.0759 * CHOOSE(CONTROL!$C$19, $C$13, 100%, $E$13)</f>
        <v>10.075900000000001</v>
      </c>
      <c r="C700" s="60">
        <f>10.0759 * CHOOSE(CONTROL!$C$19, $C$13, 100%, $E$13)</f>
        <v>10.075900000000001</v>
      </c>
      <c r="D700" s="60">
        <f>10.0927 * CHOOSE(CONTROL!$C$19, $C$13, 100%, $E$13)</f>
        <v>10.092700000000001</v>
      </c>
      <c r="E700" s="61">
        <f>11.8735 * CHOOSE(CONTROL!$C$19, $C$13, 100%, $E$13)</f>
        <v>11.8735</v>
      </c>
      <c r="F700" s="61">
        <f>11.8735 * CHOOSE(CONTROL!$C$19, $C$13, 100%, $E$13)</f>
        <v>11.8735</v>
      </c>
      <c r="G700" s="61">
        <f>11.8737 * CHOOSE(CONTROL!$C$19, $C$13, 100%, $E$13)</f>
        <v>11.873699999999999</v>
      </c>
      <c r="H700" s="61">
        <f>16.7896* CHOOSE(CONTROL!$C$19, $C$13, 100%, $E$13)</f>
        <v>16.7896</v>
      </c>
      <c r="I700" s="61">
        <f>16.7897 * CHOOSE(CONTROL!$C$19, $C$13, 100%, $E$13)</f>
        <v>16.7897</v>
      </c>
      <c r="J700" s="61">
        <f>11.8735 * CHOOSE(CONTROL!$C$19, $C$13, 100%, $E$13)</f>
        <v>11.8735</v>
      </c>
      <c r="K700" s="61">
        <f>11.8737 * CHOOSE(CONTROL!$C$19, $C$13, 100%, $E$13)</f>
        <v>11.873699999999999</v>
      </c>
    </row>
    <row r="701" spans="1:11" ht="15">
      <c r="A701" s="13">
        <v>63190</v>
      </c>
      <c r="B701" s="60">
        <f>10.1036 * CHOOSE(CONTROL!$C$19, $C$13, 100%, $E$13)</f>
        <v>10.1036</v>
      </c>
      <c r="C701" s="60">
        <f>10.1036 * CHOOSE(CONTROL!$C$19, $C$13, 100%, $E$13)</f>
        <v>10.1036</v>
      </c>
      <c r="D701" s="60">
        <f>10.1205 * CHOOSE(CONTROL!$C$19, $C$13, 100%, $E$13)</f>
        <v>10.1205</v>
      </c>
      <c r="E701" s="61">
        <f>11.981 * CHOOSE(CONTROL!$C$19, $C$13, 100%, $E$13)</f>
        <v>11.981</v>
      </c>
      <c r="F701" s="61">
        <f>11.981 * CHOOSE(CONTROL!$C$19, $C$13, 100%, $E$13)</f>
        <v>11.981</v>
      </c>
      <c r="G701" s="61">
        <f>11.9812 * CHOOSE(CONTROL!$C$19, $C$13, 100%, $E$13)</f>
        <v>11.981199999999999</v>
      </c>
      <c r="H701" s="61">
        <f>16.7342* CHOOSE(CONTROL!$C$19, $C$13, 100%, $E$13)</f>
        <v>16.734200000000001</v>
      </c>
      <c r="I701" s="61">
        <f>16.7344 * CHOOSE(CONTROL!$C$19, $C$13, 100%, $E$13)</f>
        <v>16.734400000000001</v>
      </c>
      <c r="J701" s="61">
        <f>11.981 * CHOOSE(CONTROL!$C$19, $C$13, 100%, $E$13)</f>
        <v>11.981</v>
      </c>
      <c r="K701" s="61">
        <f>11.9812 * CHOOSE(CONTROL!$C$19, $C$13, 100%, $E$13)</f>
        <v>11.981199999999999</v>
      </c>
    </row>
    <row r="702" spans="1:11" ht="15">
      <c r="A702" s="13">
        <v>63221</v>
      </c>
      <c r="B702" s="60">
        <f>10.1006 * CHOOSE(CONTROL!$C$19, $C$13, 100%, $E$13)</f>
        <v>10.1006</v>
      </c>
      <c r="C702" s="60">
        <f>10.1006 * CHOOSE(CONTROL!$C$19, $C$13, 100%, $E$13)</f>
        <v>10.1006</v>
      </c>
      <c r="D702" s="60">
        <f>10.1174 * CHOOSE(CONTROL!$C$19, $C$13, 100%, $E$13)</f>
        <v>10.1174</v>
      </c>
      <c r="E702" s="61">
        <f>11.7849 * CHOOSE(CONTROL!$C$19, $C$13, 100%, $E$13)</f>
        <v>11.7849</v>
      </c>
      <c r="F702" s="61">
        <f>11.7849 * CHOOSE(CONTROL!$C$19, $C$13, 100%, $E$13)</f>
        <v>11.7849</v>
      </c>
      <c r="G702" s="61">
        <f>11.785 * CHOOSE(CONTROL!$C$19, $C$13, 100%, $E$13)</f>
        <v>11.785</v>
      </c>
      <c r="H702" s="61">
        <f>16.7691* CHOOSE(CONTROL!$C$19, $C$13, 100%, $E$13)</f>
        <v>16.769100000000002</v>
      </c>
      <c r="I702" s="61">
        <f>16.7693 * CHOOSE(CONTROL!$C$19, $C$13, 100%, $E$13)</f>
        <v>16.769300000000001</v>
      </c>
      <c r="J702" s="61">
        <f>11.7849 * CHOOSE(CONTROL!$C$19, $C$13, 100%, $E$13)</f>
        <v>11.7849</v>
      </c>
      <c r="K702" s="61">
        <f>11.785 * CHOOSE(CONTROL!$C$19, $C$13, 100%, $E$13)</f>
        <v>11.785</v>
      </c>
    </row>
    <row r="703" spans="1:11" ht="15">
      <c r="A703" s="13">
        <v>63249</v>
      </c>
      <c r="B703" s="60">
        <f>10.0976 * CHOOSE(CONTROL!$C$19, $C$13, 100%, $E$13)</f>
        <v>10.0976</v>
      </c>
      <c r="C703" s="60">
        <f>10.0976 * CHOOSE(CONTROL!$C$19, $C$13, 100%, $E$13)</f>
        <v>10.0976</v>
      </c>
      <c r="D703" s="60">
        <f>10.1144 * CHOOSE(CONTROL!$C$19, $C$13, 100%, $E$13)</f>
        <v>10.1144</v>
      </c>
      <c r="E703" s="61">
        <f>11.9357 * CHOOSE(CONTROL!$C$19, $C$13, 100%, $E$13)</f>
        <v>11.935700000000001</v>
      </c>
      <c r="F703" s="61">
        <f>11.9357 * CHOOSE(CONTROL!$C$19, $C$13, 100%, $E$13)</f>
        <v>11.935700000000001</v>
      </c>
      <c r="G703" s="61">
        <f>11.9359 * CHOOSE(CONTROL!$C$19, $C$13, 100%, $E$13)</f>
        <v>11.9359</v>
      </c>
      <c r="H703" s="61">
        <f>16.804* CHOOSE(CONTROL!$C$19, $C$13, 100%, $E$13)</f>
        <v>16.803999999999998</v>
      </c>
      <c r="I703" s="61">
        <f>16.8042 * CHOOSE(CONTROL!$C$19, $C$13, 100%, $E$13)</f>
        <v>16.804200000000002</v>
      </c>
      <c r="J703" s="61">
        <f>11.9357 * CHOOSE(CONTROL!$C$19, $C$13, 100%, $E$13)</f>
        <v>11.935700000000001</v>
      </c>
      <c r="K703" s="61">
        <f>11.9359 * CHOOSE(CONTROL!$C$19, $C$13, 100%, $E$13)</f>
        <v>11.9359</v>
      </c>
    </row>
    <row r="704" spans="1:11" ht="15">
      <c r="A704" s="13">
        <v>63280</v>
      </c>
      <c r="B704" s="60">
        <f>10.1012 * CHOOSE(CONTROL!$C$19, $C$13, 100%, $E$13)</f>
        <v>10.1012</v>
      </c>
      <c r="C704" s="60">
        <f>10.1012 * CHOOSE(CONTROL!$C$19, $C$13, 100%, $E$13)</f>
        <v>10.1012</v>
      </c>
      <c r="D704" s="60">
        <f>10.1181 * CHOOSE(CONTROL!$C$19, $C$13, 100%, $E$13)</f>
        <v>10.1181</v>
      </c>
      <c r="E704" s="61">
        <f>12.0958 * CHOOSE(CONTROL!$C$19, $C$13, 100%, $E$13)</f>
        <v>12.095800000000001</v>
      </c>
      <c r="F704" s="61">
        <f>12.0958 * CHOOSE(CONTROL!$C$19, $C$13, 100%, $E$13)</f>
        <v>12.095800000000001</v>
      </c>
      <c r="G704" s="61">
        <f>12.0959 * CHOOSE(CONTROL!$C$19, $C$13, 100%, $E$13)</f>
        <v>12.0959</v>
      </c>
      <c r="H704" s="61">
        <f>16.839* CHOOSE(CONTROL!$C$19, $C$13, 100%, $E$13)</f>
        <v>16.838999999999999</v>
      </c>
      <c r="I704" s="61">
        <f>16.8392 * CHOOSE(CONTROL!$C$19, $C$13, 100%, $E$13)</f>
        <v>16.839200000000002</v>
      </c>
      <c r="J704" s="61">
        <f>12.0958 * CHOOSE(CONTROL!$C$19, $C$13, 100%, $E$13)</f>
        <v>12.095800000000001</v>
      </c>
      <c r="K704" s="61">
        <f>12.0959 * CHOOSE(CONTROL!$C$19, $C$13, 100%, $E$13)</f>
        <v>12.0959</v>
      </c>
    </row>
    <row r="705" spans="1:11" ht="15">
      <c r="A705" s="13">
        <v>63310</v>
      </c>
      <c r="B705" s="60">
        <f>10.1012 * CHOOSE(CONTROL!$C$19, $C$13, 100%, $E$13)</f>
        <v>10.1012</v>
      </c>
      <c r="C705" s="60">
        <f>10.1012 * CHOOSE(CONTROL!$C$19, $C$13, 100%, $E$13)</f>
        <v>10.1012</v>
      </c>
      <c r="D705" s="60">
        <f>10.1349 * CHOOSE(CONTROL!$C$19, $C$13, 100%, $E$13)</f>
        <v>10.1349</v>
      </c>
      <c r="E705" s="61">
        <f>12.1574 * CHOOSE(CONTROL!$C$19, $C$13, 100%, $E$13)</f>
        <v>12.157400000000001</v>
      </c>
      <c r="F705" s="61">
        <f>12.1574 * CHOOSE(CONTROL!$C$19, $C$13, 100%, $E$13)</f>
        <v>12.157400000000001</v>
      </c>
      <c r="G705" s="61">
        <f>12.1595 * CHOOSE(CONTROL!$C$19, $C$13, 100%, $E$13)</f>
        <v>12.1595</v>
      </c>
      <c r="H705" s="61">
        <f>16.8741* CHOOSE(CONTROL!$C$19, $C$13, 100%, $E$13)</f>
        <v>16.874099999999999</v>
      </c>
      <c r="I705" s="61">
        <f>16.8762 * CHOOSE(CONTROL!$C$19, $C$13, 100%, $E$13)</f>
        <v>16.876200000000001</v>
      </c>
      <c r="J705" s="61">
        <f>12.1574 * CHOOSE(CONTROL!$C$19, $C$13, 100%, $E$13)</f>
        <v>12.157400000000001</v>
      </c>
      <c r="K705" s="61">
        <f>12.1595 * CHOOSE(CONTROL!$C$19, $C$13, 100%, $E$13)</f>
        <v>12.1595</v>
      </c>
    </row>
    <row r="706" spans="1:11" ht="15">
      <c r="A706" s="13">
        <v>63341</v>
      </c>
      <c r="B706" s="60">
        <f>10.1073 * CHOOSE(CONTROL!$C$19, $C$13, 100%, $E$13)</f>
        <v>10.1073</v>
      </c>
      <c r="C706" s="60">
        <f>10.1073 * CHOOSE(CONTROL!$C$19, $C$13, 100%, $E$13)</f>
        <v>10.1073</v>
      </c>
      <c r="D706" s="60">
        <f>10.141 * CHOOSE(CONTROL!$C$19, $C$13, 100%, $E$13)</f>
        <v>10.141</v>
      </c>
      <c r="E706" s="61">
        <f>12.1 * CHOOSE(CONTROL!$C$19, $C$13, 100%, $E$13)</f>
        <v>12.1</v>
      </c>
      <c r="F706" s="61">
        <f>12.1 * CHOOSE(CONTROL!$C$19, $C$13, 100%, $E$13)</f>
        <v>12.1</v>
      </c>
      <c r="G706" s="61">
        <f>12.1021 * CHOOSE(CONTROL!$C$19, $C$13, 100%, $E$13)</f>
        <v>12.1021</v>
      </c>
      <c r="H706" s="61">
        <f>16.9093* CHOOSE(CONTROL!$C$19, $C$13, 100%, $E$13)</f>
        <v>16.909300000000002</v>
      </c>
      <c r="I706" s="61">
        <f>16.9114 * CHOOSE(CONTROL!$C$19, $C$13, 100%, $E$13)</f>
        <v>16.9114</v>
      </c>
      <c r="J706" s="61">
        <f>12.1 * CHOOSE(CONTROL!$C$19, $C$13, 100%, $E$13)</f>
        <v>12.1</v>
      </c>
      <c r="K706" s="61">
        <f>12.1021 * CHOOSE(CONTROL!$C$19, $C$13, 100%, $E$13)</f>
        <v>12.1021</v>
      </c>
    </row>
    <row r="707" spans="1:11" ht="15">
      <c r="A707" s="13">
        <v>63371</v>
      </c>
      <c r="B707" s="60">
        <f>10.2505 * CHOOSE(CONTROL!$C$19, $C$13, 100%, $E$13)</f>
        <v>10.250500000000001</v>
      </c>
      <c r="C707" s="60">
        <f>10.2505 * CHOOSE(CONTROL!$C$19, $C$13, 100%, $E$13)</f>
        <v>10.250500000000001</v>
      </c>
      <c r="D707" s="60">
        <f>10.2841 * CHOOSE(CONTROL!$C$19, $C$13, 100%, $E$13)</f>
        <v>10.2841</v>
      </c>
      <c r="E707" s="61">
        <f>12.322 * CHOOSE(CONTROL!$C$19, $C$13, 100%, $E$13)</f>
        <v>12.321999999999999</v>
      </c>
      <c r="F707" s="61">
        <f>12.322 * CHOOSE(CONTROL!$C$19, $C$13, 100%, $E$13)</f>
        <v>12.321999999999999</v>
      </c>
      <c r="G707" s="61">
        <f>12.3241 * CHOOSE(CONTROL!$C$19, $C$13, 100%, $E$13)</f>
        <v>12.3241</v>
      </c>
      <c r="H707" s="61">
        <f>16.9445* CHOOSE(CONTROL!$C$19, $C$13, 100%, $E$13)</f>
        <v>16.944500000000001</v>
      </c>
      <c r="I707" s="61">
        <f>16.9466 * CHOOSE(CONTROL!$C$19, $C$13, 100%, $E$13)</f>
        <v>16.9466</v>
      </c>
      <c r="J707" s="61">
        <f>12.322 * CHOOSE(CONTROL!$C$19, $C$13, 100%, $E$13)</f>
        <v>12.321999999999999</v>
      </c>
      <c r="K707" s="61">
        <f>12.3241 * CHOOSE(CONTROL!$C$19, $C$13, 100%, $E$13)</f>
        <v>12.3241</v>
      </c>
    </row>
    <row r="708" spans="1:11" ht="15">
      <c r="A708" s="13">
        <v>63402</v>
      </c>
      <c r="B708" s="60">
        <f>10.2571 * CHOOSE(CONTROL!$C$19, $C$13, 100%, $E$13)</f>
        <v>10.257099999999999</v>
      </c>
      <c r="C708" s="60">
        <f>10.2571 * CHOOSE(CONTROL!$C$19, $C$13, 100%, $E$13)</f>
        <v>10.257099999999999</v>
      </c>
      <c r="D708" s="60">
        <f>10.2908 * CHOOSE(CONTROL!$C$19, $C$13, 100%, $E$13)</f>
        <v>10.290800000000001</v>
      </c>
      <c r="E708" s="61">
        <f>12.1418 * CHOOSE(CONTROL!$C$19, $C$13, 100%, $E$13)</f>
        <v>12.1418</v>
      </c>
      <c r="F708" s="61">
        <f>12.1418 * CHOOSE(CONTROL!$C$19, $C$13, 100%, $E$13)</f>
        <v>12.1418</v>
      </c>
      <c r="G708" s="61">
        <f>12.1439 * CHOOSE(CONTROL!$C$19, $C$13, 100%, $E$13)</f>
        <v>12.1439</v>
      </c>
      <c r="H708" s="61">
        <f>16.9798* CHOOSE(CONTROL!$C$19, $C$13, 100%, $E$13)</f>
        <v>16.979800000000001</v>
      </c>
      <c r="I708" s="61">
        <f>16.9819 * CHOOSE(CONTROL!$C$19, $C$13, 100%, $E$13)</f>
        <v>16.9819</v>
      </c>
      <c r="J708" s="61">
        <f>12.1418 * CHOOSE(CONTROL!$C$19, $C$13, 100%, $E$13)</f>
        <v>12.1418</v>
      </c>
      <c r="K708" s="61">
        <f>12.1439 * CHOOSE(CONTROL!$C$19, $C$13, 100%, $E$13)</f>
        <v>12.1439</v>
      </c>
    </row>
    <row r="709" spans="1:11" ht="15">
      <c r="A709" s="13">
        <v>63433</v>
      </c>
      <c r="B709" s="60">
        <f>10.2541 * CHOOSE(CONTROL!$C$19, $C$13, 100%, $E$13)</f>
        <v>10.254099999999999</v>
      </c>
      <c r="C709" s="60">
        <f>10.2541 * CHOOSE(CONTROL!$C$19, $C$13, 100%, $E$13)</f>
        <v>10.254099999999999</v>
      </c>
      <c r="D709" s="60">
        <f>10.2878 * CHOOSE(CONTROL!$C$19, $C$13, 100%, $E$13)</f>
        <v>10.287800000000001</v>
      </c>
      <c r="E709" s="61">
        <f>12.1192 * CHOOSE(CONTROL!$C$19, $C$13, 100%, $E$13)</f>
        <v>12.119199999999999</v>
      </c>
      <c r="F709" s="61">
        <f>12.1192 * CHOOSE(CONTROL!$C$19, $C$13, 100%, $E$13)</f>
        <v>12.119199999999999</v>
      </c>
      <c r="G709" s="61">
        <f>12.1212 * CHOOSE(CONTROL!$C$19, $C$13, 100%, $E$13)</f>
        <v>12.1212</v>
      </c>
      <c r="H709" s="61">
        <f>17.0152* CHOOSE(CONTROL!$C$19, $C$13, 100%, $E$13)</f>
        <v>17.0152</v>
      </c>
      <c r="I709" s="61">
        <f>17.0173 * CHOOSE(CONTROL!$C$19, $C$13, 100%, $E$13)</f>
        <v>17.017299999999999</v>
      </c>
      <c r="J709" s="61">
        <f>12.1192 * CHOOSE(CONTROL!$C$19, $C$13, 100%, $E$13)</f>
        <v>12.119199999999999</v>
      </c>
      <c r="K709" s="61">
        <f>12.1212 * CHOOSE(CONTROL!$C$19, $C$13, 100%, $E$13)</f>
        <v>12.1212</v>
      </c>
    </row>
    <row r="710" spans="1:11" ht="15">
      <c r="A710" s="13">
        <v>63463</v>
      </c>
      <c r="B710" s="60">
        <f>10.2729 * CHOOSE(CONTROL!$C$19, $C$13, 100%, $E$13)</f>
        <v>10.2729</v>
      </c>
      <c r="C710" s="60">
        <f>10.2729 * CHOOSE(CONTROL!$C$19, $C$13, 100%, $E$13)</f>
        <v>10.2729</v>
      </c>
      <c r="D710" s="60">
        <f>10.2898 * CHOOSE(CONTROL!$C$19, $C$13, 100%, $E$13)</f>
        <v>10.2898</v>
      </c>
      <c r="E710" s="61">
        <f>12.1879 * CHOOSE(CONTROL!$C$19, $C$13, 100%, $E$13)</f>
        <v>12.187900000000001</v>
      </c>
      <c r="F710" s="61">
        <f>12.1879 * CHOOSE(CONTROL!$C$19, $C$13, 100%, $E$13)</f>
        <v>12.187900000000001</v>
      </c>
      <c r="G710" s="61">
        <f>12.1881 * CHOOSE(CONTROL!$C$19, $C$13, 100%, $E$13)</f>
        <v>12.1881</v>
      </c>
      <c r="H710" s="61">
        <f>17.0506* CHOOSE(CONTROL!$C$19, $C$13, 100%, $E$13)</f>
        <v>17.050599999999999</v>
      </c>
      <c r="I710" s="61">
        <f>17.0508 * CHOOSE(CONTROL!$C$19, $C$13, 100%, $E$13)</f>
        <v>17.050799999999999</v>
      </c>
      <c r="J710" s="61">
        <f>12.1879 * CHOOSE(CONTROL!$C$19, $C$13, 100%, $E$13)</f>
        <v>12.187900000000001</v>
      </c>
      <c r="K710" s="61">
        <f>12.1881 * CHOOSE(CONTROL!$C$19, $C$13, 100%, $E$13)</f>
        <v>12.1881</v>
      </c>
    </row>
    <row r="711" spans="1:11" ht="15">
      <c r="A711" s="13">
        <v>63494</v>
      </c>
      <c r="B711" s="60">
        <f>10.276 * CHOOSE(CONTROL!$C$19, $C$13, 100%, $E$13)</f>
        <v>10.276</v>
      </c>
      <c r="C711" s="60">
        <f>10.276 * CHOOSE(CONTROL!$C$19, $C$13, 100%, $E$13)</f>
        <v>10.276</v>
      </c>
      <c r="D711" s="60">
        <f>10.2928 * CHOOSE(CONTROL!$C$19, $C$13, 100%, $E$13)</f>
        <v>10.2928</v>
      </c>
      <c r="E711" s="61">
        <f>12.2311 * CHOOSE(CONTROL!$C$19, $C$13, 100%, $E$13)</f>
        <v>12.2311</v>
      </c>
      <c r="F711" s="61">
        <f>12.2311 * CHOOSE(CONTROL!$C$19, $C$13, 100%, $E$13)</f>
        <v>12.2311</v>
      </c>
      <c r="G711" s="61">
        <f>12.2312 * CHOOSE(CONTROL!$C$19, $C$13, 100%, $E$13)</f>
        <v>12.231199999999999</v>
      </c>
      <c r="H711" s="61">
        <f>17.0861* CHOOSE(CONTROL!$C$19, $C$13, 100%, $E$13)</f>
        <v>17.086099999999998</v>
      </c>
      <c r="I711" s="61">
        <f>17.0863 * CHOOSE(CONTROL!$C$19, $C$13, 100%, $E$13)</f>
        <v>17.086300000000001</v>
      </c>
      <c r="J711" s="61">
        <f>12.2311 * CHOOSE(CONTROL!$C$19, $C$13, 100%, $E$13)</f>
        <v>12.2311</v>
      </c>
      <c r="K711" s="61">
        <f>12.2312 * CHOOSE(CONTROL!$C$19, $C$13, 100%, $E$13)</f>
        <v>12.231199999999999</v>
      </c>
    </row>
    <row r="712" spans="1:11" ht="15">
      <c r="A712" s="13">
        <v>63524</v>
      </c>
      <c r="B712" s="60">
        <f>10.276 * CHOOSE(CONTROL!$C$19, $C$13, 100%, $E$13)</f>
        <v>10.276</v>
      </c>
      <c r="C712" s="60">
        <f>10.276 * CHOOSE(CONTROL!$C$19, $C$13, 100%, $E$13)</f>
        <v>10.276</v>
      </c>
      <c r="D712" s="60">
        <f>10.2928 * CHOOSE(CONTROL!$C$19, $C$13, 100%, $E$13)</f>
        <v>10.2928</v>
      </c>
      <c r="E712" s="61">
        <f>12.1284 * CHOOSE(CONTROL!$C$19, $C$13, 100%, $E$13)</f>
        <v>12.128399999999999</v>
      </c>
      <c r="F712" s="61">
        <f>12.1284 * CHOOSE(CONTROL!$C$19, $C$13, 100%, $E$13)</f>
        <v>12.128399999999999</v>
      </c>
      <c r="G712" s="61">
        <f>12.1286 * CHOOSE(CONTROL!$C$19, $C$13, 100%, $E$13)</f>
        <v>12.1286</v>
      </c>
      <c r="H712" s="61">
        <f>17.1217* CHOOSE(CONTROL!$C$19, $C$13, 100%, $E$13)</f>
        <v>17.121700000000001</v>
      </c>
      <c r="I712" s="61">
        <f>17.1219 * CHOOSE(CONTROL!$C$19, $C$13, 100%, $E$13)</f>
        <v>17.1219</v>
      </c>
      <c r="J712" s="61">
        <f>12.1284 * CHOOSE(CONTROL!$C$19, $C$13, 100%, $E$13)</f>
        <v>12.128399999999999</v>
      </c>
      <c r="K712" s="61">
        <f>12.1286 * CHOOSE(CONTROL!$C$19, $C$13, 100%, $E$13)</f>
        <v>12.1286</v>
      </c>
    </row>
    <row r="713" spans="1:11" ht="15">
      <c r="A713" s="13">
        <v>63555</v>
      </c>
      <c r="B713" s="60">
        <f>10.3002 * CHOOSE(CONTROL!$C$19, $C$13, 100%, $E$13)</f>
        <v>10.3002</v>
      </c>
      <c r="C713" s="60">
        <f>10.3002 * CHOOSE(CONTROL!$C$19, $C$13, 100%, $E$13)</f>
        <v>10.3002</v>
      </c>
      <c r="D713" s="60">
        <f>10.3171 * CHOOSE(CONTROL!$C$19, $C$13, 100%, $E$13)</f>
        <v>10.3171</v>
      </c>
      <c r="E713" s="61">
        <f>12.2329 * CHOOSE(CONTROL!$C$19, $C$13, 100%, $E$13)</f>
        <v>12.232900000000001</v>
      </c>
      <c r="F713" s="61">
        <f>12.2329 * CHOOSE(CONTROL!$C$19, $C$13, 100%, $E$13)</f>
        <v>12.232900000000001</v>
      </c>
      <c r="G713" s="61">
        <f>12.233 * CHOOSE(CONTROL!$C$19, $C$13, 100%, $E$13)</f>
        <v>12.233000000000001</v>
      </c>
      <c r="H713" s="61">
        <f>17.0589* CHOOSE(CONTROL!$C$19, $C$13, 100%, $E$13)</f>
        <v>17.058900000000001</v>
      </c>
      <c r="I713" s="61">
        <f>17.0591 * CHOOSE(CONTROL!$C$19, $C$13, 100%, $E$13)</f>
        <v>17.059100000000001</v>
      </c>
      <c r="J713" s="61">
        <f>12.2329 * CHOOSE(CONTROL!$C$19, $C$13, 100%, $E$13)</f>
        <v>12.232900000000001</v>
      </c>
      <c r="K713" s="61">
        <f>12.233 * CHOOSE(CONTROL!$C$19, $C$13, 100%, $E$13)</f>
        <v>12.233000000000001</v>
      </c>
    </row>
    <row r="714" spans="1:11" ht="15">
      <c r="A714" s="13">
        <v>63586</v>
      </c>
      <c r="B714" s="60">
        <f>10.2972 * CHOOSE(CONTROL!$C$19, $C$13, 100%, $E$13)</f>
        <v>10.2972</v>
      </c>
      <c r="C714" s="60">
        <f>10.2972 * CHOOSE(CONTROL!$C$19, $C$13, 100%, $E$13)</f>
        <v>10.2972</v>
      </c>
      <c r="D714" s="60">
        <f>10.314 * CHOOSE(CONTROL!$C$19, $C$13, 100%, $E$13)</f>
        <v>10.314</v>
      </c>
      <c r="E714" s="61">
        <f>12.0322 * CHOOSE(CONTROL!$C$19, $C$13, 100%, $E$13)</f>
        <v>12.0322</v>
      </c>
      <c r="F714" s="61">
        <f>12.0322 * CHOOSE(CONTROL!$C$19, $C$13, 100%, $E$13)</f>
        <v>12.0322</v>
      </c>
      <c r="G714" s="61">
        <f>12.0324 * CHOOSE(CONTROL!$C$19, $C$13, 100%, $E$13)</f>
        <v>12.032400000000001</v>
      </c>
      <c r="H714" s="61">
        <f>17.0944* CHOOSE(CONTROL!$C$19, $C$13, 100%, $E$13)</f>
        <v>17.0944</v>
      </c>
      <c r="I714" s="61">
        <f>17.0946 * CHOOSE(CONTROL!$C$19, $C$13, 100%, $E$13)</f>
        <v>17.0946</v>
      </c>
      <c r="J714" s="61">
        <f>12.0322 * CHOOSE(CONTROL!$C$19, $C$13, 100%, $E$13)</f>
        <v>12.0322</v>
      </c>
      <c r="K714" s="61">
        <f>12.0324 * CHOOSE(CONTROL!$C$19, $C$13, 100%, $E$13)</f>
        <v>12.032400000000001</v>
      </c>
    </row>
    <row r="715" spans="1:11" ht="15">
      <c r="A715" s="13">
        <v>63614</v>
      </c>
      <c r="B715" s="60">
        <f>10.2942 * CHOOSE(CONTROL!$C$19, $C$13, 100%, $E$13)</f>
        <v>10.2942</v>
      </c>
      <c r="C715" s="60">
        <f>10.2942 * CHOOSE(CONTROL!$C$19, $C$13, 100%, $E$13)</f>
        <v>10.2942</v>
      </c>
      <c r="D715" s="60">
        <f>10.311 * CHOOSE(CONTROL!$C$19, $C$13, 100%, $E$13)</f>
        <v>10.311</v>
      </c>
      <c r="E715" s="61">
        <f>12.1866 * CHOOSE(CONTROL!$C$19, $C$13, 100%, $E$13)</f>
        <v>12.1866</v>
      </c>
      <c r="F715" s="61">
        <f>12.1866 * CHOOSE(CONTROL!$C$19, $C$13, 100%, $E$13)</f>
        <v>12.1866</v>
      </c>
      <c r="G715" s="61">
        <f>12.1868 * CHOOSE(CONTROL!$C$19, $C$13, 100%, $E$13)</f>
        <v>12.1868</v>
      </c>
      <c r="H715" s="61">
        <f>17.13* CHOOSE(CONTROL!$C$19, $C$13, 100%, $E$13)</f>
        <v>17.13</v>
      </c>
      <c r="I715" s="61">
        <f>17.1302 * CHOOSE(CONTROL!$C$19, $C$13, 100%, $E$13)</f>
        <v>17.130199999999999</v>
      </c>
      <c r="J715" s="61">
        <f>12.1866 * CHOOSE(CONTROL!$C$19, $C$13, 100%, $E$13)</f>
        <v>12.1866</v>
      </c>
      <c r="K715" s="61">
        <f>12.1868 * CHOOSE(CONTROL!$C$19, $C$13, 100%, $E$13)</f>
        <v>12.1868</v>
      </c>
    </row>
    <row r="716" spans="1:11" ht="15">
      <c r="A716" s="13">
        <v>63645</v>
      </c>
      <c r="B716" s="60">
        <f>10.298 * CHOOSE(CONTROL!$C$19, $C$13, 100%, $E$13)</f>
        <v>10.298</v>
      </c>
      <c r="C716" s="60">
        <f>10.298 * CHOOSE(CONTROL!$C$19, $C$13, 100%, $E$13)</f>
        <v>10.298</v>
      </c>
      <c r="D716" s="60">
        <f>10.3149 * CHOOSE(CONTROL!$C$19, $C$13, 100%, $E$13)</f>
        <v>10.3149</v>
      </c>
      <c r="E716" s="61">
        <f>12.3504 * CHOOSE(CONTROL!$C$19, $C$13, 100%, $E$13)</f>
        <v>12.3504</v>
      </c>
      <c r="F716" s="61">
        <f>12.3504 * CHOOSE(CONTROL!$C$19, $C$13, 100%, $E$13)</f>
        <v>12.3504</v>
      </c>
      <c r="G716" s="61">
        <f>12.3506 * CHOOSE(CONTROL!$C$19, $C$13, 100%, $E$13)</f>
        <v>12.3506</v>
      </c>
      <c r="H716" s="61">
        <f>17.1657* CHOOSE(CONTROL!$C$19, $C$13, 100%, $E$13)</f>
        <v>17.165700000000001</v>
      </c>
      <c r="I716" s="61">
        <f>17.1659 * CHOOSE(CONTROL!$C$19, $C$13, 100%, $E$13)</f>
        <v>17.165900000000001</v>
      </c>
      <c r="J716" s="61">
        <f>12.3504 * CHOOSE(CONTROL!$C$19, $C$13, 100%, $E$13)</f>
        <v>12.3504</v>
      </c>
      <c r="K716" s="61">
        <f>12.3506 * CHOOSE(CONTROL!$C$19, $C$13, 100%, $E$13)</f>
        <v>12.3506</v>
      </c>
    </row>
    <row r="717" spans="1:11" ht="15">
      <c r="A717" s="13">
        <v>63675</v>
      </c>
      <c r="B717" s="60">
        <f>10.298 * CHOOSE(CONTROL!$C$19, $C$13, 100%, $E$13)</f>
        <v>10.298</v>
      </c>
      <c r="C717" s="60">
        <f>10.298 * CHOOSE(CONTROL!$C$19, $C$13, 100%, $E$13)</f>
        <v>10.298</v>
      </c>
      <c r="D717" s="60">
        <f>10.3317 * CHOOSE(CONTROL!$C$19, $C$13, 100%, $E$13)</f>
        <v>10.3317</v>
      </c>
      <c r="E717" s="61">
        <f>12.4135 * CHOOSE(CONTROL!$C$19, $C$13, 100%, $E$13)</f>
        <v>12.413500000000001</v>
      </c>
      <c r="F717" s="61">
        <f>12.4135 * CHOOSE(CONTROL!$C$19, $C$13, 100%, $E$13)</f>
        <v>12.413500000000001</v>
      </c>
      <c r="G717" s="61">
        <f>12.4156 * CHOOSE(CONTROL!$C$19, $C$13, 100%, $E$13)</f>
        <v>12.4156</v>
      </c>
      <c r="H717" s="61">
        <f>17.2015* CHOOSE(CONTROL!$C$19, $C$13, 100%, $E$13)</f>
        <v>17.201499999999999</v>
      </c>
      <c r="I717" s="61">
        <f>17.2036 * CHOOSE(CONTROL!$C$19, $C$13, 100%, $E$13)</f>
        <v>17.203600000000002</v>
      </c>
      <c r="J717" s="61">
        <f>12.4135 * CHOOSE(CONTROL!$C$19, $C$13, 100%, $E$13)</f>
        <v>12.413500000000001</v>
      </c>
      <c r="K717" s="61">
        <f>12.4156 * CHOOSE(CONTROL!$C$19, $C$13, 100%, $E$13)</f>
        <v>12.4156</v>
      </c>
    </row>
    <row r="718" spans="1:11" ht="15">
      <c r="A718" s="13">
        <v>63706</v>
      </c>
      <c r="B718" s="60">
        <f>10.3041 * CHOOSE(CONTROL!$C$19, $C$13, 100%, $E$13)</f>
        <v>10.3041</v>
      </c>
      <c r="C718" s="60">
        <f>10.3041 * CHOOSE(CONTROL!$C$19, $C$13, 100%, $E$13)</f>
        <v>10.3041</v>
      </c>
      <c r="D718" s="60">
        <f>10.3378 * CHOOSE(CONTROL!$C$19, $C$13, 100%, $E$13)</f>
        <v>10.3378</v>
      </c>
      <c r="E718" s="61">
        <f>12.3547 * CHOOSE(CONTROL!$C$19, $C$13, 100%, $E$13)</f>
        <v>12.354699999999999</v>
      </c>
      <c r="F718" s="61">
        <f>12.3547 * CHOOSE(CONTROL!$C$19, $C$13, 100%, $E$13)</f>
        <v>12.354699999999999</v>
      </c>
      <c r="G718" s="61">
        <f>12.3568 * CHOOSE(CONTROL!$C$19, $C$13, 100%, $E$13)</f>
        <v>12.3568</v>
      </c>
      <c r="H718" s="61">
        <f>17.2373* CHOOSE(CONTROL!$C$19, $C$13, 100%, $E$13)</f>
        <v>17.237300000000001</v>
      </c>
      <c r="I718" s="61">
        <f>17.2394 * CHOOSE(CONTROL!$C$19, $C$13, 100%, $E$13)</f>
        <v>17.2394</v>
      </c>
      <c r="J718" s="61">
        <f>12.3547 * CHOOSE(CONTROL!$C$19, $C$13, 100%, $E$13)</f>
        <v>12.354699999999999</v>
      </c>
      <c r="K718" s="61">
        <f>12.3568 * CHOOSE(CONTROL!$C$19, $C$13, 100%, $E$13)</f>
        <v>12.3568</v>
      </c>
    </row>
    <row r="719" spans="1:11" ht="15">
      <c r="A719" s="13">
        <v>63736</v>
      </c>
      <c r="B719" s="60">
        <f>10.4498 * CHOOSE(CONTROL!$C$19, $C$13, 100%, $E$13)</f>
        <v>10.4498</v>
      </c>
      <c r="C719" s="60">
        <f>10.4498 * CHOOSE(CONTROL!$C$19, $C$13, 100%, $E$13)</f>
        <v>10.4498</v>
      </c>
      <c r="D719" s="60">
        <f>10.4834 * CHOOSE(CONTROL!$C$19, $C$13, 100%, $E$13)</f>
        <v>10.4834</v>
      </c>
      <c r="E719" s="61">
        <f>12.5811 * CHOOSE(CONTROL!$C$19, $C$13, 100%, $E$13)</f>
        <v>12.581099999999999</v>
      </c>
      <c r="F719" s="61">
        <f>12.5811 * CHOOSE(CONTROL!$C$19, $C$13, 100%, $E$13)</f>
        <v>12.581099999999999</v>
      </c>
      <c r="G719" s="61">
        <f>12.5832 * CHOOSE(CONTROL!$C$19, $C$13, 100%, $E$13)</f>
        <v>12.5832</v>
      </c>
      <c r="H719" s="61">
        <f>17.2732* CHOOSE(CONTROL!$C$19, $C$13, 100%, $E$13)</f>
        <v>17.273199999999999</v>
      </c>
      <c r="I719" s="61">
        <f>17.2753 * CHOOSE(CONTROL!$C$19, $C$13, 100%, $E$13)</f>
        <v>17.275300000000001</v>
      </c>
      <c r="J719" s="61">
        <f>12.5811 * CHOOSE(CONTROL!$C$19, $C$13, 100%, $E$13)</f>
        <v>12.581099999999999</v>
      </c>
      <c r="K719" s="61">
        <f>12.5832 * CHOOSE(CONTROL!$C$19, $C$13, 100%, $E$13)</f>
        <v>12.5832</v>
      </c>
    </row>
    <row r="720" spans="1:11" ht="15">
      <c r="A720" s="13">
        <v>63767</v>
      </c>
      <c r="B720" s="60">
        <f>10.4565 * CHOOSE(CONTROL!$C$19, $C$13, 100%, $E$13)</f>
        <v>10.4565</v>
      </c>
      <c r="C720" s="60">
        <f>10.4565 * CHOOSE(CONTROL!$C$19, $C$13, 100%, $E$13)</f>
        <v>10.4565</v>
      </c>
      <c r="D720" s="60">
        <f>10.4901 * CHOOSE(CONTROL!$C$19, $C$13, 100%, $E$13)</f>
        <v>10.4901</v>
      </c>
      <c r="E720" s="61">
        <f>12.3967 * CHOOSE(CONTROL!$C$19, $C$13, 100%, $E$13)</f>
        <v>12.396699999999999</v>
      </c>
      <c r="F720" s="61">
        <f>12.3967 * CHOOSE(CONTROL!$C$19, $C$13, 100%, $E$13)</f>
        <v>12.396699999999999</v>
      </c>
      <c r="G720" s="61">
        <f>12.3987 * CHOOSE(CONTROL!$C$19, $C$13, 100%, $E$13)</f>
        <v>12.3987</v>
      </c>
      <c r="H720" s="61">
        <f>17.3092* CHOOSE(CONTROL!$C$19, $C$13, 100%, $E$13)</f>
        <v>17.309200000000001</v>
      </c>
      <c r="I720" s="61">
        <f>17.3113 * CHOOSE(CONTROL!$C$19, $C$13, 100%, $E$13)</f>
        <v>17.311299999999999</v>
      </c>
      <c r="J720" s="61">
        <f>12.3967 * CHOOSE(CONTROL!$C$19, $C$13, 100%, $E$13)</f>
        <v>12.396699999999999</v>
      </c>
      <c r="K720" s="61">
        <f>12.3987 * CHOOSE(CONTROL!$C$19, $C$13, 100%, $E$13)</f>
        <v>12.3987</v>
      </c>
    </row>
    <row r="721" spans="1:11" ht="15">
      <c r="A721" s="13">
        <v>63798</v>
      </c>
      <c r="B721" s="60">
        <f>10.4534 * CHOOSE(CONTROL!$C$19, $C$13, 100%, $E$13)</f>
        <v>10.4534</v>
      </c>
      <c r="C721" s="60">
        <f>10.4534 * CHOOSE(CONTROL!$C$19, $C$13, 100%, $E$13)</f>
        <v>10.4534</v>
      </c>
      <c r="D721" s="60">
        <f>10.4871 * CHOOSE(CONTROL!$C$19, $C$13, 100%, $E$13)</f>
        <v>10.4871</v>
      </c>
      <c r="E721" s="61">
        <f>12.3735 * CHOOSE(CONTROL!$C$19, $C$13, 100%, $E$13)</f>
        <v>12.3735</v>
      </c>
      <c r="F721" s="61">
        <f>12.3735 * CHOOSE(CONTROL!$C$19, $C$13, 100%, $E$13)</f>
        <v>12.3735</v>
      </c>
      <c r="G721" s="61">
        <f>12.3756 * CHOOSE(CONTROL!$C$19, $C$13, 100%, $E$13)</f>
        <v>12.3756</v>
      </c>
      <c r="H721" s="61">
        <f>17.3453* CHOOSE(CONTROL!$C$19, $C$13, 100%, $E$13)</f>
        <v>17.345300000000002</v>
      </c>
      <c r="I721" s="61">
        <f>17.3474 * CHOOSE(CONTROL!$C$19, $C$13, 100%, $E$13)</f>
        <v>17.3474</v>
      </c>
      <c r="J721" s="61">
        <f>12.3735 * CHOOSE(CONTROL!$C$19, $C$13, 100%, $E$13)</f>
        <v>12.3735</v>
      </c>
      <c r="K721" s="61">
        <f>12.3756 * CHOOSE(CONTROL!$C$19, $C$13, 100%, $E$13)</f>
        <v>12.3756</v>
      </c>
    </row>
    <row r="722" spans="1:11" ht="15">
      <c r="A722" s="13">
        <v>63828</v>
      </c>
      <c r="B722" s="60">
        <f>10.473 * CHOOSE(CONTROL!$C$19, $C$13, 100%, $E$13)</f>
        <v>10.473000000000001</v>
      </c>
      <c r="C722" s="60">
        <f>10.473 * CHOOSE(CONTROL!$C$19, $C$13, 100%, $E$13)</f>
        <v>10.473000000000001</v>
      </c>
      <c r="D722" s="60">
        <f>10.4898 * CHOOSE(CONTROL!$C$19, $C$13, 100%, $E$13)</f>
        <v>10.489800000000001</v>
      </c>
      <c r="E722" s="61">
        <f>12.4441 * CHOOSE(CONTROL!$C$19, $C$13, 100%, $E$13)</f>
        <v>12.444100000000001</v>
      </c>
      <c r="F722" s="61">
        <f>12.4441 * CHOOSE(CONTROL!$C$19, $C$13, 100%, $E$13)</f>
        <v>12.444100000000001</v>
      </c>
      <c r="G722" s="61">
        <f>12.4443 * CHOOSE(CONTROL!$C$19, $C$13, 100%, $E$13)</f>
        <v>12.4443</v>
      </c>
      <c r="H722" s="61">
        <f>17.3814* CHOOSE(CONTROL!$C$19, $C$13, 100%, $E$13)</f>
        <v>17.381399999999999</v>
      </c>
      <c r="I722" s="61">
        <f>17.3816 * CHOOSE(CONTROL!$C$19, $C$13, 100%, $E$13)</f>
        <v>17.381599999999999</v>
      </c>
      <c r="J722" s="61">
        <f>12.4441 * CHOOSE(CONTROL!$C$19, $C$13, 100%, $E$13)</f>
        <v>12.444100000000001</v>
      </c>
      <c r="K722" s="61">
        <f>12.4443 * CHOOSE(CONTROL!$C$19, $C$13, 100%, $E$13)</f>
        <v>12.4443</v>
      </c>
    </row>
    <row r="723" spans="1:11" ht="15">
      <c r="A723" s="13">
        <v>63859</v>
      </c>
      <c r="B723" s="60">
        <f>10.476 * CHOOSE(CONTROL!$C$19, $C$13, 100%, $E$13)</f>
        <v>10.476000000000001</v>
      </c>
      <c r="C723" s="60">
        <f>10.476 * CHOOSE(CONTROL!$C$19, $C$13, 100%, $E$13)</f>
        <v>10.476000000000001</v>
      </c>
      <c r="D723" s="60">
        <f>10.4929 * CHOOSE(CONTROL!$C$19, $C$13, 100%, $E$13)</f>
        <v>10.492900000000001</v>
      </c>
      <c r="E723" s="61">
        <f>12.4883 * CHOOSE(CONTROL!$C$19, $C$13, 100%, $E$13)</f>
        <v>12.488300000000001</v>
      </c>
      <c r="F723" s="61">
        <f>12.4883 * CHOOSE(CONTROL!$C$19, $C$13, 100%, $E$13)</f>
        <v>12.488300000000001</v>
      </c>
      <c r="G723" s="61">
        <f>12.4885 * CHOOSE(CONTROL!$C$19, $C$13, 100%, $E$13)</f>
        <v>12.4885</v>
      </c>
      <c r="H723" s="61">
        <f>17.4176* CHOOSE(CONTROL!$C$19, $C$13, 100%, $E$13)</f>
        <v>17.4176</v>
      </c>
      <c r="I723" s="61">
        <f>17.4178 * CHOOSE(CONTROL!$C$19, $C$13, 100%, $E$13)</f>
        <v>17.4178</v>
      </c>
      <c r="J723" s="61">
        <f>12.4883 * CHOOSE(CONTROL!$C$19, $C$13, 100%, $E$13)</f>
        <v>12.488300000000001</v>
      </c>
      <c r="K723" s="61">
        <f>12.4885 * CHOOSE(CONTROL!$C$19, $C$13, 100%, $E$13)</f>
        <v>12.4885</v>
      </c>
    </row>
    <row r="724" spans="1:11" ht="15">
      <c r="A724" s="13">
        <v>63889</v>
      </c>
      <c r="B724" s="60">
        <f>10.476 * CHOOSE(CONTROL!$C$19, $C$13, 100%, $E$13)</f>
        <v>10.476000000000001</v>
      </c>
      <c r="C724" s="60">
        <f>10.476 * CHOOSE(CONTROL!$C$19, $C$13, 100%, $E$13)</f>
        <v>10.476000000000001</v>
      </c>
      <c r="D724" s="60">
        <f>10.4929 * CHOOSE(CONTROL!$C$19, $C$13, 100%, $E$13)</f>
        <v>10.492900000000001</v>
      </c>
      <c r="E724" s="61">
        <f>12.3832 * CHOOSE(CONTROL!$C$19, $C$13, 100%, $E$13)</f>
        <v>12.3832</v>
      </c>
      <c r="F724" s="61">
        <f>12.3832 * CHOOSE(CONTROL!$C$19, $C$13, 100%, $E$13)</f>
        <v>12.3832</v>
      </c>
      <c r="G724" s="61">
        <f>12.3834 * CHOOSE(CONTROL!$C$19, $C$13, 100%, $E$13)</f>
        <v>12.3834</v>
      </c>
      <c r="H724" s="61">
        <f>17.4539* CHOOSE(CONTROL!$C$19, $C$13, 100%, $E$13)</f>
        <v>17.453900000000001</v>
      </c>
      <c r="I724" s="61">
        <f>17.4541 * CHOOSE(CONTROL!$C$19, $C$13, 100%, $E$13)</f>
        <v>17.4541</v>
      </c>
      <c r="J724" s="61">
        <f>12.3832 * CHOOSE(CONTROL!$C$19, $C$13, 100%, $E$13)</f>
        <v>12.3832</v>
      </c>
      <c r="K724" s="61">
        <f>12.3834 * CHOOSE(CONTROL!$C$19, $C$13, 100%, $E$13)</f>
        <v>12.3834</v>
      </c>
    </row>
    <row r="725" spans="1:11" ht="15">
      <c r="A725" s="13">
        <v>63920</v>
      </c>
      <c r="B725" s="60">
        <f>10.4969 * CHOOSE(CONTROL!$C$19, $C$13, 100%, $E$13)</f>
        <v>10.4969</v>
      </c>
      <c r="C725" s="60">
        <f>10.4969 * CHOOSE(CONTROL!$C$19, $C$13, 100%, $E$13)</f>
        <v>10.4969</v>
      </c>
      <c r="D725" s="60">
        <f>10.5137 * CHOOSE(CONTROL!$C$19, $C$13, 100%, $E$13)</f>
        <v>10.5137</v>
      </c>
      <c r="E725" s="61">
        <f>12.4847 * CHOOSE(CONTROL!$C$19, $C$13, 100%, $E$13)</f>
        <v>12.4847</v>
      </c>
      <c r="F725" s="61">
        <f>12.4847 * CHOOSE(CONTROL!$C$19, $C$13, 100%, $E$13)</f>
        <v>12.4847</v>
      </c>
      <c r="G725" s="61">
        <f>12.4849 * CHOOSE(CONTROL!$C$19, $C$13, 100%, $E$13)</f>
        <v>12.4849</v>
      </c>
      <c r="H725" s="61">
        <f>17.3835* CHOOSE(CONTROL!$C$19, $C$13, 100%, $E$13)</f>
        <v>17.383500000000002</v>
      </c>
      <c r="I725" s="61">
        <f>17.3837 * CHOOSE(CONTROL!$C$19, $C$13, 100%, $E$13)</f>
        <v>17.383700000000001</v>
      </c>
      <c r="J725" s="61">
        <f>12.4847 * CHOOSE(CONTROL!$C$19, $C$13, 100%, $E$13)</f>
        <v>12.4847</v>
      </c>
      <c r="K725" s="61">
        <f>12.4849 * CHOOSE(CONTROL!$C$19, $C$13, 100%, $E$13)</f>
        <v>12.4849</v>
      </c>
    </row>
    <row r="726" spans="1:11" ht="15">
      <c r="A726" s="13">
        <v>63951</v>
      </c>
      <c r="B726" s="60">
        <f>10.4938 * CHOOSE(CONTROL!$C$19, $C$13, 100%, $E$13)</f>
        <v>10.4938</v>
      </c>
      <c r="C726" s="60">
        <f>10.4938 * CHOOSE(CONTROL!$C$19, $C$13, 100%, $E$13)</f>
        <v>10.4938</v>
      </c>
      <c r="D726" s="60">
        <f>10.5107 * CHOOSE(CONTROL!$C$19, $C$13, 100%, $E$13)</f>
        <v>10.5107</v>
      </c>
      <c r="E726" s="61">
        <f>12.2796 * CHOOSE(CONTROL!$C$19, $C$13, 100%, $E$13)</f>
        <v>12.2796</v>
      </c>
      <c r="F726" s="61">
        <f>12.2796 * CHOOSE(CONTROL!$C$19, $C$13, 100%, $E$13)</f>
        <v>12.2796</v>
      </c>
      <c r="G726" s="61">
        <f>12.2798 * CHOOSE(CONTROL!$C$19, $C$13, 100%, $E$13)</f>
        <v>12.2798</v>
      </c>
      <c r="H726" s="61">
        <f>17.4198* CHOOSE(CONTROL!$C$19, $C$13, 100%, $E$13)</f>
        <v>17.419799999999999</v>
      </c>
      <c r="I726" s="61">
        <f>17.4199 * CHOOSE(CONTROL!$C$19, $C$13, 100%, $E$13)</f>
        <v>17.419899999999998</v>
      </c>
      <c r="J726" s="61">
        <f>12.2796 * CHOOSE(CONTROL!$C$19, $C$13, 100%, $E$13)</f>
        <v>12.2796</v>
      </c>
      <c r="K726" s="61">
        <f>12.2798 * CHOOSE(CONTROL!$C$19, $C$13, 100%, $E$13)</f>
        <v>12.2798</v>
      </c>
    </row>
    <row r="727" spans="1:11" ht="15">
      <c r="A727" s="13">
        <v>63979</v>
      </c>
      <c r="B727" s="60">
        <f>10.4908 * CHOOSE(CONTROL!$C$19, $C$13, 100%, $E$13)</f>
        <v>10.4908</v>
      </c>
      <c r="C727" s="60">
        <f>10.4908 * CHOOSE(CONTROL!$C$19, $C$13, 100%, $E$13)</f>
        <v>10.4908</v>
      </c>
      <c r="D727" s="60">
        <f>10.5076 * CHOOSE(CONTROL!$C$19, $C$13, 100%, $E$13)</f>
        <v>10.5076</v>
      </c>
      <c r="E727" s="61">
        <f>12.4375 * CHOOSE(CONTROL!$C$19, $C$13, 100%, $E$13)</f>
        <v>12.4375</v>
      </c>
      <c r="F727" s="61">
        <f>12.4375 * CHOOSE(CONTROL!$C$19, $C$13, 100%, $E$13)</f>
        <v>12.4375</v>
      </c>
      <c r="G727" s="61">
        <f>12.4377 * CHOOSE(CONTROL!$C$19, $C$13, 100%, $E$13)</f>
        <v>12.4377</v>
      </c>
      <c r="H727" s="61">
        <f>17.4561* CHOOSE(CONTROL!$C$19, $C$13, 100%, $E$13)</f>
        <v>17.456099999999999</v>
      </c>
      <c r="I727" s="61">
        <f>17.4562 * CHOOSE(CONTROL!$C$19, $C$13, 100%, $E$13)</f>
        <v>17.456199999999999</v>
      </c>
      <c r="J727" s="61">
        <f>12.4375 * CHOOSE(CONTROL!$C$19, $C$13, 100%, $E$13)</f>
        <v>12.4375</v>
      </c>
      <c r="K727" s="61">
        <f>12.4377 * CHOOSE(CONTROL!$C$19, $C$13, 100%, $E$13)</f>
        <v>12.4377</v>
      </c>
    </row>
    <row r="728" spans="1:11" ht="15">
      <c r="A728" s="13">
        <v>64010</v>
      </c>
      <c r="B728" s="60">
        <f>10.4948 * CHOOSE(CONTROL!$C$19, $C$13, 100%, $E$13)</f>
        <v>10.4948</v>
      </c>
      <c r="C728" s="60">
        <f>10.4948 * CHOOSE(CONTROL!$C$19, $C$13, 100%, $E$13)</f>
        <v>10.4948</v>
      </c>
      <c r="D728" s="60">
        <f>10.5117 * CHOOSE(CONTROL!$C$19, $C$13, 100%, $E$13)</f>
        <v>10.511699999999999</v>
      </c>
      <c r="E728" s="61">
        <f>12.6051 * CHOOSE(CONTROL!$C$19, $C$13, 100%, $E$13)</f>
        <v>12.6051</v>
      </c>
      <c r="F728" s="61">
        <f>12.6051 * CHOOSE(CONTROL!$C$19, $C$13, 100%, $E$13)</f>
        <v>12.6051</v>
      </c>
      <c r="G728" s="61">
        <f>12.6053 * CHOOSE(CONTROL!$C$19, $C$13, 100%, $E$13)</f>
        <v>12.6053</v>
      </c>
      <c r="H728" s="61">
        <f>17.4924* CHOOSE(CONTROL!$C$19, $C$13, 100%, $E$13)</f>
        <v>17.4924</v>
      </c>
      <c r="I728" s="61">
        <f>17.4926 * CHOOSE(CONTROL!$C$19, $C$13, 100%, $E$13)</f>
        <v>17.492599999999999</v>
      </c>
      <c r="J728" s="61">
        <f>12.6051 * CHOOSE(CONTROL!$C$19, $C$13, 100%, $E$13)</f>
        <v>12.6051</v>
      </c>
      <c r="K728" s="61">
        <f>12.6053 * CHOOSE(CONTROL!$C$19, $C$13, 100%, $E$13)</f>
        <v>12.6053</v>
      </c>
    </row>
    <row r="729" spans="1:11" ht="15">
      <c r="A729" s="13">
        <v>64040</v>
      </c>
      <c r="B729" s="60">
        <f>10.4948 * CHOOSE(CONTROL!$C$19, $C$13, 100%, $E$13)</f>
        <v>10.4948</v>
      </c>
      <c r="C729" s="60">
        <f>10.4948 * CHOOSE(CONTROL!$C$19, $C$13, 100%, $E$13)</f>
        <v>10.4948</v>
      </c>
      <c r="D729" s="60">
        <f>10.5285 * CHOOSE(CONTROL!$C$19, $C$13, 100%, $E$13)</f>
        <v>10.528499999999999</v>
      </c>
      <c r="E729" s="61">
        <f>12.6696 * CHOOSE(CONTROL!$C$19, $C$13, 100%, $E$13)</f>
        <v>12.669600000000001</v>
      </c>
      <c r="F729" s="61">
        <f>12.6696 * CHOOSE(CONTROL!$C$19, $C$13, 100%, $E$13)</f>
        <v>12.669600000000001</v>
      </c>
      <c r="G729" s="61">
        <f>12.6716 * CHOOSE(CONTROL!$C$19, $C$13, 100%, $E$13)</f>
        <v>12.6716</v>
      </c>
      <c r="H729" s="61">
        <f>17.5289* CHOOSE(CONTROL!$C$19, $C$13, 100%, $E$13)</f>
        <v>17.5289</v>
      </c>
      <c r="I729" s="61">
        <f>17.531 * CHOOSE(CONTROL!$C$19, $C$13, 100%, $E$13)</f>
        <v>17.530999999999999</v>
      </c>
      <c r="J729" s="61">
        <f>12.6696 * CHOOSE(CONTROL!$C$19, $C$13, 100%, $E$13)</f>
        <v>12.669600000000001</v>
      </c>
      <c r="K729" s="61">
        <f>12.6716 * CHOOSE(CONTROL!$C$19, $C$13, 100%, $E$13)</f>
        <v>12.6716</v>
      </c>
    </row>
    <row r="730" spans="1:11" ht="15">
      <c r="A730" s="13">
        <v>64071</v>
      </c>
      <c r="B730" s="60">
        <f>10.5009 * CHOOSE(CONTROL!$C$19, $C$13, 100%, $E$13)</f>
        <v>10.5009</v>
      </c>
      <c r="C730" s="60">
        <f>10.5009 * CHOOSE(CONTROL!$C$19, $C$13, 100%, $E$13)</f>
        <v>10.5009</v>
      </c>
      <c r="D730" s="60">
        <f>10.5346 * CHOOSE(CONTROL!$C$19, $C$13, 100%, $E$13)</f>
        <v>10.534599999999999</v>
      </c>
      <c r="E730" s="61">
        <f>12.6093 * CHOOSE(CONTROL!$C$19, $C$13, 100%, $E$13)</f>
        <v>12.609299999999999</v>
      </c>
      <c r="F730" s="61">
        <f>12.6093 * CHOOSE(CONTROL!$C$19, $C$13, 100%, $E$13)</f>
        <v>12.609299999999999</v>
      </c>
      <c r="G730" s="61">
        <f>12.6114 * CHOOSE(CONTROL!$C$19, $C$13, 100%, $E$13)</f>
        <v>12.6114</v>
      </c>
      <c r="H730" s="61">
        <f>17.5654* CHOOSE(CONTROL!$C$19, $C$13, 100%, $E$13)</f>
        <v>17.5654</v>
      </c>
      <c r="I730" s="61">
        <f>17.5675 * CHOOSE(CONTROL!$C$19, $C$13, 100%, $E$13)</f>
        <v>17.567499999999999</v>
      </c>
      <c r="J730" s="61">
        <f>12.6093 * CHOOSE(CONTROL!$C$19, $C$13, 100%, $E$13)</f>
        <v>12.609299999999999</v>
      </c>
      <c r="K730" s="61">
        <f>12.6114 * CHOOSE(CONTROL!$C$19, $C$13, 100%, $E$13)</f>
        <v>12.6114</v>
      </c>
    </row>
    <row r="731" spans="1:11" ht="15">
      <c r="A731" s="13">
        <v>64101</v>
      </c>
      <c r="B731" s="60">
        <f>10.6491 * CHOOSE(CONTROL!$C$19, $C$13, 100%, $E$13)</f>
        <v>10.649100000000001</v>
      </c>
      <c r="C731" s="60">
        <f>10.6491 * CHOOSE(CONTROL!$C$19, $C$13, 100%, $E$13)</f>
        <v>10.649100000000001</v>
      </c>
      <c r="D731" s="60">
        <f>10.6827 * CHOOSE(CONTROL!$C$19, $C$13, 100%, $E$13)</f>
        <v>10.682700000000001</v>
      </c>
      <c r="E731" s="61">
        <f>12.8402 * CHOOSE(CONTROL!$C$19, $C$13, 100%, $E$13)</f>
        <v>12.840199999999999</v>
      </c>
      <c r="F731" s="61">
        <f>12.8402 * CHOOSE(CONTROL!$C$19, $C$13, 100%, $E$13)</f>
        <v>12.840199999999999</v>
      </c>
      <c r="G731" s="61">
        <f>12.8423 * CHOOSE(CONTROL!$C$19, $C$13, 100%, $E$13)</f>
        <v>12.8423</v>
      </c>
      <c r="H731" s="61">
        <f>17.602* CHOOSE(CONTROL!$C$19, $C$13, 100%, $E$13)</f>
        <v>17.602</v>
      </c>
      <c r="I731" s="61">
        <f>17.6041 * CHOOSE(CONTROL!$C$19, $C$13, 100%, $E$13)</f>
        <v>17.604099999999999</v>
      </c>
      <c r="J731" s="61">
        <f>12.8402 * CHOOSE(CONTROL!$C$19, $C$13, 100%, $E$13)</f>
        <v>12.840199999999999</v>
      </c>
      <c r="K731" s="61">
        <f>12.8423 * CHOOSE(CONTROL!$C$19, $C$13, 100%, $E$13)</f>
        <v>12.8423</v>
      </c>
    </row>
    <row r="732" spans="1:11" ht="15">
      <c r="A732" s="13">
        <v>64132</v>
      </c>
      <c r="B732" s="60">
        <f>10.6558 * CHOOSE(CONTROL!$C$19, $C$13, 100%, $E$13)</f>
        <v>10.655799999999999</v>
      </c>
      <c r="C732" s="60">
        <f>10.6558 * CHOOSE(CONTROL!$C$19, $C$13, 100%, $E$13)</f>
        <v>10.655799999999999</v>
      </c>
      <c r="D732" s="60">
        <f>10.6894 * CHOOSE(CONTROL!$C$19, $C$13, 100%, $E$13)</f>
        <v>10.689399999999999</v>
      </c>
      <c r="E732" s="61">
        <f>12.6515 * CHOOSE(CONTROL!$C$19, $C$13, 100%, $E$13)</f>
        <v>12.6515</v>
      </c>
      <c r="F732" s="61">
        <f>12.6515 * CHOOSE(CONTROL!$C$19, $C$13, 100%, $E$13)</f>
        <v>12.6515</v>
      </c>
      <c r="G732" s="61">
        <f>12.6536 * CHOOSE(CONTROL!$C$19, $C$13, 100%, $E$13)</f>
        <v>12.653600000000001</v>
      </c>
      <c r="H732" s="61">
        <f>17.6386* CHOOSE(CONTROL!$C$19, $C$13, 100%, $E$13)</f>
        <v>17.6386</v>
      </c>
      <c r="I732" s="61">
        <f>17.6407 * CHOOSE(CONTROL!$C$19, $C$13, 100%, $E$13)</f>
        <v>17.640699999999999</v>
      </c>
      <c r="J732" s="61">
        <f>12.6515 * CHOOSE(CONTROL!$C$19, $C$13, 100%, $E$13)</f>
        <v>12.6515</v>
      </c>
      <c r="K732" s="61">
        <f>12.6536 * CHOOSE(CONTROL!$C$19, $C$13, 100%, $E$13)</f>
        <v>12.653600000000001</v>
      </c>
    </row>
    <row r="733" spans="1:11" ht="15">
      <c r="A733" s="13">
        <v>64163</v>
      </c>
      <c r="B733" s="60">
        <f>10.6527 * CHOOSE(CONTROL!$C$19, $C$13, 100%, $E$13)</f>
        <v>10.652699999999999</v>
      </c>
      <c r="C733" s="60">
        <f>10.6527 * CHOOSE(CONTROL!$C$19, $C$13, 100%, $E$13)</f>
        <v>10.652699999999999</v>
      </c>
      <c r="D733" s="60">
        <f>10.6864 * CHOOSE(CONTROL!$C$19, $C$13, 100%, $E$13)</f>
        <v>10.686400000000001</v>
      </c>
      <c r="E733" s="61">
        <f>12.6279 * CHOOSE(CONTROL!$C$19, $C$13, 100%, $E$13)</f>
        <v>12.6279</v>
      </c>
      <c r="F733" s="61">
        <f>12.6279 * CHOOSE(CONTROL!$C$19, $C$13, 100%, $E$13)</f>
        <v>12.6279</v>
      </c>
      <c r="G733" s="61">
        <f>12.63 * CHOOSE(CONTROL!$C$19, $C$13, 100%, $E$13)</f>
        <v>12.63</v>
      </c>
      <c r="H733" s="61">
        <f>17.6754* CHOOSE(CONTROL!$C$19, $C$13, 100%, $E$13)</f>
        <v>17.6754</v>
      </c>
      <c r="I733" s="61">
        <f>17.6775 * CHOOSE(CONTROL!$C$19, $C$13, 100%, $E$13)</f>
        <v>17.677499999999998</v>
      </c>
      <c r="J733" s="61">
        <f>12.6279 * CHOOSE(CONTROL!$C$19, $C$13, 100%, $E$13)</f>
        <v>12.6279</v>
      </c>
      <c r="K733" s="61">
        <f>12.63 * CHOOSE(CONTROL!$C$19, $C$13, 100%, $E$13)</f>
        <v>12.63</v>
      </c>
    </row>
    <row r="734" spans="1:11" ht="15">
      <c r="A734" s="13">
        <v>64193</v>
      </c>
      <c r="B734" s="60">
        <f>10.6731 * CHOOSE(CONTROL!$C$19, $C$13, 100%, $E$13)</f>
        <v>10.6731</v>
      </c>
      <c r="C734" s="60">
        <f>10.6731 * CHOOSE(CONTROL!$C$19, $C$13, 100%, $E$13)</f>
        <v>10.6731</v>
      </c>
      <c r="D734" s="60">
        <f>10.6899 * CHOOSE(CONTROL!$C$19, $C$13, 100%, $E$13)</f>
        <v>10.6899</v>
      </c>
      <c r="E734" s="61">
        <f>12.7004 * CHOOSE(CONTROL!$C$19, $C$13, 100%, $E$13)</f>
        <v>12.7004</v>
      </c>
      <c r="F734" s="61">
        <f>12.7004 * CHOOSE(CONTROL!$C$19, $C$13, 100%, $E$13)</f>
        <v>12.7004</v>
      </c>
      <c r="G734" s="61">
        <f>12.7006 * CHOOSE(CONTROL!$C$19, $C$13, 100%, $E$13)</f>
        <v>12.7006</v>
      </c>
      <c r="H734" s="61">
        <f>17.7122* CHOOSE(CONTROL!$C$19, $C$13, 100%, $E$13)</f>
        <v>17.712199999999999</v>
      </c>
      <c r="I734" s="61">
        <f>17.7124 * CHOOSE(CONTROL!$C$19, $C$13, 100%, $E$13)</f>
        <v>17.712399999999999</v>
      </c>
      <c r="J734" s="61">
        <f>12.7004 * CHOOSE(CONTROL!$C$19, $C$13, 100%, $E$13)</f>
        <v>12.7004</v>
      </c>
      <c r="K734" s="61">
        <f>12.7006 * CHOOSE(CONTROL!$C$19, $C$13, 100%, $E$13)</f>
        <v>12.7006</v>
      </c>
    </row>
    <row r="735" spans="1:11" ht="15">
      <c r="A735" s="13">
        <v>64224</v>
      </c>
      <c r="B735" s="60">
        <f>10.6761 * CHOOSE(CONTROL!$C$19, $C$13, 100%, $E$13)</f>
        <v>10.6761</v>
      </c>
      <c r="C735" s="60">
        <f>10.6761 * CHOOSE(CONTROL!$C$19, $C$13, 100%, $E$13)</f>
        <v>10.6761</v>
      </c>
      <c r="D735" s="60">
        <f>10.6929 * CHOOSE(CONTROL!$C$19, $C$13, 100%, $E$13)</f>
        <v>10.6929</v>
      </c>
      <c r="E735" s="61">
        <f>12.7455 * CHOOSE(CONTROL!$C$19, $C$13, 100%, $E$13)</f>
        <v>12.7455</v>
      </c>
      <c r="F735" s="61">
        <f>12.7455 * CHOOSE(CONTROL!$C$19, $C$13, 100%, $E$13)</f>
        <v>12.7455</v>
      </c>
      <c r="G735" s="61">
        <f>12.7457 * CHOOSE(CONTROL!$C$19, $C$13, 100%, $E$13)</f>
        <v>12.745699999999999</v>
      </c>
      <c r="H735" s="61">
        <f>17.7491* CHOOSE(CONTROL!$C$19, $C$13, 100%, $E$13)</f>
        <v>17.749099999999999</v>
      </c>
      <c r="I735" s="61">
        <f>17.7493 * CHOOSE(CONTROL!$C$19, $C$13, 100%, $E$13)</f>
        <v>17.749300000000002</v>
      </c>
      <c r="J735" s="61">
        <f>12.7455 * CHOOSE(CONTROL!$C$19, $C$13, 100%, $E$13)</f>
        <v>12.7455</v>
      </c>
      <c r="K735" s="61">
        <f>12.7457 * CHOOSE(CONTROL!$C$19, $C$13, 100%, $E$13)</f>
        <v>12.745699999999999</v>
      </c>
    </row>
    <row r="736" spans="1:11" ht="15">
      <c r="A736" s="13">
        <v>64254</v>
      </c>
      <c r="B736" s="60">
        <f>10.6761 * CHOOSE(CONTROL!$C$19, $C$13, 100%, $E$13)</f>
        <v>10.6761</v>
      </c>
      <c r="C736" s="60">
        <f>10.6761 * CHOOSE(CONTROL!$C$19, $C$13, 100%, $E$13)</f>
        <v>10.6761</v>
      </c>
      <c r="D736" s="60">
        <f>10.6929 * CHOOSE(CONTROL!$C$19, $C$13, 100%, $E$13)</f>
        <v>10.6929</v>
      </c>
      <c r="E736" s="61">
        <f>12.6381 * CHOOSE(CONTROL!$C$19, $C$13, 100%, $E$13)</f>
        <v>12.6381</v>
      </c>
      <c r="F736" s="61">
        <f>12.6381 * CHOOSE(CONTROL!$C$19, $C$13, 100%, $E$13)</f>
        <v>12.6381</v>
      </c>
      <c r="G736" s="61">
        <f>12.6383 * CHOOSE(CONTROL!$C$19, $C$13, 100%, $E$13)</f>
        <v>12.638299999999999</v>
      </c>
      <c r="H736" s="61">
        <f>17.7861* CHOOSE(CONTROL!$C$19, $C$13, 100%, $E$13)</f>
        <v>17.786100000000001</v>
      </c>
      <c r="I736" s="61">
        <f>17.7863 * CHOOSE(CONTROL!$C$19, $C$13, 100%, $E$13)</f>
        <v>17.786300000000001</v>
      </c>
      <c r="J736" s="61">
        <f>12.6381 * CHOOSE(CONTROL!$C$19, $C$13, 100%, $E$13)</f>
        <v>12.6381</v>
      </c>
      <c r="K736" s="61">
        <f>12.6383 * CHOOSE(CONTROL!$C$19, $C$13, 100%, $E$13)</f>
        <v>12.638299999999999</v>
      </c>
    </row>
    <row r="737" spans="1:11" ht="15">
      <c r="A737" s="13">
        <v>64285</v>
      </c>
      <c r="B737" s="60">
        <f>10.6935 * CHOOSE(CONTROL!$C$19, $C$13, 100%, $E$13)</f>
        <v>10.6935</v>
      </c>
      <c r="C737" s="60">
        <f>10.6935 * CHOOSE(CONTROL!$C$19, $C$13, 100%, $E$13)</f>
        <v>10.6935</v>
      </c>
      <c r="D737" s="60">
        <f>10.7103 * CHOOSE(CONTROL!$C$19, $C$13, 100%, $E$13)</f>
        <v>10.7103</v>
      </c>
      <c r="E737" s="61">
        <f>12.7365 * CHOOSE(CONTROL!$C$19, $C$13, 100%, $E$13)</f>
        <v>12.736499999999999</v>
      </c>
      <c r="F737" s="61">
        <f>12.7365 * CHOOSE(CONTROL!$C$19, $C$13, 100%, $E$13)</f>
        <v>12.736499999999999</v>
      </c>
      <c r="G737" s="61">
        <f>12.7367 * CHOOSE(CONTROL!$C$19, $C$13, 100%, $E$13)</f>
        <v>12.736700000000001</v>
      </c>
      <c r="H737" s="61">
        <f>17.7082* CHOOSE(CONTROL!$C$19, $C$13, 100%, $E$13)</f>
        <v>17.708200000000001</v>
      </c>
      <c r="I737" s="61">
        <f>17.7084 * CHOOSE(CONTROL!$C$19, $C$13, 100%, $E$13)</f>
        <v>17.708400000000001</v>
      </c>
      <c r="J737" s="61">
        <f>12.7365 * CHOOSE(CONTROL!$C$19, $C$13, 100%, $E$13)</f>
        <v>12.736499999999999</v>
      </c>
      <c r="K737" s="61">
        <f>12.7367 * CHOOSE(CONTROL!$C$19, $C$13, 100%, $E$13)</f>
        <v>12.736700000000001</v>
      </c>
    </row>
    <row r="738" spans="1:11" ht="15">
      <c r="A738" s="13">
        <v>64316</v>
      </c>
      <c r="B738" s="60">
        <f>10.6904 * CHOOSE(CONTROL!$C$19, $C$13, 100%, $E$13)</f>
        <v>10.6904</v>
      </c>
      <c r="C738" s="60">
        <f>10.6904 * CHOOSE(CONTROL!$C$19, $C$13, 100%, $E$13)</f>
        <v>10.6904</v>
      </c>
      <c r="D738" s="60">
        <f>10.7073 * CHOOSE(CONTROL!$C$19, $C$13, 100%, $E$13)</f>
        <v>10.7073</v>
      </c>
      <c r="E738" s="61">
        <f>12.527 * CHOOSE(CONTROL!$C$19, $C$13, 100%, $E$13)</f>
        <v>12.526999999999999</v>
      </c>
      <c r="F738" s="61">
        <f>12.527 * CHOOSE(CONTROL!$C$19, $C$13, 100%, $E$13)</f>
        <v>12.526999999999999</v>
      </c>
      <c r="G738" s="61">
        <f>12.5271 * CHOOSE(CONTROL!$C$19, $C$13, 100%, $E$13)</f>
        <v>12.527100000000001</v>
      </c>
      <c r="H738" s="61">
        <f>17.7451* CHOOSE(CONTROL!$C$19, $C$13, 100%, $E$13)</f>
        <v>17.745100000000001</v>
      </c>
      <c r="I738" s="61">
        <f>17.7453 * CHOOSE(CONTROL!$C$19, $C$13, 100%, $E$13)</f>
        <v>17.7453</v>
      </c>
      <c r="J738" s="61">
        <f>12.527 * CHOOSE(CONTROL!$C$19, $C$13, 100%, $E$13)</f>
        <v>12.526999999999999</v>
      </c>
      <c r="K738" s="61">
        <f>12.5271 * CHOOSE(CONTROL!$C$19, $C$13, 100%, $E$13)</f>
        <v>12.527100000000001</v>
      </c>
    </row>
    <row r="739" spans="1:11" ht="15">
      <c r="A739" s="13">
        <v>64345</v>
      </c>
      <c r="B739" s="60">
        <f>10.6874 * CHOOSE(CONTROL!$C$19, $C$13, 100%, $E$13)</f>
        <v>10.6874</v>
      </c>
      <c r="C739" s="60">
        <f>10.6874 * CHOOSE(CONTROL!$C$19, $C$13, 100%, $E$13)</f>
        <v>10.6874</v>
      </c>
      <c r="D739" s="60">
        <f>10.7042 * CHOOSE(CONTROL!$C$19, $C$13, 100%, $E$13)</f>
        <v>10.7042</v>
      </c>
      <c r="E739" s="61">
        <f>12.6884 * CHOOSE(CONTROL!$C$19, $C$13, 100%, $E$13)</f>
        <v>12.6884</v>
      </c>
      <c r="F739" s="61">
        <f>12.6884 * CHOOSE(CONTROL!$C$19, $C$13, 100%, $E$13)</f>
        <v>12.6884</v>
      </c>
      <c r="G739" s="61">
        <f>12.6886 * CHOOSE(CONTROL!$C$19, $C$13, 100%, $E$13)</f>
        <v>12.688599999999999</v>
      </c>
      <c r="H739" s="61">
        <f>17.7821* CHOOSE(CONTROL!$C$19, $C$13, 100%, $E$13)</f>
        <v>17.7821</v>
      </c>
      <c r="I739" s="61">
        <f>17.7822 * CHOOSE(CONTROL!$C$19, $C$13, 100%, $E$13)</f>
        <v>17.7822</v>
      </c>
      <c r="J739" s="61">
        <f>12.6884 * CHOOSE(CONTROL!$C$19, $C$13, 100%, $E$13)</f>
        <v>12.6884</v>
      </c>
      <c r="K739" s="61">
        <f>12.6886 * CHOOSE(CONTROL!$C$19, $C$13, 100%, $E$13)</f>
        <v>12.688599999999999</v>
      </c>
    </row>
    <row r="740" spans="1:11" ht="15">
      <c r="A740" s="13">
        <v>64376</v>
      </c>
      <c r="B740" s="60">
        <f>10.6917 * CHOOSE(CONTROL!$C$19, $C$13, 100%, $E$13)</f>
        <v>10.691700000000001</v>
      </c>
      <c r="C740" s="60">
        <f>10.6917 * CHOOSE(CONTROL!$C$19, $C$13, 100%, $E$13)</f>
        <v>10.691700000000001</v>
      </c>
      <c r="D740" s="60">
        <f>10.7085 * CHOOSE(CONTROL!$C$19, $C$13, 100%, $E$13)</f>
        <v>10.708500000000001</v>
      </c>
      <c r="E740" s="61">
        <f>12.8598 * CHOOSE(CONTROL!$C$19, $C$13, 100%, $E$13)</f>
        <v>12.8598</v>
      </c>
      <c r="F740" s="61">
        <f>12.8598 * CHOOSE(CONTROL!$C$19, $C$13, 100%, $E$13)</f>
        <v>12.8598</v>
      </c>
      <c r="G740" s="61">
        <f>12.86 * CHOOSE(CONTROL!$C$19, $C$13, 100%, $E$13)</f>
        <v>12.86</v>
      </c>
      <c r="H740" s="61">
        <f>17.8191* CHOOSE(CONTROL!$C$19, $C$13, 100%, $E$13)</f>
        <v>17.819099999999999</v>
      </c>
      <c r="I740" s="61">
        <f>17.8193 * CHOOSE(CONTROL!$C$19, $C$13, 100%, $E$13)</f>
        <v>17.819299999999998</v>
      </c>
      <c r="J740" s="61">
        <f>12.8598 * CHOOSE(CONTROL!$C$19, $C$13, 100%, $E$13)</f>
        <v>12.8598</v>
      </c>
      <c r="K740" s="61">
        <f>12.86 * CHOOSE(CONTROL!$C$19, $C$13, 100%, $E$13)</f>
        <v>12.86</v>
      </c>
    </row>
    <row r="741" spans="1:11" ht="15">
      <c r="A741" s="13">
        <v>64406</v>
      </c>
      <c r="B741" s="60">
        <f>10.6917 * CHOOSE(CONTROL!$C$19, $C$13, 100%, $E$13)</f>
        <v>10.691700000000001</v>
      </c>
      <c r="C741" s="60">
        <f>10.6917 * CHOOSE(CONTROL!$C$19, $C$13, 100%, $E$13)</f>
        <v>10.691700000000001</v>
      </c>
      <c r="D741" s="60">
        <f>10.7253 * CHOOSE(CONTROL!$C$19, $C$13, 100%, $E$13)</f>
        <v>10.725300000000001</v>
      </c>
      <c r="E741" s="61">
        <f>12.9257 * CHOOSE(CONTROL!$C$19, $C$13, 100%, $E$13)</f>
        <v>12.925700000000001</v>
      </c>
      <c r="F741" s="61">
        <f>12.9257 * CHOOSE(CONTROL!$C$19, $C$13, 100%, $E$13)</f>
        <v>12.925700000000001</v>
      </c>
      <c r="G741" s="61">
        <f>12.9277 * CHOOSE(CONTROL!$C$19, $C$13, 100%, $E$13)</f>
        <v>12.9277</v>
      </c>
      <c r="H741" s="61">
        <f>17.8562* CHOOSE(CONTROL!$C$19, $C$13, 100%, $E$13)</f>
        <v>17.856200000000001</v>
      </c>
      <c r="I741" s="61">
        <f>17.8583 * CHOOSE(CONTROL!$C$19, $C$13, 100%, $E$13)</f>
        <v>17.8583</v>
      </c>
      <c r="J741" s="61">
        <f>12.9257 * CHOOSE(CONTROL!$C$19, $C$13, 100%, $E$13)</f>
        <v>12.925700000000001</v>
      </c>
      <c r="K741" s="61">
        <f>12.9277 * CHOOSE(CONTROL!$C$19, $C$13, 100%, $E$13)</f>
        <v>12.9277</v>
      </c>
    </row>
    <row r="742" spans="1:11" ht="15">
      <c r="A742" s="13">
        <v>64437</v>
      </c>
      <c r="B742" s="60">
        <f>10.6977 * CHOOSE(CONTROL!$C$19, $C$13, 100%, $E$13)</f>
        <v>10.697699999999999</v>
      </c>
      <c r="C742" s="60">
        <f>10.6977 * CHOOSE(CONTROL!$C$19, $C$13, 100%, $E$13)</f>
        <v>10.697699999999999</v>
      </c>
      <c r="D742" s="60">
        <f>10.7314 * CHOOSE(CONTROL!$C$19, $C$13, 100%, $E$13)</f>
        <v>10.731400000000001</v>
      </c>
      <c r="E742" s="61">
        <f>12.864 * CHOOSE(CONTROL!$C$19, $C$13, 100%, $E$13)</f>
        <v>12.864000000000001</v>
      </c>
      <c r="F742" s="61">
        <f>12.864 * CHOOSE(CONTROL!$C$19, $C$13, 100%, $E$13)</f>
        <v>12.864000000000001</v>
      </c>
      <c r="G742" s="61">
        <f>12.8661 * CHOOSE(CONTROL!$C$19, $C$13, 100%, $E$13)</f>
        <v>12.866099999999999</v>
      </c>
      <c r="H742" s="61">
        <f>17.8934* CHOOSE(CONTROL!$C$19, $C$13, 100%, $E$13)</f>
        <v>17.8934</v>
      </c>
      <c r="I742" s="61">
        <f>17.8955 * CHOOSE(CONTROL!$C$19, $C$13, 100%, $E$13)</f>
        <v>17.895499999999998</v>
      </c>
      <c r="J742" s="61">
        <f>12.864 * CHOOSE(CONTROL!$C$19, $C$13, 100%, $E$13)</f>
        <v>12.864000000000001</v>
      </c>
      <c r="K742" s="61">
        <f>12.8661 * CHOOSE(CONTROL!$C$19, $C$13, 100%, $E$13)</f>
        <v>12.866099999999999</v>
      </c>
    </row>
    <row r="743" spans="1:11" ht="15">
      <c r="A743" s="13">
        <v>64467</v>
      </c>
      <c r="B743" s="60">
        <f>10.8484 * CHOOSE(CONTROL!$C$19, $C$13, 100%, $E$13)</f>
        <v>10.8484</v>
      </c>
      <c r="C743" s="60">
        <f>10.8484 * CHOOSE(CONTROL!$C$19, $C$13, 100%, $E$13)</f>
        <v>10.8484</v>
      </c>
      <c r="D743" s="60">
        <f>10.8821 * CHOOSE(CONTROL!$C$19, $C$13, 100%, $E$13)</f>
        <v>10.882099999999999</v>
      </c>
      <c r="E743" s="61">
        <f>13.0993 * CHOOSE(CONTROL!$C$19, $C$13, 100%, $E$13)</f>
        <v>13.099299999999999</v>
      </c>
      <c r="F743" s="61">
        <f>13.0993 * CHOOSE(CONTROL!$C$19, $C$13, 100%, $E$13)</f>
        <v>13.099299999999999</v>
      </c>
      <c r="G743" s="61">
        <f>13.1014 * CHOOSE(CONTROL!$C$19, $C$13, 100%, $E$13)</f>
        <v>13.1014</v>
      </c>
      <c r="H743" s="61">
        <f>17.9307* CHOOSE(CONTROL!$C$19, $C$13, 100%, $E$13)</f>
        <v>17.930700000000002</v>
      </c>
      <c r="I743" s="61">
        <f>17.9328 * CHOOSE(CONTROL!$C$19, $C$13, 100%, $E$13)</f>
        <v>17.9328</v>
      </c>
      <c r="J743" s="61">
        <f>13.0993 * CHOOSE(CONTROL!$C$19, $C$13, 100%, $E$13)</f>
        <v>13.099299999999999</v>
      </c>
      <c r="K743" s="61">
        <f>13.1014 * CHOOSE(CONTROL!$C$19, $C$13, 100%, $E$13)</f>
        <v>13.1014</v>
      </c>
    </row>
    <row r="744" spans="1:11" ht="15">
      <c r="A744" s="13">
        <v>64498</v>
      </c>
      <c r="B744" s="60">
        <f>10.8551 * CHOOSE(CONTROL!$C$19, $C$13, 100%, $E$13)</f>
        <v>10.8551</v>
      </c>
      <c r="C744" s="60">
        <f>10.8551 * CHOOSE(CONTROL!$C$19, $C$13, 100%, $E$13)</f>
        <v>10.8551</v>
      </c>
      <c r="D744" s="60">
        <f>10.8887 * CHOOSE(CONTROL!$C$19, $C$13, 100%, $E$13)</f>
        <v>10.8887</v>
      </c>
      <c r="E744" s="61">
        <f>12.9063 * CHOOSE(CONTROL!$C$19, $C$13, 100%, $E$13)</f>
        <v>12.9063</v>
      </c>
      <c r="F744" s="61">
        <f>12.9063 * CHOOSE(CONTROL!$C$19, $C$13, 100%, $E$13)</f>
        <v>12.9063</v>
      </c>
      <c r="G744" s="61">
        <f>12.9084 * CHOOSE(CONTROL!$C$19, $C$13, 100%, $E$13)</f>
        <v>12.9084</v>
      </c>
      <c r="H744" s="61">
        <f>17.9681* CHOOSE(CONTROL!$C$19, $C$13, 100%, $E$13)</f>
        <v>17.9681</v>
      </c>
      <c r="I744" s="61">
        <f>17.9702 * CHOOSE(CONTROL!$C$19, $C$13, 100%, $E$13)</f>
        <v>17.970199999999998</v>
      </c>
      <c r="J744" s="61">
        <f>12.9063 * CHOOSE(CONTROL!$C$19, $C$13, 100%, $E$13)</f>
        <v>12.9063</v>
      </c>
      <c r="K744" s="61">
        <f>12.9084 * CHOOSE(CONTROL!$C$19, $C$13, 100%, $E$13)</f>
        <v>12.9084</v>
      </c>
    </row>
    <row r="745" spans="1:11" ht="15">
      <c r="A745" s="13">
        <v>64529</v>
      </c>
      <c r="B745" s="60">
        <f>10.852 * CHOOSE(CONTROL!$C$19, $C$13, 100%, $E$13)</f>
        <v>10.852</v>
      </c>
      <c r="C745" s="60">
        <f>10.852 * CHOOSE(CONTROL!$C$19, $C$13, 100%, $E$13)</f>
        <v>10.852</v>
      </c>
      <c r="D745" s="60">
        <f>10.8857 * CHOOSE(CONTROL!$C$19, $C$13, 100%, $E$13)</f>
        <v>10.8857</v>
      </c>
      <c r="E745" s="61">
        <f>12.8823 * CHOOSE(CONTROL!$C$19, $C$13, 100%, $E$13)</f>
        <v>12.882300000000001</v>
      </c>
      <c r="F745" s="61">
        <f>12.8823 * CHOOSE(CONTROL!$C$19, $C$13, 100%, $E$13)</f>
        <v>12.882300000000001</v>
      </c>
      <c r="G745" s="61">
        <f>12.8844 * CHOOSE(CONTROL!$C$19, $C$13, 100%, $E$13)</f>
        <v>12.884399999999999</v>
      </c>
      <c r="H745" s="61">
        <f>18.0055* CHOOSE(CONTROL!$C$19, $C$13, 100%, $E$13)</f>
        <v>18.005500000000001</v>
      </c>
      <c r="I745" s="61">
        <f>18.0076 * CHOOSE(CONTROL!$C$19, $C$13, 100%, $E$13)</f>
        <v>18.0076</v>
      </c>
      <c r="J745" s="61">
        <f>12.8823 * CHOOSE(CONTROL!$C$19, $C$13, 100%, $E$13)</f>
        <v>12.882300000000001</v>
      </c>
      <c r="K745" s="61">
        <f>12.8844 * CHOOSE(CONTROL!$C$19, $C$13, 100%, $E$13)</f>
        <v>12.884399999999999</v>
      </c>
    </row>
    <row r="746" spans="1:11" ht="15">
      <c r="A746" s="13">
        <v>64559</v>
      </c>
      <c r="B746" s="60">
        <f>10.8731 * CHOOSE(CONTROL!$C$19, $C$13, 100%, $E$13)</f>
        <v>10.873100000000001</v>
      </c>
      <c r="C746" s="60">
        <f>10.8731 * CHOOSE(CONTROL!$C$19, $C$13, 100%, $E$13)</f>
        <v>10.873100000000001</v>
      </c>
      <c r="D746" s="60">
        <f>10.89 * CHOOSE(CONTROL!$C$19, $C$13, 100%, $E$13)</f>
        <v>10.89</v>
      </c>
      <c r="E746" s="61">
        <f>12.9567 * CHOOSE(CONTROL!$C$19, $C$13, 100%, $E$13)</f>
        <v>12.9567</v>
      </c>
      <c r="F746" s="61">
        <f>12.9567 * CHOOSE(CONTROL!$C$19, $C$13, 100%, $E$13)</f>
        <v>12.9567</v>
      </c>
      <c r="G746" s="61">
        <f>12.9568 * CHOOSE(CONTROL!$C$19, $C$13, 100%, $E$13)</f>
        <v>12.956799999999999</v>
      </c>
      <c r="H746" s="61">
        <f>18.043* CHOOSE(CONTROL!$C$19, $C$13, 100%, $E$13)</f>
        <v>18.042999999999999</v>
      </c>
      <c r="I746" s="61">
        <f>18.0432 * CHOOSE(CONTROL!$C$19, $C$13, 100%, $E$13)</f>
        <v>18.043199999999999</v>
      </c>
      <c r="J746" s="61">
        <f>12.9567 * CHOOSE(CONTROL!$C$19, $C$13, 100%, $E$13)</f>
        <v>12.9567</v>
      </c>
      <c r="K746" s="61">
        <f>12.9568 * CHOOSE(CONTROL!$C$19, $C$13, 100%, $E$13)</f>
        <v>12.956799999999999</v>
      </c>
    </row>
    <row r="747" spans="1:11" ht="15">
      <c r="A747" s="13">
        <v>64590</v>
      </c>
      <c r="B747" s="60">
        <f>10.8762 * CHOOSE(CONTROL!$C$19, $C$13, 100%, $E$13)</f>
        <v>10.876200000000001</v>
      </c>
      <c r="C747" s="60">
        <f>10.8762 * CHOOSE(CONTROL!$C$19, $C$13, 100%, $E$13)</f>
        <v>10.876200000000001</v>
      </c>
      <c r="D747" s="60">
        <f>10.893 * CHOOSE(CONTROL!$C$19, $C$13, 100%, $E$13)</f>
        <v>10.893000000000001</v>
      </c>
      <c r="E747" s="61">
        <f>13.0027 * CHOOSE(CONTROL!$C$19, $C$13, 100%, $E$13)</f>
        <v>13.002700000000001</v>
      </c>
      <c r="F747" s="61">
        <f>13.0027 * CHOOSE(CONTROL!$C$19, $C$13, 100%, $E$13)</f>
        <v>13.002700000000001</v>
      </c>
      <c r="G747" s="61">
        <f>13.0029 * CHOOSE(CONTROL!$C$19, $C$13, 100%, $E$13)</f>
        <v>13.0029</v>
      </c>
      <c r="H747" s="61">
        <f>18.0806* CHOOSE(CONTROL!$C$19, $C$13, 100%, $E$13)</f>
        <v>18.0806</v>
      </c>
      <c r="I747" s="61">
        <f>18.0808 * CHOOSE(CONTROL!$C$19, $C$13, 100%, $E$13)</f>
        <v>18.0808</v>
      </c>
      <c r="J747" s="61">
        <f>13.0027 * CHOOSE(CONTROL!$C$19, $C$13, 100%, $E$13)</f>
        <v>13.002700000000001</v>
      </c>
      <c r="K747" s="61">
        <f>13.0029 * CHOOSE(CONTROL!$C$19, $C$13, 100%, $E$13)</f>
        <v>13.0029</v>
      </c>
    </row>
    <row r="748" spans="1:11" ht="15">
      <c r="A748" s="13">
        <v>64620</v>
      </c>
      <c r="B748" s="60">
        <f>10.8762 * CHOOSE(CONTROL!$C$19, $C$13, 100%, $E$13)</f>
        <v>10.876200000000001</v>
      </c>
      <c r="C748" s="60">
        <f>10.8762 * CHOOSE(CONTROL!$C$19, $C$13, 100%, $E$13)</f>
        <v>10.876200000000001</v>
      </c>
      <c r="D748" s="60">
        <f>10.893 * CHOOSE(CONTROL!$C$19, $C$13, 100%, $E$13)</f>
        <v>10.893000000000001</v>
      </c>
      <c r="E748" s="61">
        <f>12.8929 * CHOOSE(CONTROL!$C$19, $C$13, 100%, $E$13)</f>
        <v>12.892899999999999</v>
      </c>
      <c r="F748" s="61">
        <f>12.8929 * CHOOSE(CONTROL!$C$19, $C$13, 100%, $E$13)</f>
        <v>12.892899999999999</v>
      </c>
      <c r="G748" s="61">
        <f>12.8931 * CHOOSE(CONTROL!$C$19, $C$13, 100%, $E$13)</f>
        <v>12.8931</v>
      </c>
      <c r="H748" s="61">
        <f>18.1183* CHOOSE(CONTROL!$C$19, $C$13, 100%, $E$13)</f>
        <v>18.118300000000001</v>
      </c>
      <c r="I748" s="61">
        <f>18.1185 * CHOOSE(CONTROL!$C$19, $C$13, 100%, $E$13)</f>
        <v>18.118500000000001</v>
      </c>
      <c r="J748" s="61">
        <f>12.8929 * CHOOSE(CONTROL!$C$19, $C$13, 100%, $E$13)</f>
        <v>12.892899999999999</v>
      </c>
      <c r="K748" s="61">
        <f>12.8931 * CHOOSE(CONTROL!$C$19, $C$13, 100%, $E$13)</f>
        <v>12.8931</v>
      </c>
    </row>
    <row r="749" spans="1:11" ht="15">
      <c r="A749" s="13">
        <v>64651</v>
      </c>
      <c r="B749" s="60">
        <f>10.8901 * CHOOSE(CONTROL!$C$19, $C$13, 100%, $E$13)</f>
        <v>10.8901</v>
      </c>
      <c r="C749" s="60">
        <f>10.8901 * CHOOSE(CONTROL!$C$19, $C$13, 100%, $E$13)</f>
        <v>10.8901</v>
      </c>
      <c r="D749" s="60">
        <f>10.9069 * CHOOSE(CONTROL!$C$19, $C$13, 100%, $E$13)</f>
        <v>10.9069</v>
      </c>
      <c r="E749" s="61">
        <f>12.9884 * CHOOSE(CONTROL!$C$19, $C$13, 100%, $E$13)</f>
        <v>12.9884</v>
      </c>
      <c r="F749" s="61">
        <f>12.9884 * CHOOSE(CONTROL!$C$19, $C$13, 100%, $E$13)</f>
        <v>12.9884</v>
      </c>
      <c r="G749" s="61">
        <f>12.9885 * CHOOSE(CONTROL!$C$19, $C$13, 100%, $E$13)</f>
        <v>12.9885</v>
      </c>
      <c r="H749" s="61">
        <f>18.0329* CHOOSE(CONTROL!$C$19, $C$13, 100%, $E$13)</f>
        <v>18.032900000000001</v>
      </c>
      <c r="I749" s="61">
        <f>18.033 * CHOOSE(CONTROL!$C$19, $C$13, 100%, $E$13)</f>
        <v>18.033000000000001</v>
      </c>
      <c r="J749" s="61">
        <f>12.9884 * CHOOSE(CONTROL!$C$19, $C$13, 100%, $E$13)</f>
        <v>12.9884</v>
      </c>
      <c r="K749" s="61">
        <f>12.9885 * CHOOSE(CONTROL!$C$19, $C$13, 100%, $E$13)</f>
        <v>12.9885</v>
      </c>
    </row>
    <row r="750" spans="1:11" ht="15">
      <c r="A750" s="13">
        <v>64682</v>
      </c>
      <c r="B750" s="60">
        <f>10.8871 * CHOOSE(CONTROL!$C$19, $C$13, 100%, $E$13)</f>
        <v>10.8871</v>
      </c>
      <c r="C750" s="60">
        <f>10.8871 * CHOOSE(CONTROL!$C$19, $C$13, 100%, $E$13)</f>
        <v>10.8871</v>
      </c>
      <c r="D750" s="60">
        <f>10.9039 * CHOOSE(CONTROL!$C$19, $C$13, 100%, $E$13)</f>
        <v>10.9039</v>
      </c>
      <c r="E750" s="61">
        <f>12.7743 * CHOOSE(CONTROL!$C$19, $C$13, 100%, $E$13)</f>
        <v>12.7743</v>
      </c>
      <c r="F750" s="61">
        <f>12.7743 * CHOOSE(CONTROL!$C$19, $C$13, 100%, $E$13)</f>
        <v>12.7743</v>
      </c>
      <c r="G750" s="61">
        <f>12.7745 * CHOOSE(CONTROL!$C$19, $C$13, 100%, $E$13)</f>
        <v>12.7745</v>
      </c>
      <c r="H750" s="61">
        <f>18.0704* CHOOSE(CONTROL!$C$19, $C$13, 100%, $E$13)</f>
        <v>18.070399999999999</v>
      </c>
      <c r="I750" s="61">
        <f>18.0706 * CHOOSE(CONTROL!$C$19, $C$13, 100%, $E$13)</f>
        <v>18.070599999999999</v>
      </c>
      <c r="J750" s="61">
        <f>12.7743 * CHOOSE(CONTROL!$C$19, $C$13, 100%, $E$13)</f>
        <v>12.7743</v>
      </c>
      <c r="K750" s="61">
        <f>12.7745 * CHOOSE(CONTROL!$C$19, $C$13, 100%, $E$13)</f>
        <v>12.7745</v>
      </c>
    </row>
    <row r="751" spans="1:11" ht="15">
      <c r="A751" s="13">
        <v>64710</v>
      </c>
      <c r="B751" s="60">
        <f>10.884 * CHOOSE(CONTROL!$C$19, $C$13, 100%, $E$13)</f>
        <v>10.884</v>
      </c>
      <c r="C751" s="60">
        <f>10.884 * CHOOSE(CONTROL!$C$19, $C$13, 100%, $E$13)</f>
        <v>10.884</v>
      </c>
      <c r="D751" s="60">
        <f>10.9009 * CHOOSE(CONTROL!$C$19, $C$13, 100%, $E$13)</f>
        <v>10.9009</v>
      </c>
      <c r="E751" s="61">
        <f>12.9393 * CHOOSE(CONTROL!$C$19, $C$13, 100%, $E$13)</f>
        <v>12.939299999999999</v>
      </c>
      <c r="F751" s="61">
        <f>12.9393 * CHOOSE(CONTROL!$C$19, $C$13, 100%, $E$13)</f>
        <v>12.939299999999999</v>
      </c>
      <c r="G751" s="61">
        <f>12.9394 * CHOOSE(CONTROL!$C$19, $C$13, 100%, $E$13)</f>
        <v>12.939399999999999</v>
      </c>
      <c r="H751" s="61">
        <f>18.1081* CHOOSE(CONTROL!$C$19, $C$13, 100%, $E$13)</f>
        <v>18.1081</v>
      </c>
      <c r="I751" s="61">
        <f>18.1083 * CHOOSE(CONTROL!$C$19, $C$13, 100%, $E$13)</f>
        <v>18.1083</v>
      </c>
      <c r="J751" s="61">
        <f>12.9393 * CHOOSE(CONTROL!$C$19, $C$13, 100%, $E$13)</f>
        <v>12.939299999999999</v>
      </c>
      <c r="K751" s="61">
        <f>12.9394 * CHOOSE(CONTROL!$C$19, $C$13, 100%, $E$13)</f>
        <v>12.939399999999999</v>
      </c>
    </row>
    <row r="752" spans="1:11" ht="15">
      <c r="A752" s="13">
        <v>64741</v>
      </c>
      <c r="B752" s="60">
        <f>10.8885 * CHOOSE(CONTROL!$C$19, $C$13, 100%, $E$13)</f>
        <v>10.888500000000001</v>
      </c>
      <c r="C752" s="60">
        <f>10.8885 * CHOOSE(CONTROL!$C$19, $C$13, 100%, $E$13)</f>
        <v>10.888500000000001</v>
      </c>
      <c r="D752" s="60">
        <f>10.9053 * CHOOSE(CONTROL!$C$19, $C$13, 100%, $E$13)</f>
        <v>10.9053</v>
      </c>
      <c r="E752" s="61">
        <f>13.1145 * CHOOSE(CONTROL!$C$19, $C$13, 100%, $E$13)</f>
        <v>13.1145</v>
      </c>
      <c r="F752" s="61">
        <f>13.1145 * CHOOSE(CONTROL!$C$19, $C$13, 100%, $E$13)</f>
        <v>13.1145</v>
      </c>
      <c r="G752" s="61">
        <f>13.1146 * CHOOSE(CONTROL!$C$19, $C$13, 100%, $E$13)</f>
        <v>13.114599999999999</v>
      </c>
      <c r="H752" s="61">
        <f>18.1458* CHOOSE(CONTROL!$C$19, $C$13, 100%, $E$13)</f>
        <v>18.145800000000001</v>
      </c>
      <c r="I752" s="61">
        <f>18.146 * CHOOSE(CONTROL!$C$19, $C$13, 100%, $E$13)</f>
        <v>18.146000000000001</v>
      </c>
      <c r="J752" s="61">
        <f>13.1145 * CHOOSE(CONTROL!$C$19, $C$13, 100%, $E$13)</f>
        <v>13.1145</v>
      </c>
      <c r="K752" s="61">
        <f>13.1146 * CHOOSE(CONTROL!$C$19, $C$13, 100%, $E$13)</f>
        <v>13.114599999999999</v>
      </c>
    </row>
    <row r="753" spans="1:11" ht="15">
      <c r="A753" s="13">
        <v>64771</v>
      </c>
      <c r="B753" s="60">
        <f>10.8885 * CHOOSE(CONTROL!$C$19, $C$13, 100%, $E$13)</f>
        <v>10.888500000000001</v>
      </c>
      <c r="C753" s="60">
        <f>10.8885 * CHOOSE(CONTROL!$C$19, $C$13, 100%, $E$13)</f>
        <v>10.888500000000001</v>
      </c>
      <c r="D753" s="60">
        <f>10.9221 * CHOOSE(CONTROL!$C$19, $C$13, 100%, $E$13)</f>
        <v>10.9221</v>
      </c>
      <c r="E753" s="61">
        <f>13.1817 * CHOOSE(CONTROL!$C$19, $C$13, 100%, $E$13)</f>
        <v>13.181699999999999</v>
      </c>
      <c r="F753" s="61">
        <f>13.1817 * CHOOSE(CONTROL!$C$19, $C$13, 100%, $E$13)</f>
        <v>13.181699999999999</v>
      </c>
      <c r="G753" s="61">
        <f>13.1838 * CHOOSE(CONTROL!$C$19, $C$13, 100%, $E$13)</f>
        <v>13.1838</v>
      </c>
      <c r="H753" s="61">
        <f>18.1836* CHOOSE(CONTROL!$C$19, $C$13, 100%, $E$13)</f>
        <v>18.183599999999998</v>
      </c>
      <c r="I753" s="61">
        <f>18.1857 * CHOOSE(CONTROL!$C$19, $C$13, 100%, $E$13)</f>
        <v>18.185700000000001</v>
      </c>
      <c r="J753" s="61">
        <f>13.1817 * CHOOSE(CONTROL!$C$19, $C$13, 100%, $E$13)</f>
        <v>13.181699999999999</v>
      </c>
      <c r="K753" s="61">
        <f>13.1838 * CHOOSE(CONTROL!$C$19, $C$13, 100%, $E$13)</f>
        <v>13.1838</v>
      </c>
    </row>
    <row r="754" spans="1:11" ht="15">
      <c r="A754" s="13">
        <v>64802</v>
      </c>
      <c r="B754" s="60">
        <f>10.8946 * CHOOSE(CONTROL!$C$19, $C$13, 100%, $E$13)</f>
        <v>10.894600000000001</v>
      </c>
      <c r="C754" s="60">
        <f>10.8946 * CHOOSE(CONTROL!$C$19, $C$13, 100%, $E$13)</f>
        <v>10.894600000000001</v>
      </c>
      <c r="D754" s="60">
        <f>10.9282 * CHOOSE(CONTROL!$C$19, $C$13, 100%, $E$13)</f>
        <v>10.9282</v>
      </c>
      <c r="E754" s="61">
        <f>13.1187 * CHOOSE(CONTROL!$C$19, $C$13, 100%, $E$13)</f>
        <v>13.1187</v>
      </c>
      <c r="F754" s="61">
        <f>13.1187 * CHOOSE(CONTROL!$C$19, $C$13, 100%, $E$13)</f>
        <v>13.1187</v>
      </c>
      <c r="G754" s="61">
        <f>13.1208 * CHOOSE(CONTROL!$C$19, $C$13, 100%, $E$13)</f>
        <v>13.120799999999999</v>
      </c>
      <c r="H754" s="61">
        <f>18.2215* CHOOSE(CONTROL!$C$19, $C$13, 100%, $E$13)</f>
        <v>18.221499999999999</v>
      </c>
      <c r="I754" s="61">
        <f>18.2236 * CHOOSE(CONTROL!$C$19, $C$13, 100%, $E$13)</f>
        <v>18.223600000000001</v>
      </c>
      <c r="J754" s="61">
        <f>13.1187 * CHOOSE(CONTROL!$C$19, $C$13, 100%, $E$13)</f>
        <v>13.1187</v>
      </c>
      <c r="K754" s="61">
        <f>13.1208 * CHOOSE(CONTROL!$C$19, $C$13, 100%, $E$13)</f>
        <v>13.120799999999999</v>
      </c>
    </row>
    <row r="755" spans="1:11" ht="15">
      <c r="A755" s="13">
        <v>64832</v>
      </c>
      <c r="B755" s="60">
        <f>11.0477 * CHOOSE(CONTROL!$C$19, $C$13, 100%, $E$13)</f>
        <v>11.047700000000001</v>
      </c>
      <c r="C755" s="60">
        <f>11.0477 * CHOOSE(CONTROL!$C$19, $C$13, 100%, $E$13)</f>
        <v>11.047700000000001</v>
      </c>
      <c r="D755" s="60">
        <f>11.0814 * CHOOSE(CONTROL!$C$19, $C$13, 100%, $E$13)</f>
        <v>11.0814</v>
      </c>
      <c r="E755" s="61">
        <f>13.3584 * CHOOSE(CONTROL!$C$19, $C$13, 100%, $E$13)</f>
        <v>13.3584</v>
      </c>
      <c r="F755" s="61">
        <f>13.3584 * CHOOSE(CONTROL!$C$19, $C$13, 100%, $E$13)</f>
        <v>13.3584</v>
      </c>
      <c r="G755" s="61">
        <f>13.3605 * CHOOSE(CONTROL!$C$19, $C$13, 100%, $E$13)</f>
        <v>13.3605</v>
      </c>
      <c r="H755" s="61">
        <f>18.2595* CHOOSE(CONTROL!$C$19, $C$13, 100%, $E$13)</f>
        <v>18.259499999999999</v>
      </c>
      <c r="I755" s="61">
        <f>18.2615 * CHOOSE(CONTROL!$C$19, $C$13, 100%, $E$13)</f>
        <v>18.261500000000002</v>
      </c>
      <c r="J755" s="61">
        <f>13.3584 * CHOOSE(CONTROL!$C$19, $C$13, 100%, $E$13)</f>
        <v>13.3584</v>
      </c>
      <c r="K755" s="61">
        <f>13.3605 * CHOOSE(CONTROL!$C$19, $C$13, 100%, $E$13)</f>
        <v>13.3605</v>
      </c>
    </row>
    <row r="756" spans="1:11" ht="15">
      <c r="A756" s="13">
        <v>64863</v>
      </c>
      <c r="B756" s="60">
        <f>11.0544 * CHOOSE(CONTROL!$C$19, $C$13, 100%, $E$13)</f>
        <v>11.054399999999999</v>
      </c>
      <c r="C756" s="60">
        <f>11.0544 * CHOOSE(CONTROL!$C$19, $C$13, 100%, $E$13)</f>
        <v>11.054399999999999</v>
      </c>
      <c r="D756" s="60">
        <f>11.0881 * CHOOSE(CONTROL!$C$19, $C$13, 100%, $E$13)</f>
        <v>11.088100000000001</v>
      </c>
      <c r="E756" s="61">
        <f>13.1612 * CHOOSE(CONTROL!$C$19, $C$13, 100%, $E$13)</f>
        <v>13.161199999999999</v>
      </c>
      <c r="F756" s="61">
        <f>13.1612 * CHOOSE(CONTROL!$C$19, $C$13, 100%, $E$13)</f>
        <v>13.161199999999999</v>
      </c>
      <c r="G756" s="61">
        <f>13.1633 * CHOOSE(CONTROL!$C$19, $C$13, 100%, $E$13)</f>
        <v>13.1633</v>
      </c>
      <c r="H756" s="61">
        <f>18.2975* CHOOSE(CONTROL!$C$19, $C$13, 100%, $E$13)</f>
        <v>18.297499999999999</v>
      </c>
      <c r="I756" s="61">
        <f>18.2996 * CHOOSE(CONTROL!$C$19, $C$13, 100%, $E$13)</f>
        <v>18.299600000000002</v>
      </c>
      <c r="J756" s="61">
        <f>13.1612 * CHOOSE(CONTROL!$C$19, $C$13, 100%, $E$13)</f>
        <v>13.161199999999999</v>
      </c>
      <c r="K756" s="61">
        <f>13.1633 * CHOOSE(CONTROL!$C$19, $C$13, 100%, $E$13)</f>
        <v>13.1633</v>
      </c>
    </row>
    <row r="757" spans="1:11" ht="15">
      <c r="A757" s="13">
        <v>64894</v>
      </c>
      <c r="B757" s="60">
        <f>11.0514 * CHOOSE(CONTROL!$C$19, $C$13, 100%, $E$13)</f>
        <v>11.051399999999999</v>
      </c>
      <c r="C757" s="60">
        <f>11.0514 * CHOOSE(CONTROL!$C$19, $C$13, 100%, $E$13)</f>
        <v>11.051399999999999</v>
      </c>
      <c r="D757" s="60">
        <f>11.085 * CHOOSE(CONTROL!$C$19, $C$13, 100%, $E$13)</f>
        <v>11.085000000000001</v>
      </c>
      <c r="E757" s="61">
        <f>13.1366 * CHOOSE(CONTROL!$C$19, $C$13, 100%, $E$13)</f>
        <v>13.1366</v>
      </c>
      <c r="F757" s="61">
        <f>13.1366 * CHOOSE(CONTROL!$C$19, $C$13, 100%, $E$13)</f>
        <v>13.1366</v>
      </c>
      <c r="G757" s="61">
        <f>13.1387 * CHOOSE(CONTROL!$C$19, $C$13, 100%, $E$13)</f>
        <v>13.1387</v>
      </c>
      <c r="H757" s="61">
        <f>18.3356* CHOOSE(CONTROL!$C$19, $C$13, 100%, $E$13)</f>
        <v>18.335599999999999</v>
      </c>
      <c r="I757" s="61">
        <f>18.3377 * CHOOSE(CONTROL!$C$19, $C$13, 100%, $E$13)</f>
        <v>18.337700000000002</v>
      </c>
      <c r="J757" s="61">
        <f>13.1366 * CHOOSE(CONTROL!$C$19, $C$13, 100%, $E$13)</f>
        <v>13.1366</v>
      </c>
      <c r="K757" s="61">
        <f>13.1387 * CHOOSE(CONTROL!$C$19, $C$13, 100%, $E$13)</f>
        <v>13.1387</v>
      </c>
    </row>
    <row r="758" spans="1:11" ht="15">
      <c r="A758" s="13">
        <v>64924</v>
      </c>
      <c r="B758" s="60">
        <f>11.0732 * CHOOSE(CONTROL!$C$19, $C$13, 100%, $E$13)</f>
        <v>11.0732</v>
      </c>
      <c r="C758" s="60">
        <f>11.0732 * CHOOSE(CONTROL!$C$19, $C$13, 100%, $E$13)</f>
        <v>11.0732</v>
      </c>
      <c r="D758" s="60">
        <f>11.09 * CHOOSE(CONTROL!$C$19, $C$13, 100%, $E$13)</f>
        <v>11.09</v>
      </c>
      <c r="E758" s="61">
        <f>13.2129 * CHOOSE(CONTROL!$C$19, $C$13, 100%, $E$13)</f>
        <v>13.212899999999999</v>
      </c>
      <c r="F758" s="61">
        <f>13.2129 * CHOOSE(CONTROL!$C$19, $C$13, 100%, $E$13)</f>
        <v>13.212899999999999</v>
      </c>
      <c r="G758" s="61">
        <f>13.2131 * CHOOSE(CONTROL!$C$19, $C$13, 100%, $E$13)</f>
        <v>13.213100000000001</v>
      </c>
      <c r="H758" s="61">
        <f>18.3738* CHOOSE(CONTROL!$C$19, $C$13, 100%, $E$13)</f>
        <v>18.373799999999999</v>
      </c>
      <c r="I758" s="61">
        <f>18.374 * CHOOSE(CONTROL!$C$19, $C$13, 100%, $E$13)</f>
        <v>18.373999999999999</v>
      </c>
      <c r="J758" s="61">
        <f>13.2129 * CHOOSE(CONTROL!$C$19, $C$13, 100%, $E$13)</f>
        <v>13.212899999999999</v>
      </c>
      <c r="K758" s="61">
        <f>13.2131 * CHOOSE(CONTROL!$C$19, $C$13, 100%, $E$13)</f>
        <v>13.213100000000001</v>
      </c>
    </row>
    <row r="759" spans="1:11" ht="15">
      <c r="A759" s="13">
        <v>64955</v>
      </c>
      <c r="B759" s="60">
        <f>11.0762 * CHOOSE(CONTROL!$C$19, $C$13, 100%, $E$13)</f>
        <v>11.0762</v>
      </c>
      <c r="C759" s="60">
        <f>11.0762 * CHOOSE(CONTROL!$C$19, $C$13, 100%, $E$13)</f>
        <v>11.0762</v>
      </c>
      <c r="D759" s="60">
        <f>11.0931 * CHOOSE(CONTROL!$C$19, $C$13, 100%, $E$13)</f>
        <v>11.0931</v>
      </c>
      <c r="E759" s="61">
        <f>13.2599 * CHOOSE(CONTROL!$C$19, $C$13, 100%, $E$13)</f>
        <v>13.2599</v>
      </c>
      <c r="F759" s="61">
        <f>13.2599 * CHOOSE(CONTROL!$C$19, $C$13, 100%, $E$13)</f>
        <v>13.2599</v>
      </c>
      <c r="G759" s="61">
        <f>13.2601 * CHOOSE(CONTROL!$C$19, $C$13, 100%, $E$13)</f>
        <v>13.2601</v>
      </c>
      <c r="H759" s="61">
        <f>18.4121* CHOOSE(CONTROL!$C$19, $C$13, 100%, $E$13)</f>
        <v>18.412099999999999</v>
      </c>
      <c r="I759" s="61">
        <f>18.4123 * CHOOSE(CONTROL!$C$19, $C$13, 100%, $E$13)</f>
        <v>18.412299999999998</v>
      </c>
      <c r="J759" s="61">
        <f>13.2599 * CHOOSE(CONTROL!$C$19, $C$13, 100%, $E$13)</f>
        <v>13.2599</v>
      </c>
      <c r="K759" s="61">
        <f>13.2601 * CHOOSE(CONTROL!$C$19, $C$13, 100%, $E$13)</f>
        <v>13.2601</v>
      </c>
    </row>
    <row r="760" spans="1:11" ht="15">
      <c r="A760" s="13">
        <v>64985</v>
      </c>
      <c r="B760" s="60">
        <f>11.0762 * CHOOSE(CONTROL!$C$19, $C$13, 100%, $E$13)</f>
        <v>11.0762</v>
      </c>
      <c r="C760" s="60">
        <f>11.0762 * CHOOSE(CONTROL!$C$19, $C$13, 100%, $E$13)</f>
        <v>11.0762</v>
      </c>
      <c r="D760" s="60">
        <f>11.0931 * CHOOSE(CONTROL!$C$19, $C$13, 100%, $E$13)</f>
        <v>11.0931</v>
      </c>
      <c r="E760" s="61">
        <f>13.1478 * CHOOSE(CONTROL!$C$19, $C$13, 100%, $E$13)</f>
        <v>13.1478</v>
      </c>
      <c r="F760" s="61">
        <f>13.1478 * CHOOSE(CONTROL!$C$19, $C$13, 100%, $E$13)</f>
        <v>13.1478</v>
      </c>
      <c r="G760" s="61">
        <f>13.1479 * CHOOSE(CONTROL!$C$19, $C$13, 100%, $E$13)</f>
        <v>13.1479</v>
      </c>
      <c r="H760" s="61">
        <f>18.4505* CHOOSE(CONTROL!$C$19, $C$13, 100%, $E$13)</f>
        <v>18.450500000000002</v>
      </c>
      <c r="I760" s="61">
        <f>18.4506 * CHOOSE(CONTROL!$C$19, $C$13, 100%, $E$13)</f>
        <v>18.450600000000001</v>
      </c>
      <c r="J760" s="61">
        <f>13.1478 * CHOOSE(CONTROL!$C$19, $C$13, 100%, $E$13)</f>
        <v>13.1478</v>
      </c>
      <c r="K760" s="61">
        <f>13.1479 * CHOOSE(CONTROL!$C$19, $C$13, 100%, $E$13)</f>
        <v>13.1479</v>
      </c>
    </row>
    <row r="761" spans="1:11" ht="15">
      <c r="A761" s="13">
        <v>65016</v>
      </c>
      <c r="B761" s="60">
        <f>11.0867 * CHOOSE(CONTROL!$C$19, $C$13, 100%, $E$13)</f>
        <v>11.0867</v>
      </c>
      <c r="C761" s="60">
        <f>11.0867 * CHOOSE(CONTROL!$C$19, $C$13, 100%, $E$13)</f>
        <v>11.0867</v>
      </c>
      <c r="D761" s="60">
        <f>11.1036 * CHOOSE(CONTROL!$C$19, $C$13, 100%, $E$13)</f>
        <v>11.1036</v>
      </c>
      <c r="E761" s="61">
        <f>13.2402 * CHOOSE(CONTROL!$C$19, $C$13, 100%, $E$13)</f>
        <v>13.2402</v>
      </c>
      <c r="F761" s="61">
        <f>13.2402 * CHOOSE(CONTROL!$C$19, $C$13, 100%, $E$13)</f>
        <v>13.2402</v>
      </c>
      <c r="G761" s="61">
        <f>13.2404 * CHOOSE(CONTROL!$C$19, $C$13, 100%, $E$13)</f>
        <v>13.240399999999999</v>
      </c>
      <c r="H761" s="61">
        <f>18.3575* CHOOSE(CONTROL!$C$19, $C$13, 100%, $E$13)</f>
        <v>18.357500000000002</v>
      </c>
      <c r="I761" s="61">
        <f>18.3577 * CHOOSE(CONTROL!$C$19, $C$13, 100%, $E$13)</f>
        <v>18.357700000000001</v>
      </c>
      <c r="J761" s="61">
        <f>13.2402 * CHOOSE(CONTROL!$C$19, $C$13, 100%, $E$13)</f>
        <v>13.2402</v>
      </c>
      <c r="K761" s="61">
        <f>13.2404 * CHOOSE(CONTROL!$C$19, $C$13, 100%, $E$13)</f>
        <v>13.240399999999999</v>
      </c>
    </row>
    <row r="762" spans="1:11" ht="15">
      <c r="A762" s="13">
        <v>65047</v>
      </c>
      <c r="B762" s="60">
        <f>11.0837 * CHOOSE(CONTROL!$C$19, $C$13, 100%, $E$13)</f>
        <v>11.0837</v>
      </c>
      <c r="C762" s="60">
        <f>11.0837 * CHOOSE(CONTROL!$C$19, $C$13, 100%, $E$13)</f>
        <v>11.0837</v>
      </c>
      <c r="D762" s="60">
        <f>11.1005 * CHOOSE(CONTROL!$C$19, $C$13, 100%, $E$13)</f>
        <v>11.1005</v>
      </c>
      <c r="E762" s="61">
        <f>13.0217 * CHOOSE(CONTROL!$C$19, $C$13, 100%, $E$13)</f>
        <v>13.021699999999999</v>
      </c>
      <c r="F762" s="61">
        <f>13.0217 * CHOOSE(CONTROL!$C$19, $C$13, 100%, $E$13)</f>
        <v>13.021699999999999</v>
      </c>
      <c r="G762" s="61">
        <f>13.0219 * CHOOSE(CONTROL!$C$19, $C$13, 100%, $E$13)</f>
        <v>13.0219</v>
      </c>
      <c r="H762" s="61">
        <f>18.3958* CHOOSE(CONTROL!$C$19, $C$13, 100%, $E$13)</f>
        <v>18.395800000000001</v>
      </c>
      <c r="I762" s="61">
        <f>18.396 * CHOOSE(CONTROL!$C$19, $C$13, 100%, $E$13)</f>
        <v>18.396000000000001</v>
      </c>
      <c r="J762" s="61">
        <f>13.0217 * CHOOSE(CONTROL!$C$19, $C$13, 100%, $E$13)</f>
        <v>13.021699999999999</v>
      </c>
      <c r="K762" s="61">
        <f>13.0219 * CHOOSE(CONTROL!$C$19, $C$13, 100%, $E$13)</f>
        <v>13.0219</v>
      </c>
    </row>
    <row r="763" spans="1:11" ht="15">
      <c r="A763" s="13">
        <v>65075</v>
      </c>
      <c r="B763" s="60">
        <f>11.0806 * CHOOSE(CONTROL!$C$19, $C$13, 100%, $E$13)</f>
        <v>11.0806</v>
      </c>
      <c r="C763" s="60">
        <f>11.0806 * CHOOSE(CONTROL!$C$19, $C$13, 100%, $E$13)</f>
        <v>11.0806</v>
      </c>
      <c r="D763" s="60">
        <f>11.0975 * CHOOSE(CONTROL!$C$19, $C$13, 100%, $E$13)</f>
        <v>11.0975</v>
      </c>
      <c r="E763" s="61">
        <f>13.1902 * CHOOSE(CONTROL!$C$19, $C$13, 100%, $E$13)</f>
        <v>13.190200000000001</v>
      </c>
      <c r="F763" s="61">
        <f>13.1902 * CHOOSE(CONTROL!$C$19, $C$13, 100%, $E$13)</f>
        <v>13.190200000000001</v>
      </c>
      <c r="G763" s="61">
        <f>13.1903 * CHOOSE(CONTROL!$C$19, $C$13, 100%, $E$13)</f>
        <v>13.190300000000001</v>
      </c>
      <c r="H763" s="61">
        <f>18.4341* CHOOSE(CONTROL!$C$19, $C$13, 100%, $E$13)</f>
        <v>18.434100000000001</v>
      </c>
      <c r="I763" s="61">
        <f>18.4343 * CHOOSE(CONTROL!$C$19, $C$13, 100%, $E$13)</f>
        <v>18.4343</v>
      </c>
      <c r="J763" s="61">
        <f>13.1902 * CHOOSE(CONTROL!$C$19, $C$13, 100%, $E$13)</f>
        <v>13.190200000000001</v>
      </c>
      <c r="K763" s="61">
        <f>13.1903 * CHOOSE(CONTROL!$C$19, $C$13, 100%, $E$13)</f>
        <v>13.190300000000001</v>
      </c>
    </row>
    <row r="764" spans="1:11" ht="15">
      <c r="A764" s="13">
        <v>65106</v>
      </c>
      <c r="B764" s="60">
        <f>11.0853 * CHOOSE(CONTROL!$C$19, $C$13, 100%, $E$13)</f>
        <v>11.0853</v>
      </c>
      <c r="C764" s="60">
        <f>11.0853 * CHOOSE(CONTROL!$C$19, $C$13, 100%, $E$13)</f>
        <v>11.0853</v>
      </c>
      <c r="D764" s="60">
        <f>11.1021 * CHOOSE(CONTROL!$C$19, $C$13, 100%, $E$13)</f>
        <v>11.1021</v>
      </c>
      <c r="E764" s="61">
        <f>13.3691 * CHOOSE(CONTROL!$C$19, $C$13, 100%, $E$13)</f>
        <v>13.3691</v>
      </c>
      <c r="F764" s="61">
        <f>13.3691 * CHOOSE(CONTROL!$C$19, $C$13, 100%, $E$13)</f>
        <v>13.3691</v>
      </c>
      <c r="G764" s="61">
        <f>13.3693 * CHOOSE(CONTROL!$C$19, $C$13, 100%, $E$13)</f>
        <v>13.369300000000001</v>
      </c>
      <c r="H764" s="61">
        <f>18.4725* CHOOSE(CONTROL!$C$19, $C$13, 100%, $E$13)</f>
        <v>18.4725</v>
      </c>
      <c r="I764" s="61">
        <f>18.4727 * CHOOSE(CONTROL!$C$19, $C$13, 100%, $E$13)</f>
        <v>18.4727</v>
      </c>
      <c r="J764" s="61">
        <f>13.3691 * CHOOSE(CONTROL!$C$19, $C$13, 100%, $E$13)</f>
        <v>13.3691</v>
      </c>
      <c r="K764" s="61">
        <f>13.3693 * CHOOSE(CONTROL!$C$19, $C$13, 100%, $E$13)</f>
        <v>13.369300000000001</v>
      </c>
    </row>
    <row r="765" spans="1:11" ht="15">
      <c r="A765" s="13">
        <v>65136</v>
      </c>
      <c r="B765" s="60">
        <f>11.0853 * CHOOSE(CONTROL!$C$19, $C$13, 100%, $E$13)</f>
        <v>11.0853</v>
      </c>
      <c r="C765" s="60">
        <f>11.0853 * CHOOSE(CONTROL!$C$19, $C$13, 100%, $E$13)</f>
        <v>11.0853</v>
      </c>
      <c r="D765" s="60">
        <f>11.1189 * CHOOSE(CONTROL!$C$19, $C$13, 100%, $E$13)</f>
        <v>11.1189</v>
      </c>
      <c r="E765" s="61">
        <f>13.4378 * CHOOSE(CONTROL!$C$19, $C$13, 100%, $E$13)</f>
        <v>13.437799999999999</v>
      </c>
      <c r="F765" s="61">
        <f>13.4378 * CHOOSE(CONTROL!$C$19, $C$13, 100%, $E$13)</f>
        <v>13.437799999999999</v>
      </c>
      <c r="G765" s="61">
        <f>13.4399 * CHOOSE(CONTROL!$C$19, $C$13, 100%, $E$13)</f>
        <v>13.4399</v>
      </c>
      <c r="H765" s="61">
        <f>18.511* CHOOSE(CONTROL!$C$19, $C$13, 100%, $E$13)</f>
        <v>18.510999999999999</v>
      </c>
      <c r="I765" s="61">
        <f>18.5131 * CHOOSE(CONTROL!$C$19, $C$13, 100%, $E$13)</f>
        <v>18.513100000000001</v>
      </c>
      <c r="J765" s="61">
        <f>13.4378 * CHOOSE(CONTROL!$C$19, $C$13, 100%, $E$13)</f>
        <v>13.437799999999999</v>
      </c>
      <c r="K765" s="61">
        <f>13.4399 * CHOOSE(CONTROL!$C$19, $C$13, 100%, $E$13)</f>
        <v>13.4399</v>
      </c>
    </row>
    <row r="766" spans="1:11" ht="15">
      <c r="A766" s="13">
        <v>65167</v>
      </c>
      <c r="B766" s="60">
        <f>11.0914 * CHOOSE(CONTROL!$C$19, $C$13, 100%, $E$13)</f>
        <v>11.0914</v>
      </c>
      <c r="C766" s="60">
        <f>11.0914 * CHOOSE(CONTROL!$C$19, $C$13, 100%, $E$13)</f>
        <v>11.0914</v>
      </c>
      <c r="D766" s="60">
        <f>11.125 * CHOOSE(CONTROL!$C$19, $C$13, 100%, $E$13)</f>
        <v>11.125</v>
      </c>
      <c r="E766" s="61">
        <f>13.3734 * CHOOSE(CONTROL!$C$19, $C$13, 100%, $E$13)</f>
        <v>13.3734</v>
      </c>
      <c r="F766" s="61">
        <f>13.3734 * CHOOSE(CONTROL!$C$19, $C$13, 100%, $E$13)</f>
        <v>13.3734</v>
      </c>
      <c r="G766" s="61">
        <f>13.3755 * CHOOSE(CONTROL!$C$19, $C$13, 100%, $E$13)</f>
        <v>13.375500000000001</v>
      </c>
      <c r="H766" s="61">
        <f>18.5496* CHOOSE(CONTROL!$C$19, $C$13, 100%, $E$13)</f>
        <v>18.549600000000002</v>
      </c>
      <c r="I766" s="61">
        <f>18.5516 * CHOOSE(CONTROL!$C$19, $C$13, 100%, $E$13)</f>
        <v>18.551600000000001</v>
      </c>
      <c r="J766" s="61">
        <f>13.3734 * CHOOSE(CONTROL!$C$19, $C$13, 100%, $E$13)</f>
        <v>13.3734</v>
      </c>
      <c r="K766" s="61">
        <f>13.3755 * CHOOSE(CONTROL!$C$19, $C$13, 100%, $E$13)</f>
        <v>13.375500000000001</v>
      </c>
    </row>
    <row r="767" spans="1:11" ht="15">
      <c r="A767" s="13">
        <v>65197</v>
      </c>
      <c r="B767" s="60">
        <f>11.247 * CHOOSE(CONTROL!$C$19, $C$13, 100%, $E$13)</f>
        <v>11.247</v>
      </c>
      <c r="C767" s="60">
        <f>11.247 * CHOOSE(CONTROL!$C$19, $C$13, 100%, $E$13)</f>
        <v>11.247</v>
      </c>
      <c r="D767" s="60">
        <f>11.2807 * CHOOSE(CONTROL!$C$19, $C$13, 100%, $E$13)</f>
        <v>11.2807</v>
      </c>
      <c r="E767" s="61">
        <f>13.6175 * CHOOSE(CONTROL!$C$19, $C$13, 100%, $E$13)</f>
        <v>13.6175</v>
      </c>
      <c r="F767" s="61">
        <f>13.6175 * CHOOSE(CONTROL!$C$19, $C$13, 100%, $E$13)</f>
        <v>13.6175</v>
      </c>
      <c r="G767" s="61">
        <f>13.6196 * CHOOSE(CONTROL!$C$19, $C$13, 100%, $E$13)</f>
        <v>13.6196</v>
      </c>
      <c r="H767" s="61">
        <f>18.5882* CHOOSE(CONTROL!$C$19, $C$13, 100%, $E$13)</f>
        <v>18.588200000000001</v>
      </c>
      <c r="I767" s="61">
        <f>18.5903 * CHOOSE(CONTROL!$C$19, $C$13, 100%, $E$13)</f>
        <v>18.590299999999999</v>
      </c>
      <c r="J767" s="61">
        <f>13.6175 * CHOOSE(CONTROL!$C$19, $C$13, 100%, $E$13)</f>
        <v>13.6175</v>
      </c>
      <c r="K767" s="61">
        <f>13.6196 * CHOOSE(CONTROL!$C$19, $C$13, 100%, $E$13)</f>
        <v>13.6196</v>
      </c>
    </row>
    <row r="768" spans="1:11" ht="15">
      <c r="A768" s="13">
        <v>65228</v>
      </c>
      <c r="B768" s="60">
        <f>11.2537 * CHOOSE(CONTROL!$C$19, $C$13, 100%, $E$13)</f>
        <v>11.2537</v>
      </c>
      <c r="C768" s="60">
        <f>11.2537 * CHOOSE(CONTROL!$C$19, $C$13, 100%, $E$13)</f>
        <v>11.2537</v>
      </c>
      <c r="D768" s="60">
        <f>11.2874 * CHOOSE(CONTROL!$C$19, $C$13, 100%, $E$13)</f>
        <v>11.2874</v>
      </c>
      <c r="E768" s="61">
        <f>13.416 * CHOOSE(CONTROL!$C$19, $C$13, 100%, $E$13)</f>
        <v>13.416</v>
      </c>
      <c r="F768" s="61">
        <f>13.416 * CHOOSE(CONTROL!$C$19, $C$13, 100%, $E$13)</f>
        <v>13.416</v>
      </c>
      <c r="G768" s="61">
        <f>13.4181 * CHOOSE(CONTROL!$C$19, $C$13, 100%, $E$13)</f>
        <v>13.418100000000001</v>
      </c>
      <c r="H768" s="61">
        <f>18.6269* CHOOSE(CONTROL!$C$19, $C$13, 100%, $E$13)</f>
        <v>18.626899999999999</v>
      </c>
      <c r="I768" s="61">
        <f>18.629 * CHOOSE(CONTROL!$C$19, $C$13, 100%, $E$13)</f>
        <v>18.629000000000001</v>
      </c>
      <c r="J768" s="61">
        <f>13.416 * CHOOSE(CONTROL!$C$19, $C$13, 100%, $E$13)</f>
        <v>13.416</v>
      </c>
      <c r="K768" s="61">
        <f>13.4181 * CHOOSE(CONTROL!$C$19, $C$13, 100%, $E$13)</f>
        <v>13.418100000000001</v>
      </c>
    </row>
    <row r="769" spans="1:11" ht="15">
      <c r="A769" s="13">
        <v>65259</v>
      </c>
      <c r="B769" s="60">
        <f>11.2507 * CHOOSE(CONTROL!$C$19, $C$13, 100%, $E$13)</f>
        <v>11.2507</v>
      </c>
      <c r="C769" s="60">
        <f>11.2507 * CHOOSE(CONTROL!$C$19, $C$13, 100%, $E$13)</f>
        <v>11.2507</v>
      </c>
      <c r="D769" s="60">
        <f>11.2843 * CHOOSE(CONTROL!$C$19, $C$13, 100%, $E$13)</f>
        <v>11.2843</v>
      </c>
      <c r="E769" s="61">
        <f>13.391 * CHOOSE(CONTROL!$C$19, $C$13, 100%, $E$13)</f>
        <v>13.391</v>
      </c>
      <c r="F769" s="61">
        <f>13.391 * CHOOSE(CONTROL!$C$19, $C$13, 100%, $E$13)</f>
        <v>13.391</v>
      </c>
      <c r="G769" s="61">
        <f>13.3931 * CHOOSE(CONTROL!$C$19, $C$13, 100%, $E$13)</f>
        <v>13.3931</v>
      </c>
      <c r="H769" s="61">
        <f>18.6657* CHOOSE(CONTROL!$C$19, $C$13, 100%, $E$13)</f>
        <v>18.665700000000001</v>
      </c>
      <c r="I769" s="61">
        <f>18.6678 * CHOOSE(CONTROL!$C$19, $C$13, 100%, $E$13)</f>
        <v>18.6678</v>
      </c>
      <c r="J769" s="61">
        <f>13.391 * CHOOSE(CONTROL!$C$19, $C$13, 100%, $E$13)</f>
        <v>13.391</v>
      </c>
      <c r="K769" s="61">
        <f>13.3931 * CHOOSE(CONTROL!$C$19, $C$13, 100%, $E$13)</f>
        <v>13.3931</v>
      </c>
    </row>
    <row r="770" spans="1:11" ht="15">
      <c r="A770" s="13">
        <v>65289</v>
      </c>
      <c r="B770" s="60">
        <f>11.2733 * CHOOSE(CONTROL!$C$19, $C$13, 100%, $E$13)</f>
        <v>11.273300000000001</v>
      </c>
      <c r="C770" s="60">
        <f>11.2733 * CHOOSE(CONTROL!$C$19, $C$13, 100%, $E$13)</f>
        <v>11.273300000000001</v>
      </c>
      <c r="D770" s="60">
        <f>11.2901 * CHOOSE(CONTROL!$C$19, $C$13, 100%, $E$13)</f>
        <v>11.290100000000001</v>
      </c>
      <c r="E770" s="61">
        <f>13.4692 * CHOOSE(CONTROL!$C$19, $C$13, 100%, $E$13)</f>
        <v>13.469200000000001</v>
      </c>
      <c r="F770" s="61">
        <f>13.4692 * CHOOSE(CONTROL!$C$19, $C$13, 100%, $E$13)</f>
        <v>13.469200000000001</v>
      </c>
      <c r="G770" s="61">
        <f>13.4694 * CHOOSE(CONTROL!$C$19, $C$13, 100%, $E$13)</f>
        <v>13.4694</v>
      </c>
      <c r="H770" s="61">
        <f>18.7046* CHOOSE(CONTROL!$C$19, $C$13, 100%, $E$13)</f>
        <v>18.704599999999999</v>
      </c>
      <c r="I770" s="61">
        <f>18.7048 * CHOOSE(CONTROL!$C$19, $C$13, 100%, $E$13)</f>
        <v>18.704799999999999</v>
      </c>
      <c r="J770" s="61">
        <f>13.4692 * CHOOSE(CONTROL!$C$19, $C$13, 100%, $E$13)</f>
        <v>13.469200000000001</v>
      </c>
      <c r="K770" s="61">
        <f>13.4694 * CHOOSE(CONTROL!$C$19, $C$13, 100%, $E$13)</f>
        <v>13.4694</v>
      </c>
    </row>
    <row r="771" spans="1:11" ht="15">
      <c r="A771" s="13">
        <v>65320</v>
      </c>
      <c r="B771" s="60">
        <f>11.2763 * CHOOSE(CONTROL!$C$19, $C$13, 100%, $E$13)</f>
        <v>11.276300000000001</v>
      </c>
      <c r="C771" s="60">
        <f>11.2763 * CHOOSE(CONTROL!$C$19, $C$13, 100%, $E$13)</f>
        <v>11.276300000000001</v>
      </c>
      <c r="D771" s="60">
        <f>11.2932 * CHOOSE(CONTROL!$C$19, $C$13, 100%, $E$13)</f>
        <v>11.293200000000001</v>
      </c>
      <c r="E771" s="61">
        <f>13.5171 * CHOOSE(CONTROL!$C$19, $C$13, 100%, $E$13)</f>
        <v>13.517099999999999</v>
      </c>
      <c r="F771" s="61">
        <f>13.5171 * CHOOSE(CONTROL!$C$19, $C$13, 100%, $E$13)</f>
        <v>13.517099999999999</v>
      </c>
      <c r="G771" s="61">
        <f>13.5173 * CHOOSE(CONTROL!$C$19, $C$13, 100%, $E$13)</f>
        <v>13.517300000000001</v>
      </c>
      <c r="H771" s="61">
        <f>18.7436* CHOOSE(CONTROL!$C$19, $C$13, 100%, $E$13)</f>
        <v>18.743600000000001</v>
      </c>
      <c r="I771" s="61">
        <f>18.7438 * CHOOSE(CONTROL!$C$19, $C$13, 100%, $E$13)</f>
        <v>18.7438</v>
      </c>
      <c r="J771" s="61">
        <f>13.5171 * CHOOSE(CONTROL!$C$19, $C$13, 100%, $E$13)</f>
        <v>13.517099999999999</v>
      </c>
      <c r="K771" s="61">
        <f>13.5173 * CHOOSE(CONTROL!$C$19, $C$13, 100%, $E$13)</f>
        <v>13.517300000000001</v>
      </c>
    </row>
    <row r="772" spans="1:11" ht="15">
      <c r="A772" s="13">
        <v>65350</v>
      </c>
      <c r="B772" s="60">
        <f>11.2763 * CHOOSE(CONTROL!$C$19, $C$13, 100%, $E$13)</f>
        <v>11.276300000000001</v>
      </c>
      <c r="C772" s="60">
        <f>11.2763 * CHOOSE(CONTROL!$C$19, $C$13, 100%, $E$13)</f>
        <v>11.276300000000001</v>
      </c>
      <c r="D772" s="60">
        <f>11.2932 * CHOOSE(CONTROL!$C$19, $C$13, 100%, $E$13)</f>
        <v>11.293200000000001</v>
      </c>
      <c r="E772" s="61">
        <f>13.4026 * CHOOSE(CONTROL!$C$19, $C$13, 100%, $E$13)</f>
        <v>13.4026</v>
      </c>
      <c r="F772" s="61">
        <f>13.4026 * CHOOSE(CONTROL!$C$19, $C$13, 100%, $E$13)</f>
        <v>13.4026</v>
      </c>
      <c r="G772" s="61">
        <f>13.4028 * CHOOSE(CONTROL!$C$19, $C$13, 100%, $E$13)</f>
        <v>13.402799999999999</v>
      </c>
      <c r="H772" s="61">
        <f>18.7826* CHOOSE(CONTROL!$C$19, $C$13, 100%, $E$13)</f>
        <v>18.782599999999999</v>
      </c>
      <c r="I772" s="61">
        <f>18.7828 * CHOOSE(CONTROL!$C$19, $C$13, 100%, $E$13)</f>
        <v>18.782800000000002</v>
      </c>
      <c r="J772" s="61">
        <f>13.4026 * CHOOSE(CONTROL!$C$19, $C$13, 100%, $E$13)</f>
        <v>13.4026</v>
      </c>
      <c r="K772" s="61">
        <f>13.4028 * CHOOSE(CONTROL!$C$19, $C$13, 100%, $E$13)</f>
        <v>13.402799999999999</v>
      </c>
    </row>
    <row r="773" spans="1:11" ht="15">
      <c r="A773" s="13">
        <v>65381</v>
      </c>
      <c r="B773" s="60">
        <f>11.2833 * CHOOSE(CONTROL!$C$19, $C$13, 100%, $E$13)</f>
        <v>11.283300000000001</v>
      </c>
      <c r="C773" s="60">
        <f>11.2833 * CHOOSE(CONTROL!$C$19, $C$13, 100%, $E$13)</f>
        <v>11.283300000000001</v>
      </c>
      <c r="D773" s="60">
        <f>11.3002 * CHOOSE(CONTROL!$C$19, $C$13, 100%, $E$13)</f>
        <v>11.3002</v>
      </c>
      <c r="E773" s="61">
        <f>13.492 * CHOOSE(CONTROL!$C$19, $C$13, 100%, $E$13)</f>
        <v>13.492000000000001</v>
      </c>
      <c r="F773" s="61">
        <f>13.492 * CHOOSE(CONTROL!$C$19, $C$13, 100%, $E$13)</f>
        <v>13.492000000000001</v>
      </c>
      <c r="G773" s="61">
        <f>13.4922 * CHOOSE(CONTROL!$C$19, $C$13, 100%, $E$13)</f>
        <v>13.4922</v>
      </c>
      <c r="H773" s="61">
        <f>18.6822* CHOOSE(CONTROL!$C$19, $C$13, 100%, $E$13)</f>
        <v>18.682200000000002</v>
      </c>
      <c r="I773" s="61">
        <f>18.6824 * CHOOSE(CONTROL!$C$19, $C$13, 100%, $E$13)</f>
        <v>18.682400000000001</v>
      </c>
      <c r="J773" s="61">
        <f>13.492 * CHOOSE(CONTROL!$C$19, $C$13, 100%, $E$13)</f>
        <v>13.492000000000001</v>
      </c>
      <c r="K773" s="61">
        <f>13.4922 * CHOOSE(CONTROL!$C$19, $C$13, 100%, $E$13)</f>
        <v>13.4922</v>
      </c>
    </row>
    <row r="774" spans="1:11" ht="15">
      <c r="A774" s="13">
        <v>65412</v>
      </c>
      <c r="B774" s="60">
        <f>11.2803 * CHOOSE(CONTROL!$C$19, $C$13, 100%, $E$13)</f>
        <v>11.2803</v>
      </c>
      <c r="C774" s="60">
        <f>11.2803 * CHOOSE(CONTROL!$C$19, $C$13, 100%, $E$13)</f>
        <v>11.2803</v>
      </c>
      <c r="D774" s="60">
        <f>11.2971 * CHOOSE(CONTROL!$C$19, $C$13, 100%, $E$13)</f>
        <v>11.2971</v>
      </c>
      <c r="E774" s="61">
        <f>13.2691 * CHOOSE(CONTROL!$C$19, $C$13, 100%, $E$13)</f>
        <v>13.2691</v>
      </c>
      <c r="F774" s="61">
        <f>13.2691 * CHOOSE(CONTROL!$C$19, $C$13, 100%, $E$13)</f>
        <v>13.2691</v>
      </c>
      <c r="G774" s="61">
        <f>13.2692 * CHOOSE(CONTROL!$C$19, $C$13, 100%, $E$13)</f>
        <v>13.2692</v>
      </c>
      <c r="H774" s="61">
        <f>18.7211* CHOOSE(CONTROL!$C$19, $C$13, 100%, $E$13)</f>
        <v>18.7211</v>
      </c>
      <c r="I774" s="61">
        <f>18.7213 * CHOOSE(CONTROL!$C$19, $C$13, 100%, $E$13)</f>
        <v>18.721299999999999</v>
      </c>
      <c r="J774" s="61">
        <f>13.2691 * CHOOSE(CONTROL!$C$19, $C$13, 100%, $E$13)</f>
        <v>13.2691</v>
      </c>
      <c r="K774" s="61">
        <f>13.2692 * CHOOSE(CONTROL!$C$19, $C$13, 100%, $E$13)</f>
        <v>13.2692</v>
      </c>
    </row>
    <row r="775" spans="1:11" ht="15">
      <c r="A775" s="13">
        <v>65440</v>
      </c>
      <c r="B775" s="60">
        <f>11.2773 * CHOOSE(CONTROL!$C$19, $C$13, 100%, $E$13)</f>
        <v>11.2773</v>
      </c>
      <c r="C775" s="60">
        <f>11.2773 * CHOOSE(CONTROL!$C$19, $C$13, 100%, $E$13)</f>
        <v>11.2773</v>
      </c>
      <c r="D775" s="60">
        <f>11.2941 * CHOOSE(CONTROL!$C$19, $C$13, 100%, $E$13)</f>
        <v>11.2941</v>
      </c>
      <c r="E775" s="61">
        <f>13.4411 * CHOOSE(CONTROL!$C$19, $C$13, 100%, $E$13)</f>
        <v>13.4411</v>
      </c>
      <c r="F775" s="61">
        <f>13.4411 * CHOOSE(CONTROL!$C$19, $C$13, 100%, $E$13)</f>
        <v>13.4411</v>
      </c>
      <c r="G775" s="61">
        <f>13.4412 * CHOOSE(CONTROL!$C$19, $C$13, 100%, $E$13)</f>
        <v>13.4412</v>
      </c>
      <c r="H775" s="61">
        <f>18.7601* CHOOSE(CONTROL!$C$19, $C$13, 100%, $E$13)</f>
        <v>18.760100000000001</v>
      </c>
      <c r="I775" s="61">
        <f>18.7603 * CHOOSE(CONTROL!$C$19, $C$13, 100%, $E$13)</f>
        <v>18.760300000000001</v>
      </c>
      <c r="J775" s="61">
        <f>13.4411 * CHOOSE(CONTROL!$C$19, $C$13, 100%, $E$13)</f>
        <v>13.4411</v>
      </c>
      <c r="K775" s="61">
        <f>13.4412 * CHOOSE(CONTROL!$C$19, $C$13, 100%, $E$13)</f>
        <v>13.4412</v>
      </c>
    </row>
    <row r="776" spans="1:11" ht="15">
      <c r="A776" s="13">
        <v>65471</v>
      </c>
      <c r="B776" s="60">
        <f>11.2821 * CHOOSE(CONTROL!$C$19, $C$13, 100%, $E$13)</f>
        <v>11.2821</v>
      </c>
      <c r="C776" s="60">
        <f>11.2821 * CHOOSE(CONTROL!$C$19, $C$13, 100%, $E$13)</f>
        <v>11.2821</v>
      </c>
      <c r="D776" s="60">
        <f>11.2989 * CHOOSE(CONTROL!$C$19, $C$13, 100%, $E$13)</f>
        <v>11.2989</v>
      </c>
      <c r="E776" s="61">
        <f>13.6238 * CHOOSE(CONTROL!$C$19, $C$13, 100%, $E$13)</f>
        <v>13.623799999999999</v>
      </c>
      <c r="F776" s="61">
        <f>13.6238 * CHOOSE(CONTROL!$C$19, $C$13, 100%, $E$13)</f>
        <v>13.623799999999999</v>
      </c>
      <c r="G776" s="61">
        <f>13.624 * CHOOSE(CONTROL!$C$19, $C$13, 100%, $E$13)</f>
        <v>13.624000000000001</v>
      </c>
      <c r="H776" s="61">
        <f>18.7992* CHOOSE(CONTROL!$C$19, $C$13, 100%, $E$13)</f>
        <v>18.799199999999999</v>
      </c>
      <c r="I776" s="61">
        <f>18.7994 * CHOOSE(CONTROL!$C$19, $C$13, 100%, $E$13)</f>
        <v>18.799399999999999</v>
      </c>
      <c r="J776" s="61">
        <f>13.6238 * CHOOSE(CONTROL!$C$19, $C$13, 100%, $E$13)</f>
        <v>13.623799999999999</v>
      </c>
      <c r="K776" s="61">
        <f>13.624 * CHOOSE(CONTROL!$C$19, $C$13, 100%, $E$13)</f>
        <v>13.624000000000001</v>
      </c>
    </row>
    <row r="777" spans="1:11" ht="15">
      <c r="A777" s="13">
        <v>65501</v>
      </c>
      <c r="B777" s="60">
        <f>11.2821 * CHOOSE(CONTROL!$C$19, $C$13, 100%, $E$13)</f>
        <v>11.2821</v>
      </c>
      <c r="C777" s="60">
        <f>11.2821 * CHOOSE(CONTROL!$C$19, $C$13, 100%, $E$13)</f>
        <v>11.2821</v>
      </c>
      <c r="D777" s="60">
        <f>11.3158 * CHOOSE(CONTROL!$C$19, $C$13, 100%, $E$13)</f>
        <v>11.315799999999999</v>
      </c>
      <c r="E777" s="61">
        <f>13.6939 * CHOOSE(CONTROL!$C$19, $C$13, 100%, $E$13)</f>
        <v>13.693899999999999</v>
      </c>
      <c r="F777" s="61">
        <f>13.6939 * CHOOSE(CONTROL!$C$19, $C$13, 100%, $E$13)</f>
        <v>13.693899999999999</v>
      </c>
      <c r="G777" s="61">
        <f>13.696 * CHOOSE(CONTROL!$C$19, $C$13, 100%, $E$13)</f>
        <v>13.696</v>
      </c>
      <c r="H777" s="61">
        <f>18.8384* CHOOSE(CONTROL!$C$19, $C$13, 100%, $E$13)</f>
        <v>18.8384</v>
      </c>
      <c r="I777" s="61">
        <f>18.8405 * CHOOSE(CONTROL!$C$19, $C$13, 100%, $E$13)</f>
        <v>18.840499999999999</v>
      </c>
      <c r="J777" s="61">
        <f>13.6939 * CHOOSE(CONTROL!$C$19, $C$13, 100%, $E$13)</f>
        <v>13.693899999999999</v>
      </c>
      <c r="K777" s="61">
        <f>13.696 * CHOOSE(CONTROL!$C$19, $C$13, 100%, $E$13)</f>
        <v>13.696</v>
      </c>
    </row>
    <row r="778" spans="1:11" ht="15">
      <c r="A778" s="13">
        <v>65532</v>
      </c>
      <c r="B778" s="60">
        <f>11.2882 * CHOOSE(CONTROL!$C$19, $C$13, 100%, $E$13)</f>
        <v>11.2882</v>
      </c>
      <c r="C778" s="60">
        <f>11.2882 * CHOOSE(CONTROL!$C$19, $C$13, 100%, $E$13)</f>
        <v>11.2882</v>
      </c>
      <c r="D778" s="60">
        <f>11.3218 * CHOOSE(CONTROL!$C$19, $C$13, 100%, $E$13)</f>
        <v>11.3218</v>
      </c>
      <c r="E778" s="61">
        <f>13.628 * CHOOSE(CONTROL!$C$19, $C$13, 100%, $E$13)</f>
        <v>13.628</v>
      </c>
      <c r="F778" s="61">
        <f>13.628 * CHOOSE(CONTROL!$C$19, $C$13, 100%, $E$13)</f>
        <v>13.628</v>
      </c>
      <c r="G778" s="61">
        <f>13.6301 * CHOOSE(CONTROL!$C$19, $C$13, 100%, $E$13)</f>
        <v>13.630100000000001</v>
      </c>
      <c r="H778" s="61">
        <f>18.8776* CHOOSE(CONTROL!$C$19, $C$13, 100%, $E$13)</f>
        <v>18.877600000000001</v>
      </c>
      <c r="I778" s="61">
        <f>18.8797 * CHOOSE(CONTROL!$C$19, $C$13, 100%, $E$13)</f>
        <v>18.8797</v>
      </c>
      <c r="J778" s="61">
        <f>13.628 * CHOOSE(CONTROL!$C$19, $C$13, 100%, $E$13)</f>
        <v>13.628</v>
      </c>
      <c r="K778" s="61">
        <f>13.6301 * CHOOSE(CONTROL!$C$19, $C$13, 100%, $E$13)</f>
        <v>13.630100000000001</v>
      </c>
    </row>
    <row r="779" spans="1:11" ht="15">
      <c r="A779" s="13">
        <v>65562</v>
      </c>
      <c r="B779" s="60">
        <f>11.4463 * CHOOSE(CONTROL!$C$19, $C$13, 100%, $E$13)</f>
        <v>11.446300000000001</v>
      </c>
      <c r="C779" s="60">
        <f>11.4463 * CHOOSE(CONTROL!$C$19, $C$13, 100%, $E$13)</f>
        <v>11.446300000000001</v>
      </c>
      <c r="D779" s="60">
        <f>11.48 * CHOOSE(CONTROL!$C$19, $C$13, 100%, $E$13)</f>
        <v>11.48</v>
      </c>
      <c r="E779" s="61">
        <f>13.8766 * CHOOSE(CONTROL!$C$19, $C$13, 100%, $E$13)</f>
        <v>13.8766</v>
      </c>
      <c r="F779" s="61">
        <f>13.8766 * CHOOSE(CONTROL!$C$19, $C$13, 100%, $E$13)</f>
        <v>13.8766</v>
      </c>
      <c r="G779" s="61">
        <f>13.8787 * CHOOSE(CONTROL!$C$19, $C$13, 100%, $E$13)</f>
        <v>13.8787</v>
      </c>
      <c r="H779" s="61">
        <f>18.9169* CHOOSE(CONTROL!$C$19, $C$13, 100%, $E$13)</f>
        <v>18.916899999999998</v>
      </c>
      <c r="I779" s="61">
        <f>18.919 * CHOOSE(CONTROL!$C$19, $C$13, 100%, $E$13)</f>
        <v>18.919</v>
      </c>
      <c r="J779" s="61">
        <f>13.8766 * CHOOSE(CONTROL!$C$19, $C$13, 100%, $E$13)</f>
        <v>13.8766</v>
      </c>
      <c r="K779" s="61">
        <f>13.8787 * CHOOSE(CONTROL!$C$19, $C$13, 100%, $E$13)</f>
        <v>13.8787</v>
      </c>
    </row>
    <row r="780" spans="1:11" ht="15">
      <c r="A780" s="13">
        <v>65593</v>
      </c>
      <c r="B780" s="60">
        <f>11.453 * CHOOSE(CONTROL!$C$19, $C$13, 100%, $E$13)</f>
        <v>11.452999999999999</v>
      </c>
      <c r="C780" s="60">
        <f>11.453 * CHOOSE(CONTROL!$C$19, $C$13, 100%, $E$13)</f>
        <v>11.452999999999999</v>
      </c>
      <c r="D780" s="60">
        <f>11.4867 * CHOOSE(CONTROL!$C$19, $C$13, 100%, $E$13)</f>
        <v>11.486700000000001</v>
      </c>
      <c r="E780" s="61">
        <f>13.6709 * CHOOSE(CONTROL!$C$19, $C$13, 100%, $E$13)</f>
        <v>13.6709</v>
      </c>
      <c r="F780" s="61">
        <f>13.6709 * CHOOSE(CONTROL!$C$19, $C$13, 100%, $E$13)</f>
        <v>13.6709</v>
      </c>
      <c r="G780" s="61">
        <f>13.673 * CHOOSE(CONTROL!$C$19, $C$13, 100%, $E$13)</f>
        <v>13.673</v>
      </c>
      <c r="H780" s="61">
        <f>18.9563* CHOOSE(CONTROL!$C$19, $C$13, 100%, $E$13)</f>
        <v>18.956299999999999</v>
      </c>
      <c r="I780" s="61">
        <f>18.9584 * CHOOSE(CONTROL!$C$19, $C$13, 100%, $E$13)</f>
        <v>18.958400000000001</v>
      </c>
      <c r="J780" s="61">
        <f>13.6709 * CHOOSE(CONTROL!$C$19, $C$13, 100%, $E$13)</f>
        <v>13.6709</v>
      </c>
      <c r="K780" s="61">
        <f>13.673 * CHOOSE(CONTROL!$C$19, $C$13, 100%, $E$13)</f>
        <v>13.673</v>
      </c>
    </row>
    <row r="781" spans="1:11" ht="15">
      <c r="A781" s="13">
        <v>65624</v>
      </c>
      <c r="B781" s="60">
        <f>11.45 * CHOOSE(CONTROL!$C$19, $C$13, 100%, $E$13)</f>
        <v>11.45</v>
      </c>
      <c r="C781" s="60">
        <f>11.45 * CHOOSE(CONTROL!$C$19, $C$13, 100%, $E$13)</f>
        <v>11.45</v>
      </c>
      <c r="D781" s="60">
        <f>11.4836 * CHOOSE(CONTROL!$C$19, $C$13, 100%, $E$13)</f>
        <v>11.483599999999999</v>
      </c>
      <c r="E781" s="61">
        <f>13.6454 * CHOOSE(CONTROL!$C$19, $C$13, 100%, $E$13)</f>
        <v>13.6454</v>
      </c>
      <c r="F781" s="61">
        <f>13.6454 * CHOOSE(CONTROL!$C$19, $C$13, 100%, $E$13)</f>
        <v>13.6454</v>
      </c>
      <c r="G781" s="61">
        <f>13.6475 * CHOOSE(CONTROL!$C$19, $C$13, 100%, $E$13)</f>
        <v>13.647500000000001</v>
      </c>
      <c r="H781" s="61">
        <f>18.9958* CHOOSE(CONTROL!$C$19, $C$13, 100%, $E$13)</f>
        <v>18.995799999999999</v>
      </c>
      <c r="I781" s="61">
        <f>18.9979 * CHOOSE(CONTROL!$C$19, $C$13, 100%, $E$13)</f>
        <v>18.997900000000001</v>
      </c>
      <c r="J781" s="61">
        <f>13.6454 * CHOOSE(CONTROL!$C$19, $C$13, 100%, $E$13)</f>
        <v>13.6454</v>
      </c>
      <c r="K781" s="61">
        <f>13.6475 * CHOOSE(CONTROL!$C$19, $C$13, 100%, $E$13)</f>
        <v>13.647500000000001</v>
      </c>
    </row>
    <row r="782" spans="1:11" ht="15">
      <c r="A782" s="13">
        <v>65654</v>
      </c>
      <c r="B782" s="60">
        <f>11.4733 * CHOOSE(CONTROL!$C$19, $C$13, 100%, $E$13)</f>
        <v>11.4733</v>
      </c>
      <c r="C782" s="60">
        <f>11.4733 * CHOOSE(CONTROL!$C$19, $C$13, 100%, $E$13)</f>
        <v>11.4733</v>
      </c>
      <c r="D782" s="60">
        <f>11.4902 * CHOOSE(CONTROL!$C$19, $C$13, 100%, $E$13)</f>
        <v>11.4902</v>
      </c>
      <c r="E782" s="61">
        <f>13.7255 * CHOOSE(CONTROL!$C$19, $C$13, 100%, $E$13)</f>
        <v>13.7255</v>
      </c>
      <c r="F782" s="61">
        <f>13.7255 * CHOOSE(CONTROL!$C$19, $C$13, 100%, $E$13)</f>
        <v>13.7255</v>
      </c>
      <c r="G782" s="61">
        <f>13.7256 * CHOOSE(CONTROL!$C$19, $C$13, 100%, $E$13)</f>
        <v>13.7256</v>
      </c>
      <c r="H782" s="61">
        <f>19.0354* CHOOSE(CONTROL!$C$19, $C$13, 100%, $E$13)</f>
        <v>19.035399999999999</v>
      </c>
      <c r="I782" s="61">
        <f>19.0356 * CHOOSE(CONTROL!$C$19, $C$13, 100%, $E$13)</f>
        <v>19.035599999999999</v>
      </c>
      <c r="J782" s="61">
        <f>13.7255 * CHOOSE(CONTROL!$C$19, $C$13, 100%, $E$13)</f>
        <v>13.7255</v>
      </c>
      <c r="K782" s="61">
        <f>13.7256 * CHOOSE(CONTROL!$C$19, $C$13, 100%, $E$13)</f>
        <v>13.7256</v>
      </c>
    </row>
    <row r="783" spans="1:11" ht="15">
      <c r="A783" s="13">
        <v>65685</v>
      </c>
      <c r="B783" s="60">
        <f>11.4764 * CHOOSE(CONTROL!$C$19, $C$13, 100%, $E$13)</f>
        <v>11.4764</v>
      </c>
      <c r="C783" s="60">
        <f>11.4764 * CHOOSE(CONTROL!$C$19, $C$13, 100%, $E$13)</f>
        <v>11.4764</v>
      </c>
      <c r="D783" s="60">
        <f>11.4932 * CHOOSE(CONTROL!$C$19, $C$13, 100%, $E$13)</f>
        <v>11.4932</v>
      </c>
      <c r="E783" s="61">
        <f>13.7743 * CHOOSE(CONTROL!$C$19, $C$13, 100%, $E$13)</f>
        <v>13.7743</v>
      </c>
      <c r="F783" s="61">
        <f>13.7743 * CHOOSE(CONTROL!$C$19, $C$13, 100%, $E$13)</f>
        <v>13.7743</v>
      </c>
      <c r="G783" s="61">
        <f>13.7745 * CHOOSE(CONTROL!$C$19, $C$13, 100%, $E$13)</f>
        <v>13.7745</v>
      </c>
      <c r="H783" s="61">
        <f>19.0751* CHOOSE(CONTROL!$C$19, $C$13, 100%, $E$13)</f>
        <v>19.075099999999999</v>
      </c>
      <c r="I783" s="61">
        <f>19.0752 * CHOOSE(CONTROL!$C$19, $C$13, 100%, $E$13)</f>
        <v>19.075199999999999</v>
      </c>
      <c r="J783" s="61">
        <f>13.7743 * CHOOSE(CONTROL!$C$19, $C$13, 100%, $E$13)</f>
        <v>13.7743</v>
      </c>
      <c r="K783" s="61">
        <f>13.7745 * CHOOSE(CONTROL!$C$19, $C$13, 100%, $E$13)</f>
        <v>13.7745</v>
      </c>
    </row>
    <row r="784" spans="1:11" ht="15">
      <c r="A784" s="13">
        <v>65715</v>
      </c>
      <c r="B784" s="60">
        <f>11.4764 * CHOOSE(CONTROL!$C$19, $C$13, 100%, $E$13)</f>
        <v>11.4764</v>
      </c>
      <c r="C784" s="60">
        <f>11.4764 * CHOOSE(CONTROL!$C$19, $C$13, 100%, $E$13)</f>
        <v>11.4764</v>
      </c>
      <c r="D784" s="60">
        <f>11.4932 * CHOOSE(CONTROL!$C$19, $C$13, 100%, $E$13)</f>
        <v>11.4932</v>
      </c>
      <c r="E784" s="61">
        <f>13.6574 * CHOOSE(CONTROL!$C$19, $C$13, 100%, $E$13)</f>
        <v>13.657400000000001</v>
      </c>
      <c r="F784" s="61">
        <f>13.6574 * CHOOSE(CONTROL!$C$19, $C$13, 100%, $E$13)</f>
        <v>13.657400000000001</v>
      </c>
      <c r="G784" s="61">
        <f>13.6576 * CHOOSE(CONTROL!$C$19, $C$13, 100%, $E$13)</f>
        <v>13.6576</v>
      </c>
      <c r="H784" s="61">
        <f>19.1148* CHOOSE(CONTROL!$C$19, $C$13, 100%, $E$13)</f>
        <v>19.114799999999999</v>
      </c>
      <c r="I784" s="61">
        <f>19.115 * CHOOSE(CONTROL!$C$19, $C$13, 100%, $E$13)</f>
        <v>19.114999999999998</v>
      </c>
      <c r="J784" s="61">
        <f>13.6574 * CHOOSE(CONTROL!$C$19, $C$13, 100%, $E$13)</f>
        <v>13.657400000000001</v>
      </c>
      <c r="K784" s="61">
        <f>13.6576 * CHOOSE(CONTROL!$C$19, $C$13, 100%, $E$13)</f>
        <v>13.6576</v>
      </c>
    </row>
    <row r="785" spans="1:11" ht="15">
      <c r="A785" s="13">
        <v>65746</v>
      </c>
      <c r="B785" s="60">
        <f>11.48 * CHOOSE(CONTROL!$C$19, $C$13, 100%, $E$13)</f>
        <v>11.48</v>
      </c>
      <c r="C785" s="60">
        <f>11.48 * CHOOSE(CONTROL!$C$19, $C$13, 100%, $E$13)</f>
        <v>11.48</v>
      </c>
      <c r="D785" s="60">
        <f>11.4968 * CHOOSE(CONTROL!$C$19, $C$13, 100%, $E$13)</f>
        <v>11.4968</v>
      </c>
      <c r="E785" s="61">
        <f>13.7439 * CHOOSE(CONTROL!$C$19, $C$13, 100%, $E$13)</f>
        <v>13.7439</v>
      </c>
      <c r="F785" s="61">
        <f>13.7439 * CHOOSE(CONTROL!$C$19, $C$13, 100%, $E$13)</f>
        <v>13.7439</v>
      </c>
      <c r="G785" s="61">
        <f>13.7441 * CHOOSE(CONTROL!$C$19, $C$13, 100%, $E$13)</f>
        <v>13.7441</v>
      </c>
      <c r="H785" s="61">
        <f>19.0069* CHOOSE(CONTROL!$C$19, $C$13, 100%, $E$13)</f>
        <v>19.006900000000002</v>
      </c>
      <c r="I785" s="61">
        <f>19.007 * CHOOSE(CONTROL!$C$19, $C$13, 100%, $E$13)</f>
        <v>19.007000000000001</v>
      </c>
      <c r="J785" s="61">
        <f>13.7439 * CHOOSE(CONTROL!$C$19, $C$13, 100%, $E$13)</f>
        <v>13.7439</v>
      </c>
      <c r="K785" s="61">
        <f>13.7441 * CHOOSE(CONTROL!$C$19, $C$13, 100%, $E$13)</f>
        <v>13.7441</v>
      </c>
    </row>
    <row r="786" spans="1:11" ht="15">
      <c r="A786" s="13">
        <v>65777</v>
      </c>
      <c r="B786" s="60">
        <f>11.4769 * CHOOSE(CONTROL!$C$19, $C$13, 100%, $E$13)</f>
        <v>11.476900000000001</v>
      </c>
      <c r="C786" s="60">
        <f>11.4769 * CHOOSE(CONTROL!$C$19, $C$13, 100%, $E$13)</f>
        <v>11.476900000000001</v>
      </c>
      <c r="D786" s="60">
        <f>11.4938 * CHOOSE(CONTROL!$C$19, $C$13, 100%, $E$13)</f>
        <v>11.4938</v>
      </c>
      <c r="E786" s="61">
        <f>13.5164 * CHOOSE(CONTROL!$C$19, $C$13, 100%, $E$13)</f>
        <v>13.516400000000001</v>
      </c>
      <c r="F786" s="61">
        <f>13.5164 * CHOOSE(CONTROL!$C$19, $C$13, 100%, $E$13)</f>
        <v>13.516400000000001</v>
      </c>
      <c r="G786" s="61">
        <f>13.5166 * CHOOSE(CONTROL!$C$19, $C$13, 100%, $E$13)</f>
        <v>13.5166</v>
      </c>
      <c r="H786" s="61">
        <f>19.0464* CHOOSE(CONTROL!$C$19, $C$13, 100%, $E$13)</f>
        <v>19.046399999999998</v>
      </c>
      <c r="I786" s="61">
        <f>19.0466 * CHOOSE(CONTROL!$C$19, $C$13, 100%, $E$13)</f>
        <v>19.046600000000002</v>
      </c>
      <c r="J786" s="61">
        <f>13.5164 * CHOOSE(CONTROL!$C$19, $C$13, 100%, $E$13)</f>
        <v>13.516400000000001</v>
      </c>
      <c r="K786" s="61">
        <f>13.5166 * CHOOSE(CONTROL!$C$19, $C$13, 100%, $E$13)</f>
        <v>13.5166</v>
      </c>
    </row>
    <row r="787" spans="1:11" ht="15">
      <c r="A787" s="13">
        <v>65806</v>
      </c>
      <c r="B787" s="60">
        <f>11.4739 * CHOOSE(CONTROL!$C$19, $C$13, 100%, $E$13)</f>
        <v>11.4739</v>
      </c>
      <c r="C787" s="60">
        <f>11.4739 * CHOOSE(CONTROL!$C$19, $C$13, 100%, $E$13)</f>
        <v>11.4739</v>
      </c>
      <c r="D787" s="60">
        <f>11.4907 * CHOOSE(CONTROL!$C$19, $C$13, 100%, $E$13)</f>
        <v>11.4907</v>
      </c>
      <c r="E787" s="61">
        <f>13.6919 * CHOOSE(CONTROL!$C$19, $C$13, 100%, $E$13)</f>
        <v>13.6919</v>
      </c>
      <c r="F787" s="61">
        <f>13.6919 * CHOOSE(CONTROL!$C$19, $C$13, 100%, $E$13)</f>
        <v>13.6919</v>
      </c>
      <c r="G787" s="61">
        <f>13.6921 * CHOOSE(CONTROL!$C$19, $C$13, 100%, $E$13)</f>
        <v>13.6921</v>
      </c>
      <c r="H787" s="61">
        <f>19.0861* CHOOSE(CONTROL!$C$19, $C$13, 100%, $E$13)</f>
        <v>19.086099999999998</v>
      </c>
      <c r="I787" s="61">
        <f>19.0863 * CHOOSE(CONTROL!$C$19, $C$13, 100%, $E$13)</f>
        <v>19.086300000000001</v>
      </c>
      <c r="J787" s="61">
        <f>13.6919 * CHOOSE(CONTROL!$C$19, $C$13, 100%, $E$13)</f>
        <v>13.6919</v>
      </c>
      <c r="K787" s="61">
        <f>13.6921 * CHOOSE(CONTROL!$C$19, $C$13, 100%, $E$13)</f>
        <v>13.6921</v>
      </c>
    </row>
    <row r="788" spans="1:11" ht="15">
      <c r="A788" s="13">
        <v>65837</v>
      </c>
      <c r="B788" s="60">
        <f>11.4789 * CHOOSE(CONTROL!$C$19, $C$13, 100%, $E$13)</f>
        <v>11.478899999999999</v>
      </c>
      <c r="C788" s="60">
        <f>11.4789 * CHOOSE(CONTROL!$C$19, $C$13, 100%, $E$13)</f>
        <v>11.478899999999999</v>
      </c>
      <c r="D788" s="60">
        <f>11.4957 * CHOOSE(CONTROL!$C$19, $C$13, 100%, $E$13)</f>
        <v>11.495699999999999</v>
      </c>
      <c r="E788" s="61">
        <f>13.8785 * CHOOSE(CONTROL!$C$19, $C$13, 100%, $E$13)</f>
        <v>13.878500000000001</v>
      </c>
      <c r="F788" s="61">
        <f>13.8785 * CHOOSE(CONTROL!$C$19, $C$13, 100%, $E$13)</f>
        <v>13.878500000000001</v>
      </c>
      <c r="G788" s="61">
        <f>13.8787 * CHOOSE(CONTROL!$C$19, $C$13, 100%, $E$13)</f>
        <v>13.8787</v>
      </c>
      <c r="H788" s="61">
        <f>19.1259* CHOOSE(CONTROL!$C$19, $C$13, 100%, $E$13)</f>
        <v>19.125900000000001</v>
      </c>
      <c r="I788" s="61">
        <f>19.1261 * CHOOSE(CONTROL!$C$19, $C$13, 100%, $E$13)</f>
        <v>19.126100000000001</v>
      </c>
      <c r="J788" s="61">
        <f>13.8785 * CHOOSE(CONTROL!$C$19, $C$13, 100%, $E$13)</f>
        <v>13.878500000000001</v>
      </c>
      <c r="K788" s="61">
        <f>13.8787 * CHOOSE(CONTROL!$C$19, $C$13, 100%, $E$13)</f>
        <v>13.8787</v>
      </c>
    </row>
    <row r="789" spans="1:11" ht="15">
      <c r="A789" s="13">
        <v>65867</v>
      </c>
      <c r="B789" s="60">
        <f>11.4789 * CHOOSE(CONTROL!$C$19, $C$13, 100%, $E$13)</f>
        <v>11.478899999999999</v>
      </c>
      <c r="C789" s="60">
        <f>11.4789 * CHOOSE(CONTROL!$C$19, $C$13, 100%, $E$13)</f>
        <v>11.478899999999999</v>
      </c>
      <c r="D789" s="60">
        <f>11.5126 * CHOOSE(CONTROL!$C$19, $C$13, 100%, $E$13)</f>
        <v>11.512600000000001</v>
      </c>
      <c r="E789" s="61">
        <f>13.95 * CHOOSE(CONTROL!$C$19, $C$13, 100%, $E$13)</f>
        <v>13.95</v>
      </c>
      <c r="F789" s="61">
        <f>13.95 * CHOOSE(CONTROL!$C$19, $C$13, 100%, $E$13)</f>
        <v>13.95</v>
      </c>
      <c r="G789" s="61">
        <f>13.9521 * CHOOSE(CONTROL!$C$19, $C$13, 100%, $E$13)</f>
        <v>13.9521</v>
      </c>
      <c r="H789" s="61">
        <f>19.1657* CHOOSE(CONTROL!$C$19, $C$13, 100%, $E$13)</f>
        <v>19.165700000000001</v>
      </c>
      <c r="I789" s="61">
        <f>19.1678 * CHOOSE(CONTROL!$C$19, $C$13, 100%, $E$13)</f>
        <v>19.1678</v>
      </c>
      <c r="J789" s="61">
        <f>13.95 * CHOOSE(CONTROL!$C$19, $C$13, 100%, $E$13)</f>
        <v>13.95</v>
      </c>
      <c r="K789" s="61">
        <f>13.9521 * CHOOSE(CONTROL!$C$19, $C$13, 100%, $E$13)</f>
        <v>13.9521</v>
      </c>
    </row>
    <row r="790" spans="1:11" ht="15">
      <c r="A790" s="13">
        <v>65898</v>
      </c>
      <c r="B790" s="60">
        <f>11.485 * CHOOSE(CONTROL!$C$19, $C$13, 100%, $E$13)</f>
        <v>11.484999999999999</v>
      </c>
      <c r="C790" s="60">
        <f>11.485 * CHOOSE(CONTROL!$C$19, $C$13, 100%, $E$13)</f>
        <v>11.484999999999999</v>
      </c>
      <c r="D790" s="60">
        <f>11.5187 * CHOOSE(CONTROL!$C$19, $C$13, 100%, $E$13)</f>
        <v>11.518700000000001</v>
      </c>
      <c r="E790" s="61">
        <f>13.8827 * CHOOSE(CONTROL!$C$19, $C$13, 100%, $E$13)</f>
        <v>13.8827</v>
      </c>
      <c r="F790" s="61">
        <f>13.8827 * CHOOSE(CONTROL!$C$19, $C$13, 100%, $E$13)</f>
        <v>13.8827</v>
      </c>
      <c r="G790" s="61">
        <f>13.8848 * CHOOSE(CONTROL!$C$19, $C$13, 100%, $E$13)</f>
        <v>13.8848</v>
      </c>
      <c r="H790" s="61">
        <f>19.2057* CHOOSE(CONTROL!$C$19, $C$13, 100%, $E$13)</f>
        <v>19.2057</v>
      </c>
      <c r="I790" s="61">
        <f>19.2078 * CHOOSE(CONTROL!$C$19, $C$13, 100%, $E$13)</f>
        <v>19.207799999999999</v>
      </c>
      <c r="J790" s="61">
        <f>13.8827 * CHOOSE(CONTROL!$C$19, $C$13, 100%, $E$13)</f>
        <v>13.8827</v>
      </c>
      <c r="K790" s="61">
        <f>13.8848 * CHOOSE(CONTROL!$C$19, $C$13, 100%, $E$13)</f>
        <v>13.8848</v>
      </c>
    </row>
    <row r="791" spans="1:11" ht="15">
      <c r="A791" s="13">
        <v>65928</v>
      </c>
      <c r="B791" s="60">
        <f>11.6456 * CHOOSE(CONTROL!$C$19, $C$13, 100%, $E$13)</f>
        <v>11.6456</v>
      </c>
      <c r="C791" s="60">
        <f>11.6456 * CHOOSE(CONTROL!$C$19, $C$13, 100%, $E$13)</f>
        <v>11.6456</v>
      </c>
      <c r="D791" s="60">
        <f>11.6793 * CHOOSE(CONTROL!$C$19, $C$13, 100%, $E$13)</f>
        <v>11.6793</v>
      </c>
      <c r="E791" s="61">
        <f>14.1357 * CHOOSE(CONTROL!$C$19, $C$13, 100%, $E$13)</f>
        <v>14.1357</v>
      </c>
      <c r="F791" s="61">
        <f>14.1357 * CHOOSE(CONTROL!$C$19, $C$13, 100%, $E$13)</f>
        <v>14.1357</v>
      </c>
      <c r="G791" s="61">
        <f>14.1378 * CHOOSE(CONTROL!$C$19, $C$13, 100%, $E$13)</f>
        <v>14.1378</v>
      </c>
      <c r="H791" s="61">
        <f>19.2457* CHOOSE(CONTROL!$C$19, $C$13, 100%, $E$13)</f>
        <v>19.245699999999999</v>
      </c>
      <c r="I791" s="61">
        <f>19.2478 * CHOOSE(CONTROL!$C$19, $C$13, 100%, $E$13)</f>
        <v>19.247800000000002</v>
      </c>
      <c r="J791" s="61">
        <f>14.1357 * CHOOSE(CONTROL!$C$19, $C$13, 100%, $E$13)</f>
        <v>14.1357</v>
      </c>
      <c r="K791" s="61">
        <f>14.1378 * CHOOSE(CONTROL!$C$19, $C$13, 100%, $E$13)</f>
        <v>14.1378</v>
      </c>
    </row>
    <row r="792" spans="1:11" ht="15">
      <c r="A792" s="13">
        <v>65959</v>
      </c>
      <c r="B792" s="60">
        <f>11.6523 * CHOOSE(CONTROL!$C$19, $C$13, 100%, $E$13)</f>
        <v>11.6523</v>
      </c>
      <c r="C792" s="60">
        <f>11.6523 * CHOOSE(CONTROL!$C$19, $C$13, 100%, $E$13)</f>
        <v>11.6523</v>
      </c>
      <c r="D792" s="60">
        <f>11.686 * CHOOSE(CONTROL!$C$19, $C$13, 100%, $E$13)</f>
        <v>11.686</v>
      </c>
      <c r="E792" s="61">
        <f>13.9257 * CHOOSE(CONTROL!$C$19, $C$13, 100%, $E$13)</f>
        <v>13.925700000000001</v>
      </c>
      <c r="F792" s="61">
        <f>13.9257 * CHOOSE(CONTROL!$C$19, $C$13, 100%, $E$13)</f>
        <v>13.925700000000001</v>
      </c>
      <c r="G792" s="61">
        <f>13.9278 * CHOOSE(CONTROL!$C$19, $C$13, 100%, $E$13)</f>
        <v>13.9278</v>
      </c>
      <c r="H792" s="61">
        <f>19.2858* CHOOSE(CONTROL!$C$19, $C$13, 100%, $E$13)</f>
        <v>19.285799999999998</v>
      </c>
      <c r="I792" s="61">
        <f>19.2879 * CHOOSE(CONTROL!$C$19, $C$13, 100%, $E$13)</f>
        <v>19.2879</v>
      </c>
      <c r="J792" s="61">
        <f>13.9257 * CHOOSE(CONTROL!$C$19, $C$13, 100%, $E$13)</f>
        <v>13.925700000000001</v>
      </c>
      <c r="K792" s="61">
        <f>13.9278 * CHOOSE(CONTROL!$C$19, $C$13, 100%, $E$13)</f>
        <v>13.9278</v>
      </c>
    </row>
    <row r="793" spans="1:11" ht="15">
      <c r="A793" s="13">
        <v>65990</v>
      </c>
      <c r="B793" s="60">
        <f>11.6493 * CHOOSE(CONTROL!$C$19, $C$13, 100%, $E$13)</f>
        <v>11.6493</v>
      </c>
      <c r="C793" s="60">
        <f>11.6493 * CHOOSE(CONTROL!$C$19, $C$13, 100%, $E$13)</f>
        <v>11.6493</v>
      </c>
      <c r="D793" s="60">
        <f>11.683 * CHOOSE(CONTROL!$C$19, $C$13, 100%, $E$13)</f>
        <v>11.683</v>
      </c>
      <c r="E793" s="61">
        <f>13.8997 * CHOOSE(CONTROL!$C$19, $C$13, 100%, $E$13)</f>
        <v>13.899699999999999</v>
      </c>
      <c r="F793" s="61">
        <f>13.8997 * CHOOSE(CONTROL!$C$19, $C$13, 100%, $E$13)</f>
        <v>13.899699999999999</v>
      </c>
      <c r="G793" s="61">
        <f>13.9018 * CHOOSE(CONTROL!$C$19, $C$13, 100%, $E$13)</f>
        <v>13.9018</v>
      </c>
      <c r="H793" s="61">
        <f>19.326* CHOOSE(CONTROL!$C$19, $C$13, 100%, $E$13)</f>
        <v>19.326000000000001</v>
      </c>
      <c r="I793" s="61">
        <f>19.328 * CHOOSE(CONTROL!$C$19, $C$13, 100%, $E$13)</f>
        <v>19.327999999999999</v>
      </c>
      <c r="J793" s="61">
        <f>13.8997 * CHOOSE(CONTROL!$C$19, $C$13, 100%, $E$13)</f>
        <v>13.899699999999999</v>
      </c>
      <c r="K793" s="61">
        <f>13.9018 * CHOOSE(CONTROL!$C$19, $C$13, 100%, $E$13)</f>
        <v>13.9018</v>
      </c>
    </row>
    <row r="794" spans="1:11" ht="15">
      <c r="A794" s="13">
        <v>66020</v>
      </c>
      <c r="B794" s="60">
        <f>11.6734 * CHOOSE(CONTROL!$C$19, $C$13, 100%, $E$13)</f>
        <v>11.673400000000001</v>
      </c>
      <c r="C794" s="60">
        <f>11.6734 * CHOOSE(CONTROL!$C$19, $C$13, 100%, $E$13)</f>
        <v>11.673400000000001</v>
      </c>
      <c r="D794" s="60">
        <f>11.6903 * CHOOSE(CONTROL!$C$19, $C$13, 100%, $E$13)</f>
        <v>11.690300000000001</v>
      </c>
      <c r="E794" s="61">
        <f>13.9817 * CHOOSE(CONTROL!$C$19, $C$13, 100%, $E$13)</f>
        <v>13.9817</v>
      </c>
      <c r="F794" s="61">
        <f>13.9817 * CHOOSE(CONTROL!$C$19, $C$13, 100%, $E$13)</f>
        <v>13.9817</v>
      </c>
      <c r="G794" s="61">
        <f>13.9819 * CHOOSE(CONTROL!$C$19, $C$13, 100%, $E$13)</f>
        <v>13.9819</v>
      </c>
      <c r="H794" s="61">
        <f>19.3662* CHOOSE(CONTROL!$C$19, $C$13, 100%, $E$13)</f>
        <v>19.366199999999999</v>
      </c>
      <c r="I794" s="61">
        <f>19.3664 * CHOOSE(CONTROL!$C$19, $C$13, 100%, $E$13)</f>
        <v>19.366399999999999</v>
      </c>
      <c r="J794" s="61">
        <f>13.9817 * CHOOSE(CONTROL!$C$19, $C$13, 100%, $E$13)</f>
        <v>13.9817</v>
      </c>
      <c r="K794" s="61">
        <f>13.9819 * CHOOSE(CONTROL!$C$19, $C$13, 100%, $E$13)</f>
        <v>13.9819</v>
      </c>
    </row>
    <row r="795" spans="1:11" ht="15">
      <c r="A795" s="13">
        <v>66051</v>
      </c>
      <c r="B795" s="60">
        <f>11.6765 * CHOOSE(CONTROL!$C$19, $C$13, 100%, $E$13)</f>
        <v>11.676500000000001</v>
      </c>
      <c r="C795" s="60">
        <f>11.6765 * CHOOSE(CONTROL!$C$19, $C$13, 100%, $E$13)</f>
        <v>11.676500000000001</v>
      </c>
      <c r="D795" s="60">
        <f>11.6933 * CHOOSE(CONTROL!$C$19, $C$13, 100%, $E$13)</f>
        <v>11.693300000000001</v>
      </c>
      <c r="E795" s="61">
        <f>14.0315 * CHOOSE(CONTROL!$C$19, $C$13, 100%, $E$13)</f>
        <v>14.031499999999999</v>
      </c>
      <c r="F795" s="61">
        <f>14.0315 * CHOOSE(CONTROL!$C$19, $C$13, 100%, $E$13)</f>
        <v>14.031499999999999</v>
      </c>
      <c r="G795" s="61">
        <f>14.0317 * CHOOSE(CONTROL!$C$19, $C$13, 100%, $E$13)</f>
        <v>14.031700000000001</v>
      </c>
      <c r="H795" s="61">
        <f>19.4066* CHOOSE(CONTROL!$C$19, $C$13, 100%, $E$13)</f>
        <v>19.406600000000001</v>
      </c>
      <c r="I795" s="61">
        <f>19.4067 * CHOOSE(CONTROL!$C$19, $C$13, 100%, $E$13)</f>
        <v>19.406700000000001</v>
      </c>
      <c r="J795" s="61">
        <f>14.0315 * CHOOSE(CONTROL!$C$19, $C$13, 100%, $E$13)</f>
        <v>14.031499999999999</v>
      </c>
      <c r="K795" s="61">
        <f>14.0317 * CHOOSE(CONTROL!$C$19, $C$13, 100%, $E$13)</f>
        <v>14.031700000000001</v>
      </c>
    </row>
    <row r="796" spans="1:11" ht="15">
      <c r="A796" s="13">
        <v>66081</v>
      </c>
      <c r="B796" s="60">
        <f>11.6765 * CHOOSE(CONTROL!$C$19, $C$13, 100%, $E$13)</f>
        <v>11.676500000000001</v>
      </c>
      <c r="C796" s="60">
        <f>11.6765 * CHOOSE(CONTROL!$C$19, $C$13, 100%, $E$13)</f>
        <v>11.676500000000001</v>
      </c>
      <c r="D796" s="60">
        <f>11.6933 * CHOOSE(CONTROL!$C$19, $C$13, 100%, $E$13)</f>
        <v>11.693300000000001</v>
      </c>
      <c r="E796" s="61">
        <f>13.9123 * CHOOSE(CONTROL!$C$19, $C$13, 100%, $E$13)</f>
        <v>13.9123</v>
      </c>
      <c r="F796" s="61">
        <f>13.9123 * CHOOSE(CONTROL!$C$19, $C$13, 100%, $E$13)</f>
        <v>13.9123</v>
      </c>
      <c r="G796" s="61">
        <f>13.9125 * CHOOSE(CONTROL!$C$19, $C$13, 100%, $E$13)</f>
        <v>13.9125</v>
      </c>
      <c r="H796" s="61">
        <f>19.447* CHOOSE(CONTROL!$C$19, $C$13, 100%, $E$13)</f>
        <v>19.446999999999999</v>
      </c>
      <c r="I796" s="61">
        <f>19.4472 * CHOOSE(CONTROL!$C$19, $C$13, 100%, $E$13)</f>
        <v>19.447199999999999</v>
      </c>
      <c r="J796" s="61">
        <f>13.9123 * CHOOSE(CONTROL!$C$19, $C$13, 100%, $E$13)</f>
        <v>13.9123</v>
      </c>
      <c r="K796" s="61">
        <f>13.9125 * CHOOSE(CONTROL!$C$19, $C$13, 100%, $E$13)</f>
        <v>13.9125</v>
      </c>
    </row>
    <row r="797" spans="1:11" ht="15">
      <c r="A797" s="13">
        <v>66112</v>
      </c>
      <c r="B797" s="60">
        <f>11.6766 * CHOOSE(CONTROL!$C$19, $C$13, 100%, $E$13)</f>
        <v>11.676600000000001</v>
      </c>
      <c r="C797" s="60">
        <f>11.6766 * CHOOSE(CONTROL!$C$19, $C$13, 100%, $E$13)</f>
        <v>11.676600000000001</v>
      </c>
      <c r="D797" s="60">
        <f>11.6934 * CHOOSE(CONTROL!$C$19, $C$13, 100%, $E$13)</f>
        <v>11.6934</v>
      </c>
      <c r="E797" s="61">
        <f>13.9957 * CHOOSE(CONTROL!$C$19, $C$13, 100%, $E$13)</f>
        <v>13.995699999999999</v>
      </c>
      <c r="F797" s="61">
        <f>13.9957 * CHOOSE(CONTROL!$C$19, $C$13, 100%, $E$13)</f>
        <v>13.995699999999999</v>
      </c>
      <c r="G797" s="61">
        <f>13.9959 * CHOOSE(CONTROL!$C$19, $C$13, 100%, $E$13)</f>
        <v>13.995900000000001</v>
      </c>
      <c r="H797" s="61">
        <f>19.3315* CHOOSE(CONTROL!$C$19, $C$13, 100%, $E$13)</f>
        <v>19.331499999999998</v>
      </c>
      <c r="I797" s="61">
        <f>19.3317 * CHOOSE(CONTROL!$C$19, $C$13, 100%, $E$13)</f>
        <v>19.331700000000001</v>
      </c>
      <c r="J797" s="61">
        <f>13.9957 * CHOOSE(CONTROL!$C$19, $C$13, 100%, $E$13)</f>
        <v>13.995699999999999</v>
      </c>
      <c r="K797" s="61">
        <f>13.9959 * CHOOSE(CONTROL!$C$19, $C$13, 100%, $E$13)</f>
        <v>13.995900000000001</v>
      </c>
    </row>
    <row r="798" spans="1:11" ht="15">
      <c r="A798" s="13">
        <v>66143</v>
      </c>
      <c r="B798" s="60">
        <f>11.6735 * CHOOSE(CONTROL!$C$19, $C$13, 100%, $E$13)</f>
        <v>11.673500000000001</v>
      </c>
      <c r="C798" s="60">
        <f>11.6735 * CHOOSE(CONTROL!$C$19, $C$13, 100%, $E$13)</f>
        <v>11.673500000000001</v>
      </c>
      <c r="D798" s="60">
        <f>11.6904 * CHOOSE(CONTROL!$C$19, $C$13, 100%, $E$13)</f>
        <v>11.6904</v>
      </c>
      <c r="E798" s="61">
        <f>13.7638 * CHOOSE(CONTROL!$C$19, $C$13, 100%, $E$13)</f>
        <v>13.7638</v>
      </c>
      <c r="F798" s="61">
        <f>13.7638 * CHOOSE(CONTROL!$C$19, $C$13, 100%, $E$13)</f>
        <v>13.7638</v>
      </c>
      <c r="G798" s="61">
        <f>13.764 * CHOOSE(CONTROL!$C$19, $C$13, 100%, $E$13)</f>
        <v>13.763999999999999</v>
      </c>
      <c r="H798" s="61">
        <f>19.3718* CHOOSE(CONTROL!$C$19, $C$13, 100%, $E$13)</f>
        <v>19.3718</v>
      </c>
      <c r="I798" s="61">
        <f>19.372 * CHOOSE(CONTROL!$C$19, $C$13, 100%, $E$13)</f>
        <v>19.372</v>
      </c>
      <c r="J798" s="61">
        <f>13.7638 * CHOOSE(CONTROL!$C$19, $C$13, 100%, $E$13)</f>
        <v>13.7638</v>
      </c>
      <c r="K798" s="61">
        <f>13.764 * CHOOSE(CONTROL!$C$19, $C$13, 100%, $E$13)</f>
        <v>13.763999999999999</v>
      </c>
    </row>
    <row r="799" spans="1:11" ht="15">
      <c r="A799" s="13">
        <v>66171</v>
      </c>
      <c r="B799" s="60">
        <f>11.6705 * CHOOSE(CONTROL!$C$19, $C$13, 100%, $E$13)</f>
        <v>11.670500000000001</v>
      </c>
      <c r="C799" s="60">
        <f>11.6705 * CHOOSE(CONTROL!$C$19, $C$13, 100%, $E$13)</f>
        <v>11.670500000000001</v>
      </c>
      <c r="D799" s="60">
        <f>11.6873 * CHOOSE(CONTROL!$C$19, $C$13, 100%, $E$13)</f>
        <v>11.6873</v>
      </c>
      <c r="E799" s="61">
        <f>13.9428 * CHOOSE(CONTROL!$C$19, $C$13, 100%, $E$13)</f>
        <v>13.9428</v>
      </c>
      <c r="F799" s="61">
        <f>13.9428 * CHOOSE(CONTROL!$C$19, $C$13, 100%, $E$13)</f>
        <v>13.9428</v>
      </c>
      <c r="G799" s="61">
        <f>13.943 * CHOOSE(CONTROL!$C$19, $C$13, 100%, $E$13)</f>
        <v>13.943</v>
      </c>
      <c r="H799" s="61">
        <f>19.4121* CHOOSE(CONTROL!$C$19, $C$13, 100%, $E$13)</f>
        <v>19.412099999999999</v>
      </c>
      <c r="I799" s="61">
        <f>19.4123 * CHOOSE(CONTROL!$C$19, $C$13, 100%, $E$13)</f>
        <v>19.412299999999998</v>
      </c>
      <c r="J799" s="61">
        <f>13.9428 * CHOOSE(CONTROL!$C$19, $C$13, 100%, $E$13)</f>
        <v>13.9428</v>
      </c>
      <c r="K799" s="61">
        <f>13.943 * CHOOSE(CONTROL!$C$19, $C$13, 100%, $E$13)</f>
        <v>13.943</v>
      </c>
    </row>
    <row r="800" spans="1:11" ht="15">
      <c r="A800" s="13">
        <v>66202</v>
      </c>
      <c r="B800" s="60">
        <f>11.6757 * CHOOSE(CONTROL!$C$19, $C$13, 100%, $E$13)</f>
        <v>11.675700000000001</v>
      </c>
      <c r="C800" s="60">
        <f>11.6757 * CHOOSE(CONTROL!$C$19, $C$13, 100%, $E$13)</f>
        <v>11.675700000000001</v>
      </c>
      <c r="D800" s="60">
        <f>11.6926 * CHOOSE(CONTROL!$C$19, $C$13, 100%, $E$13)</f>
        <v>11.692600000000001</v>
      </c>
      <c r="E800" s="61">
        <f>14.1332 * CHOOSE(CONTROL!$C$19, $C$13, 100%, $E$13)</f>
        <v>14.1332</v>
      </c>
      <c r="F800" s="61">
        <f>14.1332 * CHOOSE(CONTROL!$C$19, $C$13, 100%, $E$13)</f>
        <v>14.1332</v>
      </c>
      <c r="G800" s="61">
        <f>14.1333 * CHOOSE(CONTROL!$C$19, $C$13, 100%, $E$13)</f>
        <v>14.1333</v>
      </c>
      <c r="H800" s="61">
        <f>19.4526* CHOOSE(CONTROL!$C$19, $C$13, 100%, $E$13)</f>
        <v>19.4526</v>
      </c>
      <c r="I800" s="61">
        <f>19.4528 * CHOOSE(CONTROL!$C$19, $C$13, 100%, $E$13)</f>
        <v>19.4528</v>
      </c>
      <c r="J800" s="61">
        <f>14.1332 * CHOOSE(CONTROL!$C$19, $C$13, 100%, $E$13)</f>
        <v>14.1332</v>
      </c>
      <c r="K800" s="61">
        <f>14.1333 * CHOOSE(CONTROL!$C$19, $C$13, 100%, $E$13)</f>
        <v>14.1333</v>
      </c>
    </row>
    <row r="801" spans="1:11" ht="15">
      <c r="A801" s="13">
        <v>66232</v>
      </c>
      <c r="B801" s="60">
        <f>11.6757 * CHOOSE(CONTROL!$C$19, $C$13, 100%, $E$13)</f>
        <v>11.675700000000001</v>
      </c>
      <c r="C801" s="60">
        <f>11.6757 * CHOOSE(CONTROL!$C$19, $C$13, 100%, $E$13)</f>
        <v>11.675700000000001</v>
      </c>
      <c r="D801" s="60">
        <f>11.7094 * CHOOSE(CONTROL!$C$19, $C$13, 100%, $E$13)</f>
        <v>11.7094</v>
      </c>
      <c r="E801" s="61">
        <f>14.2061 * CHOOSE(CONTROL!$C$19, $C$13, 100%, $E$13)</f>
        <v>14.206099999999999</v>
      </c>
      <c r="F801" s="61">
        <f>14.2061 * CHOOSE(CONTROL!$C$19, $C$13, 100%, $E$13)</f>
        <v>14.206099999999999</v>
      </c>
      <c r="G801" s="61">
        <f>14.2082 * CHOOSE(CONTROL!$C$19, $C$13, 100%, $E$13)</f>
        <v>14.2082</v>
      </c>
      <c r="H801" s="61">
        <f>19.4931* CHOOSE(CONTROL!$C$19, $C$13, 100%, $E$13)</f>
        <v>19.493099999999998</v>
      </c>
      <c r="I801" s="61">
        <f>19.4952 * CHOOSE(CONTROL!$C$19, $C$13, 100%, $E$13)</f>
        <v>19.495200000000001</v>
      </c>
      <c r="J801" s="61">
        <f>14.2061 * CHOOSE(CONTROL!$C$19, $C$13, 100%, $E$13)</f>
        <v>14.206099999999999</v>
      </c>
      <c r="K801" s="61">
        <f>14.2082 * CHOOSE(CONTROL!$C$19, $C$13, 100%, $E$13)</f>
        <v>14.2082</v>
      </c>
    </row>
    <row r="802" spans="1:11" ht="15">
      <c r="A802" s="13">
        <v>66263</v>
      </c>
      <c r="B802" s="60">
        <f>11.6818 * CHOOSE(CONTROL!$C$19, $C$13, 100%, $E$13)</f>
        <v>11.681800000000001</v>
      </c>
      <c r="C802" s="60">
        <f>11.6818 * CHOOSE(CONTROL!$C$19, $C$13, 100%, $E$13)</f>
        <v>11.681800000000001</v>
      </c>
      <c r="D802" s="60">
        <f>11.7155 * CHOOSE(CONTROL!$C$19, $C$13, 100%, $E$13)</f>
        <v>11.7155</v>
      </c>
      <c r="E802" s="61">
        <f>14.1374 * CHOOSE(CONTROL!$C$19, $C$13, 100%, $E$13)</f>
        <v>14.1374</v>
      </c>
      <c r="F802" s="61">
        <f>14.1374 * CHOOSE(CONTROL!$C$19, $C$13, 100%, $E$13)</f>
        <v>14.1374</v>
      </c>
      <c r="G802" s="61">
        <f>14.1395 * CHOOSE(CONTROL!$C$19, $C$13, 100%, $E$13)</f>
        <v>14.1395</v>
      </c>
      <c r="H802" s="61">
        <f>19.5337* CHOOSE(CONTROL!$C$19, $C$13, 100%, $E$13)</f>
        <v>19.5337</v>
      </c>
      <c r="I802" s="61">
        <f>19.5358 * CHOOSE(CONTROL!$C$19, $C$13, 100%, $E$13)</f>
        <v>19.535799999999998</v>
      </c>
      <c r="J802" s="61">
        <f>14.1374 * CHOOSE(CONTROL!$C$19, $C$13, 100%, $E$13)</f>
        <v>14.1374</v>
      </c>
      <c r="K802" s="61">
        <f>14.1395 * CHOOSE(CONTROL!$C$19, $C$13, 100%, $E$13)</f>
        <v>14.1395</v>
      </c>
    </row>
    <row r="803" spans="1:11" ht="15">
      <c r="A803" s="13">
        <v>66293</v>
      </c>
      <c r="B803" s="60">
        <f>11.845 * CHOOSE(CONTROL!$C$19, $C$13, 100%, $E$13)</f>
        <v>11.845000000000001</v>
      </c>
      <c r="C803" s="60">
        <f>11.845 * CHOOSE(CONTROL!$C$19, $C$13, 100%, $E$13)</f>
        <v>11.845000000000001</v>
      </c>
      <c r="D803" s="60">
        <f>11.8786 * CHOOSE(CONTROL!$C$19, $C$13, 100%, $E$13)</f>
        <v>11.8786</v>
      </c>
      <c r="E803" s="61">
        <f>14.3948 * CHOOSE(CONTROL!$C$19, $C$13, 100%, $E$13)</f>
        <v>14.3948</v>
      </c>
      <c r="F803" s="61">
        <f>14.3948 * CHOOSE(CONTROL!$C$19, $C$13, 100%, $E$13)</f>
        <v>14.3948</v>
      </c>
      <c r="G803" s="61">
        <f>14.3969 * CHOOSE(CONTROL!$C$19, $C$13, 100%, $E$13)</f>
        <v>14.3969</v>
      </c>
      <c r="H803" s="61">
        <f>19.5744* CHOOSE(CONTROL!$C$19, $C$13, 100%, $E$13)</f>
        <v>19.574400000000001</v>
      </c>
      <c r="I803" s="61">
        <f>19.5765 * CHOOSE(CONTROL!$C$19, $C$13, 100%, $E$13)</f>
        <v>19.576499999999999</v>
      </c>
      <c r="J803" s="61">
        <f>14.3948 * CHOOSE(CONTROL!$C$19, $C$13, 100%, $E$13)</f>
        <v>14.3948</v>
      </c>
      <c r="K803" s="61">
        <f>14.3969 * CHOOSE(CONTROL!$C$19, $C$13, 100%, $E$13)</f>
        <v>14.3969</v>
      </c>
    </row>
    <row r="804" spans="1:11" ht="15">
      <c r="A804" s="13">
        <v>66324</v>
      </c>
      <c r="B804" s="60">
        <f>11.8516 * CHOOSE(CONTROL!$C$19, $C$13, 100%, $E$13)</f>
        <v>11.851599999999999</v>
      </c>
      <c r="C804" s="60">
        <f>11.8516 * CHOOSE(CONTROL!$C$19, $C$13, 100%, $E$13)</f>
        <v>11.851599999999999</v>
      </c>
      <c r="D804" s="60">
        <f>11.8853 * CHOOSE(CONTROL!$C$19, $C$13, 100%, $E$13)</f>
        <v>11.885300000000001</v>
      </c>
      <c r="E804" s="61">
        <f>14.1806 * CHOOSE(CONTROL!$C$19, $C$13, 100%, $E$13)</f>
        <v>14.1806</v>
      </c>
      <c r="F804" s="61">
        <f>14.1806 * CHOOSE(CONTROL!$C$19, $C$13, 100%, $E$13)</f>
        <v>14.1806</v>
      </c>
      <c r="G804" s="61">
        <f>14.1826 * CHOOSE(CONTROL!$C$19, $C$13, 100%, $E$13)</f>
        <v>14.182600000000001</v>
      </c>
      <c r="H804" s="61">
        <f>19.6152* CHOOSE(CONTROL!$C$19, $C$13, 100%, $E$13)</f>
        <v>19.615200000000002</v>
      </c>
      <c r="I804" s="61">
        <f>19.6173 * CHOOSE(CONTROL!$C$19, $C$13, 100%, $E$13)</f>
        <v>19.6173</v>
      </c>
      <c r="J804" s="61">
        <f>14.1806 * CHOOSE(CONTROL!$C$19, $C$13, 100%, $E$13)</f>
        <v>14.1806</v>
      </c>
      <c r="K804" s="61">
        <f>14.1826 * CHOOSE(CONTROL!$C$19, $C$13, 100%, $E$13)</f>
        <v>14.182600000000001</v>
      </c>
    </row>
    <row r="805" spans="1:11" ht="15">
      <c r="A805" s="13">
        <v>66355</v>
      </c>
      <c r="B805" s="60">
        <f>11.8486 * CHOOSE(CONTROL!$C$19, $C$13, 100%, $E$13)</f>
        <v>11.848599999999999</v>
      </c>
      <c r="C805" s="60">
        <f>11.8486 * CHOOSE(CONTROL!$C$19, $C$13, 100%, $E$13)</f>
        <v>11.848599999999999</v>
      </c>
      <c r="D805" s="60">
        <f>11.8823 * CHOOSE(CONTROL!$C$19, $C$13, 100%, $E$13)</f>
        <v>11.882300000000001</v>
      </c>
      <c r="E805" s="61">
        <f>14.1541 * CHOOSE(CONTROL!$C$19, $C$13, 100%, $E$13)</f>
        <v>14.1541</v>
      </c>
      <c r="F805" s="61">
        <f>14.1541 * CHOOSE(CONTROL!$C$19, $C$13, 100%, $E$13)</f>
        <v>14.1541</v>
      </c>
      <c r="G805" s="61">
        <f>14.1562 * CHOOSE(CONTROL!$C$19, $C$13, 100%, $E$13)</f>
        <v>14.1562</v>
      </c>
      <c r="H805" s="61">
        <f>19.6561* CHOOSE(CONTROL!$C$19, $C$13, 100%, $E$13)</f>
        <v>19.656099999999999</v>
      </c>
      <c r="I805" s="61">
        <f>19.6582 * CHOOSE(CONTROL!$C$19, $C$13, 100%, $E$13)</f>
        <v>19.658200000000001</v>
      </c>
      <c r="J805" s="61">
        <f>14.1541 * CHOOSE(CONTROL!$C$19, $C$13, 100%, $E$13)</f>
        <v>14.1541</v>
      </c>
      <c r="K805" s="61">
        <f>14.1562 * CHOOSE(CONTROL!$C$19, $C$13, 100%, $E$13)</f>
        <v>14.1562</v>
      </c>
    </row>
    <row r="806" spans="1:11" ht="15">
      <c r="A806" s="13">
        <v>66385</v>
      </c>
      <c r="B806" s="60">
        <f>11.8735 * CHOOSE(CONTROL!$C$19, $C$13, 100%, $E$13)</f>
        <v>11.8735</v>
      </c>
      <c r="C806" s="60">
        <f>11.8735 * CHOOSE(CONTROL!$C$19, $C$13, 100%, $E$13)</f>
        <v>11.8735</v>
      </c>
      <c r="D806" s="60">
        <f>11.8903 * CHOOSE(CONTROL!$C$19, $C$13, 100%, $E$13)</f>
        <v>11.8903</v>
      </c>
      <c r="E806" s="61">
        <f>14.238 * CHOOSE(CONTROL!$C$19, $C$13, 100%, $E$13)</f>
        <v>14.238</v>
      </c>
      <c r="F806" s="61">
        <f>14.238 * CHOOSE(CONTROL!$C$19, $C$13, 100%, $E$13)</f>
        <v>14.238</v>
      </c>
      <c r="G806" s="61">
        <f>14.2382 * CHOOSE(CONTROL!$C$19, $C$13, 100%, $E$13)</f>
        <v>14.238200000000001</v>
      </c>
      <c r="H806" s="61">
        <f>19.697* CHOOSE(CONTROL!$C$19, $C$13, 100%, $E$13)</f>
        <v>19.696999999999999</v>
      </c>
      <c r="I806" s="61">
        <f>19.6972 * CHOOSE(CONTROL!$C$19, $C$13, 100%, $E$13)</f>
        <v>19.697199999999999</v>
      </c>
      <c r="J806" s="61">
        <f>14.238 * CHOOSE(CONTROL!$C$19, $C$13, 100%, $E$13)</f>
        <v>14.238</v>
      </c>
      <c r="K806" s="61">
        <f>14.2382 * CHOOSE(CONTROL!$C$19, $C$13, 100%, $E$13)</f>
        <v>14.238200000000001</v>
      </c>
    </row>
    <row r="807" spans="1:11" ht="15">
      <c r="A807" s="13">
        <v>66416</v>
      </c>
      <c r="B807" s="60">
        <f>11.8765 * CHOOSE(CONTROL!$C$19, $C$13, 100%, $E$13)</f>
        <v>11.8765</v>
      </c>
      <c r="C807" s="60">
        <f>11.8765 * CHOOSE(CONTROL!$C$19, $C$13, 100%, $E$13)</f>
        <v>11.8765</v>
      </c>
      <c r="D807" s="60">
        <f>11.8934 * CHOOSE(CONTROL!$C$19, $C$13, 100%, $E$13)</f>
        <v>11.8934</v>
      </c>
      <c r="E807" s="61">
        <f>14.2887 * CHOOSE(CONTROL!$C$19, $C$13, 100%, $E$13)</f>
        <v>14.2887</v>
      </c>
      <c r="F807" s="61">
        <f>14.2887 * CHOOSE(CONTROL!$C$19, $C$13, 100%, $E$13)</f>
        <v>14.2887</v>
      </c>
      <c r="G807" s="61">
        <f>14.2889 * CHOOSE(CONTROL!$C$19, $C$13, 100%, $E$13)</f>
        <v>14.2889</v>
      </c>
      <c r="H807" s="61">
        <f>19.738* CHOOSE(CONTROL!$C$19, $C$13, 100%, $E$13)</f>
        <v>19.738</v>
      </c>
      <c r="I807" s="61">
        <f>19.7382 * CHOOSE(CONTROL!$C$19, $C$13, 100%, $E$13)</f>
        <v>19.738199999999999</v>
      </c>
      <c r="J807" s="61">
        <f>14.2887 * CHOOSE(CONTROL!$C$19, $C$13, 100%, $E$13)</f>
        <v>14.2887</v>
      </c>
      <c r="K807" s="61">
        <f>14.2889 * CHOOSE(CONTROL!$C$19, $C$13, 100%, $E$13)</f>
        <v>14.2889</v>
      </c>
    </row>
    <row r="808" spans="1:11" ht="15">
      <c r="A808" s="13">
        <v>66446</v>
      </c>
      <c r="B808" s="60">
        <f>11.8765 * CHOOSE(CONTROL!$C$19, $C$13, 100%, $E$13)</f>
        <v>11.8765</v>
      </c>
      <c r="C808" s="60">
        <f>11.8765 * CHOOSE(CONTROL!$C$19, $C$13, 100%, $E$13)</f>
        <v>11.8765</v>
      </c>
      <c r="D808" s="60">
        <f>11.8934 * CHOOSE(CONTROL!$C$19, $C$13, 100%, $E$13)</f>
        <v>11.8934</v>
      </c>
      <c r="E808" s="61">
        <f>14.1671 * CHOOSE(CONTROL!$C$19, $C$13, 100%, $E$13)</f>
        <v>14.1671</v>
      </c>
      <c r="F808" s="61">
        <f>14.1671 * CHOOSE(CONTROL!$C$19, $C$13, 100%, $E$13)</f>
        <v>14.1671</v>
      </c>
      <c r="G808" s="61">
        <f>14.1673 * CHOOSE(CONTROL!$C$19, $C$13, 100%, $E$13)</f>
        <v>14.167299999999999</v>
      </c>
      <c r="H808" s="61">
        <f>19.7792* CHOOSE(CONTROL!$C$19, $C$13, 100%, $E$13)</f>
        <v>19.779199999999999</v>
      </c>
      <c r="I808" s="61">
        <f>19.7793 * CHOOSE(CONTROL!$C$19, $C$13, 100%, $E$13)</f>
        <v>19.779299999999999</v>
      </c>
      <c r="J808" s="61">
        <f>14.1671 * CHOOSE(CONTROL!$C$19, $C$13, 100%, $E$13)</f>
        <v>14.1671</v>
      </c>
      <c r="K808" s="61">
        <f>14.1673 * CHOOSE(CONTROL!$C$19, $C$13, 100%, $E$13)</f>
        <v>14.167299999999999</v>
      </c>
    </row>
    <row r="809" spans="1:11" ht="15">
      <c r="A809" s="13">
        <v>66477</v>
      </c>
      <c r="B809" s="60">
        <f>11.8732 * CHOOSE(CONTROL!$C$19, $C$13, 100%, $E$13)</f>
        <v>11.873200000000001</v>
      </c>
      <c r="C809" s="60">
        <f>11.8732 * CHOOSE(CONTROL!$C$19, $C$13, 100%, $E$13)</f>
        <v>11.873200000000001</v>
      </c>
      <c r="D809" s="60">
        <f>11.89 * CHOOSE(CONTROL!$C$19, $C$13, 100%, $E$13)</f>
        <v>11.89</v>
      </c>
      <c r="E809" s="61">
        <f>14.2475 * CHOOSE(CONTROL!$C$19, $C$13, 100%, $E$13)</f>
        <v>14.2475</v>
      </c>
      <c r="F809" s="61">
        <f>14.2475 * CHOOSE(CONTROL!$C$19, $C$13, 100%, $E$13)</f>
        <v>14.2475</v>
      </c>
      <c r="G809" s="61">
        <f>14.2477 * CHOOSE(CONTROL!$C$19, $C$13, 100%, $E$13)</f>
        <v>14.2477</v>
      </c>
      <c r="H809" s="61">
        <f>19.6562* CHOOSE(CONTROL!$C$19, $C$13, 100%, $E$13)</f>
        <v>19.656199999999998</v>
      </c>
      <c r="I809" s="61">
        <f>19.6563 * CHOOSE(CONTROL!$C$19, $C$13, 100%, $E$13)</f>
        <v>19.656300000000002</v>
      </c>
      <c r="J809" s="61">
        <f>14.2475 * CHOOSE(CONTROL!$C$19, $C$13, 100%, $E$13)</f>
        <v>14.2475</v>
      </c>
      <c r="K809" s="61">
        <f>14.2477 * CHOOSE(CONTROL!$C$19, $C$13, 100%, $E$13)</f>
        <v>14.2477</v>
      </c>
    </row>
    <row r="810" spans="1:11" ht="15">
      <c r="A810" s="13">
        <v>66508</v>
      </c>
      <c r="B810" s="60">
        <f>11.8702 * CHOOSE(CONTROL!$C$19, $C$13, 100%, $E$13)</f>
        <v>11.870200000000001</v>
      </c>
      <c r="C810" s="60">
        <f>11.8702 * CHOOSE(CONTROL!$C$19, $C$13, 100%, $E$13)</f>
        <v>11.870200000000001</v>
      </c>
      <c r="D810" s="60">
        <f>11.887 * CHOOSE(CONTROL!$C$19, $C$13, 100%, $E$13)</f>
        <v>11.887</v>
      </c>
      <c r="E810" s="61">
        <f>14.0112 * CHOOSE(CONTROL!$C$19, $C$13, 100%, $E$13)</f>
        <v>14.011200000000001</v>
      </c>
      <c r="F810" s="61">
        <f>14.0112 * CHOOSE(CONTROL!$C$19, $C$13, 100%, $E$13)</f>
        <v>14.011200000000001</v>
      </c>
      <c r="G810" s="61">
        <f>14.0113 * CHOOSE(CONTROL!$C$19, $C$13, 100%, $E$13)</f>
        <v>14.0113</v>
      </c>
      <c r="H810" s="61">
        <f>19.6971* CHOOSE(CONTROL!$C$19, $C$13, 100%, $E$13)</f>
        <v>19.697099999999999</v>
      </c>
      <c r="I810" s="61">
        <f>19.6973 * CHOOSE(CONTROL!$C$19, $C$13, 100%, $E$13)</f>
        <v>19.697299999999998</v>
      </c>
      <c r="J810" s="61">
        <f>14.0112 * CHOOSE(CONTROL!$C$19, $C$13, 100%, $E$13)</f>
        <v>14.011200000000001</v>
      </c>
      <c r="K810" s="61">
        <f>14.0113 * CHOOSE(CONTROL!$C$19, $C$13, 100%, $E$13)</f>
        <v>14.0113</v>
      </c>
    </row>
    <row r="811" spans="1:11" ht="15">
      <c r="A811" s="13">
        <v>66536</v>
      </c>
      <c r="B811" s="60">
        <f>11.8671 * CHOOSE(CONTROL!$C$19, $C$13, 100%, $E$13)</f>
        <v>11.867100000000001</v>
      </c>
      <c r="C811" s="60">
        <f>11.8671 * CHOOSE(CONTROL!$C$19, $C$13, 100%, $E$13)</f>
        <v>11.867100000000001</v>
      </c>
      <c r="D811" s="60">
        <f>11.884 * CHOOSE(CONTROL!$C$19, $C$13, 100%, $E$13)</f>
        <v>11.884</v>
      </c>
      <c r="E811" s="61">
        <f>14.1937 * CHOOSE(CONTROL!$C$19, $C$13, 100%, $E$13)</f>
        <v>14.1937</v>
      </c>
      <c r="F811" s="61">
        <f>14.1937 * CHOOSE(CONTROL!$C$19, $C$13, 100%, $E$13)</f>
        <v>14.1937</v>
      </c>
      <c r="G811" s="61">
        <f>14.1939 * CHOOSE(CONTROL!$C$19, $C$13, 100%, $E$13)</f>
        <v>14.193899999999999</v>
      </c>
      <c r="H811" s="61">
        <f>19.7382* CHOOSE(CONTROL!$C$19, $C$13, 100%, $E$13)</f>
        <v>19.738199999999999</v>
      </c>
      <c r="I811" s="61">
        <f>19.7383 * CHOOSE(CONTROL!$C$19, $C$13, 100%, $E$13)</f>
        <v>19.738299999999999</v>
      </c>
      <c r="J811" s="61">
        <f>14.1937 * CHOOSE(CONTROL!$C$19, $C$13, 100%, $E$13)</f>
        <v>14.1937</v>
      </c>
      <c r="K811" s="61">
        <f>14.1939 * CHOOSE(CONTROL!$C$19, $C$13, 100%, $E$13)</f>
        <v>14.193899999999999</v>
      </c>
    </row>
    <row r="812" spans="1:11" ht="15">
      <c r="A812" s="13">
        <v>66567</v>
      </c>
      <c r="B812" s="60">
        <f>11.8725 * CHOOSE(CONTROL!$C$19, $C$13, 100%, $E$13)</f>
        <v>11.8725</v>
      </c>
      <c r="C812" s="60">
        <f>11.8725 * CHOOSE(CONTROL!$C$19, $C$13, 100%, $E$13)</f>
        <v>11.8725</v>
      </c>
      <c r="D812" s="60">
        <f>11.8894 * CHOOSE(CONTROL!$C$19, $C$13, 100%, $E$13)</f>
        <v>11.8894</v>
      </c>
      <c r="E812" s="61">
        <f>14.3878 * CHOOSE(CONTROL!$C$19, $C$13, 100%, $E$13)</f>
        <v>14.3878</v>
      </c>
      <c r="F812" s="61">
        <f>14.3878 * CHOOSE(CONTROL!$C$19, $C$13, 100%, $E$13)</f>
        <v>14.3878</v>
      </c>
      <c r="G812" s="61">
        <f>14.388 * CHOOSE(CONTROL!$C$19, $C$13, 100%, $E$13)</f>
        <v>14.388</v>
      </c>
      <c r="H812" s="61">
        <f>19.7793* CHOOSE(CONTROL!$C$19, $C$13, 100%, $E$13)</f>
        <v>19.779299999999999</v>
      </c>
      <c r="I812" s="61">
        <f>19.7795 * CHOOSE(CONTROL!$C$19, $C$13, 100%, $E$13)</f>
        <v>19.779499999999999</v>
      </c>
      <c r="J812" s="61">
        <f>14.3878 * CHOOSE(CONTROL!$C$19, $C$13, 100%, $E$13)</f>
        <v>14.3878</v>
      </c>
      <c r="K812" s="61">
        <f>14.388 * CHOOSE(CONTROL!$C$19, $C$13, 100%, $E$13)</f>
        <v>14.388</v>
      </c>
    </row>
    <row r="813" spans="1:11" ht="15">
      <c r="A813" s="13">
        <v>66597</v>
      </c>
      <c r="B813" s="60">
        <f>11.8725 * CHOOSE(CONTROL!$C$19, $C$13, 100%, $E$13)</f>
        <v>11.8725</v>
      </c>
      <c r="C813" s="60">
        <f>11.8725 * CHOOSE(CONTROL!$C$19, $C$13, 100%, $E$13)</f>
        <v>11.8725</v>
      </c>
      <c r="D813" s="60">
        <f>11.9062 * CHOOSE(CONTROL!$C$19, $C$13, 100%, $E$13)</f>
        <v>11.9062</v>
      </c>
      <c r="E813" s="61">
        <f>14.4622 * CHOOSE(CONTROL!$C$19, $C$13, 100%, $E$13)</f>
        <v>14.462199999999999</v>
      </c>
      <c r="F813" s="61">
        <f>14.4622 * CHOOSE(CONTROL!$C$19, $C$13, 100%, $E$13)</f>
        <v>14.462199999999999</v>
      </c>
      <c r="G813" s="61">
        <f>14.4643 * CHOOSE(CONTROL!$C$19, $C$13, 100%, $E$13)</f>
        <v>14.4643</v>
      </c>
      <c r="H813" s="61">
        <f>19.8205* CHOOSE(CONTROL!$C$19, $C$13, 100%, $E$13)</f>
        <v>19.820499999999999</v>
      </c>
      <c r="I813" s="61">
        <f>19.8226 * CHOOSE(CONTROL!$C$19, $C$13, 100%, $E$13)</f>
        <v>19.822600000000001</v>
      </c>
      <c r="J813" s="61">
        <f>14.4622 * CHOOSE(CONTROL!$C$19, $C$13, 100%, $E$13)</f>
        <v>14.462199999999999</v>
      </c>
      <c r="K813" s="61">
        <f>14.4643 * CHOOSE(CONTROL!$C$19, $C$13, 100%, $E$13)</f>
        <v>14.4643</v>
      </c>
    </row>
    <row r="814" spans="1:11" ht="15">
      <c r="A814" s="13">
        <v>66628</v>
      </c>
      <c r="B814" s="60">
        <f>11.8786 * CHOOSE(CONTROL!$C$19, $C$13, 100%, $E$13)</f>
        <v>11.8786</v>
      </c>
      <c r="C814" s="60">
        <f>11.8786 * CHOOSE(CONTROL!$C$19, $C$13, 100%, $E$13)</f>
        <v>11.8786</v>
      </c>
      <c r="D814" s="60">
        <f>11.9123 * CHOOSE(CONTROL!$C$19, $C$13, 100%, $E$13)</f>
        <v>11.9123</v>
      </c>
      <c r="E814" s="61">
        <f>14.3921 * CHOOSE(CONTROL!$C$19, $C$13, 100%, $E$13)</f>
        <v>14.392099999999999</v>
      </c>
      <c r="F814" s="61">
        <f>14.3921 * CHOOSE(CONTROL!$C$19, $C$13, 100%, $E$13)</f>
        <v>14.392099999999999</v>
      </c>
      <c r="G814" s="61">
        <f>14.3942 * CHOOSE(CONTROL!$C$19, $C$13, 100%, $E$13)</f>
        <v>14.3942</v>
      </c>
      <c r="H814" s="61">
        <f>19.8618* CHOOSE(CONTROL!$C$19, $C$13, 100%, $E$13)</f>
        <v>19.861799999999999</v>
      </c>
      <c r="I814" s="61">
        <f>19.8639 * CHOOSE(CONTROL!$C$19, $C$13, 100%, $E$13)</f>
        <v>19.863900000000001</v>
      </c>
      <c r="J814" s="61">
        <f>14.3921 * CHOOSE(CONTROL!$C$19, $C$13, 100%, $E$13)</f>
        <v>14.392099999999999</v>
      </c>
      <c r="K814" s="61">
        <f>14.3942 * CHOOSE(CONTROL!$C$19, $C$13, 100%, $E$13)</f>
        <v>14.3942</v>
      </c>
    </row>
    <row r="815" spans="1:11" ht="15">
      <c r="A815" s="13">
        <v>66658</v>
      </c>
      <c r="B815" s="60">
        <f>12.0443 * CHOOSE(CONTROL!$C$19, $C$13, 100%, $E$13)</f>
        <v>12.0443</v>
      </c>
      <c r="C815" s="60">
        <f>12.0443 * CHOOSE(CONTROL!$C$19, $C$13, 100%, $E$13)</f>
        <v>12.0443</v>
      </c>
      <c r="D815" s="60">
        <f>12.0779 * CHOOSE(CONTROL!$C$19, $C$13, 100%, $E$13)</f>
        <v>12.0779</v>
      </c>
      <c r="E815" s="61">
        <f>14.6539 * CHOOSE(CONTROL!$C$19, $C$13, 100%, $E$13)</f>
        <v>14.6539</v>
      </c>
      <c r="F815" s="61">
        <f>14.6539 * CHOOSE(CONTROL!$C$19, $C$13, 100%, $E$13)</f>
        <v>14.6539</v>
      </c>
      <c r="G815" s="61">
        <f>14.656 * CHOOSE(CONTROL!$C$19, $C$13, 100%, $E$13)</f>
        <v>14.656000000000001</v>
      </c>
      <c r="H815" s="61">
        <f>19.9032* CHOOSE(CONTROL!$C$19, $C$13, 100%, $E$13)</f>
        <v>19.903199999999998</v>
      </c>
      <c r="I815" s="61">
        <f>19.9052 * CHOOSE(CONTROL!$C$19, $C$13, 100%, $E$13)</f>
        <v>19.905200000000001</v>
      </c>
      <c r="J815" s="61">
        <f>14.6539 * CHOOSE(CONTROL!$C$19, $C$13, 100%, $E$13)</f>
        <v>14.6539</v>
      </c>
      <c r="K815" s="61">
        <f>14.656 * CHOOSE(CONTROL!$C$19, $C$13, 100%, $E$13)</f>
        <v>14.656000000000001</v>
      </c>
    </row>
    <row r="816" spans="1:11" ht="15">
      <c r="A816" s="13">
        <v>66689</v>
      </c>
      <c r="B816" s="60">
        <f>12.051 * CHOOSE(CONTROL!$C$19, $C$13, 100%, $E$13)</f>
        <v>12.051</v>
      </c>
      <c r="C816" s="60">
        <f>12.051 * CHOOSE(CONTROL!$C$19, $C$13, 100%, $E$13)</f>
        <v>12.051</v>
      </c>
      <c r="D816" s="60">
        <f>12.0846 * CHOOSE(CONTROL!$C$19, $C$13, 100%, $E$13)</f>
        <v>12.0846</v>
      </c>
      <c r="E816" s="61">
        <f>14.4354 * CHOOSE(CONTROL!$C$19, $C$13, 100%, $E$13)</f>
        <v>14.4354</v>
      </c>
      <c r="F816" s="61">
        <f>14.4354 * CHOOSE(CONTROL!$C$19, $C$13, 100%, $E$13)</f>
        <v>14.4354</v>
      </c>
      <c r="G816" s="61">
        <f>14.4375 * CHOOSE(CONTROL!$C$19, $C$13, 100%, $E$13)</f>
        <v>14.4375</v>
      </c>
      <c r="H816" s="61">
        <f>19.9446* CHOOSE(CONTROL!$C$19, $C$13, 100%, $E$13)</f>
        <v>19.944600000000001</v>
      </c>
      <c r="I816" s="61">
        <f>19.9467 * CHOOSE(CONTROL!$C$19, $C$13, 100%, $E$13)</f>
        <v>19.9467</v>
      </c>
      <c r="J816" s="61">
        <f>14.4354 * CHOOSE(CONTROL!$C$19, $C$13, 100%, $E$13)</f>
        <v>14.4354</v>
      </c>
      <c r="K816" s="61">
        <f>14.4375 * CHOOSE(CONTROL!$C$19, $C$13, 100%, $E$13)</f>
        <v>14.4375</v>
      </c>
    </row>
    <row r="817" spans="1:11" ht="15">
      <c r="A817" s="13">
        <v>66720</v>
      </c>
      <c r="B817" s="60">
        <f>12.0479 * CHOOSE(CONTROL!$C$19, $C$13, 100%, $E$13)</f>
        <v>12.0479</v>
      </c>
      <c r="C817" s="60">
        <f>12.0479 * CHOOSE(CONTROL!$C$19, $C$13, 100%, $E$13)</f>
        <v>12.0479</v>
      </c>
      <c r="D817" s="60">
        <f>12.0816 * CHOOSE(CONTROL!$C$19, $C$13, 100%, $E$13)</f>
        <v>12.0816</v>
      </c>
      <c r="E817" s="61">
        <f>14.4085 * CHOOSE(CONTROL!$C$19, $C$13, 100%, $E$13)</f>
        <v>14.4085</v>
      </c>
      <c r="F817" s="61">
        <f>14.4085 * CHOOSE(CONTROL!$C$19, $C$13, 100%, $E$13)</f>
        <v>14.4085</v>
      </c>
      <c r="G817" s="61">
        <f>14.4106 * CHOOSE(CONTROL!$C$19, $C$13, 100%, $E$13)</f>
        <v>14.410600000000001</v>
      </c>
      <c r="H817" s="61">
        <f>19.9862* CHOOSE(CONTROL!$C$19, $C$13, 100%, $E$13)</f>
        <v>19.9862</v>
      </c>
      <c r="I817" s="61">
        <f>19.9883 * CHOOSE(CONTROL!$C$19, $C$13, 100%, $E$13)</f>
        <v>19.988299999999999</v>
      </c>
      <c r="J817" s="61">
        <f>14.4085 * CHOOSE(CONTROL!$C$19, $C$13, 100%, $E$13)</f>
        <v>14.4085</v>
      </c>
      <c r="K817" s="61">
        <f>14.4106 * CHOOSE(CONTROL!$C$19, $C$13, 100%, $E$13)</f>
        <v>14.410600000000001</v>
      </c>
    </row>
    <row r="818" spans="1:11" ht="15">
      <c r="A818" s="13">
        <v>66750</v>
      </c>
      <c r="B818" s="60">
        <f>12.0736 * CHOOSE(CONTROL!$C$19, $C$13, 100%, $E$13)</f>
        <v>12.073600000000001</v>
      </c>
      <c r="C818" s="60">
        <f>12.0736 * CHOOSE(CONTROL!$C$19, $C$13, 100%, $E$13)</f>
        <v>12.073600000000001</v>
      </c>
      <c r="D818" s="60">
        <f>12.0904 * CHOOSE(CONTROL!$C$19, $C$13, 100%, $E$13)</f>
        <v>12.090400000000001</v>
      </c>
      <c r="E818" s="61">
        <f>14.4942 * CHOOSE(CONTROL!$C$19, $C$13, 100%, $E$13)</f>
        <v>14.494199999999999</v>
      </c>
      <c r="F818" s="61">
        <f>14.4942 * CHOOSE(CONTROL!$C$19, $C$13, 100%, $E$13)</f>
        <v>14.494199999999999</v>
      </c>
      <c r="G818" s="61">
        <f>14.4944 * CHOOSE(CONTROL!$C$19, $C$13, 100%, $E$13)</f>
        <v>14.494400000000001</v>
      </c>
      <c r="H818" s="61">
        <f>20.0278* CHOOSE(CONTROL!$C$19, $C$13, 100%, $E$13)</f>
        <v>20.027799999999999</v>
      </c>
      <c r="I818" s="61">
        <f>20.028 * CHOOSE(CONTROL!$C$19, $C$13, 100%, $E$13)</f>
        <v>20.027999999999999</v>
      </c>
      <c r="J818" s="61">
        <f>14.4942 * CHOOSE(CONTROL!$C$19, $C$13, 100%, $E$13)</f>
        <v>14.494199999999999</v>
      </c>
      <c r="K818" s="61">
        <f>14.4944 * CHOOSE(CONTROL!$C$19, $C$13, 100%, $E$13)</f>
        <v>14.494400000000001</v>
      </c>
    </row>
    <row r="819" spans="1:11" ht="15">
      <c r="A819" s="13">
        <v>66781</v>
      </c>
      <c r="B819" s="60">
        <f>12.0766 * CHOOSE(CONTROL!$C$19, $C$13, 100%, $E$13)</f>
        <v>12.076599999999999</v>
      </c>
      <c r="C819" s="60">
        <f>12.0766 * CHOOSE(CONTROL!$C$19, $C$13, 100%, $E$13)</f>
        <v>12.076599999999999</v>
      </c>
      <c r="D819" s="60">
        <f>12.0934 * CHOOSE(CONTROL!$C$19, $C$13, 100%, $E$13)</f>
        <v>12.093400000000001</v>
      </c>
      <c r="E819" s="61">
        <f>14.5459 * CHOOSE(CONTROL!$C$19, $C$13, 100%, $E$13)</f>
        <v>14.5459</v>
      </c>
      <c r="F819" s="61">
        <f>14.5459 * CHOOSE(CONTROL!$C$19, $C$13, 100%, $E$13)</f>
        <v>14.5459</v>
      </c>
      <c r="G819" s="61">
        <f>14.5461 * CHOOSE(CONTROL!$C$19, $C$13, 100%, $E$13)</f>
        <v>14.546099999999999</v>
      </c>
      <c r="H819" s="61">
        <f>20.0695* CHOOSE(CONTROL!$C$19, $C$13, 100%, $E$13)</f>
        <v>20.069500000000001</v>
      </c>
      <c r="I819" s="61">
        <f>20.0697 * CHOOSE(CONTROL!$C$19, $C$13, 100%, $E$13)</f>
        <v>20.069700000000001</v>
      </c>
      <c r="J819" s="61">
        <f>14.5459 * CHOOSE(CONTROL!$C$19, $C$13, 100%, $E$13)</f>
        <v>14.5459</v>
      </c>
      <c r="K819" s="61">
        <f>14.5461 * CHOOSE(CONTROL!$C$19, $C$13, 100%, $E$13)</f>
        <v>14.546099999999999</v>
      </c>
    </row>
    <row r="820" spans="1:11" ht="15">
      <c r="A820" s="13">
        <v>66811</v>
      </c>
      <c r="B820" s="60">
        <f>12.0766 * CHOOSE(CONTROL!$C$19, $C$13, 100%, $E$13)</f>
        <v>12.076599999999999</v>
      </c>
      <c r="C820" s="60">
        <f>12.0766 * CHOOSE(CONTROL!$C$19, $C$13, 100%, $E$13)</f>
        <v>12.076599999999999</v>
      </c>
      <c r="D820" s="60">
        <f>12.0934 * CHOOSE(CONTROL!$C$19, $C$13, 100%, $E$13)</f>
        <v>12.093400000000001</v>
      </c>
      <c r="E820" s="61">
        <f>14.422 * CHOOSE(CONTROL!$C$19, $C$13, 100%, $E$13)</f>
        <v>14.422000000000001</v>
      </c>
      <c r="F820" s="61">
        <f>14.422 * CHOOSE(CONTROL!$C$19, $C$13, 100%, $E$13)</f>
        <v>14.422000000000001</v>
      </c>
      <c r="G820" s="61">
        <f>14.4222 * CHOOSE(CONTROL!$C$19, $C$13, 100%, $E$13)</f>
        <v>14.4222</v>
      </c>
      <c r="H820" s="61">
        <f>20.1113* CHOOSE(CONTROL!$C$19, $C$13, 100%, $E$13)</f>
        <v>20.1113</v>
      </c>
      <c r="I820" s="61">
        <f>20.1115 * CHOOSE(CONTROL!$C$19, $C$13, 100%, $E$13)</f>
        <v>20.111499999999999</v>
      </c>
      <c r="J820" s="61">
        <f>14.422 * CHOOSE(CONTROL!$C$19, $C$13, 100%, $E$13)</f>
        <v>14.422000000000001</v>
      </c>
      <c r="K820" s="61">
        <f>14.4222 * CHOOSE(CONTROL!$C$19, $C$13, 100%, $E$13)</f>
        <v>14.4222</v>
      </c>
    </row>
    <row r="821" spans="1:11" ht="15">
      <c r="A821" s="13">
        <v>66842</v>
      </c>
      <c r="B821" s="60">
        <f>12.0698 * CHOOSE(CONTROL!$C$19, $C$13, 100%, $E$13)</f>
        <v>12.069800000000001</v>
      </c>
      <c r="C821" s="60">
        <f>12.0698 * CHOOSE(CONTROL!$C$19, $C$13, 100%, $E$13)</f>
        <v>12.069800000000001</v>
      </c>
      <c r="D821" s="60">
        <f>12.0867 * CHOOSE(CONTROL!$C$19, $C$13, 100%, $E$13)</f>
        <v>12.0867</v>
      </c>
      <c r="E821" s="61">
        <f>14.4994 * CHOOSE(CONTROL!$C$19, $C$13, 100%, $E$13)</f>
        <v>14.4994</v>
      </c>
      <c r="F821" s="61">
        <f>14.4994 * CHOOSE(CONTROL!$C$19, $C$13, 100%, $E$13)</f>
        <v>14.4994</v>
      </c>
      <c r="G821" s="61">
        <f>14.4996 * CHOOSE(CONTROL!$C$19, $C$13, 100%, $E$13)</f>
        <v>14.499599999999999</v>
      </c>
      <c r="H821" s="61">
        <f>19.9808* CHOOSE(CONTROL!$C$19, $C$13, 100%, $E$13)</f>
        <v>19.980799999999999</v>
      </c>
      <c r="I821" s="61">
        <f>19.981 * CHOOSE(CONTROL!$C$19, $C$13, 100%, $E$13)</f>
        <v>19.981000000000002</v>
      </c>
      <c r="J821" s="61">
        <f>14.4994 * CHOOSE(CONTROL!$C$19, $C$13, 100%, $E$13)</f>
        <v>14.4994</v>
      </c>
      <c r="K821" s="61">
        <f>14.4996 * CHOOSE(CONTROL!$C$19, $C$13, 100%, $E$13)</f>
        <v>14.499599999999999</v>
      </c>
    </row>
    <row r="822" spans="1:11" ht="15">
      <c r="A822" s="13">
        <v>66873</v>
      </c>
      <c r="B822" s="60">
        <f>12.0668 * CHOOSE(CONTROL!$C$19, $C$13, 100%, $E$13)</f>
        <v>12.066800000000001</v>
      </c>
      <c r="C822" s="60">
        <f>12.0668 * CHOOSE(CONTROL!$C$19, $C$13, 100%, $E$13)</f>
        <v>12.066800000000001</v>
      </c>
      <c r="D822" s="60">
        <f>12.0836 * CHOOSE(CONTROL!$C$19, $C$13, 100%, $E$13)</f>
        <v>12.083600000000001</v>
      </c>
      <c r="E822" s="61">
        <f>14.2585 * CHOOSE(CONTROL!$C$19, $C$13, 100%, $E$13)</f>
        <v>14.2585</v>
      </c>
      <c r="F822" s="61">
        <f>14.2585 * CHOOSE(CONTROL!$C$19, $C$13, 100%, $E$13)</f>
        <v>14.2585</v>
      </c>
      <c r="G822" s="61">
        <f>14.2587 * CHOOSE(CONTROL!$C$19, $C$13, 100%, $E$13)</f>
        <v>14.258699999999999</v>
      </c>
      <c r="H822" s="61">
        <f>20.0225* CHOOSE(CONTROL!$C$19, $C$13, 100%, $E$13)</f>
        <v>20.022500000000001</v>
      </c>
      <c r="I822" s="61">
        <f>20.0226 * CHOOSE(CONTROL!$C$19, $C$13, 100%, $E$13)</f>
        <v>20.022600000000001</v>
      </c>
      <c r="J822" s="61">
        <f>14.2585 * CHOOSE(CONTROL!$C$19, $C$13, 100%, $E$13)</f>
        <v>14.2585</v>
      </c>
      <c r="K822" s="61">
        <f>14.2587 * CHOOSE(CONTROL!$C$19, $C$13, 100%, $E$13)</f>
        <v>14.258699999999999</v>
      </c>
    </row>
    <row r="823" spans="1:11" ht="15">
      <c r="A823" s="13">
        <v>66901</v>
      </c>
      <c r="B823" s="60">
        <f>12.0637 * CHOOSE(CONTROL!$C$19, $C$13, 100%, $E$13)</f>
        <v>12.063700000000001</v>
      </c>
      <c r="C823" s="60">
        <f>12.0637 * CHOOSE(CONTROL!$C$19, $C$13, 100%, $E$13)</f>
        <v>12.063700000000001</v>
      </c>
      <c r="D823" s="60">
        <f>12.0806 * CHOOSE(CONTROL!$C$19, $C$13, 100%, $E$13)</f>
        <v>12.0806</v>
      </c>
      <c r="E823" s="61">
        <f>14.4446 * CHOOSE(CONTROL!$C$19, $C$13, 100%, $E$13)</f>
        <v>14.444599999999999</v>
      </c>
      <c r="F823" s="61">
        <f>14.4446 * CHOOSE(CONTROL!$C$19, $C$13, 100%, $E$13)</f>
        <v>14.444599999999999</v>
      </c>
      <c r="G823" s="61">
        <f>14.4448 * CHOOSE(CONTROL!$C$19, $C$13, 100%, $E$13)</f>
        <v>14.444800000000001</v>
      </c>
      <c r="H823" s="61">
        <f>20.0642* CHOOSE(CONTROL!$C$19, $C$13, 100%, $E$13)</f>
        <v>20.0642</v>
      </c>
      <c r="I823" s="61">
        <f>20.0643 * CHOOSE(CONTROL!$C$19, $C$13, 100%, $E$13)</f>
        <v>20.064299999999999</v>
      </c>
      <c r="J823" s="61">
        <f>14.4446 * CHOOSE(CONTROL!$C$19, $C$13, 100%, $E$13)</f>
        <v>14.444599999999999</v>
      </c>
      <c r="K823" s="61">
        <f>14.4448 * CHOOSE(CONTROL!$C$19, $C$13, 100%, $E$13)</f>
        <v>14.444800000000001</v>
      </c>
    </row>
    <row r="824" spans="1:11" ht="15">
      <c r="A824" s="13">
        <v>66932</v>
      </c>
      <c r="B824" s="60">
        <f>12.0693 * CHOOSE(CONTROL!$C$19, $C$13, 100%, $E$13)</f>
        <v>12.0693</v>
      </c>
      <c r="C824" s="60">
        <f>12.0693 * CHOOSE(CONTROL!$C$19, $C$13, 100%, $E$13)</f>
        <v>12.0693</v>
      </c>
      <c r="D824" s="60">
        <f>12.0862 * CHOOSE(CONTROL!$C$19, $C$13, 100%, $E$13)</f>
        <v>12.0862</v>
      </c>
      <c r="E824" s="61">
        <f>14.6425 * CHOOSE(CONTROL!$C$19, $C$13, 100%, $E$13)</f>
        <v>14.6425</v>
      </c>
      <c r="F824" s="61">
        <f>14.6425 * CHOOSE(CONTROL!$C$19, $C$13, 100%, $E$13)</f>
        <v>14.6425</v>
      </c>
      <c r="G824" s="61">
        <f>14.6427 * CHOOSE(CONTROL!$C$19, $C$13, 100%, $E$13)</f>
        <v>14.6427</v>
      </c>
      <c r="H824" s="61">
        <f>20.106* CHOOSE(CONTROL!$C$19, $C$13, 100%, $E$13)</f>
        <v>20.106000000000002</v>
      </c>
      <c r="I824" s="61">
        <f>20.1062 * CHOOSE(CONTROL!$C$19, $C$13, 100%, $E$13)</f>
        <v>20.106200000000001</v>
      </c>
      <c r="J824" s="61">
        <f>14.6425 * CHOOSE(CONTROL!$C$19, $C$13, 100%, $E$13)</f>
        <v>14.6425</v>
      </c>
      <c r="K824" s="61">
        <f>14.6427 * CHOOSE(CONTROL!$C$19, $C$13, 100%, $E$13)</f>
        <v>14.6427</v>
      </c>
    </row>
    <row r="825" spans="1:11" ht="15">
      <c r="A825" s="13">
        <v>66962</v>
      </c>
      <c r="B825" s="60">
        <f>12.0693 * CHOOSE(CONTROL!$C$19, $C$13, 100%, $E$13)</f>
        <v>12.0693</v>
      </c>
      <c r="C825" s="60">
        <f>12.0693 * CHOOSE(CONTROL!$C$19, $C$13, 100%, $E$13)</f>
        <v>12.0693</v>
      </c>
      <c r="D825" s="60">
        <f>12.103 * CHOOSE(CONTROL!$C$19, $C$13, 100%, $E$13)</f>
        <v>12.103</v>
      </c>
      <c r="E825" s="61">
        <f>14.7183 * CHOOSE(CONTROL!$C$19, $C$13, 100%, $E$13)</f>
        <v>14.718299999999999</v>
      </c>
      <c r="F825" s="61">
        <f>14.7183 * CHOOSE(CONTROL!$C$19, $C$13, 100%, $E$13)</f>
        <v>14.718299999999999</v>
      </c>
      <c r="G825" s="61">
        <f>14.7204 * CHOOSE(CONTROL!$C$19, $C$13, 100%, $E$13)</f>
        <v>14.7204</v>
      </c>
      <c r="H825" s="61">
        <f>20.1479* CHOOSE(CONTROL!$C$19, $C$13, 100%, $E$13)</f>
        <v>20.1479</v>
      </c>
      <c r="I825" s="61">
        <f>20.15 * CHOOSE(CONTROL!$C$19, $C$13, 100%, $E$13)</f>
        <v>20.149999999999999</v>
      </c>
      <c r="J825" s="61">
        <f>14.7183 * CHOOSE(CONTROL!$C$19, $C$13, 100%, $E$13)</f>
        <v>14.718299999999999</v>
      </c>
      <c r="K825" s="61">
        <f>14.7204 * CHOOSE(CONTROL!$C$19, $C$13, 100%, $E$13)</f>
        <v>14.7204</v>
      </c>
    </row>
    <row r="826" spans="1:11" ht="15">
      <c r="A826" s="13">
        <v>66993</v>
      </c>
      <c r="B826" s="60">
        <f>12.0754 * CHOOSE(CONTROL!$C$19, $C$13, 100%, $E$13)</f>
        <v>12.0754</v>
      </c>
      <c r="C826" s="60">
        <f>12.0754 * CHOOSE(CONTROL!$C$19, $C$13, 100%, $E$13)</f>
        <v>12.0754</v>
      </c>
      <c r="D826" s="60">
        <f>12.1091 * CHOOSE(CONTROL!$C$19, $C$13, 100%, $E$13)</f>
        <v>12.1091</v>
      </c>
      <c r="E826" s="61">
        <f>14.6467 * CHOOSE(CONTROL!$C$19, $C$13, 100%, $E$13)</f>
        <v>14.646699999999999</v>
      </c>
      <c r="F826" s="61">
        <f>14.6467 * CHOOSE(CONTROL!$C$19, $C$13, 100%, $E$13)</f>
        <v>14.646699999999999</v>
      </c>
      <c r="G826" s="61">
        <f>14.6488 * CHOOSE(CONTROL!$C$19, $C$13, 100%, $E$13)</f>
        <v>14.6488</v>
      </c>
      <c r="H826" s="61">
        <f>20.1898* CHOOSE(CONTROL!$C$19, $C$13, 100%, $E$13)</f>
        <v>20.189800000000002</v>
      </c>
      <c r="I826" s="61">
        <f>20.1919 * CHOOSE(CONTROL!$C$19, $C$13, 100%, $E$13)</f>
        <v>20.1919</v>
      </c>
      <c r="J826" s="61">
        <f>14.6467 * CHOOSE(CONTROL!$C$19, $C$13, 100%, $E$13)</f>
        <v>14.646699999999999</v>
      </c>
      <c r="K826" s="61">
        <f>14.6488 * CHOOSE(CONTROL!$C$19, $C$13, 100%, $E$13)</f>
        <v>14.6488</v>
      </c>
    </row>
    <row r="827" spans="1:11" ht="15">
      <c r="A827" s="13">
        <v>67023</v>
      </c>
      <c r="B827" s="60">
        <f>12.2436 * CHOOSE(CONTROL!$C$19, $C$13, 100%, $E$13)</f>
        <v>12.243600000000001</v>
      </c>
      <c r="C827" s="60">
        <f>12.2436 * CHOOSE(CONTROL!$C$19, $C$13, 100%, $E$13)</f>
        <v>12.243600000000001</v>
      </c>
      <c r="D827" s="60">
        <f>12.2773 * CHOOSE(CONTROL!$C$19, $C$13, 100%, $E$13)</f>
        <v>12.2773</v>
      </c>
      <c r="E827" s="61">
        <f>14.913 * CHOOSE(CONTROL!$C$19, $C$13, 100%, $E$13)</f>
        <v>14.913</v>
      </c>
      <c r="F827" s="61">
        <f>14.913 * CHOOSE(CONTROL!$C$19, $C$13, 100%, $E$13)</f>
        <v>14.913</v>
      </c>
      <c r="G827" s="61">
        <f>14.9151 * CHOOSE(CONTROL!$C$19, $C$13, 100%, $E$13)</f>
        <v>14.915100000000001</v>
      </c>
      <c r="H827" s="61">
        <f>20.2319* CHOOSE(CONTROL!$C$19, $C$13, 100%, $E$13)</f>
        <v>20.2319</v>
      </c>
      <c r="I827" s="61">
        <f>20.234 * CHOOSE(CONTROL!$C$19, $C$13, 100%, $E$13)</f>
        <v>20.234000000000002</v>
      </c>
      <c r="J827" s="61">
        <f>14.913 * CHOOSE(CONTROL!$C$19, $C$13, 100%, $E$13)</f>
        <v>14.913</v>
      </c>
      <c r="K827" s="61">
        <f>14.9151 * CHOOSE(CONTROL!$C$19, $C$13, 100%, $E$13)</f>
        <v>14.915100000000001</v>
      </c>
    </row>
    <row r="828" spans="1:11" ht="15">
      <c r="A828" s="13">
        <v>67054</v>
      </c>
      <c r="B828" s="60">
        <f>12.2503 * CHOOSE(CONTROL!$C$19, $C$13, 100%, $E$13)</f>
        <v>12.250299999999999</v>
      </c>
      <c r="C828" s="60">
        <f>12.2503 * CHOOSE(CONTROL!$C$19, $C$13, 100%, $E$13)</f>
        <v>12.250299999999999</v>
      </c>
      <c r="D828" s="60">
        <f>12.2839 * CHOOSE(CONTROL!$C$19, $C$13, 100%, $E$13)</f>
        <v>12.283899999999999</v>
      </c>
      <c r="E828" s="61">
        <f>14.6902 * CHOOSE(CONTROL!$C$19, $C$13, 100%, $E$13)</f>
        <v>14.690200000000001</v>
      </c>
      <c r="F828" s="61">
        <f>14.6902 * CHOOSE(CONTROL!$C$19, $C$13, 100%, $E$13)</f>
        <v>14.690200000000001</v>
      </c>
      <c r="G828" s="61">
        <f>14.6923 * CHOOSE(CONTROL!$C$19, $C$13, 100%, $E$13)</f>
        <v>14.692299999999999</v>
      </c>
      <c r="H828" s="61">
        <f>20.274* CHOOSE(CONTROL!$C$19, $C$13, 100%, $E$13)</f>
        <v>20.274000000000001</v>
      </c>
      <c r="I828" s="61">
        <f>20.2761 * CHOOSE(CONTROL!$C$19, $C$13, 100%, $E$13)</f>
        <v>20.2761</v>
      </c>
      <c r="J828" s="61">
        <f>14.6902 * CHOOSE(CONTROL!$C$19, $C$13, 100%, $E$13)</f>
        <v>14.690200000000001</v>
      </c>
      <c r="K828" s="61">
        <f>14.6923 * CHOOSE(CONTROL!$C$19, $C$13, 100%, $E$13)</f>
        <v>14.692299999999999</v>
      </c>
    </row>
    <row r="829" spans="1:11" ht="15">
      <c r="A829" s="13">
        <v>67085</v>
      </c>
      <c r="B829" s="60">
        <f>12.2472 * CHOOSE(CONTROL!$C$19, $C$13, 100%, $E$13)</f>
        <v>12.247199999999999</v>
      </c>
      <c r="C829" s="60">
        <f>12.2472 * CHOOSE(CONTROL!$C$19, $C$13, 100%, $E$13)</f>
        <v>12.247199999999999</v>
      </c>
      <c r="D829" s="60">
        <f>12.2809 * CHOOSE(CONTROL!$C$19, $C$13, 100%, $E$13)</f>
        <v>12.280900000000001</v>
      </c>
      <c r="E829" s="61">
        <f>14.6629 * CHOOSE(CONTROL!$C$19, $C$13, 100%, $E$13)</f>
        <v>14.6629</v>
      </c>
      <c r="F829" s="61">
        <f>14.6629 * CHOOSE(CONTROL!$C$19, $C$13, 100%, $E$13)</f>
        <v>14.6629</v>
      </c>
      <c r="G829" s="61">
        <f>14.6649 * CHOOSE(CONTROL!$C$19, $C$13, 100%, $E$13)</f>
        <v>14.664899999999999</v>
      </c>
      <c r="H829" s="61">
        <f>20.3163* CHOOSE(CONTROL!$C$19, $C$13, 100%, $E$13)</f>
        <v>20.316299999999998</v>
      </c>
      <c r="I829" s="61">
        <f>20.3184 * CHOOSE(CONTROL!$C$19, $C$13, 100%, $E$13)</f>
        <v>20.3184</v>
      </c>
      <c r="J829" s="61">
        <f>14.6629 * CHOOSE(CONTROL!$C$19, $C$13, 100%, $E$13)</f>
        <v>14.6629</v>
      </c>
      <c r="K829" s="61">
        <f>14.6649 * CHOOSE(CONTROL!$C$19, $C$13, 100%, $E$13)</f>
        <v>14.664899999999999</v>
      </c>
    </row>
    <row r="830" spans="1:11" ht="15">
      <c r="A830" s="13">
        <v>67115</v>
      </c>
      <c r="B830" s="60">
        <f>12.2736 * CHOOSE(CONTROL!$C$19, $C$13, 100%, $E$13)</f>
        <v>12.2736</v>
      </c>
      <c r="C830" s="60">
        <f>12.2736 * CHOOSE(CONTROL!$C$19, $C$13, 100%, $E$13)</f>
        <v>12.2736</v>
      </c>
      <c r="D830" s="60">
        <f>12.2905 * CHOOSE(CONTROL!$C$19, $C$13, 100%, $E$13)</f>
        <v>12.2905</v>
      </c>
      <c r="E830" s="61">
        <f>14.7505 * CHOOSE(CONTROL!$C$19, $C$13, 100%, $E$13)</f>
        <v>14.750500000000001</v>
      </c>
      <c r="F830" s="61">
        <f>14.7505 * CHOOSE(CONTROL!$C$19, $C$13, 100%, $E$13)</f>
        <v>14.750500000000001</v>
      </c>
      <c r="G830" s="61">
        <f>14.7507 * CHOOSE(CONTROL!$C$19, $C$13, 100%, $E$13)</f>
        <v>14.7507</v>
      </c>
      <c r="H830" s="61">
        <f>20.3586* CHOOSE(CONTROL!$C$19, $C$13, 100%, $E$13)</f>
        <v>20.358599999999999</v>
      </c>
      <c r="I830" s="61">
        <f>20.3588 * CHOOSE(CONTROL!$C$19, $C$13, 100%, $E$13)</f>
        <v>20.358799999999999</v>
      </c>
      <c r="J830" s="61">
        <f>14.7505 * CHOOSE(CONTROL!$C$19, $C$13, 100%, $E$13)</f>
        <v>14.750500000000001</v>
      </c>
      <c r="K830" s="61">
        <f>14.7507 * CHOOSE(CONTROL!$C$19, $C$13, 100%, $E$13)</f>
        <v>14.7507</v>
      </c>
    </row>
    <row r="831" spans="1:11" ht="15">
      <c r="A831" s="13">
        <v>67146</v>
      </c>
      <c r="B831" s="60">
        <f>12.2767 * CHOOSE(CONTROL!$C$19, $C$13, 100%, $E$13)</f>
        <v>12.2767</v>
      </c>
      <c r="C831" s="60">
        <f>12.2767 * CHOOSE(CONTROL!$C$19, $C$13, 100%, $E$13)</f>
        <v>12.2767</v>
      </c>
      <c r="D831" s="60">
        <f>12.2935 * CHOOSE(CONTROL!$C$19, $C$13, 100%, $E$13)</f>
        <v>12.2935</v>
      </c>
      <c r="E831" s="61">
        <f>14.8032 * CHOOSE(CONTROL!$C$19, $C$13, 100%, $E$13)</f>
        <v>14.8032</v>
      </c>
      <c r="F831" s="61">
        <f>14.8032 * CHOOSE(CONTROL!$C$19, $C$13, 100%, $E$13)</f>
        <v>14.8032</v>
      </c>
      <c r="G831" s="61">
        <f>14.8033 * CHOOSE(CONTROL!$C$19, $C$13, 100%, $E$13)</f>
        <v>14.8033</v>
      </c>
      <c r="H831" s="61">
        <f>20.401* CHOOSE(CONTROL!$C$19, $C$13, 100%, $E$13)</f>
        <v>20.401</v>
      </c>
      <c r="I831" s="61">
        <f>20.4012 * CHOOSE(CONTROL!$C$19, $C$13, 100%, $E$13)</f>
        <v>20.401199999999999</v>
      </c>
      <c r="J831" s="61">
        <f>14.8032 * CHOOSE(CONTROL!$C$19, $C$13, 100%, $E$13)</f>
        <v>14.8032</v>
      </c>
      <c r="K831" s="61">
        <f>14.8033 * CHOOSE(CONTROL!$C$19, $C$13, 100%, $E$13)</f>
        <v>14.8033</v>
      </c>
    </row>
    <row r="832" spans="1:11" ht="15">
      <c r="A832" s="13">
        <v>67176</v>
      </c>
      <c r="B832" s="60">
        <f>12.2767 * CHOOSE(CONTROL!$C$19, $C$13, 100%, $E$13)</f>
        <v>12.2767</v>
      </c>
      <c r="C832" s="60">
        <f>12.2767 * CHOOSE(CONTROL!$C$19, $C$13, 100%, $E$13)</f>
        <v>12.2767</v>
      </c>
      <c r="D832" s="60">
        <f>12.2935 * CHOOSE(CONTROL!$C$19, $C$13, 100%, $E$13)</f>
        <v>12.2935</v>
      </c>
      <c r="E832" s="61">
        <f>14.6768 * CHOOSE(CONTROL!$C$19, $C$13, 100%, $E$13)</f>
        <v>14.6768</v>
      </c>
      <c r="F832" s="61">
        <f>14.6768 * CHOOSE(CONTROL!$C$19, $C$13, 100%, $E$13)</f>
        <v>14.6768</v>
      </c>
      <c r="G832" s="61">
        <f>14.677 * CHOOSE(CONTROL!$C$19, $C$13, 100%, $E$13)</f>
        <v>14.677</v>
      </c>
      <c r="H832" s="61">
        <f>20.4435* CHOOSE(CONTROL!$C$19, $C$13, 100%, $E$13)</f>
        <v>20.4435</v>
      </c>
      <c r="I832" s="61">
        <f>20.4437 * CHOOSE(CONTROL!$C$19, $C$13, 100%, $E$13)</f>
        <v>20.4437</v>
      </c>
      <c r="J832" s="61">
        <f>14.6768 * CHOOSE(CONTROL!$C$19, $C$13, 100%, $E$13)</f>
        <v>14.6768</v>
      </c>
      <c r="K832" s="61">
        <f>14.677 * CHOOSE(CONTROL!$C$19, $C$13, 100%, $E$13)</f>
        <v>14.677</v>
      </c>
    </row>
    <row r="833" spans="1:11" ht="15">
      <c r="A833" s="13">
        <v>67207</v>
      </c>
      <c r="B833" s="60">
        <f>12.2664 * CHOOSE(CONTROL!$C$19, $C$13, 100%, $E$13)</f>
        <v>12.266400000000001</v>
      </c>
      <c r="C833" s="60">
        <f>12.2664 * CHOOSE(CONTROL!$C$19, $C$13, 100%, $E$13)</f>
        <v>12.266400000000001</v>
      </c>
      <c r="D833" s="60">
        <f>12.2833 * CHOOSE(CONTROL!$C$19, $C$13, 100%, $E$13)</f>
        <v>12.283300000000001</v>
      </c>
      <c r="E833" s="61">
        <f>14.7512 * CHOOSE(CONTROL!$C$19, $C$13, 100%, $E$13)</f>
        <v>14.751200000000001</v>
      </c>
      <c r="F833" s="61">
        <f>14.7512 * CHOOSE(CONTROL!$C$19, $C$13, 100%, $E$13)</f>
        <v>14.751200000000001</v>
      </c>
      <c r="G833" s="61">
        <f>14.7514 * CHOOSE(CONTROL!$C$19, $C$13, 100%, $E$13)</f>
        <v>14.7514</v>
      </c>
      <c r="H833" s="61">
        <f>20.3055* CHOOSE(CONTROL!$C$19, $C$13, 100%, $E$13)</f>
        <v>20.305499999999999</v>
      </c>
      <c r="I833" s="61">
        <f>20.3057 * CHOOSE(CONTROL!$C$19, $C$13, 100%, $E$13)</f>
        <v>20.305700000000002</v>
      </c>
      <c r="J833" s="61">
        <f>14.7512 * CHOOSE(CONTROL!$C$19, $C$13, 100%, $E$13)</f>
        <v>14.751200000000001</v>
      </c>
      <c r="K833" s="61">
        <f>14.7514 * CHOOSE(CONTROL!$C$19, $C$13, 100%, $E$13)</f>
        <v>14.7514</v>
      </c>
    </row>
    <row r="834" spans="1:11" ht="15">
      <c r="A834" s="13">
        <v>67238</v>
      </c>
      <c r="B834" s="60">
        <f>12.2634 * CHOOSE(CONTROL!$C$19, $C$13, 100%, $E$13)</f>
        <v>12.263400000000001</v>
      </c>
      <c r="C834" s="60">
        <f>12.2634 * CHOOSE(CONTROL!$C$19, $C$13, 100%, $E$13)</f>
        <v>12.263400000000001</v>
      </c>
      <c r="D834" s="60">
        <f>12.2802 * CHOOSE(CONTROL!$C$19, $C$13, 100%, $E$13)</f>
        <v>12.280200000000001</v>
      </c>
      <c r="E834" s="61">
        <f>14.5059 * CHOOSE(CONTROL!$C$19, $C$13, 100%, $E$13)</f>
        <v>14.5059</v>
      </c>
      <c r="F834" s="61">
        <f>14.5059 * CHOOSE(CONTROL!$C$19, $C$13, 100%, $E$13)</f>
        <v>14.5059</v>
      </c>
      <c r="G834" s="61">
        <f>14.5061 * CHOOSE(CONTROL!$C$19, $C$13, 100%, $E$13)</f>
        <v>14.5061</v>
      </c>
      <c r="H834" s="61">
        <f>20.3478* CHOOSE(CONTROL!$C$19, $C$13, 100%, $E$13)</f>
        <v>20.347799999999999</v>
      </c>
      <c r="I834" s="61">
        <f>20.348 * CHOOSE(CONTROL!$C$19, $C$13, 100%, $E$13)</f>
        <v>20.347999999999999</v>
      </c>
      <c r="J834" s="61">
        <f>14.5059 * CHOOSE(CONTROL!$C$19, $C$13, 100%, $E$13)</f>
        <v>14.5059</v>
      </c>
      <c r="K834" s="61">
        <f>14.5061 * CHOOSE(CONTROL!$C$19, $C$13, 100%, $E$13)</f>
        <v>14.5061</v>
      </c>
    </row>
    <row r="835" spans="1:11" ht="15">
      <c r="A835" s="13">
        <v>67267</v>
      </c>
      <c r="B835" s="60">
        <f>12.2604 * CHOOSE(CONTROL!$C$19, $C$13, 100%, $E$13)</f>
        <v>12.260400000000001</v>
      </c>
      <c r="C835" s="60">
        <f>12.2604 * CHOOSE(CONTROL!$C$19, $C$13, 100%, $E$13)</f>
        <v>12.260400000000001</v>
      </c>
      <c r="D835" s="60">
        <f>12.2772 * CHOOSE(CONTROL!$C$19, $C$13, 100%, $E$13)</f>
        <v>12.277200000000001</v>
      </c>
      <c r="E835" s="61">
        <f>14.6955 * CHOOSE(CONTROL!$C$19, $C$13, 100%, $E$13)</f>
        <v>14.695499999999999</v>
      </c>
      <c r="F835" s="61">
        <f>14.6955 * CHOOSE(CONTROL!$C$19, $C$13, 100%, $E$13)</f>
        <v>14.695499999999999</v>
      </c>
      <c r="G835" s="61">
        <f>14.6957 * CHOOSE(CONTROL!$C$19, $C$13, 100%, $E$13)</f>
        <v>14.6957</v>
      </c>
      <c r="H835" s="61">
        <f>20.3902* CHOOSE(CONTROL!$C$19, $C$13, 100%, $E$13)</f>
        <v>20.3902</v>
      </c>
      <c r="I835" s="61">
        <f>20.3904 * CHOOSE(CONTROL!$C$19, $C$13, 100%, $E$13)</f>
        <v>20.3904</v>
      </c>
      <c r="J835" s="61">
        <f>14.6955 * CHOOSE(CONTROL!$C$19, $C$13, 100%, $E$13)</f>
        <v>14.695499999999999</v>
      </c>
      <c r="K835" s="61">
        <f>14.6957 * CHOOSE(CONTROL!$C$19, $C$13, 100%, $E$13)</f>
        <v>14.6957</v>
      </c>
    </row>
    <row r="836" spans="1:11" ht="15">
      <c r="A836" s="13">
        <v>67298</v>
      </c>
      <c r="B836" s="60">
        <f>12.2662 * CHOOSE(CONTROL!$C$19, $C$13, 100%, $E$13)</f>
        <v>12.2662</v>
      </c>
      <c r="C836" s="60">
        <f>12.2662 * CHOOSE(CONTROL!$C$19, $C$13, 100%, $E$13)</f>
        <v>12.2662</v>
      </c>
      <c r="D836" s="60">
        <f>12.283 * CHOOSE(CONTROL!$C$19, $C$13, 100%, $E$13)</f>
        <v>12.282999999999999</v>
      </c>
      <c r="E836" s="61">
        <f>14.8972 * CHOOSE(CONTROL!$C$19, $C$13, 100%, $E$13)</f>
        <v>14.8972</v>
      </c>
      <c r="F836" s="61">
        <f>14.8972 * CHOOSE(CONTROL!$C$19, $C$13, 100%, $E$13)</f>
        <v>14.8972</v>
      </c>
      <c r="G836" s="61">
        <f>14.8974 * CHOOSE(CONTROL!$C$19, $C$13, 100%, $E$13)</f>
        <v>14.897399999999999</v>
      </c>
      <c r="H836" s="61">
        <f>20.4327* CHOOSE(CONTROL!$C$19, $C$13, 100%, $E$13)</f>
        <v>20.432700000000001</v>
      </c>
      <c r="I836" s="61">
        <f>20.4328 * CHOOSE(CONTROL!$C$19, $C$13, 100%, $E$13)</f>
        <v>20.4328</v>
      </c>
      <c r="J836" s="61">
        <f>14.8972 * CHOOSE(CONTROL!$C$19, $C$13, 100%, $E$13)</f>
        <v>14.8972</v>
      </c>
      <c r="K836" s="61">
        <f>14.8974 * CHOOSE(CONTROL!$C$19, $C$13, 100%, $E$13)</f>
        <v>14.897399999999999</v>
      </c>
    </row>
    <row r="837" spans="1:11" ht="15">
      <c r="A837" s="13">
        <v>67328</v>
      </c>
      <c r="B837" s="60">
        <f>12.2662 * CHOOSE(CONTROL!$C$19, $C$13, 100%, $E$13)</f>
        <v>12.2662</v>
      </c>
      <c r="C837" s="60">
        <f>12.2662 * CHOOSE(CONTROL!$C$19, $C$13, 100%, $E$13)</f>
        <v>12.2662</v>
      </c>
      <c r="D837" s="60">
        <f>12.2998 * CHOOSE(CONTROL!$C$19, $C$13, 100%, $E$13)</f>
        <v>12.299799999999999</v>
      </c>
      <c r="E837" s="61">
        <f>14.9744 * CHOOSE(CONTROL!$C$19, $C$13, 100%, $E$13)</f>
        <v>14.974399999999999</v>
      </c>
      <c r="F837" s="61">
        <f>14.9744 * CHOOSE(CONTROL!$C$19, $C$13, 100%, $E$13)</f>
        <v>14.974399999999999</v>
      </c>
      <c r="G837" s="61">
        <f>14.9765 * CHOOSE(CONTROL!$C$19, $C$13, 100%, $E$13)</f>
        <v>14.9765</v>
      </c>
      <c r="H837" s="61">
        <f>20.4752* CHOOSE(CONTROL!$C$19, $C$13, 100%, $E$13)</f>
        <v>20.475200000000001</v>
      </c>
      <c r="I837" s="61">
        <f>20.4773 * CHOOSE(CONTROL!$C$19, $C$13, 100%, $E$13)</f>
        <v>20.4773</v>
      </c>
      <c r="J837" s="61">
        <f>14.9744 * CHOOSE(CONTROL!$C$19, $C$13, 100%, $E$13)</f>
        <v>14.974399999999999</v>
      </c>
      <c r="K837" s="61">
        <f>14.9765 * CHOOSE(CONTROL!$C$19, $C$13, 100%, $E$13)</f>
        <v>14.9765</v>
      </c>
    </row>
    <row r="838" spans="1:11" ht="15">
      <c r="A838" s="13">
        <v>67359</v>
      </c>
      <c r="B838" s="60">
        <f>12.2722 * CHOOSE(CONTROL!$C$19, $C$13, 100%, $E$13)</f>
        <v>12.2722</v>
      </c>
      <c r="C838" s="60">
        <f>12.2722 * CHOOSE(CONTROL!$C$19, $C$13, 100%, $E$13)</f>
        <v>12.2722</v>
      </c>
      <c r="D838" s="60">
        <f>12.3059 * CHOOSE(CONTROL!$C$19, $C$13, 100%, $E$13)</f>
        <v>12.305899999999999</v>
      </c>
      <c r="E838" s="61">
        <f>14.9014 * CHOOSE(CONTROL!$C$19, $C$13, 100%, $E$13)</f>
        <v>14.901400000000001</v>
      </c>
      <c r="F838" s="61">
        <f>14.9014 * CHOOSE(CONTROL!$C$19, $C$13, 100%, $E$13)</f>
        <v>14.901400000000001</v>
      </c>
      <c r="G838" s="61">
        <f>14.9035 * CHOOSE(CONTROL!$C$19, $C$13, 100%, $E$13)</f>
        <v>14.903499999999999</v>
      </c>
      <c r="H838" s="61">
        <f>20.5179* CHOOSE(CONTROL!$C$19, $C$13, 100%, $E$13)</f>
        <v>20.517900000000001</v>
      </c>
      <c r="I838" s="61">
        <f>20.52 * CHOOSE(CONTROL!$C$19, $C$13, 100%, $E$13)</f>
        <v>20.52</v>
      </c>
      <c r="J838" s="61">
        <f>14.9014 * CHOOSE(CONTROL!$C$19, $C$13, 100%, $E$13)</f>
        <v>14.901400000000001</v>
      </c>
      <c r="K838" s="61">
        <f>14.9035 * CHOOSE(CONTROL!$C$19, $C$13, 100%, $E$13)</f>
        <v>14.903499999999999</v>
      </c>
    </row>
    <row r="839" spans="1:11" ht="15">
      <c r="A839" s="13">
        <v>67389</v>
      </c>
      <c r="B839" s="60">
        <f>12.4429 * CHOOSE(CONTROL!$C$19, $C$13, 100%, $E$13)</f>
        <v>12.4429</v>
      </c>
      <c r="C839" s="60">
        <f>12.4429 * CHOOSE(CONTROL!$C$19, $C$13, 100%, $E$13)</f>
        <v>12.4429</v>
      </c>
      <c r="D839" s="60">
        <f>12.4766 * CHOOSE(CONTROL!$C$19, $C$13, 100%, $E$13)</f>
        <v>12.476599999999999</v>
      </c>
      <c r="E839" s="61">
        <f>15.1721 * CHOOSE(CONTROL!$C$19, $C$13, 100%, $E$13)</f>
        <v>15.1721</v>
      </c>
      <c r="F839" s="61">
        <f>15.1721 * CHOOSE(CONTROL!$C$19, $C$13, 100%, $E$13)</f>
        <v>15.1721</v>
      </c>
      <c r="G839" s="61">
        <f>15.1742 * CHOOSE(CONTROL!$C$19, $C$13, 100%, $E$13)</f>
        <v>15.174200000000001</v>
      </c>
      <c r="H839" s="61">
        <f>20.5606* CHOOSE(CONTROL!$C$19, $C$13, 100%, $E$13)</f>
        <v>20.560600000000001</v>
      </c>
      <c r="I839" s="61">
        <f>20.5627 * CHOOSE(CONTROL!$C$19, $C$13, 100%, $E$13)</f>
        <v>20.5627</v>
      </c>
      <c r="J839" s="61">
        <f>15.1721 * CHOOSE(CONTROL!$C$19, $C$13, 100%, $E$13)</f>
        <v>15.1721</v>
      </c>
      <c r="K839" s="61">
        <f>15.1742 * CHOOSE(CONTROL!$C$19, $C$13, 100%, $E$13)</f>
        <v>15.174200000000001</v>
      </c>
    </row>
    <row r="840" spans="1:11" ht="15">
      <c r="A840" s="13">
        <v>67420</v>
      </c>
      <c r="B840" s="60">
        <f>12.4496 * CHOOSE(CONTROL!$C$19, $C$13, 100%, $E$13)</f>
        <v>12.4496</v>
      </c>
      <c r="C840" s="60">
        <f>12.4496 * CHOOSE(CONTROL!$C$19, $C$13, 100%, $E$13)</f>
        <v>12.4496</v>
      </c>
      <c r="D840" s="60">
        <f>12.4833 * CHOOSE(CONTROL!$C$19, $C$13, 100%, $E$13)</f>
        <v>12.4833</v>
      </c>
      <c r="E840" s="61">
        <f>14.9451 * CHOOSE(CONTROL!$C$19, $C$13, 100%, $E$13)</f>
        <v>14.9451</v>
      </c>
      <c r="F840" s="61">
        <f>14.9451 * CHOOSE(CONTROL!$C$19, $C$13, 100%, $E$13)</f>
        <v>14.9451</v>
      </c>
      <c r="G840" s="61">
        <f>14.9472 * CHOOSE(CONTROL!$C$19, $C$13, 100%, $E$13)</f>
        <v>14.9472</v>
      </c>
      <c r="H840" s="61">
        <f>20.6035* CHOOSE(CONTROL!$C$19, $C$13, 100%, $E$13)</f>
        <v>20.6035</v>
      </c>
      <c r="I840" s="61">
        <f>20.6056 * CHOOSE(CONTROL!$C$19, $C$13, 100%, $E$13)</f>
        <v>20.605599999999999</v>
      </c>
      <c r="J840" s="61">
        <f>14.9451 * CHOOSE(CONTROL!$C$19, $C$13, 100%, $E$13)</f>
        <v>14.9451</v>
      </c>
      <c r="K840" s="61">
        <f>14.9472 * CHOOSE(CONTROL!$C$19, $C$13, 100%, $E$13)</f>
        <v>14.9472</v>
      </c>
    </row>
    <row r="841" spans="1:11" ht="15">
      <c r="A841" s="13">
        <v>67451</v>
      </c>
      <c r="B841" s="60">
        <f>12.4465 * CHOOSE(CONTROL!$C$19, $C$13, 100%, $E$13)</f>
        <v>12.4465</v>
      </c>
      <c r="C841" s="60">
        <f>12.4465 * CHOOSE(CONTROL!$C$19, $C$13, 100%, $E$13)</f>
        <v>12.4465</v>
      </c>
      <c r="D841" s="60">
        <f>12.4802 * CHOOSE(CONTROL!$C$19, $C$13, 100%, $E$13)</f>
        <v>12.4802</v>
      </c>
      <c r="E841" s="61">
        <f>14.9172 * CHOOSE(CONTROL!$C$19, $C$13, 100%, $E$13)</f>
        <v>14.917199999999999</v>
      </c>
      <c r="F841" s="61">
        <f>14.9172 * CHOOSE(CONTROL!$C$19, $C$13, 100%, $E$13)</f>
        <v>14.917199999999999</v>
      </c>
      <c r="G841" s="61">
        <f>14.9193 * CHOOSE(CONTROL!$C$19, $C$13, 100%, $E$13)</f>
        <v>14.9193</v>
      </c>
      <c r="H841" s="61">
        <f>20.6464* CHOOSE(CONTROL!$C$19, $C$13, 100%, $E$13)</f>
        <v>20.6464</v>
      </c>
      <c r="I841" s="61">
        <f>20.6485 * CHOOSE(CONTROL!$C$19, $C$13, 100%, $E$13)</f>
        <v>20.648499999999999</v>
      </c>
      <c r="J841" s="61">
        <f>14.9172 * CHOOSE(CONTROL!$C$19, $C$13, 100%, $E$13)</f>
        <v>14.917199999999999</v>
      </c>
      <c r="K841" s="61">
        <f>14.9193 * CHOOSE(CONTROL!$C$19, $C$13, 100%, $E$13)</f>
        <v>14.9193</v>
      </c>
    </row>
    <row r="842" spans="1:11" ht="15">
      <c r="A842" s="13">
        <v>67481</v>
      </c>
      <c r="B842" s="60">
        <f>12.4737 * CHOOSE(CONTROL!$C$19, $C$13, 100%, $E$13)</f>
        <v>12.473699999999999</v>
      </c>
      <c r="C842" s="60">
        <f>12.4737 * CHOOSE(CONTROL!$C$19, $C$13, 100%, $E$13)</f>
        <v>12.473699999999999</v>
      </c>
      <c r="D842" s="60">
        <f>12.4905 * CHOOSE(CONTROL!$C$19, $C$13, 100%, $E$13)</f>
        <v>12.490500000000001</v>
      </c>
      <c r="E842" s="61">
        <f>15.0068 * CHOOSE(CONTROL!$C$19, $C$13, 100%, $E$13)</f>
        <v>15.0068</v>
      </c>
      <c r="F842" s="61">
        <f>15.0068 * CHOOSE(CONTROL!$C$19, $C$13, 100%, $E$13)</f>
        <v>15.0068</v>
      </c>
      <c r="G842" s="61">
        <f>15.0069 * CHOOSE(CONTROL!$C$19, $C$13, 100%, $E$13)</f>
        <v>15.0069</v>
      </c>
      <c r="H842" s="61">
        <f>20.6894* CHOOSE(CONTROL!$C$19, $C$13, 100%, $E$13)</f>
        <v>20.689399999999999</v>
      </c>
      <c r="I842" s="61">
        <f>20.6896 * CHOOSE(CONTROL!$C$19, $C$13, 100%, $E$13)</f>
        <v>20.689599999999999</v>
      </c>
      <c r="J842" s="61">
        <f>15.0068 * CHOOSE(CONTROL!$C$19, $C$13, 100%, $E$13)</f>
        <v>15.0068</v>
      </c>
      <c r="K842" s="61">
        <f>15.0069 * CHOOSE(CONTROL!$C$19, $C$13, 100%, $E$13)</f>
        <v>15.0069</v>
      </c>
    </row>
    <row r="843" spans="1:11" ht="15">
      <c r="A843" s="13">
        <v>67512</v>
      </c>
      <c r="B843" s="60">
        <f>12.4767 * CHOOSE(CONTROL!$C$19, $C$13, 100%, $E$13)</f>
        <v>12.476699999999999</v>
      </c>
      <c r="C843" s="60">
        <f>12.4767 * CHOOSE(CONTROL!$C$19, $C$13, 100%, $E$13)</f>
        <v>12.476699999999999</v>
      </c>
      <c r="D843" s="60">
        <f>12.4936 * CHOOSE(CONTROL!$C$19, $C$13, 100%, $E$13)</f>
        <v>12.493600000000001</v>
      </c>
      <c r="E843" s="61">
        <f>15.0604 * CHOOSE(CONTROL!$C$19, $C$13, 100%, $E$13)</f>
        <v>15.0604</v>
      </c>
      <c r="F843" s="61">
        <f>15.0604 * CHOOSE(CONTROL!$C$19, $C$13, 100%, $E$13)</f>
        <v>15.0604</v>
      </c>
      <c r="G843" s="61">
        <f>15.0605 * CHOOSE(CONTROL!$C$19, $C$13, 100%, $E$13)</f>
        <v>15.060499999999999</v>
      </c>
      <c r="H843" s="61">
        <f>20.7325* CHOOSE(CONTROL!$C$19, $C$13, 100%, $E$13)</f>
        <v>20.732500000000002</v>
      </c>
      <c r="I843" s="61">
        <f>20.7327 * CHOOSE(CONTROL!$C$19, $C$13, 100%, $E$13)</f>
        <v>20.732700000000001</v>
      </c>
      <c r="J843" s="61">
        <f>15.0604 * CHOOSE(CONTROL!$C$19, $C$13, 100%, $E$13)</f>
        <v>15.0604</v>
      </c>
      <c r="K843" s="61">
        <f>15.0605 * CHOOSE(CONTROL!$C$19, $C$13, 100%, $E$13)</f>
        <v>15.060499999999999</v>
      </c>
    </row>
    <row r="844" spans="1:11" ht="15">
      <c r="A844" s="13">
        <v>67542</v>
      </c>
      <c r="B844" s="60">
        <f>12.4767 * CHOOSE(CONTROL!$C$19, $C$13, 100%, $E$13)</f>
        <v>12.476699999999999</v>
      </c>
      <c r="C844" s="60">
        <f>12.4767 * CHOOSE(CONTROL!$C$19, $C$13, 100%, $E$13)</f>
        <v>12.476699999999999</v>
      </c>
      <c r="D844" s="60">
        <f>12.4936 * CHOOSE(CONTROL!$C$19, $C$13, 100%, $E$13)</f>
        <v>12.493600000000001</v>
      </c>
      <c r="E844" s="61">
        <f>14.9317 * CHOOSE(CONTROL!$C$19, $C$13, 100%, $E$13)</f>
        <v>14.931699999999999</v>
      </c>
      <c r="F844" s="61">
        <f>14.9317 * CHOOSE(CONTROL!$C$19, $C$13, 100%, $E$13)</f>
        <v>14.931699999999999</v>
      </c>
      <c r="G844" s="61">
        <f>14.9318 * CHOOSE(CONTROL!$C$19, $C$13, 100%, $E$13)</f>
        <v>14.931800000000001</v>
      </c>
      <c r="H844" s="61">
        <f>20.7757* CHOOSE(CONTROL!$C$19, $C$13, 100%, $E$13)</f>
        <v>20.775700000000001</v>
      </c>
      <c r="I844" s="61">
        <f>20.7759 * CHOOSE(CONTROL!$C$19, $C$13, 100%, $E$13)</f>
        <v>20.7759</v>
      </c>
      <c r="J844" s="61">
        <f>14.9317 * CHOOSE(CONTROL!$C$19, $C$13, 100%, $E$13)</f>
        <v>14.931699999999999</v>
      </c>
      <c r="K844" s="61">
        <f>14.9318 * CHOOSE(CONTROL!$C$19, $C$13, 100%, $E$13)</f>
        <v>14.931800000000001</v>
      </c>
    </row>
    <row r="845" spans="1:11" ht="15">
      <c r="A845" s="13">
        <v>67573</v>
      </c>
      <c r="B845" s="60">
        <f>12.4631 * CHOOSE(CONTROL!$C$19, $C$13, 100%, $E$13)</f>
        <v>12.463100000000001</v>
      </c>
      <c r="C845" s="60">
        <f>12.4631 * CHOOSE(CONTROL!$C$19, $C$13, 100%, $E$13)</f>
        <v>12.463100000000001</v>
      </c>
      <c r="D845" s="60">
        <f>12.4799 * CHOOSE(CONTROL!$C$19, $C$13, 100%, $E$13)</f>
        <v>12.479900000000001</v>
      </c>
      <c r="E845" s="61">
        <f>15.0031 * CHOOSE(CONTROL!$C$19, $C$13, 100%, $E$13)</f>
        <v>15.0031</v>
      </c>
      <c r="F845" s="61">
        <f>15.0031 * CHOOSE(CONTROL!$C$19, $C$13, 100%, $E$13)</f>
        <v>15.0031</v>
      </c>
      <c r="G845" s="61">
        <f>15.0032 * CHOOSE(CONTROL!$C$19, $C$13, 100%, $E$13)</f>
        <v>15.0032</v>
      </c>
      <c r="H845" s="61">
        <f>20.6302* CHOOSE(CONTROL!$C$19, $C$13, 100%, $E$13)</f>
        <v>20.630199999999999</v>
      </c>
      <c r="I845" s="61">
        <f>20.6303 * CHOOSE(CONTROL!$C$19, $C$13, 100%, $E$13)</f>
        <v>20.630299999999998</v>
      </c>
      <c r="J845" s="61">
        <f>15.0031 * CHOOSE(CONTROL!$C$19, $C$13, 100%, $E$13)</f>
        <v>15.0031</v>
      </c>
      <c r="K845" s="61">
        <f>15.0032 * CHOOSE(CONTROL!$C$19, $C$13, 100%, $E$13)</f>
        <v>15.0032</v>
      </c>
    </row>
    <row r="846" spans="1:11" ht="15">
      <c r="A846" s="13">
        <v>67604</v>
      </c>
      <c r="B846" s="60">
        <f>12.46 * CHOOSE(CONTROL!$C$19, $C$13, 100%, $E$13)</f>
        <v>12.46</v>
      </c>
      <c r="C846" s="60">
        <f>12.46 * CHOOSE(CONTROL!$C$19, $C$13, 100%, $E$13)</f>
        <v>12.46</v>
      </c>
      <c r="D846" s="60">
        <f>12.4769 * CHOOSE(CONTROL!$C$19, $C$13, 100%, $E$13)</f>
        <v>12.476900000000001</v>
      </c>
      <c r="E846" s="61">
        <f>14.7533 * CHOOSE(CONTROL!$C$19, $C$13, 100%, $E$13)</f>
        <v>14.753299999999999</v>
      </c>
      <c r="F846" s="61">
        <f>14.7533 * CHOOSE(CONTROL!$C$19, $C$13, 100%, $E$13)</f>
        <v>14.753299999999999</v>
      </c>
      <c r="G846" s="61">
        <f>14.7534 * CHOOSE(CONTROL!$C$19, $C$13, 100%, $E$13)</f>
        <v>14.753399999999999</v>
      </c>
      <c r="H846" s="61">
        <f>20.6731* CHOOSE(CONTROL!$C$19, $C$13, 100%, $E$13)</f>
        <v>20.673100000000002</v>
      </c>
      <c r="I846" s="61">
        <f>20.6733 * CHOOSE(CONTROL!$C$19, $C$13, 100%, $E$13)</f>
        <v>20.673300000000001</v>
      </c>
      <c r="J846" s="61">
        <f>14.7533 * CHOOSE(CONTROL!$C$19, $C$13, 100%, $E$13)</f>
        <v>14.753299999999999</v>
      </c>
      <c r="K846" s="61">
        <f>14.7534 * CHOOSE(CONTROL!$C$19, $C$13, 100%, $E$13)</f>
        <v>14.753399999999999</v>
      </c>
    </row>
    <row r="847" spans="1:11" ht="15">
      <c r="A847" s="13">
        <v>67632</v>
      </c>
      <c r="B847" s="60">
        <f>12.457 * CHOOSE(CONTROL!$C$19, $C$13, 100%, $E$13)</f>
        <v>12.457000000000001</v>
      </c>
      <c r="C847" s="60">
        <f>12.457 * CHOOSE(CONTROL!$C$19, $C$13, 100%, $E$13)</f>
        <v>12.457000000000001</v>
      </c>
      <c r="D847" s="60">
        <f>12.4738 * CHOOSE(CONTROL!$C$19, $C$13, 100%, $E$13)</f>
        <v>12.473800000000001</v>
      </c>
      <c r="E847" s="61">
        <f>14.9464 * CHOOSE(CONTROL!$C$19, $C$13, 100%, $E$13)</f>
        <v>14.946400000000001</v>
      </c>
      <c r="F847" s="61">
        <f>14.9464 * CHOOSE(CONTROL!$C$19, $C$13, 100%, $E$13)</f>
        <v>14.946400000000001</v>
      </c>
      <c r="G847" s="61">
        <f>14.9466 * CHOOSE(CONTROL!$C$19, $C$13, 100%, $E$13)</f>
        <v>14.9466</v>
      </c>
      <c r="H847" s="61">
        <f>20.7162* CHOOSE(CONTROL!$C$19, $C$13, 100%, $E$13)</f>
        <v>20.716200000000001</v>
      </c>
      <c r="I847" s="61">
        <f>20.7164 * CHOOSE(CONTROL!$C$19, $C$13, 100%, $E$13)</f>
        <v>20.7164</v>
      </c>
      <c r="J847" s="61">
        <f>14.9464 * CHOOSE(CONTROL!$C$19, $C$13, 100%, $E$13)</f>
        <v>14.946400000000001</v>
      </c>
      <c r="K847" s="61">
        <f>14.9466 * CHOOSE(CONTROL!$C$19, $C$13, 100%, $E$13)</f>
        <v>14.9466</v>
      </c>
    </row>
    <row r="848" spans="1:11" ht="15">
      <c r="A848" s="13">
        <v>67663</v>
      </c>
      <c r="B848" s="60">
        <f>12.463 * CHOOSE(CONTROL!$C$19, $C$13, 100%, $E$13)</f>
        <v>12.462999999999999</v>
      </c>
      <c r="C848" s="60">
        <f>12.463 * CHOOSE(CONTROL!$C$19, $C$13, 100%, $E$13)</f>
        <v>12.462999999999999</v>
      </c>
      <c r="D848" s="60">
        <f>12.4798 * CHOOSE(CONTROL!$C$19, $C$13, 100%, $E$13)</f>
        <v>12.479799999999999</v>
      </c>
      <c r="E848" s="61">
        <f>15.1519 * CHOOSE(CONTROL!$C$19, $C$13, 100%, $E$13)</f>
        <v>15.151899999999999</v>
      </c>
      <c r="F848" s="61">
        <f>15.1519 * CHOOSE(CONTROL!$C$19, $C$13, 100%, $E$13)</f>
        <v>15.151899999999999</v>
      </c>
      <c r="G848" s="61">
        <f>15.152 * CHOOSE(CONTROL!$C$19, $C$13, 100%, $E$13)</f>
        <v>15.151999999999999</v>
      </c>
      <c r="H848" s="61">
        <f>20.7594* CHOOSE(CONTROL!$C$19, $C$13, 100%, $E$13)</f>
        <v>20.759399999999999</v>
      </c>
      <c r="I848" s="61">
        <f>20.7595 * CHOOSE(CONTROL!$C$19, $C$13, 100%, $E$13)</f>
        <v>20.759499999999999</v>
      </c>
      <c r="J848" s="61">
        <f>15.1519 * CHOOSE(CONTROL!$C$19, $C$13, 100%, $E$13)</f>
        <v>15.151899999999999</v>
      </c>
      <c r="K848" s="61">
        <f>15.152 * CHOOSE(CONTROL!$C$19, $C$13, 100%, $E$13)</f>
        <v>15.151999999999999</v>
      </c>
    </row>
    <row r="849" spans="1:11" ht="15">
      <c r="A849" s="13">
        <v>67693</v>
      </c>
      <c r="B849" s="60">
        <f>12.463 * CHOOSE(CONTROL!$C$19, $C$13, 100%, $E$13)</f>
        <v>12.462999999999999</v>
      </c>
      <c r="C849" s="60">
        <f>12.463 * CHOOSE(CONTROL!$C$19, $C$13, 100%, $E$13)</f>
        <v>12.462999999999999</v>
      </c>
      <c r="D849" s="60">
        <f>12.4966 * CHOOSE(CONTROL!$C$19, $C$13, 100%, $E$13)</f>
        <v>12.496600000000001</v>
      </c>
      <c r="E849" s="61">
        <f>15.2305 * CHOOSE(CONTROL!$C$19, $C$13, 100%, $E$13)</f>
        <v>15.230499999999999</v>
      </c>
      <c r="F849" s="61">
        <f>15.2305 * CHOOSE(CONTROL!$C$19, $C$13, 100%, $E$13)</f>
        <v>15.230499999999999</v>
      </c>
      <c r="G849" s="61">
        <f>15.2326 * CHOOSE(CONTROL!$C$19, $C$13, 100%, $E$13)</f>
        <v>15.2326</v>
      </c>
      <c r="H849" s="61">
        <f>20.8026* CHOOSE(CONTROL!$C$19, $C$13, 100%, $E$13)</f>
        <v>20.802600000000002</v>
      </c>
      <c r="I849" s="61">
        <f>20.8047 * CHOOSE(CONTROL!$C$19, $C$13, 100%, $E$13)</f>
        <v>20.8047</v>
      </c>
      <c r="J849" s="61">
        <f>15.2305 * CHOOSE(CONTROL!$C$19, $C$13, 100%, $E$13)</f>
        <v>15.230499999999999</v>
      </c>
      <c r="K849" s="61">
        <f>15.2326 * CHOOSE(CONTROL!$C$19, $C$13, 100%, $E$13)</f>
        <v>15.2326</v>
      </c>
    </row>
    <row r="850" spans="1:11" ht="15">
      <c r="A850" s="13">
        <v>67724</v>
      </c>
      <c r="B850" s="60">
        <f>12.4691 * CHOOSE(CONTROL!$C$19, $C$13, 100%, $E$13)</f>
        <v>12.469099999999999</v>
      </c>
      <c r="C850" s="60">
        <f>12.4691 * CHOOSE(CONTROL!$C$19, $C$13, 100%, $E$13)</f>
        <v>12.469099999999999</v>
      </c>
      <c r="D850" s="60">
        <f>12.5027 * CHOOSE(CONTROL!$C$19, $C$13, 100%, $E$13)</f>
        <v>12.502700000000001</v>
      </c>
      <c r="E850" s="61">
        <f>15.1561 * CHOOSE(CONTROL!$C$19, $C$13, 100%, $E$13)</f>
        <v>15.1561</v>
      </c>
      <c r="F850" s="61">
        <f>15.1561 * CHOOSE(CONTROL!$C$19, $C$13, 100%, $E$13)</f>
        <v>15.1561</v>
      </c>
      <c r="G850" s="61">
        <f>15.1582 * CHOOSE(CONTROL!$C$19, $C$13, 100%, $E$13)</f>
        <v>15.158200000000001</v>
      </c>
      <c r="H850" s="61">
        <f>20.8459* CHOOSE(CONTROL!$C$19, $C$13, 100%, $E$13)</f>
        <v>20.8459</v>
      </c>
      <c r="I850" s="61">
        <f>20.848 * CHOOSE(CONTROL!$C$19, $C$13, 100%, $E$13)</f>
        <v>20.847999999999999</v>
      </c>
      <c r="J850" s="61">
        <f>15.1561 * CHOOSE(CONTROL!$C$19, $C$13, 100%, $E$13)</f>
        <v>15.1561</v>
      </c>
      <c r="K850" s="61">
        <f>15.1582 * CHOOSE(CONTROL!$C$19, $C$13, 100%, $E$13)</f>
        <v>15.158200000000001</v>
      </c>
    </row>
    <row r="851" spans="1:11" ht="15">
      <c r="A851" s="13">
        <v>67754</v>
      </c>
      <c r="B851" s="60">
        <f>12.6422 * CHOOSE(CONTROL!$C$19, $C$13, 100%, $E$13)</f>
        <v>12.642200000000001</v>
      </c>
      <c r="C851" s="60">
        <f>12.6422 * CHOOSE(CONTROL!$C$19, $C$13, 100%, $E$13)</f>
        <v>12.642200000000001</v>
      </c>
      <c r="D851" s="60">
        <f>12.6759 * CHOOSE(CONTROL!$C$19, $C$13, 100%, $E$13)</f>
        <v>12.6759</v>
      </c>
      <c r="E851" s="61">
        <f>15.4312 * CHOOSE(CONTROL!$C$19, $C$13, 100%, $E$13)</f>
        <v>15.4312</v>
      </c>
      <c r="F851" s="61">
        <f>15.4312 * CHOOSE(CONTROL!$C$19, $C$13, 100%, $E$13)</f>
        <v>15.4312</v>
      </c>
      <c r="G851" s="61">
        <f>15.4333 * CHOOSE(CONTROL!$C$19, $C$13, 100%, $E$13)</f>
        <v>15.433299999999999</v>
      </c>
      <c r="H851" s="61">
        <f>20.8894* CHOOSE(CONTROL!$C$19, $C$13, 100%, $E$13)</f>
        <v>20.889399999999998</v>
      </c>
      <c r="I851" s="61">
        <f>20.8915 * CHOOSE(CONTROL!$C$19, $C$13, 100%, $E$13)</f>
        <v>20.891500000000001</v>
      </c>
      <c r="J851" s="61">
        <f>15.4312 * CHOOSE(CONTROL!$C$19, $C$13, 100%, $E$13)</f>
        <v>15.4312</v>
      </c>
      <c r="K851" s="61">
        <f>15.4333 * CHOOSE(CONTROL!$C$19, $C$13, 100%, $E$13)</f>
        <v>15.433299999999999</v>
      </c>
    </row>
    <row r="852" spans="1:11" ht="15">
      <c r="A852" s="13">
        <v>67785</v>
      </c>
      <c r="B852" s="60">
        <f>12.6489 * CHOOSE(CONTROL!$C$19, $C$13, 100%, $E$13)</f>
        <v>12.648899999999999</v>
      </c>
      <c r="C852" s="60">
        <f>12.6489 * CHOOSE(CONTROL!$C$19, $C$13, 100%, $E$13)</f>
        <v>12.648899999999999</v>
      </c>
      <c r="D852" s="60">
        <f>12.6826 * CHOOSE(CONTROL!$C$19, $C$13, 100%, $E$13)</f>
        <v>12.682600000000001</v>
      </c>
      <c r="E852" s="61">
        <f>15.1999 * CHOOSE(CONTROL!$C$19, $C$13, 100%, $E$13)</f>
        <v>15.1999</v>
      </c>
      <c r="F852" s="61">
        <f>15.1999 * CHOOSE(CONTROL!$C$19, $C$13, 100%, $E$13)</f>
        <v>15.1999</v>
      </c>
      <c r="G852" s="61">
        <f>15.202 * CHOOSE(CONTROL!$C$19, $C$13, 100%, $E$13)</f>
        <v>15.202</v>
      </c>
      <c r="H852" s="61">
        <f>20.9329* CHOOSE(CONTROL!$C$19, $C$13, 100%, $E$13)</f>
        <v>20.9329</v>
      </c>
      <c r="I852" s="61">
        <f>20.935 * CHOOSE(CONTROL!$C$19, $C$13, 100%, $E$13)</f>
        <v>20.934999999999999</v>
      </c>
      <c r="J852" s="61">
        <f>15.1999 * CHOOSE(CONTROL!$C$19, $C$13, 100%, $E$13)</f>
        <v>15.1999</v>
      </c>
      <c r="K852" s="61">
        <f>15.202 * CHOOSE(CONTROL!$C$19, $C$13, 100%, $E$13)</f>
        <v>15.202</v>
      </c>
    </row>
    <row r="853" spans="1:11" ht="15">
      <c r="A853" s="13">
        <v>67816</v>
      </c>
      <c r="B853" s="60">
        <f>12.6459 * CHOOSE(CONTROL!$C$19, $C$13, 100%, $E$13)</f>
        <v>12.645899999999999</v>
      </c>
      <c r="C853" s="60">
        <f>12.6459 * CHOOSE(CONTROL!$C$19, $C$13, 100%, $E$13)</f>
        <v>12.645899999999999</v>
      </c>
      <c r="D853" s="60">
        <f>12.6795 * CHOOSE(CONTROL!$C$19, $C$13, 100%, $E$13)</f>
        <v>12.679500000000001</v>
      </c>
      <c r="E853" s="61">
        <f>15.1716 * CHOOSE(CONTROL!$C$19, $C$13, 100%, $E$13)</f>
        <v>15.1716</v>
      </c>
      <c r="F853" s="61">
        <f>15.1716 * CHOOSE(CONTROL!$C$19, $C$13, 100%, $E$13)</f>
        <v>15.1716</v>
      </c>
      <c r="G853" s="61">
        <f>15.1737 * CHOOSE(CONTROL!$C$19, $C$13, 100%, $E$13)</f>
        <v>15.1737</v>
      </c>
      <c r="H853" s="61">
        <f>20.9765* CHOOSE(CONTROL!$C$19, $C$13, 100%, $E$13)</f>
        <v>20.976500000000001</v>
      </c>
      <c r="I853" s="61">
        <f>20.9786 * CHOOSE(CONTROL!$C$19, $C$13, 100%, $E$13)</f>
        <v>20.9786</v>
      </c>
      <c r="J853" s="61">
        <f>15.1716 * CHOOSE(CONTROL!$C$19, $C$13, 100%, $E$13)</f>
        <v>15.1716</v>
      </c>
      <c r="K853" s="61">
        <f>15.1737 * CHOOSE(CONTROL!$C$19, $C$13, 100%, $E$13)</f>
        <v>15.1737</v>
      </c>
    </row>
    <row r="854" spans="1:11" ht="15">
      <c r="A854" s="13">
        <v>67846</v>
      </c>
      <c r="B854" s="60">
        <f>12.6738 * CHOOSE(CONTROL!$C$19, $C$13, 100%, $E$13)</f>
        <v>12.6738</v>
      </c>
      <c r="C854" s="60">
        <f>12.6738 * CHOOSE(CONTROL!$C$19, $C$13, 100%, $E$13)</f>
        <v>12.6738</v>
      </c>
      <c r="D854" s="60">
        <f>12.6906 * CHOOSE(CONTROL!$C$19, $C$13, 100%, $E$13)</f>
        <v>12.6906</v>
      </c>
      <c r="E854" s="61">
        <f>15.263 * CHOOSE(CONTROL!$C$19, $C$13, 100%, $E$13)</f>
        <v>15.263</v>
      </c>
      <c r="F854" s="61">
        <f>15.263 * CHOOSE(CONTROL!$C$19, $C$13, 100%, $E$13)</f>
        <v>15.263</v>
      </c>
      <c r="G854" s="61">
        <f>15.2632 * CHOOSE(CONTROL!$C$19, $C$13, 100%, $E$13)</f>
        <v>15.263199999999999</v>
      </c>
      <c r="H854" s="61">
        <f>21.0202* CHOOSE(CONTROL!$C$19, $C$13, 100%, $E$13)</f>
        <v>21.020199999999999</v>
      </c>
      <c r="I854" s="61">
        <f>21.0204 * CHOOSE(CONTROL!$C$19, $C$13, 100%, $E$13)</f>
        <v>21.020399999999999</v>
      </c>
      <c r="J854" s="61">
        <f>15.263 * CHOOSE(CONTROL!$C$19, $C$13, 100%, $E$13)</f>
        <v>15.263</v>
      </c>
      <c r="K854" s="61">
        <f>15.2632 * CHOOSE(CONTROL!$C$19, $C$13, 100%, $E$13)</f>
        <v>15.263199999999999</v>
      </c>
    </row>
    <row r="855" spans="1:11" ht="15">
      <c r="A855" s="13">
        <v>67877</v>
      </c>
      <c r="B855" s="60">
        <f>12.6768 * CHOOSE(CONTROL!$C$19, $C$13, 100%, $E$13)</f>
        <v>12.6768</v>
      </c>
      <c r="C855" s="60">
        <f>12.6768 * CHOOSE(CONTROL!$C$19, $C$13, 100%, $E$13)</f>
        <v>12.6768</v>
      </c>
      <c r="D855" s="60">
        <f>12.6936 * CHOOSE(CONTROL!$C$19, $C$13, 100%, $E$13)</f>
        <v>12.6936</v>
      </c>
      <c r="E855" s="61">
        <f>15.3176 * CHOOSE(CONTROL!$C$19, $C$13, 100%, $E$13)</f>
        <v>15.317600000000001</v>
      </c>
      <c r="F855" s="61">
        <f>15.3176 * CHOOSE(CONTROL!$C$19, $C$13, 100%, $E$13)</f>
        <v>15.317600000000001</v>
      </c>
      <c r="G855" s="61">
        <f>15.3177 * CHOOSE(CONTROL!$C$19, $C$13, 100%, $E$13)</f>
        <v>15.3177</v>
      </c>
      <c r="H855" s="61">
        <f>21.064* CHOOSE(CONTROL!$C$19, $C$13, 100%, $E$13)</f>
        <v>21.064</v>
      </c>
      <c r="I855" s="61">
        <f>21.0642 * CHOOSE(CONTROL!$C$19, $C$13, 100%, $E$13)</f>
        <v>21.0642</v>
      </c>
      <c r="J855" s="61">
        <f>15.3176 * CHOOSE(CONTROL!$C$19, $C$13, 100%, $E$13)</f>
        <v>15.317600000000001</v>
      </c>
      <c r="K855" s="61">
        <f>15.3177 * CHOOSE(CONTROL!$C$19, $C$13, 100%, $E$13)</f>
        <v>15.3177</v>
      </c>
    </row>
    <row r="856" spans="1:11" ht="15">
      <c r="A856" s="13">
        <v>67907</v>
      </c>
      <c r="B856" s="60">
        <f>12.6768 * CHOOSE(CONTROL!$C$19, $C$13, 100%, $E$13)</f>
        <v>12.6768</v>
      </c>
      <c r="C856" s="60">
        <f>12.6768 * CHOOSE(CONTROL!$C$19, $C$13, 100%, $E$13)</f>
        <v>12.6768</v>
      </c>
      <c r="D856" s="60">
        <f>12.6936 * CHOOSE(CONTROL!$C$19, $C$13, 100%, $E$13)</f>
        <v>12.6936</v>
      </c>
      <c r="E856" s="61">
        <f>15.1865 * CHOOSE(CONTROL!$C$19, $C$13, 100%, $E$13)</f>
        <v>15.186500000000001</v>
      </c>
      <c r="F856" s="61">
        <f>15.1865 * CHOOSE(CONTROL!$C$19, $C$13, 100%, $E$13)</f>
        <v>15.186500000000001</v>
      </c>
      <c r="G856" s="61">
        <f>15.1867 * CHOOSE(CONTROL!$C$19, $C$13, 100%, $E$13)</f>
        <v>15.1867</v>
      </c>
      <c r="H856" s="61">
        <f>21.1079* CHOOSE(CONTROL!$C$19, $C$13, 100%, $E$13)</f>
        <v>21.107900000000001</v>
      </c>
      <c r="I856" s="61">
        <f>21.1081 * CHOOSE(CONTROL!$C$19, $C$13, 100%, $E$13)</f>
        <v>21.1081</v>
      </c>
      <c r="J856" s="61">
        <f>15.1865 * CHOOSE(CONTROL!$C$19, $C$13, 100%, $E$13)</f>
        <v>15.186500000000001</v>
      </c>
      <c r="K856" s="61">
        <f>15.1867 * CHOOSE(CONTROL!$C$19, $C$13, 100%, $E$13)</f>
        <v>15.1867</v>
      </c>
    </row>
    <row r="857" spans="1:11" ht="15">
      <c r="A857" s="13">
        <v>67938</v>
      </c>
      <c r="B857" s="60">
        <f>12.6597 * CHOOSE(CONTROL!$C$19, $C$13, 100%, $E$13)</f>
        <v>12.659700000000001</v>
      </c>
      <c r="C857" s="60">
        <f>12.6597 * CHOOSE(CONTROL!$C$19, $C$13, 100%, $E$13)</f>
        <v>12.659700000000001</v>
      </c>
      <c r="D857" s="60">
        <f>12.6765 * CHOOSE(CONTROL!$C$19, $C$13, 100%, $E$13)</f>
        <v>12.676500000000001</v>
      </c>
      <c r="E857" s="61">
        <f>15.2549 * CHOOSE(CONTROL!$C$19, $C$13, 100%, $E$13)</f>
        <v>15.254899999999999</v>
      </c>
      <c r="F857" s="61">
        <f>15.2549 * CHOOSE(CONTROL!$C$19, $C$13, 100%, $E$13)</f>
        <v>15.254899999999999</v>
      </c>
      <c r="G857" s="61">
        <f>15.2551 * CHOOSE(CONTROL!$C$19, $C$13, 100%, $E$13)</f>
        <v>15.255100000000001</v>
      </c>
      <c r="H857" s="61">
        <f>20.9548* CHOOSE(CONTROL!$C$19, $C$13, 100%, $E$13)</f>
        <v>20.954799999999999</v>
      </c>
      <c r="I857" s="61">
        <f>20.955 * CHOOSE(CONTROL!$C$19, $C$13, 100%, $E$13)</f>
        <v>20.954999999999998</v>
      </c>
      <c r="J857" s="61">
        <f>15.2549 * CHOOSE(CONTROL!$C$19, $C$13, 100%, $E$13)</f>
        <v>15.254899999999999</v>
      </c>
      <c r="K857" s="61">
        <f>15.2551 * CHOOSE(CONTROL!$C$19, $C$13, 100%, $E$13)</f>
        <v>15.255100000000001</v>
      </c>
    </row>
    <row r="858" spans="1:11" ht="15">
      <c r="A858" s="13">
        <v>67969</v>
      </c>
      <c r="B858" s="60">
        <f>12.6566 * CHOOSE(CONTROL!$C$19, $C$13, 100%, $E$13)</f>
        <v>12.656599999999999</v>
      </c>
      <c r="C858" s="60">
        <f>12.6566 * CHOOSE(CONTROL!$C$19, $C$13, 100%, $E$13)</f>
        <v>12.656599999999999</v>
      </c>
      <c r="D858" s="60">
        <f>12.6735 * CHOOSE(CONTROL!$C$19, $C$13, 100%, $E$13)</f>
        <v>12.673500000000001</v>
      </c>
      <c r="E858" s="61">
        <f>15.0006 * CHOOSE(CONTROL!$C$19, $C$13, 100%, $E$13)</f>
        <v>15.0006</v>
      </c>
      <c r="F858" s="61">
        <f>15.0006 * CHOOSE(CONTROL!$C$19, $C$13, 100%, $E$13)</f>
        <v>15.0006</v>
      </c>
      <c r="G858" s="61">
        <f>15.0008 * CHOOSE(CONTROL!$C$19, $C$13, 100%, $E$13)</f>
        <v>15.0008</v>
      </c>
      <c r="H858" s="61">
        <f>20.9985* CHOOSE(CONTROL!$C$19, $C$13, 100%, $E$13)</f>
        <v>20.9985</v>
      </c>
      <c r="I858" s="61">
        <f>20.9986 * CHOOSE(CONTROL!$C$19, $C$13, 100%, $E$13)</f>
        <v>20.9986</v>
      </c>
      <c r="J858" s="61">
        <f>15.0006 * CHOOSE(CONTROL!$C$19, $C$13, 100%, $E$13)</f>
        <v>15.0006</v>
      </c>
      <c r="K858" s="61">
        <f>15.0008 * CHOOSE(CONTROL!$C$19, $C$13, 100%, $E$13)</f>
        <v>15.0008</v>
      </c>
    </row>
    <row r="859" spans="1:11" ht="15">
      <c r="A859" s="13">
        <v>67997</v>
      </c>
      <c r="B859" s="60">
        <f>12.6536 * CHOOSE(CONTROL!$C$19, $C$13, 100%, $E$13)</f>
        <v>12.653600000000001</v>
      </c>
      <c r="C859" s="60">
        <f>12.6536 * CHOOSE(CONTROL!$C$19, $C$13, 100%, $E$13)</f>
        <v>12.653600000000001</v>
      </c>
      <c r="D859" s="60">
        <f>12.6704 * CHOOSE(CONTROL!$C$19, $C$13, 100%, $E$13)</f>
        <v>12.670400000000001</v>
      </c>
      <c r="E859" s="61">
        <f>15.1973 * CHOOSE(CONTROL!$C$19, $C$13, 100%, $E$13)</f>
        <v>15.1973</v>
      </c>
      <c r="F859" s="61">
        <f>15.1973 * CHOOSE(CONTROL!$C$19, $C$13, 100%, $E$13)</f>
        <v>15.1973</v>
      </c>
      <c r="G859" s="61">
        <f>15.1975 * CHOOSE(CONTROL!$C$19, $C$13, 100%, $E$13)</f>
        <v>15.1975</v>
      </c>
      <c r="H859" s="61">
        <f>21.0422* CHOOSE(CONTROL!$C$19, $C$13, 100%, $E$13)</f>
        <v>21.042200000000001</v>
      </c>
      <c r="I859" s="61">
        <f>21.0424 * CHOOSE(CONTROL!$C$19, $C$13, 100%, $E$13)</f>
        <v>21.042400000000001</v>
      </c>
      <c r="J859" s="61">
        <f>15.1973 * CHOOSE(CONTROL!$C$19, $C$13, 100%, $E$13)</f>
        <v>15.1973</v>
      </c>
      <c r="K859" s="61">
        <f>15.1975 * CHOOSE(CONTROL!$C$19, $C$13, 100%, $E$13)</f>
        <v>15.1975</v>
      </c>
    </row>
    <row r="860" spans="1:11" ht="15">
      <c r="A860" s="13">
        <v>68028</v>
      </c>
      <c r="B860" s="60">
        <f>12.6598 * CHOOSE(CONTROL!$C$19, $C$13, 100%, $E$13)</f>
        <v>12.659800000000001</v>
      </c>
      <c r="C860" s="60">
        <f>12.6598 * CHOOSE(CONTROL!$C$19, $C$13, 100%, $E$13)</f>
        <v>12.659800000000001</v>
      </c>
      <c r="D860" s="60">
        <f>12.6766 * CHOOSE(CONTROL!$C$19, $C$13, 100%, $E$13)</f>
        <v>12.676600000000001</v>
      </c>
      <c r="E860" s="61">
        <f>15.4065 * CHOOSE(CONTROL!$C$19, $C$13, 100%, $E$13)</f>
        <v>15.406499999999999</v>
      </c>
      <c r="F860" s="61">
        <f>15.4065 * CHOOSE(CONTROL!$C$19, $C$13, 100%, $E$13)</f>
        <v>15.406499999999999</v>
      </c>
      <c r="G860" s="61">
        <f>15.4067 * CHOOSE(CONTROL!$C$19, $C$13, 100%, $E$13)</f>
        <v>15.406700000000001</v>
      </c>
      <c r="H860" s="61">
        <f>21.0861* CHOOSE(CONTROL!$C$19, $C$13, 100%, $E$13)</f>
        <v>21.086099999999998</v>
      </c>
      <c r="I860" s="61">
        <f>21.0862 * CHOOSE(CONTROL!$C$19, $C$13, 100%, $E$13)</f>
        <v>21.086200000000002</v>
      </c>
      <c r="J860" s="61">
        <f>15.4065 * CHOOSE(CONTROL!$C$19, $C$13, 100%, $E$13)</f>
        <v>15.406499999999999</v>
      </c>
      <c r="K860" s="61">
        <f>15.4067 * CHOOSE(CONTROL!$C$19, $C$13, 100%, $E$13)</f>
        <v>15.406700000000001</v>
      </c>
    </row>
    <row r="861" spans="1:11" ht="15">
      <c r="A861" s="13">
        <v>68058</v>
      </c>
      <c r="B861" s="60">
        <f>12.6598 * CHOOSE(CONTROL!$C$19, $C$13, 100%, $E$13)</f>
        <v>12.659800000000001</v>
      </c>
      <c r="C861" s="60">
        <f>12.6598 * CHOOSE(CONTROL!$C$19, $C$13, 100%, $E$13)</f>
        <v>12.659800000000001</v>
      </c>
      <c r="D861" s="60">
        <f>12.6934 * CHOOSE(CONTROL!$C$19, $C$13, 100%, $E$13)</f>
        <v>12.6934</v>
      </c>
      <c r="E861" s="61">
        <f>15.4866 * CHOOSE(CONTROL!$C$19, $C$13, 100%, $E$13)</f>
        <v>15.486599999999999</v>
      </c>
      <c r="F861" s="61">
        <f>15.4866 * CHOOSE(CONTROL!$C$19, $C$13, 100%, $E$13)</f>
        <v>15.486599999999999</v>
      </c>
      <c r="G861" s="61">
        <f>15.4887 * CHOOSE(CONTROL!$C$19, $C$13, 100%, $E$13)</f>
        <v>15.4887</v>
      </c>
      <c r="H861" s="61">
        <f>21.13* CHOOSE(CONTROL!$C$19, $C$13, 100%, $E$13)</f>
        <v>21.13</v>
      </c>
      <c r="I861" s="61">
        <f>21.1321 * CHOOSE(CONTROL!$C$19, $C$13, 100%, $E$13)</f>
        <v>21.132100000000001</v>
      </c>
      <c r="J861" s="61">
        <f>15.4866 * CHOOSE(CONTROL!$C$19, $C$13, 100%, $E$13)</f>
        <v>15.486599999999999</v>
      </c>
      <c r="K861" s="61">
        <f>15.4887 * CHOOSE(CONTROL!$C$19, $C$13, 100%, $E$13)</f>
        <v>15.4887</v>
      </c>
    </row>
    <row r="862" spans="1:11" ht="15">
      <c r="A862" s="13">
        <v>68089</v>
      </c>
      <c r="B862" s="60">
        <f>12.6659 * CHOOSE(CONTROL!$C$19, $C$13, 100%, $E$13)</f>
        <v>12.665900000000001</v>
      </c>
      <c r="C862" s="60">
        <f>12.6659 * CHOOSE(CONTROL!$C$19, $C$13, 100%, $E$13)</f>
        <v>12.665900000000001</v>
      </c>
      <c r="D862" s="60">
        <f>12.6995 * CHOOSE(CONTROL!$C$19, $C$13, 100%, $E$13)</f>
        <v>12.6995</v>
      </c>
      <c r="E862" s="61">
        <f>15.4108 * CHOOSE(CONTROL!$C$19, $C$13, 100%, $E$13)</f>
        <v>15.4108</v>
      </c>
      <c r="F862" s="61">
        <f>15.4108 * CHOOSE(CONTROL!$C$19, $C$13, 100%, $E$13)</f>
        <v>15.4108</v>
      </c>
      <c r="G862" s="61">
        <f>15.4129 * CHOOSE(CONTROL!$C$19, $C$13, 100%, $E$13)</f>
        <v>15.4129</v>
      </c>
      <c r="H862" s="61">
        <f>21.174* CHOOSE(CONTROL!$C$19, $C$13, 100%, $E$13)</f>
        <v>21.173999999999999</v>
      </c>
      <c r="I862" s="61">
        <f>21.1761 * CHOOSE(CONTROL!$C$19, $C$13, 100%, $E$13)</f>
        <v>21.176100000000002</v>
      </c>
      <c r="J862" s="61">
        <f>15.4108 * CHOOSE(CONTROL!$C$19, $C$13, 100%, $E$13)</f>
        <v>15.4108</v>
      </c>
      <c r="K862" s="61">
        <f>15.4129 * CHOOSE(CONTROL!$C$19, $C$13, 100%, $E$13)</f>
        <v>15.4129</v>
      </c>
    </row>
    <row r="863" spans="1:11" ht="15">
      <c r="A863" s="13">
        <v>68119</v>
      </c>
      <c r="B863" s="60">
        <f>12.8415 * CHOOSE(CONTROL!$C$19, $C$13, 100%, $E$13)</f>
        <v>12.8415</v>
      </c>
      <c r="C863" s="60">
        <f>12.8415 * CHOOSE(CONTROL!$C$19, $C$13, 100%, $E$13)</f>
        <v>12.8415</v>
      </c>
      <c r="D863" s="60">
        <f>12.8752 * CHOOSE(CONTROL!$C$19, $C$13, 100%, $E$13)</f>
        <v>12.8752</v>
      </c>
      <c r="E863" s="61">
        <f>15.6903 * CHOOSE(CONTROL!$C$19, $C$13, 100%, $E$13)</f>
        <v>15.690300000000001</v>
      </c>
      <c r="F863" s="61">
        <f>15.6903 * CHOOSE(CONTROL!$C$19, $C$13, 100%, $E$13)</f>
        <v>15.690300000000001</v>
      </c>
      <c r="G863" s="61">
        <f>15.6924 * CHOOSE(CONTROL!$C$19, $C$13, 100%, $E$13)</f>
        <v>15.692399999999999</v>
      </c>
      <c r="H863" s="61">
        <f>21.2181* CHOOSE(CONTROL!$C$19, $C$13, 100%, $E$13)</f>
        <v>21.2181</v>
      </c>
      <c r="I863" s="61">
        <f>21.2202 * CHOOSE(CONTROL!$C$19, $C$13, 100%, $E$13)</f>
        <v>21.220199999999998</v>
      </c>
      <c r="J863" s="61">
        <f>15.6903 * CHOOSE(CONTROL!$C$19, $C$13, 100%, $E$13)</f>
        <v>15.690300000000001</v>
      </c>
      <c r="K863" s="61">
        <f>15.6924 * CHOOSE(CONTROL!$C$19, $C$13, 100%, $E$13)</f>
        <v>15.692399999999999</v>
      </c>
    </row>
    <row r="864" spans="1:11" ht="15">
      <c r="A864" s="13">
        <v>68150</v>
      </c>
      <c r="B864" s="60">
        <f>12.8482 * CHOOSE(CONTROL!$C$19, $C$13, 100%, $E$13)</f>
        <v>12.8482</v>
      </c>
      <c r="C864" s="60">
        <f>12.8482 * CHOOSE(CONTROL!$C$19, $C$13, 100%, $E$13)</f>
        <v>12.8482</v>
      </c>
      <c r="D864" s="60">
        <f>12.8819 * CHOOSE(CONTROL!$C$19, $C$13, 100%, $E$13)</f>
        <v>12.8819</v>
      </c>
      <c r="E864" s="61">
        <f>15.4548 * CHOOSE(CONTROL!$C$19, $C$13, 100%, $E$13)</f>
        <v>15.454800000000001</v>
      </c>
      <c r="F864" s="61">
        <f>15.4548 * CHOOSE(CONTROL!$C$19, $C$13, 100%, $E$13)</f>
        <v>15.454800000000001</v>
      </c>
      <c r="G864" s="61">
        <f>15.4569 * CHOOSE(CONTROL!$C$19, $C$13, 100%, $E$13)</f>
        <v>15.456899999999999</v>
      </c>
      <c r="H864" s="61">
        <f>21.2623* CHOOSE(CONTROL!$C$19, $C$13, 100%, $E$13)</f>
        <v>21.2623</v>
      </c>
      <c r="I864" s="61">
        <f>21.2644 * CHOOSE(CONTROL!$C$19, $C$13, 100%, $E$13)</f>
        <v>21.264399999999998</v>
      </c>
      <c r="J864" s="61">
        <f>15.4548 * CHOOSE(CONTROL!$C$19, $C$13, 100%, $E$13)</f>
        <v>15.454800000000001</v>
      </c>
      <c r="K864" s="61">
        <f>15.4569 * CHOOSE(CONTROL!$C$19, $C$13, 100%, $E$13)</f>
        <v>15.456899999999999</v>
      </c>
    </row>
    <row r="865" spans="1:11" ht="15">
      <c r="A865" s="13">
        <v>68181</v>
      </c>
      <c r="B865" s="60">
        <f>12.8452 * CHOOSE(CONTROL!$C$19, $C$13, 100%, $E$13)</f>
        <v>12.8452</v>
      </c>
      <c r="C865" s="60">
        <f>12.8452 * CHOOSE(CONTROL!$C$19, $C$13, 100%, $E$13)</f>
        <v>12.8452</v>
      </c>
      <c r="D865" s="60">
        <f>12.8788 * CHOOSE(CONTROL!$C$19, $C$13, 100%, $E$13)</f>
        <v>12.8788</v>
      </c>
      <c r="E865" s="61">
        <f>15.426 * CHOOSE(CONTROL!$C$19, $C$13, 100%, $E$13)</f>
        <v>15.426</v>
      </c>
      <c r="F865" s="61">
        <f>15.426 * CHOOSE(CONTROL!$C$19, $C$13, 100%, $E$13)</f>
        <v>15.426</v>
      </c>
      <c r="G865" s="61">
        <f>15.4281 * CHOOSE(CONTROL!$C$19, $C$13, 100%, $E$13)</f>
        <v>15.428100000000001</v>
      </c>
      <c r="H865" s="61">
        <f>21.3066* CHOOSE(CONTROL!$C$19, $C$13, 100%, $E$13)</f>
        <v>21.3066</v>
      </c>
      <c r="I865" s="61">
        <f>21.3087 * CHOOSE(CONTROL!$C$19, $C$13, 100%, $E$13)</f>
        <v>21.308700000000002</v>
      </c>
      <c r="J865" s="61">
        <f>15.426 * CHOOSE(CONTROL!$C$19, $C$13, 100%, $E$13)</f>
        <v>15.426</v>
      </c>
      <c r="K865" s="61">
        <f>15.4281 * CHOOSE(CONTROL!$C$19, $C$13, 100%, $E$13)</f>
        <v>15.428100000000001</v>
      </c>
    </row>
    <row r="866" spans="1:11" ht="15">
      <c r="A866" s="13">
        <v>68211</v>
      </c>
      <c r="B866" s="60">
        <f>12.8738 * CHOOSE(CONTROL!$C$19, $C$13, 100%, $E$13)</f>
        <v>12.873799999999999</v>
      </c>
      <c r="C866" s="60">
        <f>12.8738 * CHOOSE(CONTROL!$C$19, $C$13, 100%, $E$13)</f>
        <v>12.873799999999999</v>
      </c>
      <c r="D866" s="60">
        <f>12.8907 * CHOOSE(CONTROL!$C$19, $C$13, 100%, $E$13)</f>
        <v>12.890700000000001</v>
      </c>
      <c r="E866" s="61">
        <f>15.5193 * CHOOSE(CONTROL!$C$19, $C$13, 100%, $E$13)</f>
        <v>15.519299999999999</v>
      </c>
      <c r="F866" s="61">
        <f>15.5193 * CHOOSE(CONTROL!$C$19, $C$13, 100%, $E$13)</f>
        <v>15.519299999999999</v>
      </c>
      <c r="G866" s="61">
        <f>15.5195 * CHOOSE(CONTROL!$C$19, $C$13, 100%, $E$13)</f>
        <v>15.519500000000001</v>
      </c>
      <c r="H866" s="61">
        <f>21.351* CHOOSE(CONTROL!$C$19, $C$13, 100%, $E$13)</f>
        <v>21.350999999999999</v>
      </c>
      <c r="I866" s="61">
        <f>21.3512 * CHOOSE(CONTROL!$C$19, $C$13, 100%, $E$13)</f>
        <v>21.351199999999999</v>
      </c>
      <c r="J866" s="61">
        <f>15.5193 * CHOOSE(CONTROL!$C$19, $C$13, 100%, $E$13)</f>
        <v>15.519299999999999</v>
      </c>
      <c r="K866" s="61">
        <f>15.5195 * CHOOSE(CONTROL!$C$19, $C$13, 100%, $E$13)</f>
        <v>15.519500000000001</v>
      </c>
    </row>
    <row r="867" spans="1:11" ht="15">
      <c r="A867" s="13">
        <v>68242</v>
      </c>
      <c r="B867" s="60">
        <f>12.8769 * CHOOSE(CONTROL!$C$19, $C$13, 100%, $E$13)</f>
        <v>12.876899999999999</v>
      </c>
      <c r="C867" s="60">
        <f>12.8769 * CHOOSE(CONTROL!$C$19, $C$13, 100%, $E$13)</f>
        <v>12.876899999999999</v>
      </c>
      <c r="D867" s="60">
        <f>12.8937 * CHOOSE(CONTROL!$C$19, $C$13, 100%, $E$13)</f>
        <v>12.893700000000001</v>
      </c>
      <c r="E867" s="61">
        <f>15.5748 * CHOOSE(CONTROL!$C$19, $C$13, 100%, $E$13)</f>
        <v>15.5748</v>
      </c>
      <c r="F867" s="61">
        <f>15.5748 * CHOOSE(CONTROL!$C$19, $C$13, 100%, $E$13)</f>
        <v>15.5748</v>
      </c>
      <c r="G867" s="61">
        <f>15.575 * CHOOSE(CONTROL!$C$19, $C$13, 100%, $E$13)</f>
        <v>15.574999999999999</v>
      </c>
      <c r="H867" s="61">
        <f>21.3955* CHOOSE(CONTROL!$C$19, $C$13, 100%, $E$13)</f>
        <v>21.395499999999998</v>
      </c>
      <c r="I867" s="61">
        <f>21.3957 * CHOOSE(CONTROL!$C$19, $C$13, 100%, $E$13)</f>
        <v>21.395700000000001</v>
      </c>
      <c r="J867" s="61">
        <f>15.5748 * CHOOSE(CONTROL!$C$19, $C$13, 100%, $E$13)</f>
        <v>15.5748</v>
      </c>
      <c r="K867" s="61">
        <f>15.575 * CHOOSE(CONTROL!$C$19, $C$13, 100%, $E$13)</f>
        <v>15.574999999999999</v>
      </c>
    </row>
    <row r="868" spans="1:11" ht="15">
      <c r="A868" s="13">
        <v>68272</v>
      </c>
      <c r="B868" s="60">
        <f>12.8769 * CHOOSE(CONTROL!$C$19, $C$13, 100%, $E$13)</f>
        <v>12.876899999999999</v>
      </c>
      <c r="C868" s="60">
        <f>12.8769 * CHOOSE(CONTROL!$C$19, $C$13, 100%, $E$13)</f>
        <v>12.876899999999999</v>
      </c>
      <c r="D868" s="60">
        <f>12.8937 * CHOOSE(CONTROL!$C$19, $C$13, 100%, $E$13)</f>
        <v>12.893700000000001</v>
      </c>
      <c r="E868" s="61">
        <f>15.4413 * CHOOSE(CONTROL!$C$19, $C$13, 100%, $E$13)</f>
        <v>15.4413</v>
      </c>
      <c r="F868" s="61">
        <f>15.4413 * CHOOSE(CONTROL!$C$19, $C$13, 100%, $E$13)</f>
        <v>15.4413</v>
      </c>
      <c r="G868" s="61">
        <f>15.4415 * CHOOSE(CONTROL!$C$19, $C$13, 100%, $E$13)</f>
        <v>15.4415</v>
      </c>
      <c r="H868" s="61">
        <f>21.4401* CHOOSE(CONTROL!$C$19, $C$13, 100%, $E$13)</f>
        <v>21.440100000000001</v>
      </c>
      <c r="I868" s="61">
        <f>21.4402 * CHOOSE(CONTROL!$C$19, $C$13, 100%, $E$13)</f>
        <v>21.440200000000001</v>
      </c>
      <c r="J868" s="61">
        <f>15.4413 * CHOOSE(CONTROL!$C$19, $C$13, 100%, $E$13)</f>
        <v>15.4413</v>
      </c>
      <c r="K868" s="61">
        <f>15.4415 * CHOOSE(CONTROL!$C$19, $C$13, 100%, $E$13)</f>
        <v>15.4415</v>
      </c>
    </row>
    <row r="869" spans="1:11" ht="15">
      <c r="A869" s="13">
        <v>68303</v>
      </c>
      <c r="B869" s="60">
        <f>12.8563 * CHOOSE(CONTROL!$C$19, $C$13, 100%, $E$13)</f>
        <v>12.856299999999999</v>
      </c>
      <c r="C869" s="60">
        <f>12.8563 * CHOOSE(CONTROL!$C$19, $C$13, 100%, $E$13)</f>
        <v>12.856299999999999</v>
      </c>
      <c r="D869" s="60">
        <f>12.8731 * CHOOSE(CONTROL!$C$19, $C$13, 100%, $E$13)</f>
        <v>12.873100000000001</v>
      </c>
      <c r="E869" s="61">
        <f>15.5067 * CHOOSE(CONTROL!$C$19, $C$13, 100%, $E$13)</f>
        <v>15.5067</v>
      </c>
      <c r="F869" s="61">
        <f>15.5067 * CHOOSE(CONTROL!$C$19, $C$13, 100%, $E$13)</f>
        <v>15.5067</v>
      </c>
      <c r="G869" s="61">
        <f>15.5069 * CHOOSE(CONTROL!$C$19, $C$13, 100%, $E$13)</f>
        <v>15.5069</v>
      </c>
      <c r="H869" s="61">
        <f>21.2795* CHOOSE(CONTROL!$C$19, $C$13, 100%, $E$13)</f>
        <v>21.279499999999999</v>
      </c>
      <c r="I869" s="61">
        <f>21.2797 * CHOOSE(CONTROL!$C$19, $C$13, 100%, $E$13)</f>
        <v>21.279699999999998</v>
      </c>
      <c r="J869" s="61">
        <f>15.5067 * CHOOSE(CONTROL!$C$19, $C$13, 100%, $E$13)</f>
        <v>15.5067</v>
      </c>
      <c r="K869" s="61">
        <f>15.5069 * CHOOSE(CONTROL!$C$19, $C$13, 100%, $E$13)</f>
        <v>15.5069</v>
      </c>
    </row>
    <row r="870" spans="1:11" ht="15">
      <c r="A870" s="13">
        <v>68334</v>
      </c>
      <c r="B870" s="60">
        <f>12.8533 * CHOOSE(CONTROL!$C$19, $C$13, 100%, $E$13)</f>
        <v>12.853300000000001</v>
      </c>
      <c r="C870" s="60">
        <f>12.8533 * CHOOSE(CONTROL!$C$19, $C$13, 100%, $E$13)</f>
        <v>12.853300000000001</v>
      </c>
      <c r="D870" s="60">
        <f>12.8701 * CHOOSE(CONTROL!$C$19, $C$13, 100%, $E$13)</f>
        <v>12.870100000000001</v>
      </c>
      <c r="E870" s="61">
        <f>15.248 * CHOOSE(CONTROL!$C$19, $C$13, 100%, $E$13)</f>
        <v>15.247999999999999</v>
      </c>
      <c r="F870" s="61">
        <f>15.248 * CHOOSE(CONTROL!$C$19, $C$13, 100%, $E$13)</f>
        <v>15.247999999999999</v>
      </c>
      <c r="G870" s="61">
        <f>15.2482 * CHOOSE(CONTROL!$C$19, $C$13, 100%, $E$13)</f>
        <v>15.248200000000001</v>
      </c>
      <c r="H870" s="61">
        <f>21.3238* CHOOSE(CONTROL!$C$19, $C$13, 100%, $E$13)</f>
        <v>21.323799999999999</v>
      </c>
      <c r="I870" s="61">
        <f>21.324 * CHOOSE(CONTROL!$C$19, $C$13, 100%, $E$13)</f>
        <v>21.324000000000002</v>
      </c>
      <c r="J870" s="61">
        <f>15.248 * CHOOSE(CONTROL!$C$19, $C$13, 100%, $E$13)</f>
        <v>15.247999999999999</v>
      </c>
      <c r="K870" s="61">
        <f>15.2482 * CHOOSE(CONTROL!$C$19, $C$13, 100%, $E$13)</f>
        <v>15.248200000000001</v>
      </c>
    </row>
    <row r="871" spans="1:11" ht="15">
      <c r="A871" s="13">
        <v>68362</v>
      </c>
      <c r="B871" s="60">
        <f>12.8502 * CHOOSE(CONTROL!$C$19, $C$13, 100%, $E$13)</f>
        <v>12.850199999999999</v>
      </c>
      <c r="C871" s="60">
        <f>12.8502 * CHOOSE(CONTROL!$C$19, $C$13, 100%, $E$13)</f>
        <v>12.850199999999999</v>
      </c>
      <c r="D871" s="60">
        <f>12.867 * CHOOSE(CONTROL!$C$19, $C$13, 100%, $E$13)</f>
        <v>12.867000000000001</v>
      </c>
      <c r="E871" s="61">
        <f>15.4482 * CHOOSE(CONTROL!$C$19, $C$13, 100%, $E$13)</f>
        <v>15.4482</v>
      </c>
      <c r="F871" s="61">
        <f>15.4482 * CHOOSE(CONTROL!$C$19, $C$13, 100%, $E$13)</f>
        <v>15.4482</v>
      </c>
      <c r="G871" s="61">
        <f>15.4484 * CHOOSE(CONTROL!$C$19, $C$13, 100%, $E$13)</f>
        <v>15.448399999999999</v>
      </c>
      <c r="H871" s="61">
        <f>21.3682* CHOOSE(CONTROL!$C$19, $C$13, 100%, $E$13)</f>
        <v>21.368200000000002</v>
      </c>
      <c r="I871" s="61">
        <f>21.3684 * CHOOSE(CONTROL!$C$19, $C$13, 100%, $E$13)</f>
        <v>21.368400000000001</v>
      </c>
      <c r="J871" s="61">
        <f>15.4482 * CHOOSE(CONTROL!$C$19, $C$13, 100%, $E$13)</f>
        <v>15.4482</v>
      </c>
      <c r="K871" s="61">
        <f>15.4484 * CHOOSE(CONTROL!$C$19, $C$13, 100%, $E$13)</f>
        <v>15.448399999999999</v>
      </c>
    </row>
    <row r="872" spans="1:11" ht="15">
      <c r="A872" s="13">
        <v>68393</v>
      </c>
      <c r="B872" s="60">
        <f>12.8566 * CHOOSE(CONTROL!$C$19, $C$13, 100%, $E$13)</f>
        <v>12.8566</v>
      </c>
      <c r="C872" s="60">
        <f>12.8566 * CHOOSE(CONTROL!$C$19, $C$13, 100%, $E$13)</f>
        <v>12.8566</v>
      </c>
      <c r="D872" s="60">
        <f>12.8734 * CHOOSE(CONTROL!$C$19, $C$13, 100%, $E$13)</f>
        <v>12.8734</v>
      </c>
      <c r="E872" s="61">
        <f>15.6612 * CHOOSE(CONTROL!$C$19, $C$13, 100%, $E$13)</f>
        <v>15.661199999999999</v>
      </c>
      <c r="F872" s="61">
        <f>15.6612 * CHOOSE(CONTROL!$C$19, $C$13, 100%, $E$13)</f>
        <v>15.661199999999999</v>
      </c>
      <c r="G872" s="61">
        <f>15.6614 * CHOOSE(CONTROL!$C$19, $C$13, 100%, $E$13)</f>
        <v>15.6614</v>
      </c>
      <c r="H872" s="61">
        <f>21.4127* CHOOSE(CONTROL!$C$19, $C$13, 100%, $E$13)</f>
        <v>21.412700000000001</v>
      </c>
      <c r="I872" s="61">
        <f>21.4129 * CHOOSE(CONTROL!$C$19, $C$13, 100%, $E$13)</f>
        <v>21.4129</v>
      </c>
      <c r="J872" s="61">
        <f>15.6612 * CHOOSE(CONTROL!$C$19, $C$13, 100%, $E$13)</f>
        <v>15.661199999999999</v>
      </c>
      <c r="K872" s="61">
        <f>15.6614 * CHOOSE(CONTROL!$C$19, $C$13, 100%, $E$13)</f>
        <v>15.6614</v>
      </c>
    </row>
    <row r="873" spans="1:11" ht="15">
      <c r="A873" s="13">
        <v>68423</v>
      </c>
      <c r="B873" s="60">
        <f>12.8566 * CHOOSE(CONTROL!$C$19, $C$13, 100%, $E$13)</f>
        <v>12.8566</v>
      </c>
      <c r="C873" s="60">
        <f>12.8566 * CHOOSE(CONTROL!$C$19, $C$13, 100%, $E$13)</f>
        <v>12.8566</v>
      </c>
      <c r="D873" s="60">
        <f>12.8903 * CHOOSE(CONTROL!$C$19, $C$13, 100%, $E$13)</f>
        <v>12.8903</v>
      </c>
      <c r="E873" s="61">
        <f>15.7427 * CHOOSE(CONTROL!$C$19, $C$13, 100%, $E$13)</f>
        <v>15.742699999999999</v>
      </c>
      <c r="F873" s="61">
        <f>15.7427 * CHOOSE(CONTROL!$C$19, $C$13, 100%, $E$13)</f>
        <v>15.742699999999999</v>
      </c>
      <c r="G873" s="61">
        <f>15.7448 * CHOOSE(CONTROL!$C$19, $C$13, 100%, $E$13)</f>
        <v>15.7448</v>
      </c>
      <c r="H873" s="61">
        <f>21.4574* CHOOSE(CONTROL!$C$19, $C$13, 100%, $E$13)</f>
        <v>21.4574</v>
      </c>
      <c r="I873" s="61">
        <f>21.4594 * CHOOSE(CONTROL!$C$19, $C$13, 100%, $E$13)</f>
        <v>21.459399999999999</v>
      </c>
      <c r="J873" s="61">
        <f>15.7427 * CHOOSE(CONTROL!$C$19, $C$13, 100%, $E$13)</f>
        <v>15.742699999999999</v>
      </c>
      <c r="K873" s="61">
        <f>15.7448 * CHOOSE(CONTROL!$C$19, $C$13, 100%, $E$13)</f>
        <v>15.7448</v>
      </c>
    </row>
    <row r="874" spans="1:11" ht="15">
      <c r="A874" s="13">
        <v>68454</v>
      </c>
      <c r="B874" s="60">
        <f>12.8627 * CHOOSE(CONTROL!$C$19, $C$13, 100%, $E$13)</f>
        <v>12.8627</v>
      </c>
      <c r="C874" s="60">
        <f>12.8627 * CHOOSE(CONTROL!$C$19, $C$13, 100%, $E$13)</f>
        <v>12.8627</v>
      </c>
      <c r="D874" s="60">
        <f>12.8963 * CHOOSE(CONTROL!$C$19, $C$13, 100%, $E$13)</f>
        <v>12.8963</v>
      </c>
      <c r="E874" s="61">
        <f>15.6654 * CHOOSE(CONTROL!$C$19, $C$13, 100%, $E$13)</f>
        <v>15.6654</v>
      </c>
      <c r="F874" s="61">
        <f>15.6654 * CHOOSE(CONTROL!$C$19, $C$13, 100%, $E$13)</f>
        <v>15.6654</v>
      </c>
      <c r="G874" s="61">
        <f>15.6675 * CHOOSE(CONTROL!$C$19, $C$13, 100%, $E$13)</f>
        <v>15.6675</v>
      </c>
      <c r="H874" s="61">
        <f>21.5021* CHOOSE(CONTROL!$C$19, $C$13, 100%, $E$13)</f>
        <v>21.502099999999999</v>
      </c>
      <c r="I874" s="61">
        <f>21.5042 * CHOOSE(CONTROL!$C$19, $C$13, 100%, $E$13)</f>
        <v>21.504200000000001</v>
      </c>
      <c r="J874" s="61">
        <f>15.6654 * CHOOSE(CONTROL!$C$19, $C$13, 100%, $E$13)</f>
        <v>15.6654</v>
      </c>
      <c r="K874" s="61">
        <f>15.6675 * CHOOSE(CONTROL!$C$19, $C$13, 100%, $E$13)</f>
        <v>15.6675</v>
      </c>
    </row>
    <row r="875" spans="1:11" ht="15">
      <c r="A875" s="13">
        <v>68484</v>
      </c>
      <c r="B875" s="60">
        <f>13.0408 * CHOOSE(CONTROL!$C$19, $C$13, 100%, $E$13)</f>
        <v>13.040800000000001</v>
      </c>
      <c r="C875" s="60">
        <f>13.0408 * CHOOSE(CONTROL!$C$19, $C$13, 100%, $E$13)</f>
        <v>13.040800000000001</v>
      </c>
      <c r="D875" s="60">
        <f>13.0745 * CHOOSE(CONTROL!$C$19, $C$13, 100%, $E$13)</f>
        <v>13.0745</v>
      </c>
      <c r="E875" s="61">
        <f>15.9494 * CHOOSE(CONTROL!$C$19, $C$13, 100%, $E$13)</f>
        <v>15.949400000000001</v>
      </c>
      <c r="F875" s="61">
        <f>15.9494 * CHOOSE(CONTROL!$C$19, $C$13, 100%, $E$13)</f>
        <v>15.949400000000001</v>
      </c>
      <c r="G875" s="61">
        <f>15.9515 * CHOOSE(CONTROL!$C$19, $C$13, 100%, $E$13)</f>
        <v>15.951499999999999</v>
      </c>
      <c r="H875" s="61">
        <f>21.5469* CHOOSE(CONTROL!$C$19, $C$13, 100%, $E$13)</f>
        <v>21.546900000000001</v>
      </c>
      <c r="I875" s="61">
        <f>21.5489 * CHOOSE(CONTROL!$C$19, $C$13, 100%, $E$13)</f>
        <v>21.5489</v>
      </c>
      <c r="J875" s="61">
        <f>15.9494 * CHOOSE(CONTROL!$C$19, $C$13, 100%, $E$13)</f>
        <v>15.949400000000001</v>
      </c>
      <c r="K875" s="61">
        <f>15.9515 * CHOOSE(CONTROL!$C$19, $C$13, 100%, $E$13)</f>
        <v>15.951499999999999</v>
      </c>
    </row>
    <row r="876" spans="1:11" ht="15">
      <c r="A876" s="13">
        <v>68515</v>
      </c>
      <c r="B876" s="60">
        <f>13.0475 * CHOOSE(CONTROL!$C$19, $C$13, 100%, $E$13)</f>
        <v>13.047499999999999</v>
      </c>
      <c r="C876" s="60">
        <f>13.0475 * CHOOSE(CONTROL!$C$19, $C$13, 100%, $E$13)</f>
        <v>13.047499999999999</v>
      </c>
      <c r="D876" s="60">
        <f>13.0812 * CHOOSE(CONTROL!$C$19, $C$13, 100%, $E$13)</f>
        <v>13.081200000000001</v>
      </c>
      <c r="E876" s="61">
        <f>15.7096 * CHOOSE(CONTROL!$C$19, $C$13, 100%, $E$13)</f>
        <v>15.7096</v>
      </c>
      <c r="F876" s="61">
        <f>15.7096 * CHOOSE(CONTROL!$C$19, $C$13, 100%, $E$13)</f>
        <v>15.7096</v>
      </c>
      <c r="G876" s="61">
        <f>15.7117 * CHOOSE(CONTROL!$C$19, $C$13, 100%, $E$13)</f>
        <v>15.7117</v>
      </c>
      <c r="H876" s="61">
        <f>21.5917* CHOOSE(CONTROL!$C$19, $C$13, 100%, $E$13)</f>
        <v>21.591699999999999</v>
      </c>
      <c r="I876" s="61">
        <f>21.5938 * CHOOSE(CONTROL!$C$19, $C$13, 100%, $E$13)</f>
        <v>21.593800000000002</v>
      </c>
      <c r="J876" s="61">
        <f>15.7096 * CHOOSE(CONTROL!$C$19, $C$13, 100%, $E$13)</f>
        <v>15.7096</v>
      </c>
      <c r="K876" s="61">
        <f>15.7117 * CHOOSE(CONTROL!$C$19, $C$13, 100%, $E$13)</f>
        <v>15.7117</v>
      </c>
    </row>
    <row r="877" spans="1:11" ht="15">
      <c r="A877" s="13">
        <v>68546</v>
      </c>
      <c r="B877" s="60">
        <f>13.0445 * CHOOSE(CONTROL!$C$19, $C$13, 100%, $E$13)</f>
        <v>13.044499999999999</v>
      </c>
      <c r="C877" s="60">
        <f>13.0445 * CHOOSE(CONTROL!$C$19, $C$13, 100%, $E$13)</f>
        <v>13.044499999999999</v>
      </c>
      <c r="D877" s="60">
        <f>13.0782 * CHOOSE(CONTROL!$C$19, $C$13, 100%, $E$13)</f>
        <v>13.078200000000001</v>
      </c>
      <c r="E877" s="61">
        <f>15.6803 * CHOOSE(CONTROL!$C$19, $C$13, 100%, $E$13)</f>
        <v>15.680300000000001</v>
      </c>
      <c r="F877" s="61">
        <f>15.6803 * CHOOSE(CONTROL!$C$19, $C$13, 100%, $E$13)</f>
        <v>15.680300000000001</v>
      </c>
      <c r="G877" s="61">
        <f>15.6824 * CHOOSE(CONTROL!$C$19, $C$13, 100%, $E$13)</f>
        <v>15.682399999999999</v>
      </c>
      <c r="H877" s="61">
        <f>21.6367* CHOOSE(CONTROL!$C$19, $C$13, 100%, $E$13)</f>
        <v>21.636700000000001</v>
      </c>
      <c r="I877" s="61">
        <f>21.6388 * CHOOSE(CONTROL!$C$19, $C$13, 100%, $E$13)</f>
        <v>21.6388</v>
      </c>
      <c r="J877" s="61">
        <f>15.6803 * CHOOSE(CONTROL!$C$19, $C$13, 100%, $E$13)</f>
        <v>15.680300000000001</v>
      </c>
      <c r="K877" s="61">
        <f>15.6824 * CHOOSE(CONTROL!$C$19, $C$13, 100%, $E$13)</f>
        <v>15.682399999999999</v>
      </c>
    </row>
    <row r="878" spans="1:11" ht="15">
      <c r="A878" s="13">
        <v>68576</v>
      </c>
      <c r="B878" s="60">
        <f>13.0739 * CHOOSE(CONTROL!$C$19, $C$13, 100%, $E$13)</f>
        <v>13.0739</v>
      </c>
      <c r="C878" s="60">
        <f>13.0739 * CHOOSE(CONTROL!$C$19, $C$13, 100%, $E$13)</f>
        <v>13.0739</v>
      </c>
      <c r="D878" s="60">
        <f>13.0907 * CHOOSE(CONTROL!$C$19, $C$13, 100%, $E$13)</f>
        <v>13.0907</v>
      </c>
      <c r="E878" s="61">
        <f>15.7755 * CHOOSE(CONTROL!$C$19, $C$13, 100%, $E$13)</f>
        <v>15.775499999999999</v>
      </c>
      <c r="F878" s="61">
        <f>15.7755 * CHOOSE(CONTROL!$C$19, $C$13, 100%, $E$13)</f>
        <v>15.775499999999999</v>
      </c>
      <c r="G878" s="61">
        <f>15.7757 * CHOOSE(CONTROL!$C$19, $C$13, 100%, $E$13)</f>
        <v>15.775700000000001</v>
      </c>
      <c r="H878" s="61">
        <f>21.6818* CHOOSE(CONTROL!$C$19, $C$13, 100%, $E$13)</f>
        <v>21.681799999999999</v>
      </c>
      <c r="I878" s="61">
        <f>21.682 * CHOOSE(CONTROL!$C$19, $C$13, 100%, $E$13)</f>
        <v>21.681999999999999</v>
      </c>
      <c r="J878" s="61">
        <f>15.7755 * CHOOSE(CONTROL!$C$19, $C$13, 100%, $E$13)</f>
        <v>15.775499999999999</v>
      </c>
      <c r="K878" s="61">
        <f>15.7757 * CHOOSE(CONTROL!$C$19, $C$13, 100%, $E$13)</f>
        <v>15.775700000000001</v>
      </c>
    </row>
    <row r="879" spans="1:11" ht="15">
      <c r="A879" s="13">
        <v>68607</v>
      </c>
      <c r="B879" s="60">
        <f>13.0769 * CHOOSE(CONTROL!$C$19, $C$13, 100%, $E$13)</f>
        <v>13.0769</v>
      </c>
      <c r="C879" s="60">
        <f>13.0769 * CHOOSE(CONTROL!$C$19, $C$13, 100%, $E$13)</f>
        <v>13.0769</v>
      </c>
      <c r="D879" s="60">
        <f>13.0938 * CHOOSE(CONTROL!$C$19, $C$13, 100%, $E$13)</f>
        <v>13.0938</v>
      </c>
      <c r="E879" s="61">
        <f>15.832 * CHOOSE(CONTROL!$C$19, $C$13, 100%, $E$13)</f>
        <v>15.832000000000001</v>
      </c>
      <c r="F879" s="61">
        <f>15.832 * CHOOSE(CONTROL!$C$19, $C$13, 100%, $E$13)</f>
        <v>15.832000000000001</v>
      </c>
      <c r="G879" s="61">
        <f>15.8322 * CHOOSE(CONTROL!$C$19, $C$13, 100%, $E$13)</f>
        <v>15.8322</v>
      </c>
      <c r="H879" s="61">
        <f>21.727* CHOOSE(CONTROL!$C$19, $C$13, 100%, $E$13)</f>
        <v>21.727</v>
      </c>
      <c r="I879" s="61">
        <f>21.7272 * CHOOSE(CONTROL!$C$19, $C$13, 100%, $E$13)</f>
        <v>21.7272</v>
      </c>
      <c r="J879" s="61">
        <f>15.832 * CHOOSE(CONTROL!$C$19, $C$13, 100%, $E$13)</f>
        <v>15.832000000000001</v>
      </c>
      <c r="K879" s="61">
        <f>15.8322 * CHOOSE(CONTROL!$C$19, $C$13, 100%, $E$13)</f>
        <v>15.8322</v>
      </c>
    </row>
    <row r="880" spans="1:11" ht="15">
      <c r="A880" s="13">
        <v>68637</v>
      </c>
      <c r="B880" s="60">
        <f>13.0769 * CHOOSE(CONTROL!$C$19, $C$13, 100%, $E$13)</f>
        <v>13.0769</v>
      </c>
      <c r="C880" s="60">
        <f>13.0769 * CHOOSE(CONTROL!$C$19, $C$13, 100%, $E$13)</f>
        <v>13.0769</v>
      </c>
      <c r="D880" s="60">
        <f>13.0938 * CHOOSE(CONTROL!$C$19, $C$13, 100%, $E$13)</f>
        <v>13.0938</v>
      </c>
      <c r="E880" s="61">
        <f>15.6962 * CHOOSE(CONTROL!$C$19, $C$13, 100%, $E$13)</f>
        <v>15.696199999999999</v>
      </c>
      <c r="F880" s="61">
        <f>15.6962 * CHOOSE(CONTROL!$C$19, $C$13, 100%, $E$13)</f>
        <v>15.696199999999999</v>
      </c>
      <c r="G880" s="61">
        <f>15.6964 * CHOOSE(CONTROL!$C$19, $C$13, 100%, $E$13)</f>
        <v>15.696400000000001</v>
      </c>
      <c r="H880" s="61">
        <f>21.7722* CHOOSE(CONTROL!$C$19, $C$13, 100%, $E$13)</f>
        <v>21.772200000000002</v>
      </c>
      <c r="I880" s="61">
        <f>21.7724 * CHOOSE(CONTROL!$C$19, $C$13, 100%, $E$13)</f>
        <v>21.772400000000001</v>
      </c>
      <c r="J880" s="61">
        <f>15.6962 * CHOOSE(CONTROL!$C$19, $C$13, 100%, $E$13)</f>
        <v>15.696199999999999</v>
      </c>
      <c r="K880" s="61">
        <f>15.6964 * CHOOSE(CONTROL!$C$19, $C$13, 100%, $E$13)</f>
        <v>15.696400000000001</v>
      </c>
    </row>
    <row r="881" spans="1:11" ht="15">
      <c r="A881" s="13">
        <v>68668</v>
      </c>
      <c r="B881" s="60">
        <f>13.0529 * CHOOSE(CONTROL!$C$19, $C$13, 100%, $E$13)</f>
        <v>13.052899999999999</v>
      </c>
      <c r="C881" s="60">
        <f>13.0529 * CHOOSE(CONTROL!$C$19, $C$13, 100%, $E$13)</f>
        <v>13.052899999999999</v>
      </c>
      <c r="D881" s="60">
        <f>13.0697 * CHOOSE(CONTROL!$C$19, $C$13, 100%, $E$13)</f>
        <v>13.069699999999999</v>
      </c>
      <c r="E881" s="61">
        <f>15.7586 * CHOOSE(CONTROL!$C$19, $C$13, 100%, $E$13)</f>
        <v>15.758599999999999</v>
      </c>
      <c r="F881" s="61">
        <f>15.7586 * CHOOSE(CONTROL!$C$19, $C$13, 100%, $E$13)</f>
        <v>15.758599999999999</v>
      </c>
      <c r="G881" s="61">
        <f>15.7587 * CHOOSE(CONTROL!$C$19, $C$13, 100%, $E$13)</f>
        <v>15.758699999999999</v>
      </c>
      <c r="H881" s="61">
        <f>21.6041* CHOOSE(CONTROL!$C$19, $C$13, 100%, $E$13)</f>
        <v>21.604099999999999</v>
      </c>
      <c r="I881" s="61">
        <f>21.6043 * CHOOSE(CONTROL!$C$19, $C$13, 100%, $E$13)</f>
        <v>21.604299999999999</v>
      </c>
      <c r="J881" s="61">
        <f>15.7586 * CHOOSE(CONTROL!$C$19, $C$13, 100%, $E$13)</f>
        <v>15.758599999999999</v>
      </c>
      <c r="K881" s="61">
        <f>15.7587 * CHOOSE(CONTROL!$C$19, $C$13, 100%, $E$13)</f>
        <v>15.758699999999999</v>
      </c>
    </row>
    <row r="882" spans="1:11" ht="15">
      <c r="A882" s="13">
        <v>68699</v>
      </c>
      <c r="B882" s="60">
        <f>13.0499 * CHOOSE(CONTROL!$C$19, $C$13, 100%, $E$13)</f>
        <v>13.049899999999999</v>
      </c>
      <c r="C882" s="60">
        <f>13.0499 * CHOOSE(CONTROL!$C$19, $C$13, 100%, $E$13)</f>
        <v>13.049899999999999</v>
      </c>
      <c r="D882" s="60">
        <f>13.0667 * CHOOSE(CONTROL!$C$19, $C$13, 100%, $E$13)</f>
        <v>13.066700000000001</v>
      </c>
      <c r="E882" s="61">
        <f>15.4954 * CHOOSE(CONTROL!$C$19, $C$13, 100%, $E$13)</f>
        <v>15.4954</v>
      </c>
      <c r="F882" s="61">
        <f>15.4954 * CHOOSE(CONTROL!$C$19, $C$13, 100%, $E$13)</f>
        <v>15.4954</v>
      </c>
      <c r="G882" s="61">
        <f>15.4955 * CHOOSE(CONTROL!$C$19, $C$13, 100%, $E$13)</f>
        <v>15.4955</v>
      </c>
      <c r="H882" s="61">
        <f>21.6491* CHOOSE(CONTROL!$C$19, $C$13, 100%, $E$13)</f>
        <v>21.649100000000001</v>
      </c>
      <c r="I882" s="61">
        <f>21.6493 * CHOOSE(CONTROL!$C$19, $C$13, 100%, $E$13)</f>
        <v>21.6493</v>
      </c>
      <c r="J882" s="61">
        <f>15.4954 * CHOOSE(CONTROL!$C$19, $C$13, 100%, $E$13)</f>
        <v>15.4954</v>
      </c>
      <c r="K882" s="61">
        <f>15.4955 * CHOOSE(CONTROL!$C$19, $C$13, 100%, $E$13)</f>
        <v>15.4955</v>
      </c>
    </row>
    <row r="883" spans="1:11" ht="15">
      <c r="A883" s="13">
        <v>68728</v>
      </c>
      <c r="B883" s="60">
        <f>13.0468 * CHOOSE(CONTROL!$C$19, $C$13, 100%, $E$13)</f>
        <v>13.046799999999999</v>
      </c>
      <c r="C883" s="60">
        <f>13.0468 * CHOOSE(CONTROL!$C$19, $C$13, 100%, $E$13)</f>
        <v>13.046799999999999</v>
      </c>
      <c r="D883" s="60">
        <f>13.0637 * CHOOSE(CONTROL!$C$19, $C$13, 100%, $E$13)</f>
        <v>13.063700000000001</v>
      </c>
      <c r="E883" s="61">
        <f>15.6991 * CHOOSE(CONTROL!$C$19, $C$13, 100%, $E$13)</f>
        <v>15.6991</v>
      </c>
      <c r="F883" s="61">
        <f>15.6991 * CHOOSE(CONTROL!$C$19, $C$13, 100%, $E$13)</f>
        <v>15.6991</v>
      </c>
      <c r="G883" s="61">
        <f>15.6992 * CHOOSE(CONTROL!$C$19, $C$13, 100%, $E$13)</f>
        <v>15.699199999999999</v>
      </c>
      <c r="H883" s="61">
        <f>21.6942* CHOOSE(CONTROL!$C$19, $C$13, 100%, $E$13)</f>
        <v>21.694199999999999</v>
      </c>
      <c r="I883" s="61">
        <f>21.6944 * CHOOSE(CONTROL!$C$19, $C$13, 100%, $E$13)</f>
        <v>21.694400000000002</v>
      </c>
      <c r="J883" s="61">
        <f>15.6991 * CHOOSE(CONTROL!$C$19, $C$13, 100%, $E$13)</f>
        <v>15.6991</v>
      </c>
      <c r="K883" s="61">
        <f>15.6992 * CHOOSE(CONTROL!$C$19, $C$13, 100%, $E$13)</f>
        <v>15.699199999999999</v>
      </c>
    </row>
    <row r="884" spans="1:11" ht="15">
      <c r="A884" s="13">
        <v>68759</v>
      </c>
      <c r="B884" s="60">
        <f>13.0534 * CHOOSE(CONTROL!$C$19, $C$13, 100%, $E$13)</f>
        <v>13.0534</v>
      </c>
      <c r="C884" s="60">
        <f>13.0534 * CHOOSE(CONTROL!$C$19, $C$13, 100%, $E$13)</f>
        <v>13.0534</v>
      </c>
      <c r="D884" s="60">
        <f>13.0702 * CHOOSE(CONTROL!$C$19, $C$13, 100%, $E$13)</f>
        <v>13.0702</v>
      </c>
      <c r="E884" s="61">
        <f>15.9159 * CHOOSE(CONTROL!$C$19, $C$13, 100%, $E$13)</f>
        <v>15.915900000000001</v>
      </c>
      <c r="F884" s="61">
        <f>15.9159 * CHOOSE(CONTROL!$C$19, $C$13, 100%, $E$13)</f>
        <v>15.915900000000001</v>
      </c>
      <c r="G884" s="61">
        <f>15.9161 * CHOOSE(CONTROL!$C$19, $C$13, 100%, $E$13)</f>
        <v>15.9161</v>
      </c>
      <c r="H884" s="61">
        <f>21.7394* CHOOSE(CONTROL!$C$19, $C$13, 100%, $E$13)</f>
        <v>21.7394</v>
      </c>
      <c r="I884" s="61">
        <f>21.7396 * CHOOSE(CONTROL!$C$19, $C$13, 100%, $E$13)</f>
        <v>21.739599999999999</v>
      </c>
      <c r="J884" s="61">
        <f>15.9159 * CHOOSE(CONTROL!$C$19, $C$13, 100%, $E$13)</f>
        <v>15.915900000000001</v>
      </c>
      <c r="K884" s="61">
        <f>15.9161 * CHOOSE(CONTROL!$C$19, $C$13, 100%, $E$13)</f>
        <v>15.9161</v>
      </c>
    </row>
    <row r="885" spans="1:11" ht="15">
      <c r="A885" s="13">
        <v>68789</v>
      </c>
      <c r="B885" s="60">
        <f>13.0534 * CHOOSE(CONTROL!$C$19, $C$13, 100%, $E$13)</f>
        <v>13.0534</v>
      </c>
      <c r="C885" s="60">
        <f>13.0534 * CHOOSE(CONTROL!$C$19, $C$13, 100%, $E$13)</f>
        <v>13.0534</v>
      </c>
      <c r="D885" s="60">
        <f>13.0871 * CHOOSE(CONTROL!$C$19, $C$13, 100%, $E$13)</f>
        <v>13.0871</v>
      </c>
      <c r="E885" s="61">
        <f>15.9988 * CHOOSE(CONTROL!$C$19, $C$13, 100%, $E$13)</f>
        <v>15.998799999999999</v>
      </c>
      <c r="F885" s="61">
        <f>15.9988 * CHOOSE(CONTROL!$C$19, $C$13, 100%, $E$13)</f>
        <v>15.998799999999999</v>
      </c>
      <c r="G885" s="61">
        <f>16.0009 * CHOOSE(CONTROL!$C$19, $C$13, 100%, $E$13)</f>
        <v>16.000900000000001</v>
      </c>
      <c r="H885" s="61">
        <f>21.7847* CHOOSE(CONTROL!$C$19, $C$13, 100%, $E$13)</f>
        <v>21.784700000000001</v>
      </c>
      <c r="I885" s="61">
        <f>21.7868 * CHOOSE(CONTROL!$C$19, $C$13, 100%, $E$13)</f>
        <v>21.786799999999999</v>
      </c>
      <c r="J885" s="61">
        <f>15.9988 * CHOOSE(CONTROL!$C$19, $C$13, 100%, $E$13)</f>
        <v>15.998799999999999</v>
      </c>
      <c r="K885" s="61">
        <f>16.0009 * CHOOSE(CONTROL!$C$19, $C$13, 100%, $E$13)</f>
        <v>16.000900000000001</v>
      </c>
    </row>
    <row r="886" spans="1:11" ht="15">
      <c r="A886" s="13">
        <v>68820</v>
      </c>
      <c r="B886" s="60">
        <f>13.0595 * CHOOSE(CONTROL!$C$19, $C$13, 100%, $E$13)</f>
        <v>13.0595</v>
      </c>
      <c r="C886" s="60">
        <f>13.0595 * CHOOSE(CONTROL!$C$19, $C$13, 100%, $E$13)</f>
        <v>13.0595</v>
      </c>
      <c r="D886" s="60">
        <f>13.0932 * CHOOSE(CONTROL!$C$19, $C$13, 100%, $E$13)</f>
        <v>13.0932</v>
      </c>
      <c r="E886" s="61">
        <f>15.9201 * CHOOSE(CONTROL!$C$19, $C$13, 100%, $E$13)</f>
        <v>15.9201</v>
      </c>
      <c r="F886" s="61">
        <f>15.9201 * CHOOSE(CONTROL!$C$19, $C$13, 100%, $E$13)</f>
        <v>15.9201</v>
      </c>
      <c r="G886" s="61">
        <f>15.9222 * CHOOSE(CONTROL!$C$19, $C$13, 100%, $E$13)</f>
        <v>15.9222</v>
      </c>
      <c r="H886" s="61">
        <f>21.8301* CHOOSE(CONTROL!$C$19, $C$13, 100%, $E$13)</f>
        <v>21.830100000000002</v>
      </c>
      <c r="I886" s="61">
        <f>21.8322 * CHOOSE(CONTROL!$C$19, $C$13, 100%, $E$13)</f>
        <v>21.8322</v>
      </c>
      <c r="J886" s="61">
        <f>15.9201 * CHOOSE(CONTROL!$C$19, $C$13, 100%, $E$13)</f>
        <v>15.9201</v>
      </c>
      <c r="K886" s="61">
        <f>15.9222 * CHOOSE(CONTROL!$C$19, $C$13, 100%, $E$13)</f>
        <v>15.9222</v>
      </c>
    </row>
    <row r="887" spans="1:11" ht="15">
      <c r="A887" s="13">
        <v>68850</v>
      </c>
      <c r="B887" s="60">
        <f>13.2402 * CHOOSE(CONTROL!$C$19, $C$13, 100%, $E$13)</f>
        <v>13.2402</v>
      </c>
      <c r="C887" s="60">
        <f>13.2402 * CHOOSE(CONTROL!$C$19, $C$13, 100%, $E$13)</f>
        <v>13.2402</v>
      </c>
      <c r="D887" s="60">
        <f>13.2738 * CHOOSE(CONTROL!$C$19, $C$13, 100%, $E$13)</f>
        <v>13.2738</v>
      </c>
      <c r="E887" s="61">
        <f>16.2085 * CHOOSE(CONTROL!$C$19, $C$13, 100%, $E$13)</f>
        <v>16.208500000000001</v>
      </c>
      <c r="F887" s="61">
        <f>16.2085 * CHOOSE(CONTROL!$C$19, $C$13, 100%, $E$13)</f>
        <v>16.208500000000001</v>
      </c>
      <c r="G887" s="61">
        <f>16.2106 * CHOOSE(CONTROL!$C$19, $C$13, 100%, $E$13)</f>
        <v>16.210599999999999</v>
      </c>
      <c r="H887" s="61">
        <f>21.8756* CHOOSE(CONTROL!$C$19, $C$13, 100%, $E$13)</f>
        <v>21.875599999999999</v>
      </c>
      <c r="I887" s="61">
        <f>21.8777 * CHOOSE(CONTROL!$C$19, $C$13, 100%, $E$13)</f>
        <v>21.877700000000001</v>
      </c>
      <c r="J887" s="61">
        <f>16.2085 * CHOOSE(CONTROL!$C$19, $C$13, 100%, $E$13)</f>
        <v>16.208500000000001</v>
      </c>
      <c r="K887" s="61">
        <f>16.2106 * CHOOSE(CONTROL!$C$19, $C$13, 100%, $E$13)</f>
        <v>16.210599999999999</v>
      </c>
    </row>
    <row r="888" spans="1:11" ht="15">
      <c r="A888" s="13">
        <v>68881</v>
      </c>
      <c r="B888" s="60">
        <f>13.2468 * CHOOSE(CONTROL!$C$19, $C$13, 100%, $E$13)</f>
        <v>13.2468</v>
      </c>
      <c r="C888" s="60">
        <f>13.2468 * CHOOSE(CONTROL!$C$19, $C$13, 100%, $E$13)</f>
        <v>13.2468</v>
      </c>
      <c r="D888" s="60">
        <f>13.2805 * CHOOSE(CONTROL!$C$19, $C$13, 100%, $E$13)</f>
        <v>13.2805</v>
      </c>
      <c r="E888" s="61">
        <f>15.9645 * CHOOSE(CONTROL!$C$19, $C$13, 100%, $E$13)</f>
        <v>15.964499999999999</v>
      </c>
      <c r="F888" s="61">
        <f>15.9645 * CHOOSE(CONTROL!$C$19, $C$13, 100%, $E$13)</f>
        <v>15.964499999999999</v>
      </c>
      <c r="G888" s="61">
        <f>15.9665 * CHOOSE(CONTROL!$C$19, $C$13, 100%, $E$13)</f>
        <v>15.9665</v>
      </c>
      <c r="H888" s="61">
        <f>21.9212* CHOOSE(CONTROL!$C$19, $C$13, 100%, $E$13)</f>
        <v>21.921199999999999</v>
      </c>
      <c r="I888" s="61">
        <f>21.9233 * CHOOSE(CONTROL!$C$19, $C$13, 100%, $E$13)</f>
        <v>21.923300000000001</v>
      </c>
      <c r="J888" s="61">
        <f>15.9645 * CHOOSE(CONTROL!$C$19, $C$13, 100%, $E$13)</f>
        <v>15.964499999999999</v>
      </c>
      <c r="K888" s="61">
        <f>15.9665 * CHOOSE(CONTROL!$C$19, $C$13, 100%, $E$13)</f>
        <v>15.9665</v>
      </c>
    </row>
    <row r="889" spans="1:11" ht="15">
      <c r="A889" s="13">
        <v>68912</v>
      </c>
      <c r="B889" s="60">
        <f>13.2438 * CHOOSE(CONTROL!$C$19, $C$13, 100%, $E$13)</f>
        <v>13.2438</v>
      </c>
      <c r="C889" s="60">
        <f>13.2438 * CHOOSE(CONTROL!$C$19, $C$13, 100%, $E$13)</f>
        <v>13.2438</v>
      </c>
      <c r="D889" s="60">
        <f>13.2775 * CHOOSE(CONTROL!$C$19, $C$13, 100%, $E$13)</f>
        <v>13.2775</v>
      </c>
      <c r="E889" s="61">
        <f>15.9347 * CHOOSE(CONTROL!$C$19, $C$13, 100%, $E$13)</f>
        <v>15.934699999999999</v>
      </c>
      <c r="F889" s="61">
        <f>15.9347 * CHOOSE(CONTROL!$C$19, $C$13, 100%, $E$13)</f>
        <v>15.934699999999999</v>
      </c>
      <c r="G889" s="61">
        <f>15.9368 * CHOOSE(CONTROL!$C$19, $C$13, 100%, $E$13)</f>
        <v>15.9368</v>
      </c>
      <c r="H889" s="61">
        <f>21.9668* CHOOSE(CONTROL!$C$19, $C$13, 100%, $E$13)</f>
        <v>21.966799999999999</v>
      </c>
      <c r="I889" s="61">
        <f>21.9689 * CHOOSE(CONTROL!$C$19, $C$13, 100%, $E$13)</f>
        <v>21.968900000000001</v>
      </c>
      <c r="J889" s="61">
        <f>15.9347 * CHOOSE(CONTROL!$C$19, $C$13, 100%, $E$13)</f>
        <v>15.934699999999999</v>
      </c>
      <c r="K889" s="61">
        <f>15.9368 * CHOOSE(CONTROL!$C$19, $C$13, 100%, $E$13)</f>
        <v>15.9368</v>
      </c>
    </row>
    <row r="890" spans="1:11" ht="15">
      <c r="A890" s="13">
        <v>68942</v>
      </c>
      <c r="B890" s="60">
        <f>13.274 * CHOOSE(CONTROL!$C$19, $C$13, 100%, $E$13)</f>
        <v>13.273999999999999</v>
      </c>
      <c r="C890" s="60">
        <f>13.274 * CHOOSE(CONTROL!$C$19, $C$13, 100%, $E$13)</f>
        <v>13.273999999999999</v>
      </c>
      <c r="D890" s="60">
        <f>13.2908 * CHOOSE(CONTROL!$C$19, $C$13, 100%, $E$13)</f>
        <v>13.290800000000001</v>
      </c>
      <c r="E890" s="61">
        <f>16.0318 * CHOOSE(CONTROL!$C$19, $C$13, 100%, $E$13)</f>
        <v>16.0318</v>
      </c>
      <c r="F890" s="61">
        <f>16.0318 * CHOOSE(CONTROL!$C$19, $C$13, 100%, $E$13)</f>
        <v>16.0318</v>
      </c>
      <c r="G890" s="61">
        <f>16.032 * CHOOSE(CONTROL!$C$19, $C$13, 100%, $E$13)</f>
        <v>16.032</v>
      </c>
      <c r="H890" s="61">
        <f>22.0126* CHOOSE(CONTROL!$C$19, $C$13, 100%, $E$13)</f>
        <v>22.012599999999999</v>
      </c>
      <c r="I890" s="61">
        <f>22.0128 * CHOOSE(CONTROL!$C$19, $C$13, 100%, $E$13)</f>
        <v>22.012799999999999</v>
      </c>
      <c r="J890" s="61">
        <f>16.0318 * CHOOSE(CONTROL!$C$19, $C$13, 100%, $E$13)</f>
        <v>16.0318</v>
      </c>
      <c r="K890" s="61">
        <f>16.032 * CHOOSE(CONTROL!$C$19, $C$13, 100%, $E$13)</f>
        <v>16.032</v>
      </c>
    </row>
    <row r="891" spans="1:11" ht="15">
      <c r="A891" s="13">
        <v>68973</v>
      </c>
      <c r="B891" s="60">
        <f>13.277 * CHOOSE(CONTROL!$C$19, $C$13, 100%, $E$13)</f>
        <v>13.276999999999999</v>
      </c>
      <c r="C891" s="60">
        <f>13.277 * CHOOSE(CONTROL!$C$19, $C$13, 100%, $E$13)</f>
        <v>13.276999999999999</v>
      </c>
      <c r="D891" s="60">
        <f>13.2938 * CHOOSE(CONTROL!$C$19, $C$13, 100%, $E$13)</f>
        <v>13.293799999999999</v>
      </c>
      <c r="E891" s="61">
        <f>16.0892 * CHOOSE(CONTROL!$C$19, $C$13, 100%, $E$13)</f>
        <v>16.089200000000002</v>
      </c>
      <c r="F891" s="61">
        <f>16.0892 * CHOOSE(CONTROL!$C$19, $C$13, 100%, $E$13)</f>
        <v>16.089200000000002</v>
      </c>
      <c r="G891" s="61">
        <f>16.0894 * CHOOSE(CONTROL!$C$19, $C$13, 100%, $E$13)</f>
        <v>16.089400000000001</v>
      </c>
      <c r="H891" s="61">
        <f>22.0585* CHOOSE(CONTROL!$C$19, $C$13, 100%, $E$13)</f>
        <v>22.058499999999999</v>
      </c>
      <c r="I891" s="61">
        <f>22.0586 * CHOOSE(CONTROL!$C$19, $C$13, 100%, $E$13)</f>
        <v>22.058599999999998</v>
      </c>
      <c r="J891" s="61">
        <f>16.0892 * CHOOSE(CONTROL!$C$19, $C$13, 100%, $E$13)</f>
        <v>16.089200000000002</v>
      </c>
      <c r="K891" s="61">
        <f>16.0894 * CHOOSE(CONTROL!$C$19, $C$13, 100%, $E$13)</f>
        <v>16.089400000000001</v>
      </c>
    </row>
    <row r="892" spans="1:11" ht="15">
      <c r="A892" s="13">
        <v>69003</v>
      </c>
      <c r="B892" s="60">
        <f>13.277 * CHOOSE(CONTROL!$C$19, $C$13, 100%, $E$13)</f>
        <v>13.276999999999999</v>
      </c>
      <c r="C892" s="60">
        <f>13.277 * CHOOSE(CONTROL!$C$19, $C$13, 100%, $E$13)</f>
        <v>13.276999999999999</v>
      </c>
      <c r="D892" s="60">
        <f>13.2938 * CHOOSE(CONTROL!$C$19, $C$13, 100%, $E$13)</f>
        <v>13.293799999999999</v>
      </c>
      <c r="E892" s="61">
        <f>15.951 * CHOOSE(CONTROL!$C$19, $C$13, 100%, $E$13)</f>
        <v>15.951000000000001</v>
      </c>
      <c r="F892" s="61">
        <f>15.951 * CHOOSE(CONTROL!$C$19, $C$13, 100%, $E$13)</f>
        <v>15.951000000000001</v>
      </c>
      <c r="G892" s="61">
        <f>15.9512 * CHOOSE(CONTROL!$C$19, $C$13, 100%, $E$13)</f>
        <v>15.9512</v>
      </c>
      <c r="H892" s="61">
        <f>22.1044* CHOOSE(CONTROL!$C$19, $C$13, 100%, $E$13)</f>
        <v>22.104399999999998</v>
      </c>
      <c r="I892" s="61">
        <f>22.1046 * CHOOSE(CONTROL!$C$19, $C$13, 100%, $E$13)</f>
        <v>22.104600000000001</v>
      </c>
      <c r="J892" s="61">
        <f>15.951 * CHOOSE(CONTROL!$C$19, $C$13, 100%, $E$13)</f>
        <v>15.951000000000001</v>
      </c>
      <c r="K892" s="61">
        <f>15.9512 * CHOOSE(CONTROL!$C$19, $C$13, 100%, $E$13)</f>
        <v>15.9512</v>
      </c>
    </row>
    <row r="893" spans="1:11" ht="15">
      <c r="A893" s="13">
        <v>69034</v>
      </c>
      <c r="B893" s="60">
        <f>13.2495 * CHOOSE(CONTROL!$C$19, $C$13, 100%, $E$13)</f>
        <v>13.249499999999999</v>
      </c>
      <c r="C893" s="60">
        <f>13.2495 * CHOOSE(CONTROL!$C$19, $C$13, 100%, $E$13)</f>
        <v>13.249499999999999</v>
      </c>
      <c r="D893" s="60">
        <f>13.2664 * CHOOSE(CONTROL!$C$19, $C$13, 100%, $E$13)</f>
        <v>13.266400000000001</v>
      </c>
      <c r="E893" s="61">
        <f>16.0104 * CHOOSE(CONTROL!$C$19, $C$13, 100%, $E$13)</f>
        <v>16.010400000000001</v>
      </c>
      <c r="F893" s="61">
        <f>16.0104 * CHOOSE(CONTROL!$C$19, $C$13, 100%, $E$13)</f>
        <v>16.010400000000001</v>
      </c>
      <c r="G893" s="61">
        <f>16.0106 * CHOOSE(CONTROL!$C$19, $C$13, 100%, $E$13)</f>
        <v>16.0106</v>
      </c>
      <c r="H893" s="61">
        <f>21.9288* CHOOSE(CONTROL!$C$19, $C$13, 100%, $E$13)</f>
        <v>21.928799999999999</v>
      </c>
      <c r="I893" s="61">
        <f>21.929 * CHOOSE(CONTROL!$C$19, $C$13, 100%, $E$13)</f>
        <v>21.928999999999998</v>
      </c>
      <c r="J893" s="61">
        <f>16.0104 * CHOOSE(CONTROL!$C$19, $C$13, 100%, $E$13)</f>
        <v>16.010400000000001</v>
      </c>
      <c r="K893" s="61">
        <f>16.0106 * CHOOSE(CONTROL!$C$19, $C$13, 100%, $E$13)</f>
        <v>16.0106</v>
      </c>
    </row>
    <row r="894" spans="1:11" ht="15">
      <c r="A894" s="13">
        <v>69065</v>
      </c>
      <c r="B894" s="60">
        <f>13.2465 * CHOOSE(CONTROL!$C$19, $C$13, 100%, $E$13)</f>
        <v>13.246499999999999</v>
      </c>
      <c r="C894" s="60">
        <f>13.2465 * CHOOSE(CONTROL!$C$19, $C$13, 100%, $E$13)</f>
        <v>13.246499999999999</v>
      </c>
      <c r="D894" s="60">
        <f>13.2633 * CHOOSE(CONTROL!$C$19, $C$13, 100%, $E$13)</f>
        <v>13.263299999999999</v>
      </c>
      <c r="E894" s="61">
        <f>15.7427 * CHOOSE(CONTROL!$C$19, $C$13, 100%, $E$13)</f>
        <v>15.742699999999999</v>
      </c>
      <c r="F894" s="61">
        <f>15.7427 * CHOOSE(CONTROL!$C$19, $C$13, 100%, $E$13)</f>
        <v>15.742699999999999</v>
      </c>
      <c r="G894" s="61">
        <f>15.7429 * CHOOSE(CONTROL!$C$19, $C$13, 100%, $E$13)</f>
        <v>15.742900000000001</v>
      </c>
      <c r="H894" s="61">
        <f>21.9745* CHOOSE(CONTROL!$C$19, $C$13, 100%, $E$13)</f>
        <v>21.974499999999999</v>
      </c>
      <c r="I894" s="61">
        <f>21.9747 * CHOOSE(CONTROL!$C$19, $C$13, 100%, $E$13)</f>
        <v>21.974699999999999</v>
      </c>
      <c r="J894" s="61">
        <f>15.7427 * CHOOSE(CONTROL!$C$19, $C$13, 100%, $E$13)</f>
        <v>15.742699999999999</v>
      </c>
      <c r="K894" s="61">
        <f>15.7429 * CHOOSE(CONTROL!$C$19, $C$13, 100%, $E$13)</f>
        <v>15.742900000000001</v>
      </c>
    </row>
    <row r="895" spans="1:11" ht="15">
      <c r="A895" s="13">
        <v>69093</v>
      </c>
      <c r="B895" s="60">
        <f>13.2435 * CHOOSE(CONTROL!$C$19, $C$13, 100%, $E$13)</f>
        <v>13.243499999999999</v>
      </c>
      <c r="C895" s="60">
        <f>13.2435 * CHOOSE(CONTROL!$C$19, $C$13, 100%, $E$13)</f>
        <v>13.243499999999999</v>
      </c>
      <c r="D895" s="60">
        <f>13.2603 * CHOOSE(CONTROL!$C$19, $C$13, 100%, $E$13)</f>
        <v>13.260300000000001</v>
      </c>
      <c r="E895" s="61">
        <f>15.95 * CHOOSE(CONTROL!$C$19, $C$13, 100%, $E$13)</f>
        <v>15.95</v>
      </c>
      <c r="F895" s="61">
        <f>15.95 * CHOOSE(CONTROL!$C$19, $C$13, 100%, $E$13)</f>
        <v>15.95</v>
      </c>
      <c r="G895" s="61">
        <f>15.9501 * CHOOSE(CONTROL!$C$19, $C$13, 100%, $E$13)</f>
        <v>15.950100000000001</v>
      </c>
      <c r="H895" s="61">
        <f>22.0203* CHOOSE(CONTROL!$C$19, $C$13, 100%, $E$13)</f>
        <v>22.020299999999999</v>
      </c>
      <c r="I895" s="61">
        <f>22.0204 * CHOOSE(CONTROL!$C$19, $C$13, 100%, $E$13)</f>
        <v>22.020399999999999</v>
      </c>
      <c r="J895" s="61">
        <f>15.95 * CHOOSE(CONTROL!$C$19, $C$13, 100%, $E$13)</f>
        <v>15.95</v>
      </c>
      <c r="K895" s="61">
        <f>15.9501 * CHOOSE(CONTROL!$C$19, $C$13, 100%, $E$13)</f>
        <v>15.950100000000001</v>
      </c>
    </row>
    <row r="896" spans="1:11" ht="15">
      <c r="A896" s="13">
        <v>69124</v>
      </c>
      <c r="B896" s="60">
        <f>13.2502 * CHOOSE(CONTROL!$C$19, $C$13, 100%, $E$13)</f>
        <v>13.2502</v>
      </c>
      <c r="C896" s="60">
        <f>13.2502 * CHOOSE(CONTROL!$C$19, $C$13, 100%, $E$13)</f>
        <v>13.2502</v>
      </c>
      <c r="D896" s="60">
        <f>13.2671 * CHOOSE(CONTROL!$C$19, $C$13, 100%, $E$13)</f>
        <v>13.267099999999999</v>
      </c>
      <c r="E896" s="61">
        <f>16.1706 * CHOOSE(CONTROL!$C$19, $C$13, 100%, $E$13)</f>
        <v>16.1706</v>
      </c>
      <c r="F896" s="61">
        <f>16.1706 * CHOOSE(CONTROL!$C$19, $C$13, 100%, $E$13)</f>
        <v>16.1706</v>
      </c>
      <c r="G896" s="61">
        <f>16.1707 * CHOOSE(CONTROL!$C$19, $C$13, 100%, $E$13)</f>
        <v>16.1707</v>
      </c>
      <c r="H896" s="61">
        <f>22.0661* CHOOSE(CONTROL!$C$19, $C$13, 100%, $E$13)</f>
        <v>22.066099999999999</v>
      </c>
      <c r="I896" s="61">
        <f>22.0663 * CHOOSE(CONTROL!$C$19, $C$13, 100%, $E$13)</f>
        <v>22.066299999999998</v>
      </c>
      <c r="J896" s="61">
        <f>16.1706 * CHOOSE(CONTROL!$C$19, $C$13, 100%, $E$13)</f>
        <v>16.1706</v>
      </c>
      <c r="K896" s="61">
        <f>16.1707 * CHOOSE(CONTROL!$C$19, $C$13, 100%, $E$13)</f>
        <v>16.1707</v>
      </c>
    </row>
    <row r="897" spans="1:11" ht="15">
      <c r="A897" s="13">
        <v>69154</v>
      </c>
      <c r="B897" s="60">
        <f>13.2502 * CHOOSE(CONTROL!$C$19, $C$13, 100%, $E$13)</f>
        <v>13.2502</v>
      </c>
      <c r="C897" s="60">
        <f>13.2502 * CHOOSE(CONTROL!$C$19, $C$13, 100%, $E$13)</f>
        <v>13.2502</v>
      </c>
      <c r="D897" s="60">
        <f>13.2839 * CHOOSE(CONTROL!$C$19, $C$13, 100%, $E$13)</f>
        <v>13.283899999999999</v>
      </c>
      <c r="E897" s="61">
        <f>16.2549 * CHOOSE(CONTROL!$C$19, $C$13, 100%, $E$13)</f>
        <v>16.254899999999999</v>
      </c>
      <c r="F897" s="61">
        <f>16.2549 * CHOOSE(CONTROL!$C$19, $C$13, 100%, $E$13)</f>
        <v>16.254899999999999</v>
      </c>
      <c r="G897" s="61">
        <f>16.257 * CHOOSE(CONTROL!$C$19, $C$13, 100%, $E$13)</f>
        <v>16.257000000000001</v>
      </c>
      <c r="H897" s="61">
        <f>22.1121* CHOOSE(CONTROL!$C$19, $C$13, 100%, $E$13)</f>
        <v>22.112100000000002</v>
      </c>
      <c r="I897" s="61">
        <f>22.1142 * CHOOSE(CONTROL!$C$19, $C$13, 100%, $E$13)</f>
        <v>22.1142</v>
      </c>
      <c r="J897" s="61">
        <f>16.2549 * CHOOSE(CONTROL!$C$19, $C$13, 100%, $E$13)</f>
        <v>16.254899999999999</v>
      </c>
      <c r="K897" s="61">
        <f>16.257 * CHOOSE(CONTROL!$C$19, $C$13, 100%, $E$13)</f>
        <v>16.257000000000001</v>
      </c>
    </row>
    <row r="898" spans="1:11" ht="15">
      <c r="A898" s="13">
        <v>69185</v>
      </c>
      <c r="B898" s="60">
        <f>13.2563 * CHOOSE(CONTROL!$C$19, $C$13, 100%, $E$13)</f>
        <v>13.2563</v>
      </c>
      <c r="C898" s="60">
        <f>13.2563 * CHOOSE(CONTROL!$C$19, $C$13, 100%, $E$13)</f>
        <v>13.2563</v>
      </c>
      <c r="D898" s="60">
        <f>13.29 * CHOOSE(CONTROL!$C$19, $C$13, 100%, $E$13)</f>
        <v>13.29</v>
      </c>
      <c r="E898" s="61">
        <f>16.1748 * CHOOSE(CONTROL!$C$19, $C$13, 100%, $E$13)</f>
        <v>16.174800000000001</v>
      </c>
      <c r="F898" s="61">
        <f>16.1748 * CHOOSE(CONTROL!$C$19, $C$13, 100%, $E$13)</f>
        <v>16.174800000000001</v>
      </c>
      <c r="G898" s="61">
        <f>16.1769 * CHOOSE(CONTROL!$C$19, $C$13, 100%, $E$13)</f>
        <v>16.1769</v>
      </c>
      <c r="H898" s="61">
        <f>22.1582* CHOOSE(CONTROL!$C$19, $C$13, 100%, $E$13)</f>
        <v>22.158200000000001</v>
      </c>
      <c r="I898" s="61">
        <f>22.1603 * CHOOSE(CONTROL!$C$19, $C$13, 100%, $E$13)</f>
        <v>22.160299999999999</v>
      </c>
      <c r="J898" s="61">
        <f>16.1748 * CHOOSE(CONTROL!$C$19, $C$13, 100%, $E$13)</f>
        <v>16.174800000000001</v>
      </c>
      <c r="K898" s="61">
        <f>16.1769 * CHOOSE(CONTROL!$C$19, $C$13, 100%, $E$13)</f>
        <v>16.1769</v>
      </c>
    </row>
    <row r="899" spans="1:11" ht="15">
      <c r="A899" s="13">
        <v>69215</v>
      </c>
      <c r="B899" s="60">
        <f>13.4395 * CHOOSE(CONTROL!$C$19, $C$13, 100%, $E$13)</f>
        <v>13.439500000000001</v>
      </c>
      <c r="C899" s="60">
        <f>13.4395 * CHOOSE(CONTROL!$C$19, $C$13, 100%, $E$13)</f>
        <v>13.439500000000001</v>
      </c>
      <c r="D899" s="60">
        <f>13.4731 * CHOOSE(CONTROL!$C$19, $C$13, 100%, $E$13)</f>
        <v>13.473100000000001</v>
      </c>
      <c r="E899" s="61">
        <f>16.4676 * CHOOSE(CONTROL!$C$19, $C$13, 100%, $E$13)</f>
        <v>16.467600000000001</v>
      </c>
      <c r="F899" s="61">
        <f>16.4676 * CHOOSE(CONTROL!$C$19, $C$13, 100%, $E$13)</f>
        <v>16.467600000000001</v>
      </c>
      <c r="G899" s="61">
        <f>16.4697 * CHOOSE(CONTROL!$C$19, $C$13, 100%, $E$13)</f>
        <v>16.4697</v>
      </c>
      <c r="H899" s="61">
        <f>22.2043* CHOOSE(CONTROL!$C$19, $C$13, 100%, $E$13)</f>
        <v>22.2043</v>
      </c>
      <c r="I899" s="61">
        <f>22.2064 * CHOOSE(CONTROL!$C$19, $C$13, 100%, $E$13)</f>
        <v>22.206399999999999</v>
      </c>
      <c r="J899" s="61">
        <f>16.4676 * CHOOSE(CONTROL!$C$19, $C$13, 100%, $E$13)</f>
        <v>16.467600000000001</v>
      </c>
      <c r="K899" s="61">
        <f>16.4697 * CHOOSE(CONTROL!$C$19, $C$13, 100%, $E$13)</f>
        <v>16.4697</v>
      </c>
    </row>
    <row r="900" spans="1:11" ht="15">
      <c r="A900" s="13">
        <v>69246</v>
      </c>
      <c r="B900" s="60">
        <f>13.4462 * CHOOSE(CONTROL!$C$19, $C$13, 100%, $E$13)</f>
        <v>13.446199999999999</v>
      </c>
      <c r="C900" s="60">
        <f>13.4462 * CHOOSE(CONTROL!$C$19, $C$13, 100%, $E$13)</f>
        <v>13.446199999999999</v>
      </c>
      <c r="D900" s="60">
        <f>13.4798 * CHOOSE(CONTROL!$C$19, $C$13, 100%, $E$13)</f>
        <v>13.479799999999999</v>
      </c>
      <c r="E900" s="61">
        <f>16.2193 * CHOOSE(CONTROL!$C$19, $C$13, 100%, $E$13)</f>
        <v>16.2193</v>
      </c>
      <c r="F900" s="61">
        <f>16.2193 * CHOOSE(CONTROL!$C$19, $C$13, 100%, $E$13)</f>
        <v>16.2193</v>
      </c>
      <c r="G900" s="61">
        <f>16.2214 * CHOOSE(CONTROL!$C$19, $C$13, 100%, $E$13)</f>
        <v>16.221399999999999</v>
      </c>
      <c r="H900" s="61">
        <f>22.2506* CHOOSE(CONTROL!$C$19, $C$13, 100%, $E$13)</f>
        <v>22.250599999999999</v>
      </c>
      <c r="I900" s="61">
        <f>22.2527 * CHOOSE(CONTROL!$C$19, $C$13, 100%, $E$13)</f>
        <v>22.252700000000001</v>
      </c>
      <c r="J900" s="61">
        <f>16.2193 * CHOOSE(CONTROL!$C$19, $C$13, 100%, $E$13)</f>
        <v>16.2193</v>
      </c>
      <c r="K900" s="61">
        <f>16.2214 * CHOOSE(CONTROL!$C$19, $C$13, 100%, $E$13)</f>
        <v>16.221399999999999</v>
      </c>
    </row>
    <row r="901" spans="1:11" ht="15">
      <c r="A901" s="13">
        <v>69277</v>
      </c>
      <c r="B901" s="60">
        <f>13.4431 * CHOOSE(CONTROL!$C$19, $C$13, 100%, $E$13)</f>
        <v>13.443099999999999</v>
      </c>
      <c r="C901" s="60">
        <f>13.4431 * CHOOSE(CONTROL!$C$19, $C$13, 100%, $E$13)</f>
        <v>13.443099999999999</v>
      </c>
      <c r="D901" s="60">
        <f>13.4768 * CHOOSE(CONTROL!$C$19, $C$13, 100%, $E$13)</f>
        <v>13.476800000000001</v>
      </c>
      <c r="E901" s="61">
        <f>16.1891 * CHOOSE(CONTROL!$C$19, $C$13, 100%, $E$13)</f>
        <v>16.1891</v>
      </c>
      <c r="F901" s="61">
        <f>16.1891 * CHOOSE(CONTROL!$C$19, $C$13, 100%, $E$13)</f>
        <v>16.1891</v>
      </c>
      <c r="G901" s="61">
        <f>16.1912 * CHOOSE(CONTROL!$C$19, $C$13, 100%, $E$13)</f>
        <v>16.191199999999998</v>
      </c>
      <c r="H901" s="61">
        <f>22.297* CHOOSE(CONTROL!$C$19, $C$13, 100%, $E$13)</f>
        <v>22.297000000000001</v>
      </c>
      <c r="I901" s="61">
        <f>22.299 * CHOOSE(CONTROL!$C$19, $C$13, 100%, $E$13)</f>
        <v>22.298999999999999</v>
      </c>
      <c r="J901" s="61">
        <f>16.1891 * CHOOSE(CONTROL!$C$19, $C$13, 100%, $E$13)</f>
        <v>16.1891</v>
      </c>
      <c r="K901" s="61">
        <f>16.1912 * CHOOSE(CONTROL!$C$19, $C$13, 100%, $E$13)</f>
        <v>16.191199999999998</v>
      </c>
    </row>
    <row r="902" spans="1:11" ht="15">
      <c r="A902" s="13">
        <v>69307</v>
      </c>
      <c r="B902" s="60">
        <f>13.474 * CHOOSE(CONTROL!$C$19, $C$13, 100%, $E$13)</f>
        <v>13.474</v>
      </c>
      <c r="C902" s="60">
        <f>13.474 * CHOOSE(CONTROL!$C$19, $C$13, 100%, $E$13)</f>
        <v>13.474</v>
      </c>
      <c r="D902" s="60">
        <f>13.4909 * CHOOSE(CONTROL!$C$19, $C$13, 100%, $E$13)</f>
        <v>13.4909</v>
      </c>
      <c r="E902" s="61">
        <f>16.2881 * CHOOSE(CONTROL!$C$19, $C$13, 100%, $E$13)</f>
        <v>16.2881</v>
      </c>
      <c r="F902" s="61">
        <f>16.2881 * CHOOSE(CONTROL!$C$19, $C$13, 100%, $E$13)</f>
        <v>16.2881</v>
      </c>
      <c r="G902" s="61">
        <f>16.2882 * CHOOSE(CONTROL!$C$19, $C$13, 100%, $E$13)</f>
        <v>16.2882</v>
      </c>
      <c r="H902" s="61">
        <f>22.3434* CHOOSE(CONTROL!$C$19, $C$13, 100%, $E$13)</f>
        <v>22.343399999999999</v>
      </c>
      <c r="I902" s="61">
        <f>22.3436 * CHOOSE(CONTROL!$C$19, $C$13, 100%, $E$13)</f>
        <v>22.343599999999999</v>
      </c>
      <c r="J902" s="61">
        <f>16.2881 * CHOOSE(CONTROL!$C$19, $C$13, 100%, $E$13)</f>
        <v>16.2881</v>
      </c>
      <c r="K902" s="61">
        <f>16.2882 * CHOOSE(CONTROL!$C$19, $C$13, 100%, $E$13)</f>
        <v>16.2882</v>
      </c>
    </row>
    <row r="903" spans="1:11" ht="15">
      <c r="A903" s="13">
        <v>69338</v>
      </c>
      <c r="B903" s="60">
        <f>13.4771 * CHOOSE(CONTROL!$C$19, $C$13, 100%, $E$13)</f>
        <v>13.4771</v>
      </c>
      <c r="C903" s="60">
        <f>13.4771 * CHOOSE(CONTROL!$C$19, $C$13, 100%, $E$13)</f>
        <v>13.4771</v>
      </c>
      <c r="D903" s="60">
        <f>13.4939 * CHOOSE(CONTROL!$C$19, $C$13, 100%, $E$13)</f>
        <v>13.4939</v>
      </c>
      <c r="E903" s="61">
        <f>16.3464 * CHOOSE(CONTROL!$C$19, $C$13, 100%, $E$13)</f>
        <v>16.346399999999999</v>
      </c>
      <c r="F903" s="61">
        <f>16.3464 * CHOOSE(CONTROL!$C$19, $C$13, 100%, $E$13)</f>
        <v>16.346399999999999</v>
      </c>
      <c r="G903" s="61">
        <f>16.3466 * CHOOSE(CONTROL!$C$19, $C$13, 100%, $E$13)</f>
        <v>16.346599999999999</v>
      </c>
      <c r="H903" s="61">
        <f>22.39* CHOOSE(CONTROL!$C$19, $C$13, 100%, $E$13)</f>
        <v>22.39</v>
      </c>
      <c r="I903" s="61">
        <f>22.3901 * CHOOSE(CONTROL!$C$19, $C$13, 100%, $E$13)</f>
        <v>22.3901</v>
      </c>
      <c r="J903" s="61">
        <f>16.3464 * CHOOSE(CONTROL!$C$19, $C$13, 100%, $E$13)</f>
        <v>16.346399999999999</v>
      </c>
      <c r="K903" s="61">
        <f>16.3466 * CHOOSE(CONTROL!$C$19, $C$13, 100%, $E$13)</f>
        <v>16.346599999999999</v>
      </c>
    </row>
    <row r="904" spans="1:11" ht="15">
      <c r="A904" s="13">
        <v>69368</v>
      </c>
      <c r="B904" s="60">
        <f>13.4771 * CHOOSE(CONTROL!$C$19, $C$13, 100%, $E$13)</f>
        <v>13.4771</v>
      </c>
      <c r="C904" s="60">
        <f>13.4771 * CHOOSE(CONTROL!$C$19, $C$13, 100%, $E$13)</f>
        <v>13.4771</v>
      </c>
      <c r="D904" s="60">
        <f>13.4939 * CHOOSE(CONTROL!$C$19, $C$13, 100%, $E$13)</f>
        <v>13.4939</v>
      </c>
      <c r="E904" s="61">
        <f>16.2059 * CHOOSE(CONTROL!$C$19, $C$13, 100%, $E$13)</f>
        <v>16.2059</v>
      </c>
      <c r="F904" s="61">
        <f>16.2059 * CHOOSE(CONTROL!$C$19, $C$13, 100%, $E$13)</f>
        <v>16.2059</v>
      </c>
      <c r="G904" s="61">
        <f>16.2061 * CHOOSE(CONTROL!$C$19, $C$13, 100%, $E$13)</f>
        <v>16.206099999999999</v>
      </c>
      <c r="H904" s="61">
        <f>22.4366* CHOOSE(CONTROL!$C$19, $C$13, 100%, $E$13)</f>
        <v>22.436599999999999</v>
      </c>
      <c r="I904" s="61">
        <f>22.4368 * CHOOSE(CONTROL!$C$19, $C$13, 100%, $E$13)</f>
        <v>22.436800000000002</v>
      </c>
      <c r="J904" s="61">
        <f>16.2059 * CHOOSE(CONTROL!$C$19, $C$13, 100%, $E$13)</f>
        <v>16.2059</v>
      </c>
      <c r="K904" s="61">
        <f>16.2061 * CHOOSE(CONTROL!$C$19, $C$13, 100%, $E$13)</f>
        <v>16.206099999999999</v>
      </c>
    </row>
    <row r="905" spans="1:11" ht="15">
      <c r="A905" s="13">
        <v>69399</v>
      </c>
      <c r="B905" s="60">
        <f>13.4462 * CHOOSE(CONTROL!$C$19, $C$13, 100%, $E$13)</f>
        <v>13.446199999999999</v>
      </c>
      <c r="C905" s="60">
        <f>13.4462 * CHOOSE(CONTROL!$C$19, $C$13, 100%, $E$13)</f>
        <v>13.446199999999999</v>
      </c>
      <c r="D905" s="60">
        <f>13.463 * CHOOSE(CONTROL!$C$19, $C$13, 100%, $E$13)</f>
        <v>13.462999999999999</v>
      </c>
      <c r="E905" s="61">
        <f>16.2622 * CHOOSE(CONTROL!$C$19, $C$13, 100%, $E$13)</f>
        <v>16.2622</v>
      </c>
      <c r="F905" s="61">
        <f>16.2622 * CHOOSE(CONTROL!$C$19, $C$13, 100%, $E$13)</f>
        <v>16.2622</v>
      </c>
      <c r="G905" s="61">
        <f>16.2624 * CHOOSE(CONTROL!$C$19, $C$13, 100%, $E$13)</f>
        <v>16.2624</v>
      </c>
      <c r="H905" s="61">
        <f>22.2535* CHOOSE(CONTROL!$C$19, $C$13, 100%, $E$13)</f>
        <v>22.253499999999999</v>
      </c>
      <c r="I905" s="61">
        <f>22.2536 * CHOOSE(CONTROL!$C$19, $C$13, 100%, $E$13)</f>
        <v>22.253599999999999</v>
      </c>
      <c r="J905" s="61">
        <f>16.2622 * CHOOSE(CONTROL!$C$19, $C$13, 100%, $E$13)</f>
        <v>16.2622</v>
      </c>
      <c r="K905" s="61">
        <f>16.2624 * CHOOSE(CONTROL!$C$19, $C$13, 100%, $E$13)</f>
        <v>16.2624</v>
      </c>
    </row>
    <row r="906" spans="1:11" ht="15">
      <c r="A906" s="13">
        <v>69430</v>
      </c>
      <c r="B906" s="60">
        <f>13.4431 * CHOOSE(CONTROL!$C$19, $C$13, 100%, $E$13)</f>
        <v>13.443099999999999</v>
      </c>
      <c r="C906" s="60">
        <f>13.4431 * CHOOSE(CONTROL!$C$19, $C$13, 100%, $E$13)</f>
        <v>13.443099999999999</v>
      </c>
      <c r="D906" s="60">
        <f>13.4599 * CHOOSE(CONTROL!$C$19, $C$13, 100%, $E$13)</f>
        <v>13.459899999999999</v>
      </c>
      <c r="E906" s="61">
        <f>15.9901 * CHOOSE(CONTROL!$C$19, $C$13, 100%, $E$13)</f>
        <v>15.9901</v>
      </c>
      <c r="F906" s="61">
        <f>15.9901 * CHOOSE(CONTROL!$C$19, $C$13, 100%, $E$13)</f>
        <v>15.9901</v>
      </c>
      <c r="G906" s="61">
        <f>15.9903 * CHOOSE(CONTROL!$C$19, $C$13, 100%, $E$13)</f>
        <v>15.9903</v>
      </c>
      <c r="H906" s="61">
        <f>22.2998* CHOOSE(CONTROL!$C$19, $C$13, 100%, $E$13)</f>
        <v>22.299800000000001</v>
      </c>
      <c r="I906" s="61">
        <f>22.3 * CHOOSE(CONTROL!$C$19, $C$13, 100%, $E$13)</f>
        <v>22.3</v>
      </c>
      <c r="J906" s="61">
        <f>15.9901 * CHOOSE(CONTROL!$C$19, $C$13, 100%, $E$13)</f>
        <v>15.9901</v>
      </c>
      <c r="K906" s="61">
        <f>15.9903 * CHOOSE(CONTROL!$C$19, $C$13, 100%, $E$13)</f>
        <v>15.9903</v>
      </c>
    </row>
    <row r="907" spans="1:11" ht="15">
      <c r="A907" s="13">
        <v>69458</v>
      </c>
      <c r="B907" s="60">
        <f>13.4401 * CHOOSE(CONTROL!$C$19, $C$13, 100%, $E$13)</f>
        <v>13.440099999999999</v>
      </c>
      <c r="C907" s="60">
        <f>13.4401 * CHOOSE(CONTROL!$C$19, $C$13, 100%, $E$13)</f>
        <v>13.440099999999999</v>
      </c>
      <c r="D907" s="60">
        <f>13.4569 * CHOOSE(CONTROL!$C$19, $C$13, 100%, $E$13)</f>
        <v>13.456899999999999</v>
      </c>
      <c r="E907" s="61">
        <f>16.2009 * CHOOSE(CONTROL!$C$19, $C$13, 100%, $E$13)</f>
        <v>16.200900000000001</v>
      </c>
      <c r="F907" s="61">
        <f>16.2009 * CHOOSE(CONTROL!$C$19, $C$13, 100%, $E$13)</f>
        <v>16.200900000000001</v>
      </c>
      <c r="G907" s="61">
        <f>16.201 * CHOOSE(CONTROL!$C$19, $C$13, 100%, $E$13)</f>
        <v>16.201000000000001</v>
      </c>
      <c r="H907" s="61">
        <f>22.3463* CHOOSE(CONTROL!$C$19, $C$13, 100%, $E$13)</f>
        <v>22.346299999999999</v>
      </c>
      <c r="I907" s="61">
        <f>22.3465 * CHOOSE(CONTROL!$C$19, $C$13, 100%, $E$13)</f>
        <v>22.346499999999999</v>
      </c>
      <c r="J907" s="61">
        <f>16.2009 * CHOOSE(CONTROL!$C$19, $C$13, 100%, $E$13)</f>
        <v>16.200900000000001</v>
      </c>
      <c r="K907" s="61">
        <f>16.201 * CHOOSE(CONTROL!$C$19, $C$13, 100%, $E$13)</f>
        <v>16.201000000000001</v>
      </c>
    </row>
    <row r="908" spans="1:11" ht="15">
      <c r="A908" s="13">
        <v>69489</v>
      </c>
      <c r="B908" s="60">
        <f>13.447 * CHOOSE(CONTROL!$C$19, $C$13, 100%, $E$13)</f>
        <v>13.446999999999999</v>
      </c>
      <c r="C908" s="60">
        <f>13.447 * CHOOSE(CONTROL!$C$19, $C$13, 100%, $E$13)</f>
        <v>13.446999999999999</v>
      </c>
      <c r="D908" s="60">
        <f>13.4639 * CHOOSE(CONTROL!$C$19, $C$13, 100%, $E$13)</f>
        <v>13.463900000000001</v>
      </c>
      <c r="E908" s="61">
        <f>16.4252 * CHOOSE(CONTROL!$C$19, $C$13, 100%, $E$13)</f>
        <v>16.4252</v>
      </c>
      <c r="F908" s="61">
        <f>16.4252 * CHOOSE(CONTROL!$C$19, $C$13, 100%, $E$13)</f>
        <v>16.4252</v>
      </c>
      <c r="G908" s="61">
        <f>16.4254 * CHOOSE(CONTROL!$C$19, $C$13, 100%, $E$13)</f>
        <v>16.4254</v>
      </c>
      <c r="H908" s="61">
        <f>22.3928* CHOOSE(CONTROL!$C$19, $C$13, 100%, $E$13)</f>
        <v>22.392800000000001</v>
      </c>
      <c r="I908" s="61">
        <f>22.393 * CHOOSE(CONTROL!$C$19, $C$13, 100%, $E$13)</f>
        <v>22.393000000000001</v>
      </c>
      <c r="J908" s="61">
        <f>16.4252 * CHOOSE(CONTROL!$C$19, $C$13, 100%, $E$13)</f>
        <v>16.4252</v>
      </c>
      <c r="K908" s="61">
        <f>16.4254 * CHOOSE(CONTROL!$C$19, $C$13, 100%, $E$13)</f>
        <v>16.4254</v>
      </c>
    </row>
    <row r="909" spans="1:11" ht="15">
      <c r="A909" s="13">
        <v>69519</v>
      </c>
      <c r="B909" s="60">
        <f>13.447 * CHOOSE(CONTROL!$C$19, $C$13, 100%, $E$13)</f>
        <v>13.446999999999999</v>
      </c>
      <c r="C909" s="60">
        <f>13.447 * CHOOSE(CONTROL!$C$19, $C$13, 100%, $E$13)</f>
        <v>13.446999999999999</v>
      </c>
      <c r="D909" s="60">
        <f>13.4807 * CHOOSE(CONTROL!$C$19, $C$13, 100%, $E$13)</f>
        <v>13.480700000000001</v>
      </c>
      <c r="E909" s="61">
        <f>16.511 * CHOOSE(CONTROL!$C$19, $C$13, 100%, $E$13)</f>
        <v>16.510999999999999</v>
      </c>
      <c r="F909" s="61">
        <f>16.511 * CHOOSE(CONTROL!$C$19, $C$13, 100%, $E$13)</f>
        <v>16.510999999999999</v>
      </c>
      <c r="G909" s="61">
        <f>16.5131 * CHOOSE(CONTROL!$C$19, $C$13, 100%, $E$13)</f>
        <v>16.513100000000001</v>
      </c>
      <c r="H909" s="61">
        <f>22.4395* CHOOSE(CONTROL!$C$19, $C$13, 100%, $E$13)</f>
        <v>22.439499999999999</v>
      </c>
      <c r="I909" s="61">
        <f>22.4416 * CHOOSE(CONTROL!$C$19, $C$13, 100%, $E$13)</f>
        <v>22.441600000000001</v>
      </c>
      <c r="J909" s="61">
        <f>16.511 * CHOOSE(CONTROL!$C$19, $C$13, 100%, $E$13)</f>
        <v>16.510999999999999</v>
      </c>
      <c r="K909" s="61">
        <f>16.5131 * CHOOSE(CONTROL!$C$19, $C$13, 100%, $E$13)</f>
        <v>16.513100000000001</v>
      </c>
    </row>
    <row r="910" spans="1:11" ht="15">
      <c r="A910" s="13">
        <v>69550</v>
      </c>
      <c r="B910" s="60">
        <f>13.4531 * CHOOSE(CONTROL!$C$19, $C$13, 100%, $E$13)</f>
        <v>13.453099999999999</v>
      </c>
      <c r="C910" s="60">
        <f>13.4531 * CHOOSE(CONTROL!$C$19, $C$13, 100%, $E$13)</f>
        <v>13.453099999999999</v>
      </c>
      <c r="D910" s="60">
        <f>13.4868 * CHOOSE(CONTROL!$C$19, $C$13, 100%, $E$13)</f>
        <v>13.486800000000001</v>
      </c>
      <c r="E910" s="61">
        <f>16.4295 * CHOOSE(CONTROL!$C$19, $C$13, 100%, $E$13)</f>
        <v>16.429500000000001</v>
      </c>
      <c r="F910" s="61">
        <f>16.4295 * CHOOSE(CONTROL!$C$19, $C$13, 100%, $E$13)</f>
        <v>16.429500000000001</v>
      </c>
      <c r="G910" s="61">
        <f>16.4316 * CHOOSE(CONTROL!$C$19, $C$13, 100%, $E$13)</f>
        <v>16.4316</v>
      </c>
      <c r="H910" s="61">
        <f>22.4862* CHOOSE(CONTROL!$C$19, $C$13, 100%, $E$13)</f>
        <v>22.4862</v>
      </c>
      <c r="I910" s="61">
        <f>22.4883 * CHOOSE(CONTROL!$C$19, $C$13, 100%, $E$13)</f>
        <v>22.488299999999999</v>
      </c>
      <c r="J910" s="61">
        <f>16.4295 * CHOOSE(CONTROL!$C$19, $C$13, 100%, $E$13)</f>
        <v>16.429500000000001</v>
      </c>
      <c r="K910" s="61">
        <f>16.4316 * CHOOSE(CONTROL!$C$19, $C$13, 100%, $E$13)</f>
        <v>16.4316</v>
      </c>
    </row>
    <row r="911" spans="1:11" ht="15">
      <c r="A911" s="13">
        <v>69580</v>
      </c>
      <c r="B911" s="60">
        <f>13.6388 * CHOOSE(CONTROL!$C$19, $C$13, 100%, $E$13)</f>
        <v>13.6388</v>
      </c>
      <c r="C911" s="60">
        <f>13.6388 * CHOOSE(CONTROL!$C$19, $C$13, 100%, $E$13)</f>
        <v>13.6388</v>
      </c>
      <c r="D911" s="60">
        <f>13.6724 * CHOOSE(CONTROL!$C$19, $C$13, 100%, $E$13)</f>
        <v>13.6724</v>
      </c>
      <c r="E911" s="61">
        <f>16.7267 * CHOOSE(CONTROL!$C$19, $C$13, 100%, $E$13)</f>
        <v>16.726700000000001</v>
      </c>
      <c r="F911" s="61">
        <f>16.7267 * CHOOSE(CONTROL!$C$19, $C$13, 100%, $E$13)</f>
        <v>16.726700000000001</v>
      </c>
      <c r="G911" s="61">
        <f>16.7288 * CHOOSE(CONTROL!$C$19, $C$13, 100%, $E$13)</f>
        <v>16.7288</v>
      </c>
      <c r="H911" s="61">
        <f>22.5331* CHOOSE(CONTROL!$C$19, $C$13, 100%, $E$13)</f>
        <v>22.533100000000001</v>
      </c>
      <c r="I911" s="61">
        <f>22.5352 * CHOOSE(CONTROL!$C$19, $C$13, 100%, $E$13)</f>
        <v>22.5352</v>
      </c>
      <c r="J911" s="61">
        <f>16.7267 * CHOOSE(CONTROL!$C$19, $C$13, 100%, $E$13)</f>
        <v>16.726700000000001</v>
      </c>
      <c r="K911" s="61">
        <f>16.7288 * CHOOSE(CONTROL!$C$19, $C$13, 100%, $E$13)</f>
        <v>16.7288</v>
      </c>
    </row>
    <row r="912" spans="1:11" ht="15">
      <c r="A912" s="13">
        <v>69611</v>
      </c>
      <c r="B912" s="60">
        <f>13.6455 * CHOOSE(CONTROL!$C$19, $C$13, 100%, $E$13)</f>
        <v>13.6455</v>
      </c>
      <c r="C912" s="60">
        <f>13.6455 * CHOOSE(CONTROL!$C$19, $C$13, 100%, $E$13)</f>
        <v>13.6455</v>
      </c>
      <c r="D912" s="60">
        <f>13.6791 * CHOOSE(CONTROL!$C$19, $C$13, 100%, $E$13)</f>
        <v>13.6791</v>
      </c>
      <c r="E912" s="61">
        <f>16.4741 * CHOOSE(CONTROL!$C$19, $C$13, 100%, $E$13)</f>
        <v>16.4741</v>
      </c>
      <c r="F912" s="61">
        <f>16.4741 * CHOOSE(CONTROL!$C$19, $C$13, 100%, $E$13)</f>
        <v>16.4741</v>
      </c>
      <c r="G912" s="61">
        <f>16.4762 * CHOOSE(CONTROL!$C$19, $C$13, 100%, $E$13)</f>
        <v>16.476199999999999</v>
      </c>
      <c r="H912" s="61">
        <f>22.58* CHOOSE(CONTROL!$C$19, $C$13, 100%, $E$13)</f>
        <v>22.58</v>
      </c>
      <c r="I912" s="61">
        <f>22.5821 * CHOOSE(CONTROL!$C$19, $C$13, 100%, $E$13)</f>
        <v>22.582100000000001</v>
      </c>
      <c r="J912" s="61">
        <f>16.4741 * CHOOSE(CONTROL!$C$19, $C$13, 100%, $E$13)</f>
        <v>16.4741</v>
      </c>
      <c r="K912" s="61">
        <f>16.4762 * CHOOSE(CONTROL!$C$19, $C$13, 100%, $E$13)</f>
        <v>16.476199999999999</v>
      </c>
    </row>
    <row r="913" spans="1:11" ht="15">
      <c r="A913" s="13">
        <v>69642</v>
      </c>
      <c r="B913" s="60">
        <f>13.6424 * CHOOSE(CONTROL!$C$19, $C$13, 100%, $E$13)</f>
        <v>13.6424</v>
      </c>
      <c r="C913" s="60">
        <f>13.6424 * CHOOSE(CONTROL!$C$19, $C$13, 100%, $E$13)</f>
        <v>13.6424</v>
      </c>
      <c r="D913" s="60">
        <f>13.6761 * CHOOSE(CONTROL!$C$19, $C$13, 100%, $E$13)</f>
        <v>13.6761</v>
      </c>
      <c r="E913" s="61">
        <f>16.4434 * CHOOSE(CONTROL!$C$19, $C$13, 100%, $E$13)</f>
        <v>16.4434</v>
      </c>
      <c r="F913" s="61">
        <f>16.4434 * CHOOSE(CONTROL!$C$19, $C$13, 100%, $E$13)</f>
        <v>16.4434</v>
      </c>
      <c r="G913" s="61">
        <f>16.4455 * CHOOSE(CONTROL!$C$19, $C$13, 100%, $E$13)</f>
        <v>16.445499999999999</v>
      </c>
      <c r="H913" s="61">
        <f>22.6271* CHOOSE(CONTROL!$C$19, $C$13, 100%, $E$13)</f>
        <v>22.627099999999999</v>
      </c>
      <c r="I913" s="61">
        <f>22.6292 * CHOOSE(CONTROL!$C$19, $C$13, 100%, $E$13)</f>
        <v>22.629200000000001</v>
      </c>
      <c r="J913" s="61">
        <f>16.4434 * CHOOSE(CONTROL!$C$19, $C$13, 100%, $E$13)</f>
        <v>16.4434</v>
      </c>
      <c r="K913" s="61">
        <f>16.4455 * CHOOSE(CONTROL!$C$19, $C$13, 100%, $E$13)</f>
        <v>16.445499999999999</v>
      </c>
    </row>
    <row r="914" spans="1:11" ht="15">
      <c r="A914" s="13">
        <v>69672</v>
      </c>
      <c r="B914" s="60">
        <f>13.6741 * CHOOSE(CONTROL!$C$19, $C$13, 100%, $E$13)</f>
        <v>13.674099999999999</v>
      </c>
      <c r="C914" s="60">
        <f>13.6741 * CHOOSE(CONTROL!$C$19, $C$13, 100%, $E$13)</f>
        <v>13.674099999999999</v>
      </c>
      <c r="D914" s="60">
        <f>13.6909 * CHOOSE(CONTROL!$C$19, $C$13, 100%, $E$13)</f>
        <v>13.690899999999999</v>
      </c>
      <c r="E914" s="61">
        <f>16.5443 * CHOOSE(CONTROL!$C$19, $C$13, 100%, $E$13)</f>
        <v>16.5443</v>
      </c>
      <c r="F914" s="61">
        <f>16.5443 * CHOOSE(CONTROL!$C$19, $C$13, 100%, $E$13)</f>
        <v>16.5443</v>
      </c>
      <c r="G914" s="61">
        <f>16.5445 * CHOOSE(CONTROL!$C$19, $C$13, 100%, $E$13)</f>
        <v>16.544499999999999</v>
      </c>
      <c r="H914" s="61">
        <f>22.6742* CHOOSE(CONTROL!$C$19, $C$13, 100%, $E$13)</f>
        <v>22.674199999999999</v>
      </c>
      <c r="I914" s="61">
        <f>22.6744 * CHOOSE(CONTROL!$C$19, $C$13, 100%, $E$13)</f>
        <v>22.674399999999999</v>
      </c>
      <c r="J914" s="61">
        <f>16.5443 * CHOOSE(CONTROL!$C$19, $C$13, 100%, $E$13)</f>
        <v>16.5443</v>
      </c>
      <c r="K914" s="61">
        <f>16.5445 * CHOOSE(CONTROL!$C$19, $C$13, 100%, $E$13)</f>
        <v>16.544499999999999</v>
      </c>
    </row>
    <row r="915" spans="1:11" ht="15">
      <c r="A915" s="13">
        <v>69703</v>
      </c>
      <c r="B915" s="60">
        <f>13.6772 * CHOOSE(CONTROL!$C$19, $C$13, 100%, $E$13)</f>
        <v>13.677199999999999</v>
      </c>
      <c r="C915" s="60">
        <f>13.6772 * CHOOSE(CONTROL!$C$19, $C$13, 100%, $E$13)</f>
        <v>13.677199999999999</v>
      </c>
      <c r="D915" s="60">
        <f>13.694 * CHOOSE(CONTROL!$C$19, $C$13, 100%, $E$13)</f>
        <v>13.694000000000001</v>
      </c>
      <c r="E915" s="61">
        <f>16.6036 * CHOOSE(CONTROL!$C$19, $C$13, 100%, $E$13)</f>
        <v>16.6036</v>
      </c>
      <c r="F915" s="61">
        <f>16.6036 * CHOOSE(CONTROL!$C$19, $C$13, 100%, $E$13)</f>
        <v>16.6036</v>
      </c>
      <c r="G915" s="61">
        <f>16.6038 * CHOOSE(CONTROL!$C$19, $C$13, 100%, $E$13)</f>
        <v>16.6038</v>
      </c>
      <c r="H915" s="61">
        <f>22.7214* CHOOSE(CONTROL!$C$19, $C$13, 100%, $E$13)</f>
        <v>22.721399999999999</v>
      </c>
      <c r="I915" s="61">
        <f>22.7216 * CHOOSE(CONTROL!$C$19, $C$13, 100%, $E$13)</f>
        <v>22.721599999999999</v>
      </c>
      <c r="J915" s="61">
        <f>16.6036 * CHOOSE(CONTROL!$C$19, $C$13, 100%, $E$13)</f>
        <v>16.6036</v>
      </c>
      <c r="K915" s="61">
        <f>16.6038 * CHOOSE(CONTROL!$C$19, $C$13, 100%, $E$13)</f>
        <v>16.6038</v>
      </c>
    </row>
    <row r="916" spans="1:11" ht="15">
      <c r="A916" s="13">
        <v>69733</v>
      </c>
      <c r="B916" s="60">
        <f>13.6772 * CHOOSE(CONTROL!$C$19, $C$13, 100%, $E$13)</f>
        <v>13.677199999999999</v>
      </c>
      <c r="C916" s="60">
        <f>13.6772 * CHOOSE(CONTROL!$C$19, $C$13, 100%, $E$13)</f>
        <v>13.677199999999999</v>
      </c>
      <c r="D916" s="60">
        <f>13.694 * CHOOSE(CONTROL!$C$19, $C$13, 100%, $E$13)</f>
        <v>13.694000000000001</v>
      </c>
      <c r="E916" s="61">
        <f>16.4607 * CHOOSE(CONTROL!$C$19, $C$13, 100%, $E$13)</f>
        <v>16.460699999999999</v>
      </c>
      <c r="F916" s="61">
        <f>16.4607 * CHOOSE(CONTROL!$C$19, $C$13, 100%, $E$13)</f>
        <v>16.460699999999999</v>
      </c>
      <c r="G916" s="61">
        <f>16.4609 * CHOOSE(CONTROL!$C$19, $C$13, 100%, $E$13)</f>
        <v>16.460899999999999</v>
      </c>
      <c r="H916" s="61">
        <f>22.7688* CHOOSE(CONTROL!$C$19, $C$13, 100%, $E$13)</f>
        <v>22.768799999999999</v>
      </c>
      <c r="I916" s="61">
        <f>22.769 * CHOOSE(CONTROL!$C$19, $C$13, 100%, $E$13)</f>
        <v>22.768999999999998</v>
      </c>
      <c r="J916" s="61">
        <f>16.4607 * CHOOSE(CONTROL!$C$19, $C$13, 100%, $E$13)</f>
        <v>16.460699999999999</v>
      </c>
      <c r="K916" s="61">
        <f>16.4609 * CHOOSE(CONTROL!$C$19, $C$13, 100%, $E$13)</f>
        <v>16.460899999999999</v>
      </c>
    </row>
    <row r="917" spans="1:11" ht="15">
      <c r="A917" s="13">
        <v>69764</v>
      </c>
      <c r="B917" s="60">
        <f>13.6428 * CHOOSE(CONTROL!$C$19, $C$13, 100%, $E$13)</f>
        <v>13.642799999999999</v>
      </c>
      <c r="C917" s="60">
        <f>13.6428 * CHOOSE(CONTROL!$C$19, $C$13, 100%, $E$13)</f>
        <v>13.642799999999999</v>
      </c>
      <c r="D917" s="60">
        <f>13.6596 * CHOOSE(CONTROL!$C$19, $C$13, 100%, $E$13)</f>
        <v>13.659599999999999</v>
      </c>
      <c r="E917" s="61">
        <f>16.5141 * CHOOSE(CONTROL!$C$19, $C$13, 100%, $E$13)</f>
        <v>16.514099999999999</v>
      </c>
      <c r="F917" s="61">
        <f>16.5141 * CHOOSE(CONTROL!$C$19, $C$13, 100%, $E$13)</f>
        <v>16.514099999999999</v>
      </c>
      <c r="G917" s="61">
        <f>16.5143 * CHOOSE(CONTROL!$C$19, $C$13, 100%, $E$13)</f>
        <v>16.514299999999999</v>
      </c>
      <c r="H917" s="61">
        <f>22.5781* CHOOSE(CONTROL!$C$19, $C$13, 100%, $E$13)</f>
        <v>22.578099999999999</v>
      </c>
      <c r="I917" s="61">
        <f>22.5783 * CHOOSE(CONTROL!$C$19, $C$13, 100%, $E$13)</f>
        <v>22.578299999999999</v>
      </c>
      <c r="J917" s="61">
        <f>16.5141 * CHOOSE(CONTROL!$C$19, $C$13, 100%, $E$13)</f>
        <v>16.514099999999999</v>
      </c>
      <c r="K917" s="61">
        <f>16.5143 * CHOOSE(CONTROL!$C$19, $C$13, 100%, $E$13)</f>
        <v>16.514299999999999</v>
      </c>
    </row>
    <row r="918" spans="1:11" ht="15">
      <c r="A918" s="13">
        <v>69795</v>
      </c>
      <c r="B918" s="60">
        <f>13.6397 * CHOOSE(CONTROL!$C$19, $C$13, 100%, $E$13)</f>
        <v>13.639699999999999</v>
      </c>
      <c r="C918" s="60">
        <f>13.6397 * CHOOSE(CONTROL!$C$19, $C$13, 100%, $E$13)</f>
        <v>13.639699999999999</v>
      </c>
      <c r="D918" s="60">
        <f>13.6566 * CHOOSE(CONTROL!$C$19, $C$13, 100%, $E$13)</f>
        <v>13.656599999999999</v>
      </c>
      <c r="E918" s="61">
        <f>16.2375 * CHOOSE(CONTROL!$C$19, $C$13, 100%, $E$13)</f>
        <v>16.237500000000001</v>
      </c>
      <c r="F918" s="61">
        <f>16.2375 * CHOOSE(CONTROL!$C$19, $C$13, 100%, $E$13)</f>
        <v>16.237500000000001</v>
      </c>
      <c r="G918" s="61">
        <f>16.2376 * CHOOSE(CONTROL!$C$19, $C$13, 100%, $E$13)</f>
        <v>16.2376</v>
      </c>
      <c r="H918" s="61">
        <f>22.6252* CHOOSE(CONTROL!$C$19, $C$13, 100%, $E$13)</f>
        <v>22.6252</v>
      </c>
      <c r="I918" s="61">
        <f>22.6253 * CHOOSE(CONTROL!$C$19, $C$13, 100%, $E$13)</f>
        <v>22.625299999999999</v>
      </c>
      <c r="J918" s="61">
        <f>16.2375 * CHOOSE(CONTROL!$C$19, $C$13, 100%, $E$13)</f>
        <v>16.237500000000001</v>
      </c>
      <c r="K918" s="61">
        <f>16.2376 * CHOOSE(CONTROL!$C$19, $C$13, 100%, $E$13)</f>
        <v>16.2376</v>
      </c>
    </row>
    <row r="919" spans="1:11" ht="15">
      <c r="A919" s="13">
        <v>69823</v>
      </c>
      <c r="B919" s="60">
        <f>13.6367 * CHOOSE(CONTROL!$C$19, $C$13, 100%, $E$13)</f>
        <v>13.636699999999999</v>
      </c>
      <c r="C919" s="60">
        <f>13.6367 * CHOOSE(CONTROL!$C$19, $C$13, 100%, $E$13)</f>
        <v>13.636699999999999</v>
      </c>
      <c r="D919" s="60">
        <f>13.6535 * CHOOSE(CONTROL!$C$19, $C$13, 100%, $E$13)</f>
        <v>13.653499999999999</v>
      </c>
      <c r="E919" s="61">
        <f>16.4517 * CHOOSE(CONTROL!$C$19, $C$13, 100%, $E$13)</f>
        <v>16.451699999999999</v>
      </c>
      <c r="F919" s="61">
        <f>16.4517 * CHOOSE(CONTROL!$C$19, $C$13, 100%, $E$13)</f>
        <v>16.451699999999999</v>
      </c>
      <c r="G919" s="61">
        <f>16.4519 * CHOOSE(CONTROL!$C$19, $C$13, 100%, $E$13)</f>
        <v>16.451899999999998</v>
      </c>
      <c r="H919" s="61">
        <f>22.6723* CHOOSE(CONTROL!$C$19, $C$13, 100%, $E$13)</f>
        <v>22.6723</v>
      </c>
      <c r="I919" s="61">
        <f>22.6725 * CHOOSE(CONTROL!$C$19, $C$13, 100%, $E$13)</f>
        <v>22.672499999999999</v>
      </c>
      <c r="J919" s="61">
        <f>16.4517 * CHOOSE(CONTROL!$C$19, $C$13, 100%, $E$13)</f>
        <v>16.451699999999999</v>
      </c>
      <c r="K919" s="61">
        <f>16.4519 * CHOOSE(CONTROL!$C$19, $C$13, 100%, $E$13)</f>
        <v>16.451899999999998</v>
      </c>
    </row>
    <row r="920" spans="1:11" ht="15">
      <c r="A920" s="13">
        <v>69854</v>
      </c>
      <c r="B920" s="60">
        <f>13.6438 * CHOOSE(CONTROL!$C$19, $C$13, 100%, $E$13)</f>
        <v>13.643800000000001</v>
      </c>
      <c r="C920" s="60">
        <f>13.6438 * CHOOSE(CONTROL!$C$19, $C$13, 100%, $E$13)</f>
        <v>13.643800000000001</v>
      </c>
      <c r="D920" s="60">
        <f>13.6607 * CHOOSE(CONTROL!$C$19, $C$13, 100%, $E$13)</f>
        <v>13.6607</v>
      </c>
      <c r="E920" s="61">
        <f>16.6799 * CHOOSE(CONTROL!$C$19, $C$13, 100%, $E$13)</f>
        <v>16.6799</v>
      </c>
      <c r="F920" s="61">
        <f>16.6799 * CHOOSE(CONTROL!$C$19, $C$13, 100%, $E$13)</f>
        <v>16.6799</v>
      </c>
      <c r="G920" s="61">
        <f>16.6801 * CHOOSE(CONTROL!$C$19, $C$13, 100%, $E$13)</f>
        <v>16.680099999999999</v>
      </c>
      <c r="H920" s="61">
        <f>22.7195* CHOOSE(CONTROL!$C$19, $C$13, 100%, $E$13)</f>
        <v>22.7195</v>
      </c>
      <c r="I920" s="61">
        <f>22.7197 * CHOOSE(CONTROL!$C$19, $C$13, 100%, $E$13)</f>
        <v>22.7197</v>
      </c>
      <c r="J920" s="61">
        <f>16.6799 * CHOOSE(CONTROL!$C$19, $C$13, 100%, $E$13)</f>
        <v>16.6799</v>
      </c>
      <c r="K920" s="61">
        <f>16.6801 * CHOOSE(CONTROL!$C$19, $C$13, 100%, $E$13)</f>
        <v>16.680099999999999</v>
      </c>
    </row>
    <row r="921" spans="1:11" ht="15">
      <c r="A921" s="13">
        <v>69884</v>
      </c>
      <c r="B921" s="60">
        <f>13.6438 * CHOOSE(CONTROL!$C$19, $C$13, 100%, $E$13)</f>
        <v>13.643800000000001</v>
      </c>
      <c r="C921" s="60">
        <f>13.6438 * CHOOSE(CONTROL!$C$19, $C$13, 100%, $E$13)</f>
        <v>13.643800000000001</v>
      </c>
      <c r="D921" s="60">
        <f>13.6775 * CHOOSE(CONTROL!$C$19, $C$13, 100%, $E$13)</f>
        <v>13.6775</v>
      </c>
      <c r="E921" s="61">
        <f>16.7671 * CHOOSE(CONTROL!$C$19, $C$13, 100%, $E$13)</f>
        <v>16.767099999999999</v>
      </c>
      <c r="F921" s="61">
        <f>16.7671 * CHOOSE(CONTROL!$C$19, $C$13, 100%, $E$13)</f>
        <v>16.767099999999999</v>
      </c>
      <c r="G921" s="61">
        <f>16.7691 * CHOOSE(CONTROL!$C$19, $C$13, 100%, $E$13)</f>
        <v>16.769100000000002</v>
      </c>
      <c r="H921" s="61">
        <f>22.7669* CHOOSE(CONTROL!$C$19, $C$13, 100%, $E$13)</f>
        <v>22.7669</v>
      </c>
      <c r="I921" s="61">
        <f>22.7689 * CHOOSE(CONTROL!$C$19, $C$13, 100%, $E$13)</f>
        <v>22.768899999999999</v>
      </c>
      <c r="J921" s="61">
        <f>16.7671 * CHOOSE(CONTROL!$C$19, $C$13, 100%, $E$13)</f>
        <v>16.767099999999999</v>
      </c>
      <c r="K921" s="61">
        <f>16.7691 * CHOOSE(CONTROL!$C$19, $C$13, 100%, $E$13)</f>
        <v>16.769100000000002</v>
      </c>
    </row>
    <row r="922" spans="1:11" ht="15">
      <c r="A922" s="13">
        <v>69915</v>
      </c>
      <c r="B922" s="60">
        <f>13.6499 * CHOOSE(CONTROL!$C$19, $C$13, 100%, $E$13)</f>
        <v>13.649900000000001</v>
      </c>
      <c r="C922" s="60">
        <f>13.6499 * CHOOSE(CONTROL!$C$19, $C$13, 100%, $E$13)</f>
        <v>13.649900000000001</v>
      </c>
      <c r="D922" s="60">
        <f>13.6836 * CHOOSE(CONTROL!$C$19, $C$13, 100%, $E$13)</f>
        <v>13.6836</v>
      </c>
      <c r="E922" s="61">
        <f>16.6841 * CHOOSE(CONTROL!$C$19, $C$13, 100%, $E$13)</f>
        <v>16.684100000000001</v>
      </c>
      <c r="F922" s="61">
        <f>16.6841 * CHOOSE(CONTROL!$C$19, $C$13, 100%, $E$13)</f>
        <v>16.684100000000001</v>
      </c>
      <c r="G922" s="61">
        <f>16.6862 * CHOOSE(CONTROL!$C$19, $C$13, 100%, $E$13)</f>
        <v>16.686199999999999</v>
      </c>
      <c r="H922" s="61">
        <f>22.8143* CHOOSE(CONTROL!$C$19, $C$13, 100%, $E$13)</f>
        <v>22.814299999999999</v>
      </c>
      <c r="I922" s="61">
        <f>22.8164 * CHOOSE(CONTROL!$C$19, $C$13, 100%, $E$13)</f>
        <v>22.816400000000002</v>
      </c>
      <c r="J922" s="61">
        <f>16.6841 * CHOOSE(CONTROL!$C$19, $C$13, 100%, $E$13)</f>
        <v>16.684100000000001</v>
      </c>
      <c r="K922" s="61">
        <f>16.6862 * CHOOSE(CONTROL!$C$19, $C$13, 100%, $E$13)</f>
        <v>16.686199999999999</v>
      </c>
    </row>
    <row r="923" spans="1:11" ht="15">
      <c r="A923" s="13">
        <v>69945</v>
      </c>
      <c r="B923" s="60">
        <f>13.8381 * CHOOSE(CONTROL!$C$19, $C$13, 100%, $E$13)</f>
        <v>13.838100000000001</v>
      </c>
      <c r="C923" s="60">
        <f>13.8381 * CHOOSE(CONTROL!$C$19, $C$13, 100%, $E$13)</f>
        <v>13.838100000000001</v>
      </c>
      <c r="D923" s="60">
        <f>13.8718 * CHOOSE(CONTROL!$C$19, $C$13, 100%, $E$13)</f>
        <v>13.8718</v>
      </c>
      <c r="E923" s="61">
        <f>16.9858 * CHOOSE(CONTROL!$C$19, $C$13, 100%, $E$13)</f>
        <v>16.985800000000001</v>
      </c>
      <c r="F923" s="61">
        <f>16.9858 * CHOOSE(CONTROL!$C$19, $C$13, 100%, $E$13)</f>
        <v>16.985800000000001</v>
      </c>
      <c r="G923" s="61">
        <f>16.9879 * CHOOSE(CONTROL!$C$19, $C$13, 100%, $E$13)</f>
        <v>16.9879</v>
      </c>
      <c r="H923" s="61">
        <f>22.8618* CHOOSE(CONTROL!$C$19, $C$13, 100%, $E$13)</f>
        <v>22.861799999999999</v>
      </c>
      <c r="I923" s="61">
        <f>22.8639 * CHOOSE(CONTROL!$C$19, $C$13, 100%, $E$13)</f>
        <v>22.863900000000001</v>
      </c>
      <c r="J923" s="61">
        <f>16.9858 * CHOOSE(CONTROL!$C$19, $C$13, 100%, $E$13)</f>
        <v>16.985800000000001</v>
      </c>
      <c r="K923" s="61">
        <f>16.9879 * CHOOSE(CONTROL!$C$19, $C$13, 100%, $E$13)</f>
        <v>16.9879</v>
      </c>
    </row>
    <row r="924" spans="1:11" ht="15">
      <c r="A924" s="13">
        <v>69976</v>
      </c>
      <c r="B924" s="60">
        <f>13.8448 * CHOOSE(CONTROL!$C$19, $C$13, 100%, $E$13)</f>
        <v>13.844799999999999</v>
      </c>
      <c r="C924" s="60">
        <f>13.8448 * CHOOSE(CONTROL!$C$19, $C$13, 100%, $E$13)</f>
        <v>13.844799999999999</v>
      </c>
      <c r="D924" s="60">
        <f>13.8784 * CHOOSE(CONTROL!$C$19, $C$13, 100%, $E$13)</f>
        <v>13.878399999999999</v>
      </c>
      <c r="E924" s="61">
        <f>16.729 * CHOOSE(CONTROL!$C$19, $C$13, 100%, $E$13)</f>
        <v>16.728999999999999</v>
      </c>
      <c r="F924" s="61">
        <f>16.729 * CHOOSE(CONTROL!$C$19, $C$13, 100%, $E$13)</f>
        <v>16.728999999999999</v>
      </c>
      <c r="G924" s="61">
        <f>16.7311 * CHOOSE(CONTROL!$C$19, $C$13, 100%, $E$13)</f>
        <v>16.731100000000001</v>
      </c>
      <c r="H924" s="61">
        <f>22.9094* CHOOSE(CONTROL!$C$19, $C$13, 100%, $E$13)</f>
        <v>22.909400000000002</v>
      </c>
      <c r="I924" s="61">
        <f>22.9115 * CHOOSE(CONTROL!$C$19, $C$13, 100%, $E$13)</f>
        <v>22.9115</v>
      </c>
      <c r="J924" s="61">
        <f>16.729 * CHOOSE(CONTROL!$C$19, $C$13, 100%, $E$13)</f>
        <v>16.728999999999999</v>
      </c>
      <c r="K924" s="61">
        <f>16.7311 * CHOOSE(CONTROL!$C$19, $C$13, 100%, $E$13)</f>
        <v>16.731100000000001</v>
      </c>
    </row>
    <row r="925" spans="1:11" ht="15">
      <c r="A925" s="13">
        <v>70007</v>
      </c>
      <c r="B925" s="60">
        <f>13.8417 * CHOOSE(CONTROL!$C$19, $C$13, 100%, $E$13)</f>
        <v>13.841699999999999</v>
      </c>
      <c r="C925" s="60">
        <f>13.8417 * CHOOSE(CONTROL!$C$19, $C$13, 100%, $E$13)</f>
        <v>13.841699999999999</v>
      </c>
      <c r="D925" s="60">
        <f>13.8754 * CHOOSE(CONTROL!$C$19, $C$13, 100%, $E$13)</f>
        <v>13.875400000000001</v>
      </c>
      <c r="E925" s="61">
        <f>16.6978 * CHOOSE(CONTROL!$C$19, $C$13, 100%, $E$13)</f>
        <v>16.697800000000001</v>
      </c>
      <c r="F925" s="61">
        <f>16.6978 * CHOOSE(CONTROL!$C$19, $C$13, 100%, $E$13)</f>
        <v>16.697800000000001</v>
      </c>
      <c r="G925" s="61">
        <f>16.6999 * CHOOSE(CONTROL!$C$19, $C$13, 100%, $E$13)</f>
        <v>16.6999</v>
      </c>
      <c r="H925" s="61">
        <f>22.9572* CHOOSE(CONTROL!$C$19, $C$13, 100%, $E$13)</f>
        <v>22.9572</v>
      </c>
      <c r="I925" s="61">
        <f>22.9593 * CHOOSE(CONTROL!$C$19, $C$13, 100%, $E$13)</f>
        <v>22.959299999999999</v>
      </c>
      <c r="J925" s="61">
        <f>16.6978 * CHOOSE(CONTROL!$C$19, $C$13, 100%, $E$13)</f>
        <v>16.697800000000001</v>
      </c>
      <c r="K925" s="61">
        <f>16.6999 * CHOOSE(CONTROL!$C$19, $C$13, 100%, $E$13)</f>
        <v>16.6999</v>
      </c>
    </row>
    <row r="926" spans="1:11" ht="15">
      <c r="A926" s="13">
        <v>70037</v>
      </c>
      <c r="B926" s="60">
        <f>13.8742 * CHOOSE(CONTROL!$C$19, $C$13, 100%, $E$13)</f>
        <v>13.8742</v>
      </c>
      <c r="C926" s="60">
        <f>13.8742 * CHOOSE(CONTROL!$C$19, $C$13, 100%, $E$13)</f>
        <v>13.8742</v>
      </c>
      <c r="D926" s="60">
        <f>13.891 * CHOOSE(CONTROL!$C$19, $C$13, 100%, $E$13)</f>
        <v>13.891</v>
      </c>
      <c r="E926" s="61">
        <f>16.8006 * CHOOSE(CONTROL!$C$19, $C$13, 100%, $E$13)</f>
        <v>16.800599999999999</v>
      </c>
      <c r="F926" s="61">
        <f>16.8006 * CHOOSE(CONTROL!$C$19, $C$13, 100%, $E$13)</f>
        <v>16.800599999999999</v>
      </c>
      <c r="G926" s="61">
        <f>16.8008 * CHOOSE(CONTROL!$C$19, $C$13, 100%, $E$13)</f>
        <v>16.800799999999999</v>
      </c>
      <c r="H926" s="61">
        <f>23.005* CHOOSE(CONTROL!$C$19, $C$13, 100%, $E$13)</f>
        <v>23.004999999999999</v>
      </c>
      <c r="I926" s="61">
        <f>23.0052 * CHOOSE(CONTROL!$C$19, $C$13, 100%, $E$13)</f>
        <v>23.005199999999999</v>
      </c>
      <c r="J926" s="61">
        <f>16.8006 * CHOOSE(CONTROL!$C$19, $C$13, 100%, $E$13)</f>
        <v>16.800599999999999</v>
      </c>
      <c r="K926" s="61">
        <f>16.8008 * CHOOSE(CONTROL!$C$19, $C$13, 100%, $E$13)</f>
        <v>16.800799999999999</v>
      </c>
    </row>
    <row r="927" spans="1:11" ht="15">
      <c r="A927" s="13">
        <v>70068</v>
      </c>
      <c r="B927" s="60">
        <f>13.8772 * CHOOSE(CONTROL!$C$19, $C$13, 100%, $E$13)</f>
        <v>13.8772</v>
      </c>
      <c r="C927" s="60">
        <f>13.8772 * CHOOSE(CONTROL!$C$19, $C$13, 100%, $E$13)</f>
        <v>13.8772</v>
      </c>
      <c r="D927" s="60">
        <f>13.8941 * CHOOSE(CONTROL!$C$19, $C$13, 100%, $E$13)</f>
        <v>13.8941</v>
      </c>
      <c r="E927" s="61">
        <f>16.8608 * CHOOSE(CONTROL!$C$19, $C$13, 100%, $E$13)</f>
        <v>16.860800000000001</v>
      </c>
      <c r="F927" s="61">
        <f>16.8608 * CHOOSE(CONTROL!$C$19, $C$13, 100%, $E$13)</f>
        <v>16.860800000000001</v>
      </c>
      <c r="G927" s="61">
        <f>16.861 * CHOOSE(CONTROL!$C$19, $C$13, 100%, $E$13)</f>
        <v>16.861000000000001</v>
      </c>
      <c r="H927" s="61">
        <f>23.0529* CHOOSE(CONTROL!$C$19, $C$13, 100%, $E$13)</f>
        <v>23.052900000000001</v>
      </c>
      <c r="I927" s="61">
        <f>23.0531 * CHOOSE(CONTROL!$C$19, $C$13, 100%, $E$13)</f>
        <v>23.053100000000001</v>
      </c>
      <c r="J927" s="61">
        <f>16.8608 * CHOOSE(CONTROL!$C$19, $C$13, 100%, $E$13)</f>
        <v>16.860800000000001</v>
      </c>
      <c r="K927" s="61">
        <f>16.861 * CHOOSE(CONTROL!$C$19, $C$13, 100%, $E$13)</f>
        <v>16.861000000000001</v>
      </c>
    </row>
    <row r="928" spans="1:11" ht="15">
      <c r="A928" s="13">
        <v>70098</v>
      </c>
      <c r="B928" s="60">
        <f>13.8772 * CHOOSE(CONTROL!$C$19, $C$13, 100%, $E$13)</f>
        <v>13.8772</v>
      </c>
      <c r="C928" s="60">
        <f>13.8772 * CHOOSE(CONTROL!$C$19, $C$13, 100%, $E$13)</f>
        <v>13.8772</v>
      </c>
      <c r="D928" s="60">
        <f>13.8941 * CHOOSE(CONTROL!$C$19, $C$13, 100%, $E$13)</f>
        <v>13.8941</v>
      </c>
      <c r="E928" s="61">
        <f>16.7156 * CHOOSE(CONTROL!$C$19, $C$13, 100%, $E$13)</f>
        <v>16.715599999999998</v>
      </c>
      <c r="F928" s="61">
        <f>16.7156 * CHOOSE(CONTROL!$C$19, $C$13, 100%, $E$13)</f>
        <v>16.715599999999998</v>
      </c>
      <c r="G928" s="61">
        <f>16.7157 * CHOOSE(CONTROL!$C$19, $C$13, 100%, $E$13)</f>
        <v>16.715699999999998</v>
      </c>
      <c r="H928" s="61">
        <f>23.101* CHOOSE(CONTROL!$C$19, $C$13, 100%, $E$13)</f>
        <v>23.100999999999999</v>
      </c>
      <c r="I928" s="61">
        <f>23.1011 * CHOOSE(CONTROL!$C$19, $C$13, 100%, $E$13)</f>
        <v>23.101099999999999</v>
      </c>
      <c r="J928" s="61">
        <f>16.7156 * CHOOSE(CONTROL!$C$19, $C$13, 100%, $E$13)</f>
        <v>16.715599999999998</v>
      </c>
      <c r="K928" s="61">
        <f>16.7157 * CHOOSE(CONTROL!$C$19, $C$13, 100%, $E$13)</f>
        <v>16.715699999999998</v>
      </c>
    </row>
    <row r="929" spans="1:11" ht="15">
      <c r="A929" s="13">
        <v>70129</v>
      </c>
      <c r="B929" s="60">
        <f>13.8394 * CHOOSE(CONTROL!$C$19, $C$13, 100%, $E$13)</f>
        <v>13.839399999999999</v>
      </c>
      <c r="C929" s="60">
        <f>13.8394 * CHOOSE(CONTROL!$C$19, $C$13, 100%, $E$13)</f>
        <v>13.839399999999999</v>
      </c>
      <c r="D929" s="60">
        <f>13.8562 * CHOOSE(CONTROL!$C$19, $C$13, 100%, $E$13)</f>
        <v>13.856199999999999</v>
      </c>
      <c r="E929" s="61">
        <f>16.7659 * CHOOSE(CONTROL!$C$19, $C$13, 100%, $E$13)</f>
        <v>16.765899999999998</v>
      </c>
      <c r="F929" s="61">
        <f>16.7659 * CHOOSE(CONTROL!$C$19, $C$13, 100%, $E$13)</f>
        <v>16.765899999999998</v>
      </c>
      <c r="G929" s="61">
        <f>16.7661 * CHOOSE(CONTROL!$C$19, $C$13, 100%, $E$13)</f>
        <v>16.766100000000002</v>
      </c>
      <c r="H929" s="61">
        <f>22.9028* CHOOSE(CONTROL!$C$19, $C$13, 100%, $E$13)</f>
        <v>22.902799999999999</v>
      </c>
      <c r="I929" s="61">
        <f>22.903 * CHOOSE(CONTROL!$C$19, $C$13, 100%, $E$13)</f>
        <v>22.902999999999999</v>
      </c>
      <c r="J929" s="61">
        <f>16.7659 * CHOOSE(CONTROL!$C$19, $C$13, 100%, $E$13)</f>
        <v>16.765899999999998</v>
      </c>
      <c r="K929" s="61">
        <f>16.7661 * CHOOSE(CONTROL!$C$19, $C$13, 100%, $E$13)</f>
        <v>16.766100000000002</v>
      </c>
    </row>
    <row r="930" spans="1:11" ht="15">
      <c r="A930" s="13">
        <v>70160</v>
      </c>
      <c r="B930" s="60">
        <f>13.8363 * CHOOSE(CONTROL!$C$19, $C$13, 100%, $E$13)</f>
        <v>13.8363</v>
      </c>
      <c r="C930" s="60">
        <f>13.8363 * CHOOSE(CONTROL!$C$19, $C$13, 100%, $E$13)</f>
        <v>13.8363</v>
      </c>
      <c r="D930" s="60">
        <f>13.8532 * CHOOSE(CONTROL!$C$19, $C$13, 100%, $E$13)</f>
        <v>13.853199999999999</v>
      </c>
      <c r="E930" s="61">
        <f>16.4848 * CHOOSE(CONTROL!$C$19, $C$13, 100%, $E$13)</f>
        <v>16.4848</v>
      </c>
      <c r="F930" s="61">
        <f>16.4848 * CHOOSE(CONTROL!$C$19, $C$13, 100%, $E$13)</f>
        <v>16.4848</v>
      </c>
      <c r="G930" s="61">
        <f>16.485 * CHOOSE(CONTROL!$C$19, $C$13, 100%, $E$13)</f>
        <v>16.484999999999999</v>
      </c>
      <c r="H930" s="61">
        <f>22.9505* CHOOSE(CONTROL!$C$19, $C$13, 100%, $E$13)</f>
        <v>22.950500000000002</v>
      </c>
      <c r="I930" s="61">
        <f>22.9507 * CHOOSE(CONTROL!$C$19, $C$13, 100%, $E$13)</f>
        <v>22.950700000000001</v>
      </c>
      <c r="J930" s="61">
        <f>16.4848 * CHOOSE(CONTROL!$C$19, $C$13, 100%, $E$13)</f>
        <v>16.4848</v>
      </c>
      <c r="K930" s="61">
        <f>16.485 * CHOOSE(CONTROL!$C$19, $C$13, 100%, $E$13)</f>
        <v>16.484999999999999</v>
      </c>
    </row>
    <row r="931" spans="1:11" ht="15">
      <c r="A931" s="13">
        <v>70189</v>
      </c>
      <c r="B931" s="60">
        <f>13.8333 * CHOOSE(CONTROL!$C$19, $C$13, 100%, $E$13)</f>
        <v>13.833299999999999</v>
      </c>
      <c r="C931" s="60">
        <f>13.8333 * CHOOSE(CONTROL!$C$19, $C$13, 100%, $E$13)</f>
        <v>13.833299999999999</v>
      </c>
      <c r="D931" s="60">
        <f>13.8501 * CHOOSE(CONTROL!$C$19, $C$13, 100%, $E$13)</f>
        <v>13.850099999999999</v>
      </c>
      <c r="E931" s="61">
        <f>16.7026 * CHOOSE(CONTROL!$C$19, $C$13, 100%, $E$13)</f>
        <v>16.7026</v>
      </c>
      <c r="F931" s="61">
        <f>16.7026 * CHOOSE(CONTROL!$C$19, $C$13, 100%, $E$13)</f>
        <v>16.7026</v>
      </c>
      <c r="G931" s="61">
        <f>16.7028 * CHOOSE(CONTROL!$C$19, $C$13, 100%, $E$13)</f>
        <v>16.7028</v>
      </c>
      <c r="H931" s="61">
        <f>22.9983* CHOOSE(CONTROL!$C$19, $C$13, 100%, $E$13)</f>
        <v>22.9983</v>
      </c>
      <c r="I931" s="61">
        <f>22.9985 * CHOOSE(CONTROL!$C$19, $C$13, 100%, $E$13)</f>
        <v>22.9985</v>
      </c>
      <c r="J931" s="61">
        <f>16.7026 * CHOOSE(CONTROL!$C$19, $C$13, 100%, $E$13)</f>
        <v>16.7026</v>
      </c>
      <c r="K931" s="61">
        <f>16.7028 * CHOOSE(CONTROL!$C$19, $C$13, 100%, $E$13)</f>
        <v>16.7028</v>
      </c>
    </row>
    <row r="932" spans="1:11" ht="15">
      <c r="A932" s="13">
        <v>70220</v>
      </c>
      <c r="B932" s="60">
        <f>13.8407 * CHOOSE(CONTROL!$C$19, $C$13, 100%, $E$13)</f>
        <v>13.8407</v>
      </c>
      <c r="C932" s="60">
        <f>13.8407 * CHOOSE(CONTROL!$C$19, $C$13, 100%, $E$13)</f>
        <v>13.8407</v>
      </c>
      <c r="D932" s="60">
        <f>13.8575 * CHOOSE(CONTROL!$C$19, $C$13, 100%, $E$13)</f>
        <v>13.8575</v>
      </c>
      <c r="E932" s="61">
        <f>16.9346 * CHOOSE(CONTROL!$C$19, $C$13, 100%, $E$13)</f>
        <v>16.9346</v>
      </c>
      <c r="F932" s="61">
        <f>16.9346 * CHOOSE(CONTROL!$C$19, $C$13, 100%, $E$13)</f>
        <v>16.9346</v>
      </c>
      <c r="G932" s="61">
        <f>16.9348 * CHOOSE(CONTROL!$C$19, $C$13, 100%, $E$13)</f>
        <v>16.934799999999999</v>
      </c>
      <c r="H932" s="61">
        <f>23.0462* CHOOSE(CONTROL!$C$19, $C$13, 100%, $E$13)</f>
        <v>23.046199999999999</v>
      </c>
      <c r="I932" s="61">
        <f>23.0464 * CHOOSE(CONTROL!$C$19, $C$13, 100%, $E$13)</f>
        <v>23.046399999999998</v>
      </c>
      <c r="J932" s="61">
        <f>16.9346 * CHOOSE(CONTROL!$C$19, $C$13, 100%, $E$13)</f>
        <v>16.9346</v>
      </c>
      <c r="K932" s="61">
        <f>16.9348 * CHOOSE(CONTROL!$C$19, $C$13, 100%, $E$13)</f>
        <v>16.934799999999999</v>
      </c>
    </row>
    <row r="933" spans="1:11" ht="15">
      <c r="A933" s="13">
        <v>70250</v>
      </c>
      <c r="B933" s="60">
        <f>13.8407 * CHOOSE(CONTROL!$C$19, $C$13, 100%, $E$13)</f>
        <v>13.8407</v>
      </c>
      <c r="C933" s="60">
        <f>13.8407 * CHOOSE(CONTROL!$C$19, $C$13, 100%, $E$13)</f>
        <v>13.8407</v>
      </c>
      <c r="D933" s="60">
        <f>13.8743 * CHOOSE(CONTROL!$C$19, $C$13, 100%, $E$13)</f>
        <v>13.8743</v>
      </c>
      <c r="E933" s="61">
        <f>17.0232 * CHOOSE(CONTROL!$C$19, $C$13, 100%, $E$13)</f>
        <v>17.023199999999999</v>
      </c>
      <c r="F933" s="61">
        <f>17.0232 * CHOOSE(CONTROL!$C$19, $C$13, 100%, $E$13)</f>
        <v>17.023199999999999</v>
      </c>
      <c r="G933" s="61">
        <f>17.0252 * CHOOSE(CONTROL!$C$19, $C$13, 100%, $E$13)</f>
        <v>17.025200000000002</v>
      </c>
      <c r="H933" s="61">
        <f>23.0942* CHOOSE(CONTROL!$C$19, $C$13, 100%, $E$13)</f>
        <v>23.094200000000001</v>
      </c>
      <c r="I933" s="61">
        <f>23.0963 * CHOOSE(CONTROL!$C$19, $C$13, 100%, $E$13)</f>
        <v>23.096299999999999</v>
      </c>
      <c r="J933" s="61">
        <f>17.0232 * CHOOSE(CONTROL!$C$19, $C$13, 100%, $E$13)</f>
        <v>17.023199999999999</v>
      </c>
      <c r="K933" s="61">
        <f>17.0252 * CHOOSE(CONTROL!$C$19, $C$13, 100%, $E$13)</f>
        <v>17.025200000000002</v>
      </c>
    </row>
    <row r="934" spans="1:11" ht="15">
      <c r="A934" s="13">
        <v>70281</v>
      </c>
      <c r="B934" s="60">
        <f>13.8467 * CHOOSE(CONTROL!$C$19, $C$13, 100%, $E$13)</f>
        <v>13.8467</v>
      </c>
      <c r="C934" s="60">
        <f>13.8467 * CHOOSE(CONTROL!$C$19, $C$13, 100%, $E$13)</f>
        <v>13.8467</v>
      </c>
      <c r="D934" s="60">
        <f>13.8804 * CHOOSE(CONTROL!$C$19, $C$13, 100%, $E$13)</f>
        <v>13.8804</v>
      </c>
      <c r="E934" s="61">
        <f>16.9388 * CHOOSE(CONTROL!$C$19, $C$13, 100%, $E$13)</f>
        <v>16.938800000000001</v>
      </c>
      <c r="F934" s="61">
        <f>16.9388 * CHOOSE(CONTROL!$C$19, $C$13, 100%, $E$13)</f>
        <v>16.938800000000001</v>
      </c>
      <c r="G934" s="61">
        <f>16.9409 * CHOOSE(CONTROL!$C$19, $C$13, 100%, $E$13)</f>
        <v>16.940899999999999</v>
      </c>
      <c r="H934" s="61">
        <f>23.1423* CHOOSE(CONTROL!$C$19, $C$13, 100%, $E$13)</f>
        <v>23.142299999999999</v>
      </c>
      <c r="I934" s="61">
        <f>23.1444 * CHOOSE(CONTROL!$C$19, $C$13, 100%, $E$13)</f>
        <v>23.144400000000001</v>
      </c>
      <c r="J934" s="61">
        <f>16.9388 * CHOOSE(CONTROL!$C$19, $C$13, 100%, $E$13)</f>
        <v>16.938800000000001</v>
      </c>
      <c r="K934" s="61">
        <f>16.9409 * CHOOSE(CONTROL!$C$19, $C$13, 100%, $E$13)</f>
        <v>16.940899999999999</v>
      </c>
    </row>
    <row r="935" spans="1:11" ht="15">
      <c r="A935" s="13">
        <v>70311</v>
      </c>
      <c r="B935" s="60">
        <f>14.0374 * CHOOSE(CONTROL!$C$19, $C$13, 100%, $E$13)</f>
        <v>14.0374</v>
      </c>
      <c r="C935" s="60">
        <f>14.0374 * CHOOSE(CONTROL!$C$19, $C$13, 100%, $E$13)</f>
        <v>14.0374</v>
      </c>
      <c r="D935" s="60">
        <f>14.0711 * CHOOSE(CONTROL!$C$19, $C$13, 100%, $E$13)</f>
        <v>14.071099999999999</v>
      </c>
      <c r="E935" s="61">
        <f>17.2449 * CHOOSE(CONTROL!$C$19, $C$13, 100%, $E$13)</f>
        <v>17.244900000000001</v>
      </c>
      <c r="F935" s="61">
        <f>17.2449 * CHOOSE(CONTROL!$C$19, $C$13, 100%, $E$13)</f>
        <v>17.244900000000001</v>
      </c>
      <c r="G935" s="61">
        <f>17.247 * CHOOSE(CONTROL!$C$19, $C$13, 100%, $E$13)</f>
        <v>17.247</v>
      </c>
      <c r="H935" s="61">
        <f>23.1906* CHOOSE(CONTROL!$C$19, $C$13, 100%, $E$13)</f>
        <v>23.1906</v>
      </c>
      <c r="I935" s="61">
        <f>23.1926 * CHOOSE(CONTROL!$C$19, $C$13, 100%, $E$13)</f>
        <v>23.192599999999999</v>
      </c>
      <c r="J935" s="61">
        <f>17.2449 * CHOOSE(CONTROL!$C$19, $C$13, 100%, $E$13)</f>
        <v>17.244900000000001</v>
      </c>
      <c r="K935" s="61">
        <f>17.247 * CHOOSE(CONTROL!$C$19, $C$13, 100%, $E$13)</f>
        <v>17.247</v>
      </c>
    </row>
    <row r="936" spans="1:11" ht="15">
      <c r="A936" s="13">
        <v>70342</v>
      </c>
      <c r="B936" s="60">
        <f>14.0441 * CHOOSE(CONTROL!$C$19, $C$13, 100%, $E$13)</f>
        <v>14.0441</v>
      </c>
      <c r="C936" s="60">
        <f>14.0441 * CHOOSE(CONTROL!$C$19, $C$13, 100%, $E$13)</f>
        <v>14.0441</v>
      </c>
      <c r="D936" s="60">
        <f>14.0778 * CHOOSE(CONTROL!$C$19, $C$13, 100%, $E$13)</f>
        <v>14.0778</v>
      </c>
      <c r="E936" s="61">
        <f>16.9838 * CHOOSE(CONTROL!$C$19, $C$13, 100%, $E$13)</f>
        <v>16.983799999999999</v>
      </c>
      <c r="F936" s="61">
        <f>16.9838 * CHOOSE(CONTROL!$C$19, $C$13, 100%, $E$13)</f>
        <v>16.983799999999999</v>
      </c>
      <c r="G936" s="61">
        <f>16.9859 * CHOOSE(CONTROL!$C$19, $C$13, 100%, $E$13)</f>
        <v>16.985900000000001</v>
      </c>
      <c r="H936" s="61">
        <f>23.2389* CHOOSE(CONTROL!$C$19, $C$13, 100%, $E$13)</f>
        <v>23.238900000000001</v>
      </c>
      <c r="I936" s="61">
        <f>23.241 * CHOOSE(CONTROL!$C$19, $C$13, 100%, $E$13)</f>
        <v>23.241</v>
      </c>
      <c r="J936" s="61">
        <f>16.9838 * CHOOSE(CONTROL!$C$19, $C$13, 100%, $E$13)</f>
        <v>16.983799999999999</v>
      </c>
      <c r="K936" s="61">
        <f>16.9859 * CHOOSE(CONTROL!$C$19, $C$13, 100%, $E$13)</f>
        <v>16.985900000000001</v>
      </c>
    </row>
    <row r="937" spans="1:11" ht="15">
      <c r="A937" s="13">
        <v>70373</v>
      </c>
      <c r="B937" s="60">
        <f>14.0411 * CHOOSE(CONTROL!$C$19, $C$13, 100%, $E$13)</f>
        <v>14.0411</v>
      </c>
      <c r="C937" s="60">
        <f>14.0411 * CHOOSE(CONTROL!$C$19, $C$13, 100%, $E$13)</f>
        <v>14.0411</v>
      </c>
      <c r="D937" s="60">
        <f>14.0747 * CHOOSE(CONTROL!$C$19, $C$13, 100%, $E$13)</f>
        <v>14.0747</v>
      </c>
      <c r="E937" s="61">
        <f>16.9522 * CHOOSE(CONTROL!$C$19, $C$13, 100%, $E$13)</f>
        <v>16.952200000000001</v>
      </c>
      <c r="F937" s="61">
        <f>16.9522 * CHOOSE(CONTROL!$C$19, $C$13, 100%, $E$13)</f>
        <v>16.952200000000001</v>
      </c>
      <c r="G937" s="61">
        <f>16.9543 * CHOOSE(CONTROL!$C$19, $C$13, 100%, $E$13)</f>
        <v>16.9543</v>
      </c>
      <c r="H937" s="61">
        <f>23.2873* CHOOSE(CONTROL!$C$19, $C$13, 100%, $E$13)</f>
        <v>23.287299999999998</v>
      </c>
      <c r="I937" s="61">
        <f>23.2894 * CHOOSE(CONTROL!$C$19, $C$13, 100%, $E$13)</f>
        <v>23.289400000000001</v>
      </c>
      <c r="J937" s="61">
        <f>16.9522 * CHOOSE(CONTROL!$C$19, $C$13, 100%, $E$13)</f>
        <v>16.952200000000001</v>
      </c>
      <c r="K937" s="61">
        <f>16.9543 * CHOOSE(CONTROL!$C$19, $C$13, 100%, $E$13)</f>
        <v>16.9543</v>
      </c>
    </row>
    <row r="938" spans="1:11" ht="15">
      <c r="A938" s="13">
        <v>70403</v>
      </c>
      <c r="B938" s="60">
        <f>14.0743 * CHOOSE(CONTROL!$C$19, $C$13, 100%, $E$13)</f>
        <v>14.074299999999999</v>
      </c>
      <c r="C938" s="60">
        <f>14.0743 * CHOOSE(CONTROL!$C$19, $C$13, 100%, $E$13)</f>
        <v>14.074299999999999</v>
      </c>
      <c r="D938" s="60">
        <f>14.0911 * CHOOSE(CONTROL!$C$19, $C$13, 100%, $E$13)</f>
        <v>14.091100000000001</v>
      </c>
      <c r="E938" s="61">
        <f>17.0569 * CHOOSE(CONTROL!$C$19, $C$13, 100%, $E$13)</f>
        <v>17.056899999999999</v>
      </c>
      <c r="F938" s="61">
        <f>17.0569 * CHOOSE(CONTROL!$C$19, $C$13, 100%, $E$13)</f>
        <v>17.056899999999999</v>
      </c>
      <c r="G938" s="61">
        <f>17.057 * CHOOSE(CONTROL!$C$19, $C$13, 100%, $E$13)</f>
        <v>17.056999999999999</v>
      </c>
      <c r="H938" s="61">
        <f>23.3358* CHOOSE(CONTROL!$C$19, $C$13, 100%, $E$13)</f>
        <v>23.335799999999999</v>
      </c>
      <c r="I938" s="61">
        <f>23.336 * CHOOSE(CONTROL!$C$19, $C$13, 100%, $E$13)</f>
        <v>23.335999999999999</v>
      </c>
      <c r="J938" s="61">
        <f>17.0569 * CHOOSE(CONTROL!$C$19, $C$13, 100%, $E$13)</f>
        <v>17.056899999999999</v>
      </c>
      <c r="K938" s="61">
        <f>17.057 * CHOOSE(CONTROL!$C$19, $C$13, 100%, $E$13)</f>
        <v>17.056999999999999</v>
      </c>
    </row>
    <row r="939" spans="1:11" ht="15">
      <c r="A939" s="13">
        <v>70434</v>
      </c>
      <c r="B939" s="60">
        <f>14.0773 * CHOOSE(CONTROL!$C$19, $C$13, 100%, $E$13)</f>
        <v>14.077299999999999</v>
      </c>
      <c r="C939" s="60">
        <f>14.0773 * CHOOSE(CONTROL!$C$19, $C$13, 100%, $E$13)</f>
        <v>14.077299999999999</v>
      </c>
      <c r="D939" s="60">
        <f>14.0941 * CHOOSE(CONTROL!$C$19, $C$13, 100%, $E$13)</f>
        <v>14.094099999999999</v>
      </c>
      <c r="E939" s="61">
        <f>17.118 * CHOOSE(CONTROL!$C$19, $C$13, 100%, $E$13)</f>
        <v>17.117999999999999</v>
      </c>
      <c r="F939" s="61">
        <f>17.118 * CHOOSE(CONTROL!$C$19, $C$13, 100%, $E$13)</f>
        <v>17.117999999999999</v>
      </c>
      <c r="G939" s="61">
        <f>17.1182 * CHOOSE(CONTROL!$C$19, $C$13, 100%, $E$13)</f>
        <v>17.118200000000002</v>
      </c>
      <c r="H939" s="61">
        <f>23.3844* CHOOSE(CONTROL!$C$19, $C$13, 100%, $E$13)</f>
        <v>23.384399999999999</v>
      </c>
      <c r="I939" s="61">
        <f>23.3846 * CHOOSE(CONTROL!$C$19, $C$13, 100%, $E$13)</f>
        <v>23.384599999999999</v>
      </c>
      <c r="J939" s="61">
        <f>17.118 * CHOOSE(CONTROL!$C$19, $C$13, 100%, $E$13)</f>
        <v>17.117999999999999</v>
      </c>
      <c r="K939" s="61">
        <f>17.1182 * CHOOSE(CONTROL!$C$19, $C$13, 100%, $E$13)</f>
        <v>17.118200000000002</v>
      </c>
    </row>
    <row r="940" spans="1:11" ht="15">
      <c r="A940" s="13">
        <v>70464</v>
      </c>
      <c r="B940" s="60">
        <f>14.0773 * CHOOSE(CONTROL!$C$19, $C$13, 100%, $E$13)</f>
        <v>14.077299999999999</v>
      </c>
      <c r="C940" s="60">
        <f>14.0773 * CHOOSE(CONTROL!$C$19, $C$13, 100%, $E$13)</f>
        <v>14.077299999999999</v>
      </c>
      <c r="D940" s="60">
        <f>14.0941 * CHOOSE(CONTROL!$C$19, $C$13, 100%, $E$13)</f>
        <v>14.094099999999999</v>
      </c>
      <c r="E940" s="61">
        <f>16.9704 * CHOOSE(CONTROL!$C$19, $C$13, 100%, $E$13)</f>
        <v>16.970400000000001</v>
      </c>
      <c r="F940" s="61">
        <f>16.9704 * CHOOSE(CONTROL!$C$19, $C$13, 100%, $E$13)</f>
        <v>16.970400000000001</v>
      </c>
      <c r="G940" s="61">
        <f>16.9706 * CHOOSE(CONTROL!$C$19, $C$13, 100%, $E$13)</f>
        <v>16.970600000000001</v>
      </c>
      <c r="H940" s="61">
        <f>23.4331* CHOOSE(CONTROL!$C$19, $C$13, 100%, $E$13)</f>
        <v>23.4331</v>
      </c>
      <c r="I940" s="61">
        <f>23.4333 * CHOOSE(CONTROL!$C$19, $C$13, 100%, $E$13)</f>
        <v>23.433299999999999</v>
      </c>
      <c r="J940" s="61">
        <f>16.9704 * CHOOSE(CONTROL!$C$19, $C$13, 100%, $E$13)</f>
        <v>16.970400000000001</v>
      </c>
      <c r="K940" s="61">
        <f>16.9706 * CHOOSE(CONTROL!$C$19, $C$13, 100%, $E$13)</f>
        <v>16.970600000000001</v>
      </c>
    </row>
    <row r="941" spans="1:11" ht="15">
      <c r="A941" s="13">
        <v>70495</v>
      </c>
      <c r="B941" s="60">
        <f>14.036 * CHOOSE(CONTROL!$C$19, $C$13, 100%, $E$13)</f>
        <v>14.036</v>
      </c>
      <c r="C941" s="60">
        <f>14.036 * CHOOSE(CONTROL!$C$19, $C$13, 100%, $E$13)</f>
        <v>14.036</v>
      </c>
      <c r="D941" s="60">
        <f>14.0528 * CHOOSE(CONTROL!$C$19, $C$13, 100%, $E$13)</f>
        <v>14.0528</v>
      </c>
      <c r="E941" s="61">
        <f>17.0178 * CHOOSE(CONTROL!$C$19, $C$13, 100%, $E$13)</f>
        <v>17.017800000000001</v>
      </c>
      <c r="F941" s="61">
        <f>17.0178 * CHOOSE(CONTROL!$C$19, $C$13, 100%, $E$13)</f>
        <v>17.017800000000001</v>
      </c>
      <c r="G941" s="61">
        <f>17.0179 * CHOOSE(CONTROL!$C$19, $C$13, 100%, $E$13)</f>
        <v>17.017900000000001</v>
      </c>
      <c r="H941" s="61">
        <f>23.2274* CHOOSE(CONTROL!$C$19, $C$13, 100%, $E$13)</f>
        <v>23.227399999999999</v>
      </c>
      <c r="I941" s="61">
        <f>23.2276 * CHOOSE(CONTROL!$C$19, $C$13, 100%, $E$13)</f>
        <v>23.227599999999999</v>
      </c>
      <c r="J941" s="61">
        <f>17.0178 * CHOOSE(CONTROL!$C$19, $C$13, 100%, $E$13)</f>
        <v>17.017800000000001</v>
      </c>
      <c r="K941" s="61">
        <f>17.0179 * CHOOSE(CONTROL!$C$19, $C$13, 100%, $E$13)</f>
        <v>17.017900000000001</v>
      </c>
    </row>
    <row r="942" spans="1:11" ht="15">
      <c r="A942" s="13">
        <v>70526</v>
      </c>
      <c r="B942" s="60">
        <f>14.033 * CHOOSE(CONTROL!$C$19, $C$13, 100%, $E$13)</f>
        <v>14.032999999999999</v>
      </c>
      <c r="C942" s="60">
        <f>14.033 * CHOOSE(CONTROL!$C$19, $C$13, 100%, $E$13)</f>
        <v>14.032999999999999</v>
      </c>
      <c r="D942" s="60">
        <f>14.0498 * CHOOSE(CONTROL!$C$19, $C$13, 100%, $E$13)</f>
        <v>14.049799999999999</v>
      </c>
      <c r="E942" s="61">
        <f>16.7322 * CHOOSE(CONTROL!$C$19, $C$13, 100%, $E$13)</f>
        <v>16.732199999999999</v>
      </c>
      <c r="F942" s="61">
        <f>16.7322 * CHOOSE(CONTROL!$C$19, $C$13, 100%, $E$13)</f>
        <v>16.732199999999999</v>
      </c>
      <c r="G942" s="61">
        <f>16.7324 * CHOOSE(CONTROL!$C$19, $C$13, 100%, $E$13)</f>
        <v>16.732399999999998</v>
      </c>
      <c r="H942" s="61">
        <f>23.2758* CHOOSE(CONTROL!$C$19, $C$13, 100%, $E$13)</f>
        <v>23.2758</v>
      </c>
      <c r="I942" s="61">
        <f>23.276 * CHOOSE(CONTROL!$C$19, $C$13, 100%, $E$13)</f>
        <v>23.276</v>
      </c>
      <c r="J942" s="61">
        <f>16.7322 * CHOOSE(CONTROL!$C$19, $C$13, 100%, $E$13)</f>
        <v>16.732199999999999</v>
      </c>
      <c r="K942" s="61">
        <f>16.7324 * CHOOSE(CONTROL!$C$19, $C$13, 100%, $E$13)</f>
        <v>16.732399999999998</v>
      </c>
    </row>
    <row r="943" spans="1:11" ht="15">
      <c r="A943" s="13">
        <v>70554</v>
      </c>
      <c r="B943" s="60">
        <f>14.0299 * CHOOSE(CONTROL!$C$19, $C$13, 100%, $E$13)</f>
        <v>14.0299</v>
      </c>
      <c r="C943" s="60">
        <f>14.0299 * CHOOSE(CONTROL!$C$19, $C$13, 100%, $E$13)</f>
        <v>14.0299</v>
      </c>
      <c r="D943" s="60">
        <f>14.0468 * CHOOSE(CONTROL!$C$19, $C$13, 100%, $E$13)</f>
        <v>14.046799999999999</v>
      </c>
      <c r="E943" s="61">
        <f>16.9535 * CHOOSE(CONTROL!$C$19, $C$13, 100%, $E$13)</f>
        <v>16.953499999999998</v>
      </c>
      <c r="F943" s="61">
        <f>16.9535 * CHOOSE(CONTROL!$C$19, $C$13, 100%, $E$13)</f>
        <v>16.953499999999998</v>
      </c>
      <c r="G943" s="61">
        <f>16.9537 * CHOOSE(CONTROL!$C$19, $C$13, 100%, $E$13)</f>
        <v>16.953700000000001</v>
      </c>
      <c r="H943" s="61">
        <f>23.3243* CHOOSE(CONTROL!$C$19, $C$13, 100%, $E$13)</f>
        <v>23.324300000000001</v>
      </c>
      <c r="I943" s="61">
        <f>23.3245 * CHOOSE(CONTROL!$C$19, $C$13, 100%, $E$13)</f>
        <v>23.3245</v>
      </c>
      <c r="J943" s="61">
        <f>16.9535 * CHOOSE(CONTROL!$C$19, $C$13, 100%, $E$13)</f>
        <v>16.953499999999998</v>
      </c>
      <c r="K943" s="61">
        <f>16.9537 * CHOOSE(CONTROL!$C$19, $C$13, 100%, $E$13)</f>
        <v>16.953700000000001</v>
      </c>
    </row>
    <row r="944" spans="1:11" ht="15">
      <c r="A944" s="13">
        <v>70585</v>
      </c>
      <c r="B944" s="60">
        <f>14.0375 * CHOOSE(CONTROL!$C$19, $C$13, 100%, $E$13)</f>
        <v>14.0375</v>
      </c>
      <c r="C944" s="60">
        <f>14.0375 * CHOOSE(CONTROL!$C$19, $C$13, 100%, $E$13)</f>
        <v>14.0375</v>
      </c>
      <c r="D944" s="60">
        <f>14.0543 * CHOOSE(CONTROL!$C$19, $C$13, 100%, $E$13)</f>
        <v>14.0543</v>
      </c>
      <c r="E944" s="61">
        <f>17.1893 * CHOOSE(CONTROL!$C$19, $C$13, 100%, $E$13)</f>
        <v>17.189299999999999</v>
      </c>
      <c r="F944" s="61">
        <f>17.1893 * CHOOSE(CONTROL!$C$19, $C$13, 100%, $E$13)</f>
        <v>17.189299999999999</v>
      </c>
      <c r="G944" s="61">
        <f>17.1894 * CHOOSE(CONTROL!$C$19, $C$13, 100%, $E$13)</f>
        <v>17.189399999999999</v>
      </c>
      <c r="H944" s="61">
        <f>23.3729* CHOOSE(CONTROL!$C$19, $C$13, 100%, $E$13)</f>
        <v>23.372900000000001</v>
      </c>
      <c r="I944" s="61">
        <f>23.3731 * CHOOSE(CONTROL!$C$19, $C$13, 100%, $E$13)</f>
        <v>23.373100000000001</v>
      </c>
      <c r="J944" s="61">
        <f>17.1893 * CHOOSE(CONTROL!$C$19, $C$13, 100%, $E$13)</f>
        <v>17.189299999999999</v>
      </c>
      <c r="K944" s="61">
        <f>17.1894 * CHOOSE(CONTROL!$C$19, $C$13, 100%, $E$13)</f>
        <v>17.189399999999999</v>
      </c>
    </row>
    <row r="945" spans="1:11" ht="15">
      <c r="A945" s="13">
        <v>70615</v>
      </c>
      <c r="B945" s="60">
        <f>14.0375 * CHOOSE(CONTROL!$C$19, $C$13, 100%, $E$13)</f>
        <v>14.0375</v>
      </c>
      <c r="C945" s="60">
        <f>14.0375 * CHOOSE(CONTROL!$C$19, $C$13, 100%, $E$13)</f>
        <v>14.0375</v>
      </c>
      <c r="D945" s="60">
        <f>14.0711 * CHOOSE(CONTROL!$C$19, $C$13, 100%, $E$13)</f>
        <v>14.071099999999999</v>
      </c>
      <c r="E945" s="61">
        <f>17.2792 * CHOOSE(CONTROL!$C$19, $C$13, 100%, $E$13)</f>
        <v>17.279199999999999</v>
      </c>
      <c r="F945" s="61">
        <f>17.2792 * CHOOSE(CONTROL!$C$19, $C$13, 100%, $E$13)</f>
        <v>17.279199999999999</v>
      </c>
      <c r="G945" s="61">
        <f>17.2813 * CHOOSE(CONTROL!$C$19, $C$13, 100%, $E$13)</f>
        <v>17.281300000000002</v>
      </c>
      <c r="H945" s="61">
        <f>23.4216* CHOOSE(CONTROL!$C$19, $C$13, 100%, $E$13)</f>
        <v>23.421600000000002</v>
      </c>
      <c r="I945" s="61">
        <f>23.4237 * CHOOSE(CONTROL!$C$19, $C$13, 100%, $E$13)</f>
        <v>23.4237</v>
      </c>
      <c r="J945" s="61">
        <f>17.2792 * CHOOSE(CONTROL!$C$19, $C$13, 100%, $E$13)</f>
        <v>17.279199999999999</v>
      </c>
      <c r="K945" s="61">
        <f>17.2813 * CHOOSE(CONTROL!$C$19, $C$13, 100%, $E$13)</f>
        <v>17.281300000000002</v>
      </c>
    </row>
    <row r="946" spans="1:11" ht="15">
      <c r="A946" s="13">
        <v>70646</v>
      </c>
      <c r="B946" s="60">
        <f>14.0436 * CHOOSE(CONTROL!$C$19, $C$13, 100%, $E$13)</f>
        <v>14.0436</v>
      </c>
      <c r="C946" s="60">
        <f>14.0436 * CHOOSE(CONTROL!$C$19, $C$13, 100%, $E$13)</f>
        <v>14.0436</v>
      </c>
      <c r="D946" s="60">
        <f>14.0772 * CHOOSE(CONTROL!$C$19, $C$13, 100%, $E$13)</f>
        <v>14.077199999999999</v>
      </c>
      <c r="E946" s="61">
        <f>17.1935 * CHOOSE(CONTROL!$C$19, $C$13, 100%, $E$13)</f>
        <v>17.1935</v>
      </c>
      <c r="F946" s="61">
        <f>17.1935 * CHOOSE(CONTROL!$C$19, $C$13, 100%, $E$13)</f>
        <v>17.1935</v>
      </c>
      <c r="G946" s="61">
        <f>17.1956 * CHOOSE(CONTROL!$C$19, $C$13, 100%, $E$13)</f>
        <v>17.195599999999999</v>
      </c>
      <c r="H946" s="61">
        <f>23.4704* CHOOSE(CONTROL!$C$19, $C$13, 100%, $E$13)</f>
        <v>23.470400000000001</v>
      </c>
      <c r="I946" s="61">
        <f>23.4725 * CHOOSE(CONTROL!$C$19, $C$13, 100%, $E$13)</f>
        <v>23.4725</v>
      </c>
      <c r="J946" s="61">
        <f>17.1935 * CHOOSE(CONTROL!$C$19, $C$13, 100%, $E$13)</f>
        <v>17.1935</v>
      </c>
      <c r="K946" s="61">
        <f>17.1956 * CHOOSE(CONTROL!$C$19, $C$13, 100%, $E$13)</f>
        <v>17.195599999999999</v>
      </c>
    </row>
    <row r="947" spans="1:11" ht="15">
      <c r="A947" s="13">
        <v>70676</v>
      </c>
      <c r="B947" s="60">
        <f>14.2367 * CHOOSE(CONTROL!$C$19, $C$13, 100%, $E$13)</f>
        <v>14.236700000000001</v>
      </c>
      <c r="C947" s="60">
        <f>14.2367 * CHOOSE(CONTROL!$C$19, $C$13, 100%, $E$13)</f>
        <v>14.236700000000001</v>
      </c>
      <c r="D947" s="60">
        <f>14.2704 * CHOOSE(CONTROL!$C$19, $C$13, 100%, $E$13)</f>
        <v>14.2704</v>
      </c>
      <c r="E947" s="61">
        <f>17.504 * CHOOSE(CONTROL!$C$19, $C$13, 100%, $E$13)</f>
        <v>17.504000000000001</v>
      </c>
      <c r="F947" s="61">
        <f>17.504 * CHOOSE(CONTROL!$C$19, $C$13, 100%, $E$13)</f>
        <v>17.504000000000001</v>
      </c>
      <c r="G947" s="61">
        <f>17.5061 * CHOOSE(CONTROL!$C$19, $C$13, 100%, $E$13)</f>
        <v>17.5061</v>
      </c>
      <c r="H947" s="61">
        <f>23.5193* CHOOSE(CONTROL!$C$19, $C$13, 100%, $E$13)</f>
        <v>23.519300000000001</v>
      </c>
      <c r="I947" s="61">
        <f>23.5214 * CHOOSE(CONTROL!$C$19, $C$13, 100%, $E$13)</f>
        <v>23.5214</v>
      </c>
      <c r="J947" s="61">
        <f>17.504 * CHOOSE(CONTROL!$C$19, $C$13, 100%, $E$13)</f>
        <v>17.504000000000001</v>
      </c>
      <c r="K947" s="61">
        <f>17.5061 * CHOOSE(CONTROL!$C$19, $C$13, 100%, $E$13)</f>
        <v>17.5061</v>
      </c>
    </row>
    <row r="948" spans="1:11" ht="15">
      <c r="A948" s="13">
        <v>70707</v>
      </c>
      <c r="B948" s="60">
        <f>14.2434 * CHOOSE(CONTROL!$C$19, $C$13, 100%, $E$13)</f>
        <v>14.243399999999999</v>
      </c>
      <c r="C948" s="60">
        <f>14.2434 * CHOOSE(CONTROL!$C$19, $C$13, 100%, $E$13)</f>
        <v>14.243399999999999</v>
      </c>
      <c r="D948" s="60">
        <f>14.2771 * CHOOSE(CONTROL!$C$19, $C$13, 100%, $E$13)</f>
        <v>14.277100000000001</v>
      </c>
      <c r="E948" s="61">
        <f>17.2387 * CHOOSE(CONTROL!$C$19, $C$13, 100%, $E$13)</f>
        <v>17.238700000000001</v>
      </c>
      <c r="F948" s="61">
        <f>17.2387 * CHOOSE(CONTROL!$C$19, $C$13, 100%, $E$13)</f>
        <v>17.238700000000001</v>
      </c>
      <c r="G948" s="61">
        <f>17.2408 * CHOOSE(CONTROL!$C$19, $C$13, 100%, $E$13)</f>
        <v>17.2408</v>
      </c>
      <c r="H948" s="61">
        <f>23.5683* CHOOSE(CONTROL!$C$19, $C$13, 100%, $E$13)</f>
        <v>23.568300000000001</v>
      </c>
      <c r="I948" s="61">
        <f>23.5704 * CHOOSE(CONTROL!$C$19, $C$13, 100%, $E$13)</f>
        <v>23.570399999999999</v>
      </c>
      <c r="J948" s="61">
        <f>17.2387 * CHOOSE(CONTROL!$C$19, $C$13, 100%, $E$13)</f>
        <v>17.238700000000001</v>
      </c>
      <c r="K948" s="61">
        <f>17.2408 * CHOOSE(CONTROL!$C$19, $C$13, 100%, $E$13)</f>
        <v>17.2408</v>
      </c>
    </row>
    <row r="949" spans="1:11" ht="15">
      <c r="A949" s="13">
        <v>70738</v>
      </c>
      <c r="B949" s="60">
        <f>14.2404 * CHOOSE(CONTROL!$C$19, $C$13, 100%, $E$13)</f>
        <v>14.240399999999999</v>
      </c>
      <c r="C949" s="60">
        <f>14.2404 * CHOOSE(CONTROL!$C$19, $C$13, 100%, $E$13)</f>
        <v>14.240399999999999</v>
      </c>
      <c r="D949" s="60">
        <f>14.274 * CHOOSE(CONTROL!$C$19, $C$13, 100%, $E$13)</f>
        <v>14.273999999999999</v>
      </c>
      <c r="E949" s="61">
        <f>17.2066 * CHOOSE(CONTROL!$C$19, $C$13, 100%, $E$13)</f>
        <v>17.206600000000002</v>
      </c>
      <c r="F949" s="61">
        <f>17.2066 * CHOOSE(CONTROL!$C$19, $C$13, 100%, $E$13)</f>
        <v>17.206600000000002</v>
      </c>
      <c r="G949" s="61">
        <f>17.2086 * CHOOSE(CONTROL!$C$19, $C$13, 100%, $E$13)</f>
        <v>17.208600000000001</v>
      </c>
      <c r="H949" s="61">
        <f>23.6174* CHOOSE(CONTROL!$C$19, $C$13, 100%, $E$13)</f>
        <v>23.6174</v>
      </c>
      <c r="I949" s="61">
        <f>23.6195 * CHOOSE(CONTROL!$C$19, $C$13, 100%, $E$13)</f>
        <v>23.619499999999999</v>
      </c>
      <c r="J949" s="61">
        <f>17.2066 * CHOOSE(CONTROL!$C$19, $C$13, 100%, $E$13)</f>
        <v>17.206600000000002</v>
      </c>
      <c r="K949" s="61">
        <f>17.2086 * CHOOSE(CONTROL!$C$19, $C$13, 100%, $E$13)</f>
        <v>17.208600000000001</v>
      </c>
    </row>
    <row r="950" spans="1:11" ht="15">
      <c r="A950" s="13">
        <v>70768</v>
      </c>
      <c r="B950" s="60">
        <f>14.2743 * CHOOSE(CONTROL!$C$19, $C$13, 100%, $E$13)</f>
        <v>14.2743</v>
      </c>
      <c r="C950" s="60">
        <f>14.2743 * CHOOSE(CONTROL!$C$19, $C$13, 100%, $E$13)</f>
        <v>14.2743</v>
      </c>
      <c r="D950" s="60">
        <f>14.2912 * CHOOSE(CONTROL!$C$19, $C$13, 100%, $E$13)</f>
        <v>14.2912</v>
      </c>
      <c r="E950" s="61">
        <f>17.3131 * CHOOSE(CONTROL!$C$19, $C$13, 100%, $E$13)</f>
        <v>17.313099999999999</v>
      </c>
      <c r="F950" s="61">
        <f>17.3131 * CHOOSE(CONTROL!$C$19, $C$13, 100%, $E$13)</f>
        <v>17.313099999999999</v>
      </c>
      <c r="G950" s="61">
        <f>17.3133 * CHOOSE(CONTROL!$C$19, $C$13, 100%, $E$13)</f>
        <v>17.313300000000002</v>
      </c>
      <c r="H950" s="61">
        <f>23.6666* CHOOSE(CONTROL!$C$19, $C$13, 100%, $E$13)</f>
        <v>23.666599999999999</v>
      </c>
      <c r="I950" s="61">
        <f>23.6668 * CHOOSE(CONTROL!$C$19, $C$13, 100%, $E$13)</f>
        <v>23.666799999999999</v>
      </c>
      <c r="J950" s="61">
        <f>17.3131 * CHOOSE(CONTROL!$C$19, $C$13, 100%, $E$13)</f>
        <v>17.313099999999999</v>
      </c>
      <c r="K950" s="61">
        <f>17.3133 * CHOOSE(CONTROL!$C$19, $C$13, 100%, $E$13)</f>
        <v>17.313300000000002</v>
      </c>
    </row>
    <row r="951" spans="1:11" ht="15">
      <c r="A951" s="13">
        <v>70799</v>
      </c>
      <c r="B951" s="60">
        <f>14.2774 * CHOOSE(CONTROL!$C$19, $C$13, 100%, $E$13)</f>
        <v>14.2774</v>
      </c>
      <c r="C951" s="60">
        <f>14.2774 * CHOOSE(CONTROL!$C$19, $C$13, 100%, $E$13)</f>
        <v>14.2774</v>
      </c>
      <c r="D951" s="60">
        <f>14.2942 * CHOOSE(CONTROL!$C$19, $C$13, 100%, $E$13)</f>
        <v>14.2942</v>
      </c>
      <c r="E951" s="61">
        <f>17.3752 * CHOOSE(CONTROL!$C$19, $C$13, 100%, $E$13)</f>
        <v>17.3752</v>
      </c>
      <c r="F951" s="61">
        <f>17.3752 * CHOOSE(CONTROL!$C$19, $C$13, 100%, $E$13)</f>
        <v>17.3752</v>
      </c>
      <c r="G951" s="61">
        <f>17.3754 * CHOOSE(CONTROL!$C$19, $C$13, 100%, $E$13)</f>
        <v>17.375399999999999</v>
      </c>
      <c r="H951" s="61">
        <f>23.7159* CHOOSE(CONTROL!$C$19, $C$13, 100%, $E$13)</f>
        <v>23.715900000000001</v>
      </c>
      <c r="I951" s="61">
        <f>23.7161 * CHOOSE(CONTROL!$C$19, $C$13, 100%, $E$13)</f>
        <v>23.716100000000001</v>
      </c>
      <c r="J951" s="61">
        <f>17.3752 * CHOOSE(CONTROL!$C$19, $C$13, 100%, $E$13)</f>
        <v>17.3752</v>
      </c>
      <c r="K951" s="61">
        <f>17.3754 * CHOOSE(CONTROL!$C$19, $C$13, 100%, $E$13)</f>
        <v>17.375399999999999</v>
      </c>
    </row>
    <row r="952" spans="1:11" ht="15">
      <c r="A952" s="13">
        <v>70829</v>
      </c>
      <c r="B952" s="60">
        <f>14.2774 * CHOOSE(CONTROL!$C$19, $C$13, 100%, $E$13)</f>
        <v>14.2774</v>
      </c>
      <c r="C952" s="60">
        <f>14.2774 * CHOOSE(CONTROL!$C$19, $C$13, 100%, $E$13)</f>
        <v>14.2774</v>
      </c>
      <c r="D952" s="60">
        <f>14.2942 * CHOOSE(CONTROL!$C$19, $C$13, 100%, $E$13)</f>
        <v>14.2942</v>
      </c>
      <c r="E952" s="61">
        <f>17.2252 * CHOOSE(CONTROL!$C$19, $C$13, 100%, $E$13)</f>
        <v>17.225200000000001</v>
      </c>
      <c r="F952" s="61">
        <f>17.2252 * CHOOSE(CONTROL!$C$19, $C$13, 100%, $E$13)</f>
        <v>17.225200000000001</v>
      </c>
      <c r="G952" s="61">
        <f>17.2254 * CHOOSE(CONTROL!$C$19, $C$13, 100%, $E$13)</f>
        <v>17.2254</v>
      </c>
      <c r="H952" s="61">
        <f>23.7653* CHOOSE(CONTROL!$C$19, $C$13, 100%, $E$13)</f>
        <v>23.7653</v>
      </c>
      <c r="I952" s="61">
        <f>23.7655 * CHOOSE(CONTROL!$C$19, $C$13, 100%, $E$13)</f>
        <v>23.765499999999999</v>
      </c>
      <c r="J952" s="61">
        <f>17.2252 * CHOOSE(CONTROL!$C$19, $C$13, 100%, $E$13)</f>
        <v>17.225200000000001</v>
      </c>
      <c r="K952" s="61">
        <f>17.2254 * CHOOSE(CONTROL!$C$19, $C$13, 100%, $E$13)</f>
        <v>17.2254</v>
      </c>
    </row>
    <row r="953" spans="1:11" ht="15">
      <c r="A953" s="13">
        <v>70860</v>
      </c>
      <c r="B953" s="60">
        <f>14.2326 * CHOOSE(CONTROL!$C$19, $C$13, 100%, $E$13)</f>
        <v>14.2326</v>
      </c>
      <c r="C953" s="60">
        <f>14.2326 * CHOOSE(CONTROL!$C$19, $C$13, 100%, $E$13)</f>
        <v>14.2326</v>
      </c>
      <c r="D953" s="60">
        <f>14.2495 * CHOOSE(CONTROL!$C$19, $C$13, 100%, $E$13)</f>
        <v>14.249499999999999</v>
      </c>
      <c r="E953" s="61">
        <f>17.2696 * CHOOSE(CONTROL!$C$19, $C$13, 100%, $E$13)</f>
        <v>17.269600000000001</v>
      </c>
      <c r="F953" s="61">
        <f>17.2696 * CHOOSE(CONTROL!$C$19, $C$13, 100%, $E$13)</f>
        <v>17.269600000000001</v>
      </c>
      <c r="G953" s="61">
        <f>17.2698 * CHOOSE(CONTROL!$C$19, $C$13, 100%, $E$13)</f>
        <v>17.2698</v>
      </c>
      <c r="H953" s="61">
        <f>23.5521* CHOOSE(CONTROL!$C$19, $C$13, 100%, $E$13)</f>
        <v>23.552099999999999</v>
      </c>
      <c r="I953" s="61">
        <f>23.5523 * CHOOSE(CONTROL!$C$19, $C$13, 100%, $E$13)</f>
        <v>23.552299999999999</v>
      </c>
      <c r="J953" s="61">
        <f>17.2696 * CHOOSE(CONTROL!$C$19, $C$13, 100%, $E$13)</f>
        <v>17.269600000000001</v>
      </c>
      <c r="K953" s="61">
        <f>17.2698 * CHOOSE(CONTROL!$C$19, $C$13, 100%, $E$13)</f>
        <v>17.2698</v>
      </c>
    </row>
    <row r="954" spans="1:11" ht="15">
      <c r="A954" s="13">
        <v>70891</v>
      </c>
      <c r="B954" s="60">
        <f>14.2296 * CHOOSE(CONTROL!$C$19, $C$13, 100%, $E$13)</f>
        <v>14.2296</v>
      </c>
      <c r="C954" s="60">
        <f>14.2296 * CHOOSE(CONTROL!$C$19, $C$13, 100%, $E$13)</f>
        <v>14.2296</v>
      </c>
      <c r="D954" s="60">
        <f>14.2464 * CHOOSE(CONTROL!$C$19, $C$13, 100%, $E$13)</f>
        <v>14.2464</v>
      </c>
      <c r="E954" s="61">
        <f>16.9796 * CHOOSE(CONTROL!$C$19, $C$13, 100%, $E$13)</f>
        <v>16.979600000000001</v>
      </c>
      <c r="F954" s="61">
        <f>16.9796 * CHOOSE(CONTROL!$C$19, $C$13, 100%, $E$13)</f>
        <v>16.979600000000001</v>
      </c>
      <c r="G954" s="61">
        <f>16.9797 * CHOOSE(CONTROL!$C$19, $C$13, 100%, $E$13)</f>
        <v>16.979700000000001</v>
      </c>
      <c r="H954" s="61">
        <f>23.6012* CHOOSE(CONTROL!$C$19, $C$13, 100%, $E$13)</f>
        <v>23.601199999999999</v>
      </c>
      <c r="I954" s="61">
        <f>23.6013 * CHOOSE(CONTROL!$C$19, $C$13, 100%, $E$13)</f>
        <v>23.601299999999998</v>
      </c>
      <c r="J954" s="61">
        <f>16.9796 * CHOOSE(CONTROL!$C$19, $C$13, 100%, $E$13)</f>
        <v>16.979600000000001</v>
      </c>
      <c r="K954" s="61">
        <f>16.9797 * CHOOSE(CONTROL!$C$19, $C$13, 100%, $E$13)</f>
        <v>16.979700000000001</v>
      </c>
    </row>
    <row r="955" spans="1:11" ht="15">
      <c r="A955" s="13">
        <v>70919</v>
      </c>
      <c r="B955" s="60">
        <f>14.2265 * CHOOSE(CONTROL!$C$19, $C$13, 100%, $E$13)</f>
        <v>14.2265</v>
      </c>
      <c r="C955" s="60">
        <f>14.2265 * CHOOSE(CONTROL!$C$19, $C$13, 100%, $E$13)</f>
        <v>14.2265</v>
      </c>
      <c r="D955" s="60">
        <f>14.2434 * CHOOSE(CONTROL!$C$19, $C$13, 100%, $E$13)</f>
        <v>14.243399999999999</v>
      </c>
      <c r="E955" s="61">
        <f>17.2044 * CHOOSE(CONTROL!$C$19, $C$13, 100%, $E$13)</f>
        <v>17.2044</v>
      </c>
      <c r="F955" s="61">
        <f>17.2044 * CHOOSE(CONTROL!$C$19, $C$13, 100%, $E$13)</f>
        <v>17.2044</v>
      </c>
      <c r="G955" s="61">
        <f>17.2046 * CHOOSE(CONTROL!$C$19, $C$13, 100%, $E$13)</f>
        <v>17.204599999999999</v>
      </c>
      <c r="H955" s="61">
        <f>23.6503* CHOOSE(CONTROL!$C$19, $C$13, 100%, $E$13)</f>
        <v>23.650300000000001</v>
      </c>
      <c r="I955" s="61">
        <f>23.6505 * CHOOSE(CONTROL!$C$19, $C$13, 100%, $E$13)</f>
        <v>23.650500000000001</v>
      </c>
      <c r="J955" s="61">
        <f>17.2044 * CHOOSE(CONTROL!$C$19, $C$13, 100%, $E$13)</f>
        <v>17.2044</v>
      </c>
      <c r="K955" s="61">
        <f>17.2046 * CHOOSE(CONTROL!$C$19, $C$13, 100%, $E$13)</f>
        <v>17.204599999999999</v>
      </c>
    </row>
    <row r="956" spans="1:11" ht="15">
      <c r="A956" s="13">
        <v>70950</v>
      </c>
      <c r="B956" s="60">
        <f>14.2343 * CHOOSE(CONTROL!$C$19, $C$13, 100%, $E$13)</f>
        <v>14.234299999999999</v>
      </c>
      <c r="C956" s="60">
        <f>14.2343 * CHOOSE(CONTROL!$C$19, $C$13, 100%, $E$13)</f>
        <v>14.234299999999999</v>
      </c>
      <c r="D956" s="60">
        <f>14.2511 * CHOOSE(CONTROL!$C$19, $C$13, 100%, $E$13)</f>
        <v>14.251099999999999</v>
      </c>
      <c r="E956" s="61">
        <f>17.4439 * CHOOSE(CONTROL!$C$19, $C$13, 100%, $E$13)</f>
        <v>17.443899999999999</v>
      </c>
      <c r="F956" s="61">
        <f>17.4439 * CHOOSE(CONTROL!$C$19, $C$13, 100%, $E$13)</f>
        <v>17.443899999999999</v>
      </c>
      <c r="G956" s="61">
        <f>17.4441 * CHOOSE(CONTROL!$C$19, $C$13, 100%, $E$13)</f>
        <v>17.444099999999999</v>
      </c>
      <c r="H956" s="61">
        <f>23.6996* CHOOSE(CONTROL!$C$19, $C$13, 100%, $E$13)</f>
        <v>23.6996</v>
      </c>
      <c r="I956" s="61">
        <f>23.6998 * CHOOSE(CONTROL!$C$19, $C$13, 100%, $E$13)</f>
        <v>23.6998</v>
      </c>
      <c r="J956" s="61">
        <f>17.4439 * CHOOSE(CONTROL!$C$19, $C$13, 100%, $E$13)</f>
        <v>17.443899999999999</v>
      </c>
      <c r="K956" s="61">
        <f>17.4441 * CHOOSE(CONTROL!$C$19, $C$13, 100%, $E$13)</f>
        <v>17.444099999999999</v>
      </c>
    </row>
    <row r="957" spans="1:11" ht="15">
      <c r="A957" s="13">
        <v>70980</v>
      </c>
      <c r="B957" s="60">
        <f>14.2343 * CHOOSE(CONTROL!$C$19, $C$13, 100%, $E$13)</f>
        <v>14.234299999999999</v>
      </c>
      <c r="C957" s="60">
        <f>14.2343 * CHOOSE(CONTROL!$C$19, $C$13, 100%, $E$13)</f>
        <v>14.234299999999999</v>
      </c>
      <c r="D957" s="60">
        <f>14.2679 * CHOOSE(CONTROL!$C$19, $C$13, 100%, $E$13)</f>
        <v>14.267899999999999</v>
      </c>
      <c r="E957" s="61">
        <f>17.5353 * CHOOSE(CONTROL!$C$19, $C$13, 100%, $E$13)</f>
        <v>17.535299999999999</v>
      </c>
      <c r="F957" s="61">
        <f>17.5353 * CHOOSE(CONTROL!$C$19, $C$13, 100%, $E$13)</f>
        <v>17.535299999999999</v>
      </c>
      <c r="G957" s="61">
        <f>17.5374 * CHOOSE(CONTROL!$C$19, $C$13, 100%, $E$13)</f>
        <v>17.537400000000002</v>
      </c>
      <c r="H957" s="61">
        <f>23.749* CHOOSE(CONTROL!$C$19, $C$13, 100%, $E$13)</f>
        <v>23.748999999999999</v>
      </c>
      <c r="I957" s="61">
        <f>23.7511 * CHOOSE(CONTROL!$C$19, $C$13, 100%, $E$13)</f>
        <v>23.751100000000001</v>
      </c>
      <c r="J957" s="61">
        <f>17.5353 * CHOOSE(CONTROL!$C$19, $C$13, 100%, $E$13)</f>
        <v>17.535299999999999</v>
      </c>
      <c r="K957" s="61">
        <f>17.5374 * CHOOSE(CONTROL!$C$19, $C$13, 100%, $E$13)</f>
        <v>17.537400000000002</v>
      </c>
    </row>
    <row r="958" spans="1:11" ht="15">
      <c r="A958" s="13">
        <v>71011</v>
      </c>
      <c r="B958" s="60">
        <f>14.2404 * CHOOSE(CONTROL!$C$19, $C$13, 100%, $E$13)</f>
        <v>14.240399999999999</v>
      </c>
      <c r="C958" s="60">
        <f>14.2404 * CHOOSE(CONTROL!$C$19, $C$13, 100%, $E$13)</f>
        <v>14.240399999999999</v>
      </c>
      <c r="D958" s="60">
        <f>14.274 * CHOOSE(CONTROL!$C$19, $C$13, 100%, $E$13)</f>
        <v>14.273999999999999</v>
      </c>
      <c r="E958" s="61">
        <f>17.4482 * CHOOSE(CONTROL!$C$19, $C$13, 100%, $E$13)</f>
        <v>17.4482</v>
      </c>
      <c r="F958" s="61">
        <f>17.4482 * CHOOSE(CONTROL!$C$19, $C$13, 100%, $E$13)</f>
        <v>17.4482</v>
      </c>
      <c r="G958" s="61">
        <f>17.4503 * CHOOSE(CONTROL!$C$19, $C$13, 100%, $E$13)</f>
        <v>17.450299999999999</v>
      </c>
      <c r="H958" s="61">
        <f>23.7985* CHOOSE(CONTROL!$C$19, $C$13, 100%, $E$13)</f>
        <v>23.798500000000001</v>
      </c>
      <c r="I958" s="61">
        <f>23.8005 * CHOOSE(CONTROL!$C$19, $C$13, 100%, $E$13)</f>
        <v>23.8005</v>
      </c>
      <c r="J958" s="61">
        <f>17.4482 * CHOOSE(CONTROL!$C$19, $C$13, 100%, $E$13)</f>
        <v>17.4482</v>
      </c>
      <c r="K958" s="61">
        <f>17.4503 * CHOOSE(CONTROL!$C$19, $C$13, 100%, $E$13)</f>
        <v>17.450299999999999</v>
      </c>
    </row>
    <row r="959" spans="1:11" ht="15">
      <c r="A959" s="13">
        <v>71041</v>
      </c>
      <c r="B959" s="60">
        <f>14.436 * CHOOSE(CONTROL!$C$19, $C$13, 100%, $E$13)</f>
        <v>14.436</v>
      </c>
      <c r="C959" s="60">
        <f>14.436 * CHOOSE(CONTROL!$C$19, $C$13, 100%, $E$13)</f>
        <v>14.436</v>
      </c>
      <c r="D959" s="60">
        <f>14.4697 * CHOOSE(CONTROL!$C$19, $C$13, 100%, $E$13)</f>
        <v>14.4697</v>
      </c>
      <c r="E959" s="61">
        <f>17.7631 * CHOOSE(CONTROL!$C$19, $C$13, 100%, $E$13)</f>
        <v>17.763100000000001</v>
      </c>
      <c r="F959" s="61">
        <f>17.7631 * CHOOSE(CONTROL!$C$19, $C$13, 100%, $E$13)</f>
        <v>17.763100000000001</v>
      </c>
      <c r="G959" s="61">
        <f>17.7652 * CHOOSE(CONTROL!$C$19, $C$13, 100%, $E$13)</f>
        <v>17.7652</v>
      </c>
      <c r="H959" s="61">
        <f>23.848* CHOOSE(CONTROL!$C$19, $C$13, 100%, $E$13)</f>
        <v>23.847999999999999</v>
      </c>
      <c r="I959" s="61">
        <f>23.8501 * CHOOSE(CONTROL!$C$19, $C$13, 100%, $E$13)</f>
        <v>23.850100000000001</v>
      </c>
      <c r="J959" s="61">
        <f>17.7631 * CHOOSE(CONTROL!$C$19, $C$13, 100%, $E$13)</f>
        <v>17.763100000000001</v>
      </c>
      <c r="K959" s="61">
        <f>17.7652 * CHOOSE(CONTROL!$C$19, $C$13, 100%, $E$13)</f>
        <v>17.7652</v>
      </c>
    </row>
    <row r="960" spans="1:11" ht="15">
      <c r="A960" s="13">
        <v>71072</v>
      </c>
      <c r="B960" s="60">
        <f>14.4427 * CHOOSE(CONTROL!$C$19, $C$13, 100%, $E$13)</f>
        <v>14.4427</v>
      </c>
      <c r="C960" s="60">
        <f>14.4427 * CHOOSE(CONTROL!$C$19, $C$13, 100%, $E$13)</f>
        <v>14.4427</v>
      </c>
      <c r="D960" s="60">
        <f>14.4764 * CHOOSE(CONTROL!$C$19, $C$13, 100%, $E$13)</f>
        <v>14.4764</v>
      </c>
      <c r="E960" s="61">
        <f>17.4935 * CHOOSE(CONTROL!$C$19, $C$13, 100%, $E$13)</f>
        <v>17.493500000000001</v>
      </c>
      <c r="F960" s="61">
        <f>17.4935 * CHOOSE(CONTROL!$C$19, $C$13, 100%, $E$13)</f>
        <v>17.493500000000001</v>
      </c>
      <c r="G960" s="61">
        <f>17.4956 * CHOOSE(CONTROL!$C$19, $C$13, 100%, $E$13)</f>
        <v>17.4956</v>
      </c>
      <c r="H960" s="61">
        <f>23.8977* CHOOSE(CONTROL!$C$19, $C$13, 100%, $E$13)</f>
        <v>23.8977</v>
      </c>
      <c r="I960" s="61">
        <f>23.8998 * CHOOSE(CONTROL!$C$19, $C$13, 100%, $E$13)</f>
        <v>23.899799999999999</v>
      </c>
      <c r="J960" s="61">
        <f>17.4935 * CHOOSE(CONTROL!$C$19, $C$13, 100%, $E$13)</f>
        <v>17.493500000000001</v>
      </c>
      <c r="K960" s="61">
        <f>17.4956 * CHOOSE(CONTROL!$C$19, $C$13, 100%, $E$13)</f>
        <v>17.4956</v>
      </c>
    </row>
    <row r="961" spans="1:11" ht="15">
      <c r="A961" s="13">
        <v>71103</v>
      </c>
      <c r="B961" s="60">
        <f>14.4397 * CHOOSE(CONTROL!$C$19, $C$13, 100%, $E$13)</f>
        <v>14.4397</v>
      </c>
      <c r="C961" s="60">
        <f>14.4397 * CHOOSE(CONTROL!$C$19, $C$13, 100%, $E$13)</f>
        <v>14.4397</v>
      </c>
      <c r="D961" s="60">
        <f>14.4734 * CHOOSE(CONTROL!$C$19, $C$13, 100%, $E$13)</f>
        <v>14.4734</v>
      </c>
      <c r="E961" s="61">
        <f>17.4609 * CHOOSE(CONTROL!$C$19, $C$13, 100%, $E$13)</f>
        <v>17.460899999999999</v>
      </c>
      <c r="F961" s="61">
        <f>17.4609 * CHOOSE(CONTROL!$C$19, $C$13, 100%, $E$13)</f>
        <v>17.460899999999999</v>
      </c>
      <c r="G961" s="61">
        <f>17.463 * CHOOSE(CONTROL!$C$19, $C$13, 100%, $E$13)</f>
        <v>17.463000000000001</v>
      </c>
      <c r="H961" s="61">
        <f>23.9475* CHOOSE(CONTROL!$C$19, $C$13, 100%, $E$13)</f>
        <v>23.947500000000002</v>
      </c>
      <c r="I961" s="61">
        <f>23.9496 * CHOOSE(CONTROL!$C$19, $C$13, 100%, $E$13)</f>
        <v>23.9496</v>
      </c>
      <c r="J961" s="61">
        <f>17.4609 * CHOOSE(CONTROL!$C$19, $C$13, 100%, $E$13)</f>
        <v>17.460899999999999</v>
      </c>
      <c r="K961" s="61">
        <f>17.463 * CHOOSE(CONTROL!$C$19, $C$13, 100%, $E$13)</f>
        <v>17.463000000000001</v>
      </c>
    </row>
    <row r="962" spans="1:11" ht="15">
      <c r="A962" s="13">
        <v>71133</v>
      </c>
      <c r="B962" s="60">
        <f>14.4744 * CHOOSE(CONTROL!$C$19, $C$13, 100%, $E$13)</f>
        <v>14.474399999999999</v>
      </c>
      <c r="C962" s="60">
        <f>14.4744 * CHOOSE(CONTROL!$C$19, $C$13, 100%, $E$13)</f>
        <v>14.474399999999999</v>
      </c>
      <c r="D962" s="60">
        <f>14.4912 * CHOOSE(CONTROL!$C$19, $C$13, 100%, $E$13)</f>
        <v>14.491199999999999</v>
      </c>
      <c r="E962" s="61">
        <f>17.5694 * CHOOSE(CONTROL!$C$19, $C$13, 100%, $E$13)</f>
        <v>17.569400000000002</v>
      </c>
      <c r="F962" s="61">
        <f>17.5694 * CHOOSE(CONTROL!$C$19, $C$13, 100%, $E$13)</f>
        <v>17.569400000000002</v>
      </c>
      <c r="G962" s="61">
        <f>17.5696 * CHOOSE(CONTROL!$C$19, $C$13, 100%, $E$13)</f>
        <v>17.569600000000001</v>
      </c>
      <c r="H962" s="61">
        <f>23.9974* CHOOSE(CONTROL!$C$19, $C$13, 100%, $E$13)</f>
        <v>23.997399999999999</v>
      </c>
      <c r="I962" s="61">
        <f>23.9976 * CHOOSE(CONTROL!$C$19, $C$13, 100%, $E$13)</f>
        <v>23.997599999999998</v>
      </c>
      <c r="J962" s="61">
        <f>17.5694 * CHOOSE(CONTROL!$C$19, $C$13, 100%, $E$13)</f>
        <v>17.569400000000002</v>
      </c>
      <c r="K962" s="61">
        <f>17.5696 * CHOOSE(CONTROL!$C$19, $C$13, 100%, $E$13)</f>
        <v>17.569600000000001</v>
      </c>
    </row>
    <row r="963" spans="1:11" ht="15">
      <c r="A963" s="13">
        <v>71164</v>
      </c>
      <c r="B963" s="60">
        <f>14.4774 * CHOOSE(CONTROL!$C$19, $C$13, 100%, $E$13)</f>
        <v>14.477399999999999</v>
      </c>
      <c r="C963" s="60">
        <f>14.4774 * CHOOSE(CONTROL!$C$19, $C$13, 100%, $E$13)</f>
        <v>14.477399999999999</v>
      </c>
      <c r="D963" s="60">
        <f>14.4943 * CHOOSE(CONTROL!$C$19, $C$13, 100%, $E$13)</f>
        <v>14.494300000000001</v>
      </c>
      <c r="E963" s="61">
        <f>17.6324 * CHOOSE(CONTROL!$C$19, $C$13, 100%, $E$13)</f>
        <v>17.632400000000001</v>
      </c>
      <c r="F963" s="61">
        <f>17.6324 * CHOOSE(CONTROL!$C$19, $C$13, 100%, $E$13)</f>
        <v>17.632400000000001</v>
      </c>
      <c r="G963" s="61">
        <f>17.6326 * CHOOSE(CONTROL!$C$19, $C$13, 100%, $E$13)</f>
        <v>17.6326</v>
      </c>
      <c r="H963" s="61">
        <f>24.0474* CHOOSE(CONTROL!$C$19, $C$13, 100%, $E$13)</f>
        <v>24.0474</v>
      </c>
      <c r="I963" s="61">
        <f>24.0476 * CHOOSE(CONTROL!$C$19, $C$13, 100%, $E$13)</f>
        <v>24.047599999999999</v>
      </c>
      <c r="J963" s="61">
        <f>17.6324 * CHOOSE(CONTROL!$C$19, $C$13, 100%, $E$13)</f>
        <v>17.632400000000001</v>
      </c>
      <c r="K963" s="61">
        <f>17.6326 * CHOOSE(CONTROL!$C$19, $C$13, 100%, $E$13)</f>
        <v>17.6326</v>
      </c>
    </row>
    <row r="964" spans="1:11" ht="15">
      <c r="A964" s="13">
        <v>71194</v>
      </c>
      <c r="B964" s="60">
        <f>14.4774 * CHOOSE(CONTROL!$C$19, $C$13, 100%, $E$13)</f>
        <v>14.477399999999999</v>
      </c>
      <c r="C964" s="60">
        <f>14.4774 * CHOOSE(CONTROL!$C$19, $C$13, 100%, $E$13)</f>
        <v>14.477399999999999</v>
      </c>
      <c r="D964" s="60">
        <f>14.4943 * CHOOSE(CONTROL!$C$19, $C$13, 100%, $E$13)</f>
        <v>14.494300000000001</v>
      </c>
      <c r="E964" s="61">
        <f>17.4801 * CHOOSE(CONTROL!$C$19, $C$13, 100%, $E$13)</f>
        <v>17.4801</v>
      </c>
      <c r="F964" s="61">
        <f>17.4801 * CHOOSE(CONTROL!$C$19, $C$13, 100%, $E$13)</f>
        <v>17.4801</v>
      </c>
      <c r="G964" s="61">
        <f>17.4803 * CHOOSE(CONTROL!$C$19, $C$13, 100%, $E$13)</f>
        <v>17.4803</v>
      </c>
      <c r="H964" s="61">
        <f>24.0975* CHOOSE(CONTROL!$C$19, $C$13, 100%, $E$13)</f>
        <v>24.0975</v>
      </c>
      <c r="I964" s="61">
        <f>24.0977 * CHOOSE(CONTROL!$C$19, $C$13, 100%, $E$13)</f>
        <v>24.0977</v>
      </c>
      <c r="J964" s="61">
        <f>17.4801 * CHOOSE(CONTROL!$C$19, $C$13, 100%, $E$13)</f>
        <v>17.4801</v>
      </c>
      <c r="K964" s="61">
        <f>17.4803 * CHOOSE(CONTROL!$C$19, $C$13, 100%, $E$13)</f>
        <v>17.4803</v>
      </c>
    </row>
    <row r="965" spans="1:11" ht="15">
      <c r="A965" s="13">
        <v>71225</v>
      </c>
      <c r="B965" s="60">
        <f>14.4292 * CHOOSE(CONTROL!$C$19, $C$13, 100%, $E$13)</f>
        <v>14.4292</v>
      </c>
      <c r="C965" s="60">
        <f>14.4292 * CHOOSE(CONTROL!$C$19, $C$13, 100%, $E$13)</f>
        <v>14.4292</v>
      </c>
      <c r="D965" s="60">
        <f>14.4461 * CHOOSE(CONTROL!$C$19, $C$13, 100%, $E$13)</f>
        <v>14.446099999999999</v>
      </c>
      <c r="E965" s="61">
        <f>17.5214 * CHOOSE(CONTROL!$C$19, $C$13, 100%, $E$13)</f>
        <v>17.5214</v>
      </c>
      <c r="F965" s="61">
        <f>17.5214 * CHOOSE(CONTROL!$C$19, $C$13, 100%, $E$13)</f>
        <v>17.5214</v>
      </c>
      <c r="G965" s="61">
        <f>17.5216 * CHOOSE(CONTROL!$C$19, $C$13, 100%, $E$13)</f>
        <v>17.521599999999999</v>
      </c>
      <c r="H965" s="61">
        <f>23.8768* CHOOSE(CONTROL!$C$19, $C$13, 100%, $E$13)</f>
        <v>23.876799999999999</v>
      </c>
      <c r="I965" s="61">
        <f>23.8769 * CHOOSE(CONTROL!$C$19, $C$13, 100%, $E$13)</f>
        <v>23.876899999999999</v>
      </c>
      <c r="J965" s="61">
        <f>17.5214 * CHOOSE(CONTROL!$C$19, $C$13, 100%, $E$13)</f>
        <v>17.5214</v>
      </c>
      <c r="K965" s="61">
        <f>17.5216 * CHOOSE(CONTROL!$C$19, $C$13, 100%, $E$13)</f>
        <v>17.521599999999999</v>
      </c>
    </row>
    <row r="966" spans="1:11" ht="15">
      <c r="A966" s="13">
        <v>71256</v>
      </c>
      <c r="B966" s="60">
        <f>14.4262 * CHOOSE(CONTROL!$C$19, $C$13, 100%, $E$13)</f>
        <v>14.4262</v>
      </c>
      <c r="C966" s="60">
        <f>14.4262 * CHOOSE(CONTROL!$C$19, $C$13, 100%, $E$13)</f>
        <v>14.4262</v>
      </c>
      <c r="D966" s="60">
        <f>14.443 * CHOOSE(CONTROL!$C$19, $C$13, 100%, $E$13)</f>
        <v>14.443</v>
      </c>
      <c r="E966" s="61">
        <f>17.2269 * CHOOSE(CONTROL!$C$19, $C$13, 100%, $E$13)</f>
        <v>17.226900000000001</v>
      </c>
      <c r="F966" s="61">
        <f>17.2269 * CHOOSE(CONTROL!$C$19, $C$13, 100%, $E$13)</f>
        <v>17.226900000000001</v>
      </c>
      <c r="G966" s="61">
        <f>17.2271 * CHOOSE(CONTROL!$C$19, $C$13, 100%, $E$13)</f>
        <v>17.2271</v>
      </c>
      <c r="H966" s="61">
        <f>23.9265* CHOOSE(CONTROL!$C$19, $C$13, 100%, $E$13)</f>
        <v>23.926500000000001</v>
      </c>
      <c r="I966" s="61">
        <f>23.9267 * CHOOSE(CONTROL!$C$19, $C$13, 100%, $E$13)</f>
        <v>23.9267</v>
      </c>
      <c r="J966" s="61">
        <f>17.2269 * CHOOSE(CONTROL!$C$19, $C$13, 100%, $E$13)</f>
        <v>17.226900000000001</v>
      </c>
      <c r="K966" s="61">
        <f>17.2271 * CHOOSE(CONTROL!$C$19, $C$13, 100%, $E$13)</f>
        <v>17.2271</v>
      </c>
    </row>
    <row r="967" spans="1:11" ht="15">
      <c r="A967" s="13">
        <v>71284</v>
      </c>
      <c r="B967" s="60">
        <f>14.4232 * CHOOSE(CONTROL!$C$19, $C$13, 100%, $E$13)</f>
        <v>14.4232</v>
      </c>
      <c r="C967" s="60">
        <f>14.4232 * CHOOSE(CONTROL!$C$19, $C$13, 100%, $E$13)</f>
        <v>14.4232</v>
      </c>
      <c r="D967" s="60">
        <f>14.44 * CHOOSE(CONTROL!$C$19, $C$13, 100%, $E$13)</f>
        <v>14.44</v>
      </c>
      <c r="E967" s="61">
        <f>17.4553 * CHOOSE(CONTROL!$C$19, $C$13, 100%, $E$13)</f>
        <v>17.455300000000001</v>
      </c>
      <c r="F967" s="61">
        <f>17.4553 * CHOOSE(CONTROL!$C$19, $C$13, 100%, $E$13)</f>
        <v>17.455300000000001</v>
      </c>
      <c r="G967" s="61">
        <f>17.4555 * CHOOSE(CONTROL!$C$19, $C$13, 100%, $E$13)</f>
        <v>17.455500000000001</v>
      </c>
      <c r="H967" s="61">
        <f>23.9764* CHOOSE(CONTROL!$C$19, $C$13, 100%, $E$13)</f>
        <v>23.976400000000002</v>
      </c>
      <c r="I967" s="61">
        <f>23.9765 * CHOOSE(CONTROL!$C$19, $C$13, 100%, $E$13)</f>
        <v>23.976500000000001</v>
      </c>
      <c r="J967" s="61">
        <f>17.4553 * CHOOSE(CONTROL!$C$19, $C$13, 100%, $E$13)</f>
        <v>17.455300000000001</v>
      </c>
      <c r="K967" s="61">
        <f>17.4555 * CHOOSE(CONTROL!$C$19, $C$13, 100%, $E$13)</f>
        <v>17.455500000000001</v>
      </c>
    </row>
    <row r="968" spans="1:11" ht="15">
      <c r="A968" s="13">
        <v>71315</v>
      </c>
      <c r="B968" s="60">
        <f>14.4311 * CHOOSE(CONTROL!$C$19, $C$13, 100%, $E$13)</f>
        <v>14.431100000000001</v>
      </c>
      <c r="C968" s="60">
        <f>14.4311 * CHOOSE(CONTROL!$C$19, $C$13, 100%, $E$13)</f>
        <v>14.431100000000001</v>
      </c>
      <c r="D968" s="60">
        <f>14.4479 * CHOOSE(CONTROL!$C$19, $C$13, 100%, $E$13)</f>
        <v>14.447900000000001</v>
      </c>
      <c r="E968" s="61">
        <f>17.6986 * CHOOSE(CONTROL!$C$19, $C$13, 100%, $E$13)</f>
        <v>17.698599999999999</v>
      </c>
      <c r="F968" s="61">
        <f>17.6986 * CHOOSE(CONTROL!$C$19, $C$13, 100%, $E$13)</f>
        <v>17.698599999999999</v>
      </c>
      <c r="G968" s="61">
        <f>17.6988 * CHOOSE(CONTROL!$C$19, $C$13, 100%, $E$13)</f>
        <v>17.698799999999999</v>
      </c>
      <c r="H968" s="61">
        <f>24.0263* CHOOSE(CONTROL!$C$19, $C$13, 100%, $E$13)</f>
        <v>24.026299999999999</v>
      </c>
      <c r="I968" s="61">
        <f>24.0265 * CHOOSE(CONTROL!$C$19, $C$13, 100%, $E$13)</f>
        <v>24.026499999999999</v>
      </c>
      <c r="J968" s="61">
        <f>17.6986 * CHOOSE(CONTROL!$C$19, $C$13, 100%, $E$13)</f>
        <v>17.698599999999999</v>
      </c>
      <c r="K968" s="61">
        <f>17.6988 * CHOOSE(CONTROL!$C$19, $C$13, 100%, $E$13)</f>
        <v>17.698799999999999</v>
      </c>
    </row>
    <row r="969" spans="1:11" ht="15">
      <c r="A969" s="13">
        <v>71345</v>
      </c>
      <c r="B969" s="60">
        <f>14.4311 * CHOOSE(CONTROL!$C$19, $C$13, 100%, $E$13)</f>
        <v>14.431100000000001</v>
      </c>
      <c r="C969" s="60">
        <f>14.4311 * CHOOSE(CONTROL!$C$19, $C$13, 100%, $E$13)</f>
        <v>14.431100000000001</v>
      </c>
      <c r="D969" s="60">
        <f>14.4648 * CHOOSE(CONTROL!$C$19, $C$13, 100%, $E$13)</f>
        <v>14.4648</v>
      </c>
      <c r="E969" s="61">
        <f>17.7914 * CHOOSE(CONTROL!$C$19, $C$13, 100%, $E$13)</f>
        <v>17.791399999999999</v>
      </c>
      <c r="F969" s="61">
        <f>17.7914 * CHOOSE(CONTROL!$C$19, $C$13, 100%, $E$13)</f>
        <v>17.791399999999999</v>
      </c>
      <c r="G969" s="61">
        <f>17.7935 * CHOOSE(CONTROL!$C$19, $C$13, 100%, $E$13)</f>
        <v>17.793500000000002</v>
      </c>
      <c r="H969" s="61">
        <f>24.0764* CHOOSE(CONTROL!$C$19, $C$13, 100%, $E$13)</f>
        <v>24.0764</v>
      </c>
      <c r="I969" s="61">
        <f>24.0784 * CHOOSE(CONTROL!$C$19, $C$13, 100%, $E$13)</f>
        <v>24.078399999999998</v>
      </c>
      <c r="J969" s="61">
        <f>17.7914 * CHOOSE(CONTROL!$C$19, $C$13, 100%, $E$13)</f>
        <v>17.791399999999999</v>
      </c>
      <c r="K969" s="61">
        <f>17.7935 * CHOOSE(CONTROL!$C$19, $C$13, 100%, $E$13)</f>
        <v>17.793500000000002</v>
      </c>
    </row>
    <row r="970" spans="1:11" ht="15">
      <c r="A970" s="13">
        <v>71376</v>
      </c>
      <c r="B970" s="60">
        <f>14.4372 * CHOOSE(CONTROL!$C$19, $C$13, 100%, $E$13)</f>
        <v>14.437200000000001</v>
      </c>
      <c r="C970" s="60">
        <f>14.4372 * CHOOSE(CONTROL!$C$19, $C$13, 100%, $E$13)</f>
        <v>14.437200000000001</v>
      </c>
      <c r="D970" s="60">
        <f>14.4708 * CHOOSE(CONTROL!$C$19, $C$13, 100%, $E$13)</f>
        <v>14.470800000000001</v>
      </c>
      <c r="E970" s="61">
        <f>17.7028 * CHOOSE(CONTROL!$C$19, $C$13, 100%, $E$13)</f>
        <v>17.7028</v>
      </c>
      <c r="F970" s="61">
        <f>17.7028 * CHOOSE(CONTROL!$C$19, $C$13, 100%, $E$13)</f>
        <v>17.7028</v>
      </c>
      <c r="G970" s="61">
        <f>17.7049 * CHOOSE(CONTROL!$C$19, $C$13, 100%, $E$13)</f>
        <v>17.704899999999999</v>
      </c>
      <c r="H970" s="61">
        <f>24.1265* CHOOSE(CONTROL!$C$19, $C$13, 100%, $E$13)</f>
        <v>24.1265</v>
      </c>
      <c r="I970" s="61">
        <f>24.1286 * CHOOSE(CONTROL!$C$19, $C$13, 100%, $E$13)</f>
        <v>24.128599999999999</v>
      </c>
      <c r="J970" s="61">
        <f>17.7028 * CHOOSE(CONTROL!$C$19, $C$13, 100%, $E$13)</f>
        <v>17.7028</v>
      </c>
      <c r="K970" s="61">
        <f>17.7049 * CHOOSE(CONTROL!$C$19, $C$13, 100%, $E$13)</f>
        <v>17.704899999999999</v>
      </c>
    </row>
    <row r="971" spans="1:11" ht="15">
      <c r="A971" s="13">
        <v>71406</v>
      </c>
      <c r="B971" s="60">
        <f>14.6354 * CHOOSE(CONTROL!$C$19, $C$13, 100%, $E$13)</f>
        <v>14.635400000000001</v>
      </c>
      <c r="C971" s="60">
        <f>14.6354 * CHOOSE(CONTROL!$C$19, $C$13, 100%, $E$13)</f>
        <v>14.635400000000001</v>
      </c>
      <c r="D971" s="60">
        <f>14.669 * CHOOSE(CONTROL!$C$19, $C$13, 100%, $E$13)</f>
        <v>14.669</v>
      </c>
      <c r="E971" s="61">
        <f>18.0222 * CHOOSE(CONTROL!$C$19, $C$13, 100%, $E$13)</f>
        <v>18.022200000000002</v>
      </c>
      <c r="F971" s="61">
        <f>18.0222 * CHOOSE(CONTROL!$C$19, $C$13, 100%, $E$13)</f>
        <v>18.022200000000002</v>
      </c>
      <c r="G971" s="61">
        <f>18.0243 * CHOOSE(CONTROL!$C$19, $C$13, 100%, $E$13)</f>
        <v>18.0243</v>
      </c>
      <c r="H971" s="61">
        <f>24.1768* CHOOSE(CONTROL!$C$19, $C$13, 100%, $E$13)</f>
        <v>24.1768</v>
      </c>
      <c r="I971" s="61">
        <f>24.1789 * CHOOSE(CONTROL!$C$19, $C$13, 100%, $E$13)</f>
        <v>24.178899999999999</v>
      </c>
      <c r="J971" s="61">
        <f>18.0222 * CHOOSE(CONTROL!$C$19, $C$13, 100%, $E$13)</f>
        <v>18.022200000000002</v>
      </c>
      <c r="K971" s="61">
        <f>18.0243 * CHOOSE(CONTROL!$C$19, $C$13, 100%, $E$13)</f>
        <v>18.0243</v>
      </c>
    </row>
    <row r="972" spans="1:11" ht="15">
      <c r="A972" s="13">
        <v>71437</v>
      </c>
      <c r="B972" s="60">
        <f>14.642 * CHOOSE(CONTROL!$C$19, $C$13, 100%, $E$13)</f>
        <v>14.641999999999999</v>
      </c>
      <c r="C972" s="60">
        <f>14.642 * CHOOSE(CONTROL!$C$19, $C$13, 100%, $E$13)</f>
        <v>14.641999999999999</v>
      </c>
      <c r="D972" s="60">
        <f>14.6757 * CHOOSE(CONTROL!$C$19, $C$13, 100%, $E$13)</f>
        <v>14.675700000000001</v>
      </c>
      <c r="E972" s="61">
        <f>17.7484 * CHOOSE(CONTROL!$C$19, $C$13, 100%, $E$13)</f>
        <v>17.7484</v>
      </c>
      <c r="F972" s="61">
        <f>17.7484 * CHOOSE(CONTROL!$C$19, $C$13, 100%, $E$13)</f>
        <v>17.7484</v>
      </c>
      <c r="G972" s="61">
        <f>17.7504 * CHOOSE(CONTROL!$C$19, $C$13, 100%, $E$13)</f>
        <v>17.750399999999999</v>
      </c>
      <c r="H972" s="61">
        <f>24.2271* CHOOSE(CONTROL!$C$19, $C$13, 100%, $E$13)</f>
        <v>24.2271</v>
      </c>
      <c r="I972" s="61">
        <f>24.2292 * CHOOSE(CONTROL!$C$19, $C$13, 100%, $E$13)</f>
        <v>24.229199999999999</v>
      </c>
      <c r="J972" s="61">
        <f>17.7484 * CHOOSE(CONTROL!$C$19, $C$13, 100%, $E$13)</f>
        <v>17.7484</v>
      </c>
      <c r="K972" s="61">
        <f>17.7504 * CHOOSE(CONTROL!$C$19, $C$13, 100%, $E$13)</f>
        <v>17.750399999999999</v>
      </c>
    </row>
    <row r="973" spans="1:11" ht="15">
      <c r="A973" s="13">
        <v>71468</v>
      </c>
      <c r="B973" s="60">
        <f>14.639 * CHOOSE(CONTROL!$C$19, $C$13, 100%, $E$13)</f>
        <v>14.638999999999999</v>
      </c>
      <c r="C973" s="60">
        <f>14.639 * CHOOSE(CONTROL!$C$19, $C$13, 100%, $E$13)</f>
        <v>14.638999999999999</v>
      </c>
      <c r="D973" s="60">
        <f>14.6727 * CHOOSE(CONTROL!$C$19, $C$13, 100%, $E$13)</f>
        <v>14.672700000000001</v>
      </c>
      <c r="E973" s="61">
        <f>17.7153 * CHOOSE(CONTROL!$C$19, $C$13, 100%, $E$13)</f>
        <v>17.715299999999999</v>
      </c>
      <c r="F973" s="61">
        <f>17.7153 * CHOOSE(CONTROL!$C$19, $C$13, 100%, $E$13)</f>
        <v>17.715299999999999</v>
      </c>
      <c r="G973" s="61">
        <f>17.7174 * CHOOSE(CONTROL!$C$19, $C$13, 100%, $E$13)</f>
        <v>17.717400000000001</v>
      </c>
      <c r="H973" s="61">
        <f>24.2776* CHOOSE(CONTROL!$C$19, $C$13, 100%, $E$13)</f>
        <v>24.2776</v>
      </c>
      <c r="I973" s="61">
        <f>24.2797 * CHOOSE(CONTROL!$C$19, $C$13, 100%, $E$13)</f>
        <v>24.279699999999998</v>
      </c>
      <c r="J973" s="61">
        <f>17.7153 * CHOOSE(CONTROL!$C$19, $C$13, 100%, $E$13)</f>
        <v>17.715299999999999</v>
      </c>
      <c r="K973" s="61">
        <f>17.7174 * CHOOSE(CONTROL!$C$19, $C$13, 100%, $E$13)</f>
        <v>17.717400000000001</v>
      </c>
    </row>
    <row r="974" spans="1:11" ht="15">
      <c r="A974" s="13">
        <v>71498</v>
      </c>
      <c r="B974" s="60">
        <f>14.6745 * CHOOSE(CONTROL!$C$19, $C$13, 100%, $E$13)</f>
        <v>14.6745</v>
      </c>
      <c r="C974" s="60">
        <f>14.6745 * CHOOSE(CONTROL!$C$19, $C$13, 100%, $E$13)</f>
        <v>14.6745</v>
      </c>
      <c r="D974" s="60">
        <f>14.6913 * CHOOSE(CONTROL!$C$19, $C$13, 100%, $E$13)</f>
        <v>14.6913</v>
      </c>
      <c r="E974" s="61">
        <f>17.8256 * CHOOSE(CONTROL!$C$19, $C$13, 100%, $E$13)</f>
        <v>17.825600000000001</v>
      </c>
      <c r="F974" s="61">
        <f>17.8256 * CHOOSE(CONTROL!$C$19, $C$13, 100%, $E$13)</f>
        <v>17.825600000000001</v>
      </c>
      <c r="G974" s="61">
        <f>17.8258 * CHOOSE(CONTROL!$C$19, $C$13, 100%, $E$13)</f>
        <v>17.825800000000001</v>
      </c>
      <c r="H974" s="61">
        <f>24.3282* CHOOSE(CONTROL!$C$19, $C$13, 100%, $E$13)</f>
        <v>24.328199999999999</v>
      </c>
      <c r="I974" s="61">
        <f>24.3284 * CHOOSE(CONTROL!$C$19, $C$13, 100%, $E$13)</f>
        <v>24.328399999999998</v>
      </c>
      <c r="J974" s="61">
        <f>17.8256 * CHOOSE(CONTROL!$C$19, $C$13, 100%, $E$13)</f>
        <v>17.825600000000001</v>
      </c>
      <c r="K974" s="61">
        <f>17.8258 * CHOOSE(CONTROL!$C$19, $C$13, 100%, $E$13)</f>
        <v>17.825800000000001</v>
      </c>
    </row>
    <row r="975" spans="1:11" ht="15">
      <c r="A975" s="13">
        <v>71529</v>
      </c>
      <c r="B975" s="60">
        <f>14.6775 * CHOOSE(CONTROL!$C$19, $C$13, 100%, $E$13)</f>
        <v>14.6775</v>
      </c>
      <c r="C975" s="60">
        <f>14.6775 * CHOOSE(CONTROL!$C$19, $C$13, 100%, $E$13)</f>
        <v>14.6775</v>
      </c>
      <c r="D975" s="60">
        <f>14.6943 * CHOOSE(CONTROL!$C$19, $C$13, 100%, $E$13)</f>
        <v>14.6943</v>
      </c>
      <c r="E975" s="61">
        <f>17.8896 * CHOOSE(CONTROL!$C$19, $C$13, 100%, $E$13)</f>
        <v>17.889600000000002</v>
      </c>
      <c r="F975" s="61">
        <f>17.8896 * CHOOSE(CONTROL!$C$19, $C$13, 100%, $E$13)</f>
        <v>17.889600000000002</v>
      </c>
      <c r="G975" s="61">
        <f>17.8898 * CHOOSE(CONTROL!$C$19, $C$13, 100%, $E$13)</f>
        <v>17.889800000000001</v>
      </c>
      <c r="H975" s="61">
        <f>24.3789* CHOOSE(CONTROL!$C$19, $C$13, 100%, $E$13)</f>
        <v>24.378900000000002</v>
      </c>
      <c r="I975" s="61">
        <f>24.3791 * CHOOSE(CONTROL!$C$19, $C$13, 100%, $E$13)</f>
        <v>24.379100000000001</v>
      </c>
      <c r="J975" s="61">
        <f>17.8896 * CHOOSE(CONTROL!$C$19, $C$13, 100%, $E$13)</f>
        <v>17.889600000000002</v>
      </c>
      <c r="K975" s="61">
        <f>17.8898 * CHOOSE(CONTROL!$C$19, $C$13, 100%, $E$13)</f>
        <v>17.889800000000001</v>
      </c>
    </row>
    <row r="976" spans="1:11" ht="15">
      <c r="A976" s="13">
        <v>71559</v>
      </c>
      <c r="B976" s="60">
        <f>14.6775 * CHOOSE(CONTROL!$C$19, $C$13, 100%, $E$13)</f>
        <v>14.6775</v>
      </c>
      <c r="C976" s="60">
        <f>14.6775 * CHOOSE(CONTROL!$C$19, $C$13, 100%, $E$13)</f>
        <v>14.6775</v>
      </c>
      <c r="D976" s="60">
        <f>14.6943 * CHOOSE(CONTROL!$C$19, $C$13, 100%, $E$13)</f>
        <v>14.6943</v>
      </c>
      <c r="E976" s="61">
        <f>17.7349 * CHOOSE(CONTROL!$C$19, $C$13, 100%, $E$13)</f>
        <v>17.7349</v>
      </c>
      <c r="F976" s="61">
        <f>17.7349 * CHOOSE(CONTROL!$C$19, $C$13, 100%, $E$13)</f>
        <v>17.7349</v>
      </c>
      <c r="G976" s="61">
        <f>17.7351 * CHOOSE(CONTROL!$C$19, $C$13, 100%, $E$13)</f>
        <v>17.735099999999999</v>
      </c>
      <c r="H976" s="61">
        <f>24.4297* CHOOSE(CONTROL!$C$19, $C$13, 100%, $E$13)</f>
        <v>24.4297</v>
      </c>
      <c r="I976" s="61">
        <f>24.4298 * CHOOSE(CONTROL!$C$19, $C$13, 100%, $E$13)</f>
        <v>24.4298</v>
      </c>
      <c r="J976" s="61">
        <f>17.7349 * CHOOSE(CONTROL!$C$19, $C$13, 100%, $E$13)</f>
        <v>17.7349</v>
      </c>
      <c r="K976" s="61">
        <f>17.7351 * CHOOSE(CONTROL!$C$19, $C$13, 100%, $E$13)</f>
        <v>17.735099999999999</v>
      </c>
    </row>
    <row r="977" spans="1:11" ht="15">
      <c r="A977" s="13">
        <v>71590</v>
      </c>
      <c r="B977" s="60">
        <f>14.6259 * CHOOSE(CONTROL!$C$19, $C$13, 100%, $E$13)</f>
        <v>14.6259</v>
      </c>
      <c r="C977" s="60">
        <f>14.6259 * CHOOSE(CONTROL!$C$19, $C$13, 100%, $E$13)</f>
        <v>14.6259</v>
      </c>
      <c r="D977" s="60">
        <f>14.6427 * CHOOSE(CONTROL!$C$19, $C$13, 100%, $E$13)</f>
        <v>14.6427</v>
      </c>
      <c r="E977" s="61">
        <f>17.7733 * CHOOSE(CONTROL!$C$19, $C$13, 100%, $E$13)</f>
        <v>17.773299999999999</v>
      </c>
      <c r="F977" s="61">
        <f>17.7733 * CHOOSE(CONTROL!$C$19, $C$13, 100%, $E$13)</f>
        <v>17.773299999999999</v>
      </c>
      <c r="G977" s="61">
        <f>17.7734 * CHOOSE(CONTROL!$C$19, $C$13, 100%, $E$13)</f>
        <v>17.773399999999999</v>
      </c>
      <c r="H977" s="61">
        <f>24.2014* CHOOSE(CONTROL!$C$19, $C$13, 100%, $E$13)</f>
        <v>24.2014</v>
      </c>
      <c r="I977" s="61">
        <f>24.2016 * CHOOSE(CONTROL!$C$19, $C$13, 100%, $E$13)</f>
        <v>24.201599999999999</v>
      </c>
      <c r="J977" s="61">
        <f>17.7733 * CHOOSE(CONTROL!$C$19, $C$13, 100%, $E$13)</f>
        <v>17.773299999999999</v>
      </c>
      <c r="K977" s="61">
        <f>17.7734 * CHOOSE(CONTROL!$C$19, $C$13, 100%, $E$13)</f>
        <v>17.773399999999999</v>
      </c>
    </row>
    <row r="978" spans="1:11" ht="15">
      <c r="A978" s="13">
        <v>71621</v>
      </c>
      <c r="B978" s="60">
        <f>14.6228 * CHOOSE(CONTROL!$C$19, $C$13, 100%, $E$13)</f>
        <v>14.6228</v>
      </c>
      <c r="C978" s="60">
        <f>14.6228 * CHOOSE(CONTROL!$C$19, $C$13, 100%, $E$13)</f>
        <v>14.6228</v>
      </c>
      <c r="D978" s="60">
        <f>14.6397 * CHOOSE(CONTROL!$C$19, $C$13, 100%, $E$13)</f>
        <v>14.639699999999999</v>
      </c>
      <c r="E978" s="61">
        <f>17.4743 * CHOOSE(CONTROL!$C$19, $C$13, 100%, $E$13)</f>
        <v>17.474299999999999</v>
      </c>
      <c r="F978" s="61">
        <f>17.4743 * CHOOSE(CONTROL!$C$19, $C$13, 100%, $E$13)</f>
        <v>17.474299999999999</v>
      </c>
      <c r="G978" s="61">
        <f>17.4745 * CHOOSE(CONTROL!$C$19, $C$13, 100%, $E$13)</f>
        <v>17.474499999999999</v>
      </c>
      <c r="H978" s="61">
        <f>24.2518* CHOOSE(CONTROL!$C$19, $C$13, 100%, $E$13)</f>
        <v>24.251799999999999</v>
      </c>
      <c r="I978" s="61">
        <f>24.252 * CHOOSE(CONTROL!$C$19, $C$13, 100%, $E$13)</f>
        <v>24.251999999999999</v>
      </c>
      <c r="J978" s="61">
        <f>17.4743 * CHOOSE(CONTROL!$C$19, $C$13, 100%, $E$13)</f>
        <v>17.474299999999999</v>
      </c>
      <c r="K978" s="61">
        <f>17.4745 * CHOOSE(CONTROL!$C$19, $C$13, 100%, $E$13)</f>
        <v>17.474499999999999</v>
      </c>
    </row>
    <row r="979" spans="1:11" ht="15">
      <c r="A979" s="13">
        <v>71650</v>
      </c>
      <c r="B979" s="60">
        <f>14.6198 * CHOOSE(CONTROL!$C$19, $C$13, 100%, $E$13)</f>
        <v>14.6198</v>
      </c>
      <c r="C979" s="60">
        <f>14.6198 * CHOOSE(CONTROL!$C$19, $C$13, 100%, $E$13)</f>
        <v>14.6198</v>
      </c>
      <c r="D979" s="60">
        <f>14.6366 * CHOOSE(CONTROL!$C$19, $C$13, 100%, $E$13)</f>
        <v>14.6366</v>
      </c>
      <c r="E979" s="61">
        <f>17.7062 * CHOOSE(CONTROL!$C$19, $C$13, 100%, $E$13)</f>
        <v>17.706199999999999</v>
      </c>
      <c r="F979" s="61">
        <f>17.7062 * CHOOSE(CONTROL!$C$19, $C$13, 100%, $E$13)</f>
        <v>17.706199999999999</v>
      </c>
      <c r="G979" s="61">
        <f>17.7064 * CHOOSE(CONTROL!$C$19, $C$13, 100%, $E$13)</f>
        <v>17.706399999999999</v>
      </c>
      <c r="H979" s="61">
        <f>24.3024* CHOOSE(CONTROL!$C$19, $C$13, 100%, $E$13)</f>
        <v>24.302399999999999</v>
      </c>
      <c r="I979" s="61">
        <f>24.3025 * CHOOSE(CONTROL!$C$19, $C$13, 100%, $E$13)</f>
        <v>24.302499999999998</v>
      </c>
      <c r="J979" s="61">
        <f>17.7062 * CHOOSE(CONTROL!$C$19, $C$13, 100%, $E$13)</f>
        <v>17.706199999999999</v>
      </c>
      <c r="K979" s="61">
        <f>17.7064 * CHOOSE(CONTROL!$C$19, $C$13, 100%, $E$13)</f>
        <v>17.706399999999999</v>
      </c>
    </row>
    <row r="980" spans="1:11" ht="15">
      <c r="A980" s="13">
        <v>71681</v>
      </c>
      <c r="B980" s="60">
        <f>14.6279 * CHOOSE(CONTROL!$C$19, $C$13, 100%, $E$13)</f>
        <v>14.6279</v>
      </c>
      <c r="C980" s="60">
        <f>14.6279 * CHOOSE(CONTROL!$C$19, $C$13, 100%, $E$13)</f>
        <v>14.6279</v>
      </c>
      <c r="D980" s="60">
        <f>14.6447 * CHOOSE(CONTROL!$C$19, $C$13, 100%, $E$13)</f>
        <v>14.6447</v>
      </c>
      <c r="E980" s="61">
        <f>17.9533 * CHOOSE(CONTROL!$C$19, $C$13, 100%, $E$13)</f>
        <v>17.953299999999999</v>
      </c>
      <c r="F980" s="61">
        <f>17.9533 * CHOOSE(CONTROL!$C$19, $C$13, 100%, $E$13)</f>
        <v>17.953299999999999</v>
      </c>
      <c r="G980" s="61">
        <f>17.9535 * CHOOSE(CONTROL!$C$19, $C$13, 100%, $E$13)</f>
        <v>17.953499999999998</v>
      </c>
      <c r="H980" s="61">
        <f>24.353* CHOOSE(CONTROL!$C$19, $C$13, 100%, $E$13)</f>
        <v>24.353000000000002</v>
      </c>
      <c r="I980" s="61">
        <f>24.3532 * CHOOSE(CONTROL!$C$19, $C$13, 100%, $E$13)</f>
        <v>24.353200000000001</v>
      </c>
      <c r="J980" s="61">
        <f>17.9533 * CHOOSE(CONTROL!$C$19, $C$13, 100%, $E$13)</f>
        <v>17.953299999999999</v>
      </c>
      <c r="K980" s="61">
        <f>17.9535 * CHOOSE(CONTROL!$C$19, $C$13, 100%, $E$13)</f>
        <v>17.953499999999998</v>
      </c>
    </row>
    <row r="981" spans="1:11" ht="15">
      <c r="A981" s="13">
        <v>71711</v>
      </c>
      <c r="B981" s="60">
        <f>14.6279 * CHOOSE(CONTROL!$C$19, $C$13, 100%, $E$13)</f>
        <v>14.6279</v>
      </c>
      <c r="C981" s="60">
        <f>14.6279 * CHOOSE(CONTROL!$C$19, $C$13, 100%, $E$13)</f>
        <v>14.6279</v>
      </c>
      <c r="D981" s="60">
        <f>14.6616 * CHOOSE(CONTROL!$C$19, $C$13, 100%, $E$13)</f>
        <v>14.6616</v>
      </c>
      <c r="E981" s="61">
        <f>18.0475 * CHOOSE(CONTROL!$C$19, $C$13, 100%, $E$13)</f>
        <v>18.047499999999999</v>
      </c>
      <c r="F981" s="61">
        <f>18.0475 * CHOOSE(CONTROL!$C$19, $C$13, 100%, $E$13)</f>
        <v>18.047499999999999</v>
      </c>
      <c r="G981" s="61">
        <f>18.0496 * CHOOSE(CONTROL!$C$19, $C$13, 100%, $E$13)</f>
        <v>18.049600000000002</v>
      </c>
      <c r="H981" s="61">
        <f>24.4037* CHOOSE(CONTROL!$C$19, $C$13, 100%, $E$13)</f>
        <v>24.403700000000001</v>
      </c>
      <c r="I981" s="61">
        <f>24.4058 * CHOOSE(CONTROL!$C$19, $C$13, 100%, $E$13)</f>
        <v>24.405799999999999</v>
      </c>
      <c r="J981" s="61">
        <f>18.0475 * CHOOSE(CONTROL!$C$19, $C$13, 100%, $E$13)</f>
        <v>18.047499999999999</v>
      </c>
      <c r="K981" s="61">
        <f>18.0496 * CHOOSE(CONTROL!$C$19, $C$13, 100%, $E$13)</f>
        <v>18.049600000000002</v>
      </c>
    </row>
    <row r="982" spans="1:11" ht="15">
      <c r="A982" s="13">
        <v>71742</v>
      </c>
      <c r="B982" s="60">
        <f>14.634 * CHOOSE(CONTROL!$C$19, $C$13, 100%, $E$13)</f>
        <v>14.634</v>
      </c>
      <c r="C982" s="60">
        <f>14.634 * CHOOSE(CONTROL!$C$19, $C$13, 100%, $E$13)</f>
        <v>14.634</v>
      </c>
      <c r="D982" s="60">
        <f>14.6677 * CHOOSE(CONTROL!$C$19, $C$13, 100%, $E$13)</f>
        <v>14.6677</v>
      </c>
      <c r="E982" s="61">
        <f>17.9575 * CHOOSE(CONTROL!$C$19, $C$13, 100%, $E$13)</f>
        <v>17.9575</v>
      </c>
      <c r="F982" s="61">
        <f>17.9575 * CHOOSE(CONTROL!$C$19, $C$13, 100%, $E$13)</f>
        <v>17.9575</v>
      </c>
      <c r="G982" s="61">
        <f>17.9596 * CHOOSE(CONTROL!$C$19, $C$13, 100%, $E$13)</f>
        <v>17.959599999999998</v>
      </c>
      <c r="H982" s="61">
        <f>24.4546* CHOOSE(CONTROL!$C$19, $C$13, 100%, $E$13)</f>
        <v>24.454599999999999</v>
      </c>
      <c r="I982" s="61">
        <f>24.4567 * CHOOSE(CONTROL!$C$19, $C$13, 100%, $E$13)</f>
        <v>24.456700000000001</v>
      </c>
      <c r="J982" s="61">
        <f>17.9575 * CHOOSE(CONTROL!$C$19, $C$13, 100%, $E$13)</f>
        <v>17.9575</v>
      </c>
      <c r="K982" s="61">
        <f>17.9596 * CHOOSE(CONTROL!$C$19, $C$13, 100%, $E$13)</f>
        <v>17.959599999999998</v>
      </c>
    </row>
    <row r="983" spans="1:11" ht="15">
      <c r="A983" s="13">
        <v>71772</v>
      </c>
      <c r="B983" s="60">
        <f>14.8347 * CHOOSE(CONTROL!$C$19, $C$13, 100%, $E$13)</f>
        <v>14.8347</v>
      </c>
      <c r="C983" s="60">
        <f>14.8347 * CHOOSE(CONTROL!$C$19, $C$13, 100%, $E$13)</f>
        <v>14.8347</v>
      </c>
      <c r="D983" s="60">
        <f>14.8683 * CHOOSE(CONTROL!$C$19, $C$13, 100%, $E$13)</f>
        <v>14.8683</v>
      </c>
      <c r="E983" s="61">
        <f>18.2813 * CHOOSE(CONTROL!$C$19, $C$13, 100%, $E$13)</f>
        <v>18.281300000000002</v>
      </c>
      <c r="F983" s="61">
        <f>18.2813 * CHOOSE(CONTROL!$C$19, $C$13, 100%, $E$13)</f>
        <v>18.281300000000002</v>
      </c>
      <c r="G983" s="61">
        <f>18.2834 * CHOOSE(CONTROL!$C$19, $C$13, 100%, $E$13)</f>
        <v>18.2834</v>
      </c>
      <c r="H983" s="61">
        <f>24.5055* CHOOSE(CONTROL!$C$19, $C$13, 100%, $E$13)</f>
        <v>24.505500000000001</v>
      </c>
      <c r="I983" s="61">
        <f>24.5076 * CHOOSE(CONTROL!$C$19, $C$13, 100%, $E$13)</f>
        <v>24.5076</v>
      </c>
      <c r="J983" s="61">
        <f>18.2813 * CHOOSE(CONTROL!$C$19, $C$13, 100%, $E$13)</f>
        <v>18.281300000000002</v>
      </c>
      <c r="K983" s="61">
        <f>18.2834 * CHOOSE(CONTROL!$C$19, $C$13, 100%, $E$13)</f>
        <v>18.2834</v>
      </c>
    </row>
    <row r="984" spans="1:11" ht="15">
      <c r="A984" s="13">
        <v>71803</v>
      </c>
      <c r="B984" s="60">
        <f>14.8414 * CHOOSE(CONTROL!$C$19, $C$13, 100%, $E$13)</f>
        <v>14.8414</v>
      </c>
      <c r="C984" s="60">
        <f>14.8414 * CHOOSE(CONTROL!$C$19, $C$13, 100%, $E$13)</f>
        <v>14.8414</v>
      </c>
      <c r="D984" s="60">
        <f>14.875 * CHOOSE(CONTROL!$C$19, $C$13, 100%, $E$13)</f>
        <v>14.875</v>
      </c>
      <c r="E984" s="61">
        <f>18.0032 * CHOOSE(CONTROL!$C$19, $C$13, 100%, $E$13)</f>
        <v>18.0032</v>
      </c>
      <c r="F984" s="61">
        <f>18.0032 * CHOOSE(CONTROL!$C$19, $C$13, 100%, $E$13)</f>
        <v>18.0032</v>
      </c>
      <c r="G984" s="61">
        <f>18.0053 * CHOOSE(CONTROL!$C$19, $C$13, 100%, $E$13)</f>
        <v>18.005299999999998</v>
      </c>
      <c r="H984" s="61">
        <f>24.5566* CHOOSE(CONTROL!$C$19, $C$13, 100%, $E$13)</f>
        <v>24.5566</v>
      </c>
      <c r="I984" s="61">
        <f>24.5587 * CHOOSE(CONTROL!$C$19, $C$13, 100%, $E$13)</f>
        <v>24.558700000000002</v>
      </c>
      <c r="J984" s="61">
        <f>18.0032 * CHOOSE(CONTROL!$C$19, $C$13, 100%, $E$13)</f>
        <v>18.0032</v>
      </c>
      <c r="K984" s="61">
        <f>18.0053 * CHOOSE(CONTROL!$C$19, $C$13, 100%, $E$13)</f>
        <v>18.005299999999998</v>
      </c>
    </row>
    <row r="985" spans="1:11" ht="15">
      <c r="A985" s="13">
        <v>71834</v>
      </c>
      <c r="B985" s="60">
        <f>14.8383 * CHOOSE(CONTROL!$C$19, $C$13, 100%, $E$13)</f>
        <v>14.8383</v>
      </c>
      <c r="C985" s="60">
        <f>14.8383 * CHOOSE(CONTROL!$C$19, $C$13, 100%, $E$13)</f>
        <v>14.8383</v>
      </c>
      <c r="D985" s="60">
        <f>14.872 * CHOOSE(CONTROL!$C$19, $C$13, 100%, $E$13)</f>
        <v>14.872</v>
      </c>
      <c r="E985" s="61">
        <f>17.9697 * CHOOSE(CONTROL!$C$19, $C$13, 100%, $E$13)</f>
        <v>17.9697</v>
      </c>
      <c r="F985" s="61">
        <f>17.9697 * CHOOSE(CONTROL!$C$19, $C$13, 100%, $E$13)</f>
        <v>17.9697</v>
      </c>
      <c r="G985" s="61">
        <f>17.9718 * CHOOSE(CONTROL!$C$19, $C$13, 100%, $E$13)</f>
        <v>17.971800000000002</v>
      </c>
      <c r="H985" s="61">
        <f>24.6077* CHOOSE(CONTROL!$C$19, $C$13, 100%, $E$13)</f>
        <v>24.607700000000001</v>
      </c>
      <c r="I985" s="61">
        <f>24.6098 * CHOOSE(CONTROL!$C$19, $C$13, 100%, $E$13)</f>
        <v>24.6098</v>
      </c>
      <c r="J985" s="61">
        <f>17.9697 * CHOOSE(CONTROL!$C$19, $C$13, 100%, $E$13)</f>
        <v>17.9697</v>
      </c>
      <c r="K985" s="61">
        <f>17.9718 * CHOOSE(CONTROL!$C$19, $C$13, 100%, $E$13)</f>
        <v>17.971800000000002</v>
      </c>
    </row>
    <row r="986" spans="1:11" ht="15">
      <c r="A986" s="13">
        <v>71864</v>
      </c>
      <c r="B986" s="60">
        <f>14.8745 * CHOOSE(CONTROL!$C$19, $C$13, 100%, $E$13)</f>
        <v>14.874499999999999</v>
      </c>
      <c r="C986" s="60">
        <f>14.8745 * CHOOSE(CONTROL!$C$19, $C$13, 100%, $E$13)</f>
        <v>14.874499999999999</v>
      </c>
      <c r="D986" s="60">
        <f>14.8914 * CHOOSE(CONTROL!$C$19, $C$13, 100%, $E$13)</f>
        <v>14.891400000000001</v>
      </c>
      <c r="E986" s="61">
        <f>18.0819 * CHOOSE(CONTROL!$C$19, $C$13, 100%, $E$13)</f>
        <v>18.081900000000001</v>
      </c>
      <c r="F986" s="61">
        <f>18.0819 * CHOOSE(CONTROL!$C$19, $C$13, 100%, $E$13)</f>
        <v>18.081900000000001</v>
      </c>
      <c r="G986" s="61">
        <f>18.0821 * CHOOSE(CONTROL!$C$19, $C$13, 100%, $E$13)</f>
        <v>18.082100000000001</v>
      </c>
      <c r="H986" s="61">
        <f>24.659* CHOOSE(CONTROL!$C$19, $C$13, 100%, $E$13)</f>
        <v>24.658999999999999</v>
      </c>
      <c r="I986" s="61">
        <f>24.6592 * CHOOSE(CONTROL!$C$19, $C$13, 100%, $E$13)</f>
        <v>24.659199999999998</v>
      </c>
      <c r="J986" s="61">
        <f>18.0819 * CHOOSE(CONTROL!$C$19, $C$13, 100%, $E$13)</f>
        <v>18.081900000000001</v>
      </c>
      <c r="K986" s="61">
        <f>18.0821 * CHOOSE(CONTROL!$C$19, $C$13, 100%, $E$13)</f>
        <v>18.082100000000001</v>
      </c>
    </row>
    <row r="987" spans="1:11" ht="15">
      <c r="A987" s="13">
        <v>71895</v>
      </c>
      <c r="B987" s="60">
        <f>14.8776 * CHOOSE(CONTROL!$C$19, $C$13, 100%, $E$13)</f>
        <v>14.877599999999999</v>
      </c>
      <c r="C987" s="60">
        <f>14.8776 * CHOOSE(CONTROL!$C$19, $C$13, 100%, $E$13)</f>
        <v>14.877599999999999</v>
      </c>
      <c r="D987" s="60">
        <f>14.8944 * CHOOSE(CONTROL!$C$19, $C$13, 100%, $E$13)</f>
        <v>14.894399999999999</v>
      </c>
      <c r="E987" s="61">
        <f>18.1469 * CHOOSE(CONTROL!$C$19, $C$13, 100%, $E$13)</f>
        <v>18.146899999999999</v>
      </c>
      <c r="F987" s="61">
        <f>18.1469 * CHOOSE(CONTROL!$C$19, $C$13, 100%, $E$13)</f>
        <v>18.146899999999999</v>
      </c>
      <c r="G987" s="61">
        <f>18.147 * CHOOSE(CONTROL!$C$19, $C$13, 100%, $E$13)</f>
        <v>18.146999999999998</v>
      </c>
      <c r="H987" s="61">
        <f>24.7104* CHOOSE(CONTROL!$C$19, $C$13, 100%, $E$13)</f>
        <v>24.7104</v>
      </c>
      <c r="I987" s="61">
        <f>24.7105 * CHOOSE(CONTROL!$C$19, $C$13, 100%, $E$13)</f>
        <v>24.7105</v>
      </c>
      <c r="J987" s="61">
        <f>18.1469 * CHOOSE(CONTROL!$C$19, $C$13, 100%, $E$13)</f>
        <v>18.146899999999999</v>
      </c>
      <c r="K987" s="61">
        <f>18.147 * CHOOSE(CONTROL!$C$19, $C$13, 100%, $E$13)</f>
        <v>18.146999999999998</v>
      </c>
    </row>
    <row r="988" spans="1:11" ht="15">
      <c r="A988" s="13">
        <v>71925</v>
      </c>
      <c r="B988" s="60">
        <f>14.8776 * CHOOSE(CONTROL!$C$19, $C$13, 100%, $E$13)</f>
        <v>14.877599999999999</v>
      </c>
      <c r="C988" s="60">
        <f>14.8776 * CHOOSE(CONTROL!$C$19, $C$13, 100%, $E$13)</f>
        <v>14.877599999999999</v>
      </c>
      <c r="D988" s="60">
        <f>14.8944 * CHOOSE(CONTROL!$C$19, $C$13, 100%, $E$13)</f>
        <v>14.894399999999999</v>
      </c>
      <c r="E988" s="61">
        <f>17.9898 * CHOOSE(CONTROL!$C$19, $C$13, 100%, $E$13)</f>
        <v>17.989799999999999</v>
      </c>
      <c r="F988" s="61">
        <f>17.9898 * CHOOSE(CONTROL!$C$19, $C$13, 100%, $E$13)</f>
        <v>17.989799999999999</v>
      </c>
      <c r="G988" s="61">
        <f>17.99 * CHOOSE(CONTROL!$C$19, $C$13, 100%, $E$13)</f>
        <v>17.989999999999998</v>
      </c>
      <c r="H988" s="61">
        <f>24.7619* CHOOSE(CONTROL!$C$19, $C$13, 100%, $E$13)</f>
        <v>24.761900000000001</v>
      </c>
      <c r="I988" s="61">
        <f>24.762 * CHOOSE(CONTROL!$C$19, $C$13, 100%, $E$13)</f>
        <v>24.762</v>
      </c>
      <c r="J988" s="61">
        <f>17.9898 * CHOOSE(CONTROL!$C$19, $C$13, 100%, $E$13)</f>
        <v>17.989799999999999</v>
      </c>
      <c r="K988" s="61">
        <f>17.99 * CHOOSE(CONTROL!$C$19, $C$13, 100%, $E$13)</f>
        <v>17.989999999999998</v>
      </c>
    </row>
    <row r="989" spans="1:11" ht="15">
      <c r="A989" s="13">
        <v>71956</v>
      </c>
      <c r="B989" s="60">
        <f>14.8225 * CHOOSE(CONTROL!$C$19, $C$13, 100%, $E$13)</f>
        <v>14.8225</v>
      </c>
      <c r="C989" s="60">
        <f>14.8225 * CHOOSE(CONTROL!$C$19, $C$13, 100%, $E$13)</f>
        <v>14.8225</v>
      </c>
      <c r="D989" s="60">
        <f>14.8393 * CHOOSE(CONTROL!$C$19, $C$13, 100%, $E$13)</f>
        <v>14.8393</v>
      </c>
      <c r="E989" s="61">
        <f>18.0251 * CHOOSE(CONTROL!$C$19, $C$13, 100%, $E$13)</f>
        <v>18.025099999999998</v>
      </c>
      <c r="F989" s="61">
        <f>18.0251 * CHOOSE(CONTROL!$C$19, $C$13, 100%, $E$13)</f>
        <v>18.025099999999998</v>
      </c>
      <c r="G989" s="61">
        <f>18.0253 * CHOOSE(CONTROL!$C$19, $C$13, 100%, $E$13)</f>
        <v>18.025300000000001</v>
      </c>
      <c r="H989" s="61">
        <f>24.5261* CHOOSE(CONTROL!$C$19, $C$13, 100%, $E$13)</f>
        <v>24.5261</v>
      </c>
      <c r="I989" s="61">
        <f>24.5263 * CHOOSE(CONTROL!$C$19, $C$13, 100%, $E$13)</f>
        <v>24.526299999999999</v>
      </c>
      <c r="J989" s="61">
        <f>18.0251 * CHOOSE(CONTROL!$C$19, $C$13, 100%, $E$13)</f>
        <v>18.025099999999998</v>
      </c>
      <c r="K989" s="61">
        <f>18.0253 * CHOOSE(CONTROL!$C$19, $C$13, 100%, $E$13)</f>
        <v>18.025300000000001</v>
      </c>
    </row>
    <row r="990" spans="1:11" ht="15">
      <c r="A990" s="13">
        <v>71987</v>
      </c>
      <c r="B990" s="60">
        <f>14.8194 * CHOOSE(CONTROL!$C$19, $C$13, 100%, $E$13)</f>
        <v>14.8194</v>
      </c>
      <c r="C990" s="60">
        <f>14.8194 * CHOOSE(CONTROL!$C$19, $C$13, 100%, $E$13)</f>
        <v>14.8194</v>
      </c>
      <c r="D990" s="60">
        <f>14.8363 * CHOOSE(CONTROL!$C$19, $C$13, 100%, $E$13)</f>
        <v>14.8363</v>
      </c>
      <c r="E990" s="61">
        <f>17.7217 * CHOOSE(CONTROL!$C$19, $C$13, 100%, $E$13)</f>
        <v>17.721699999999998</v>
      </c>
      <c r="F990" s="61">
        <f>17.7217 * CHOOSE(CONTROL!$C$19, $C$13, 100%, $E$13)</f>
        <v>17.721699999999998</v>
      </c>
      <c r="G990" s="61">
        <f>17.7218 * CHOOSE(CONTROL!$C$19, $C$13, 100%, $E$13)</f>
        <v>17.721800000000002</v>
      </c>
      <c r="H990" s="61">
        <f>24.5772* CHOOSE(CONTROL!$C$19, $C$13, 100%, $E$13)</f>
        <v>24.577200000000001</v>
      </c>
      <c r="I990" s="61">
        <f>24.5774 * CHOOSE(CONTROL!$C$19, $C$13, 100%, $E$13)</f>
        <v>24.577400000000001</v>
      </c>
      <c r="J990" s="61">
        <f>17.7217 * CHOOSE(CONTROL!$C$19, $C$13, 100%, $E$13)</f>
        <v>17.721699999999998</v>
      </c>
      <c r="K990" s="61">
        <f>17.7218 * CHOOSE(CONTROL!$C$19, $C$13, 100%, $E$13)</f>
        <v>17.721800000000002</v>
      </c>
    </row>
    <row r="991" spans="1:11" ht="15">
      <c r="A991" s="13">
        <v>72015</v>
      </c>
      <c r="B991" s="60">
        <f>14.8164 * CHOOSE(CONTROL!$C$19, $C$13, 100%, $E$13)</f>
        <v>14.8164</v>
      </c>
      <c r="C991" s="60">
        <f>14.8164 * CHOOSE(CONTROL!$C$19, $C$13, 100%, $E$13)</f>
        <v>14.8164</v>
      </c>
      <c r="D991" s="60">
        <f>14.8332 * CHOOSE(CONTROL!$C$19, $C$13, 100%, $E$13)</f>
        <v>14.8332</v>
      </c>
      <c r="E991" s="61">
        <f>17.9571 * CHOOSE(CONTROL!$C$19, $C$13, 100%, $E$13)</f>
        <v>17.957100000000001</v>
      </c>
      <c r="F991" s="61">
        <f>17.9571 * CHOOSE(CONTROL!$C$19, $C$13, 100%, $E$13)</f>
        <v>17.957100000000001</v>
      </c>
      <c r="G991" s="61">
        <f>17.9573 * CHOOSE(CONTROL!$C$19, $C$13, 100%, $E$13)</f>
        <v>17.9573</v>
      </c>
      <c r="H991" s="61">
        <f>24.6284* CHOOSE(CONTROL!$C$19, $C$13, 100%, $E$13)</f>
        <v>24.628399999999999</v>
      </c>
      <c r="I991" s="61">
        <f>24.6286 * CHOOSE(CONTROL!$C$19, $C$13, 100%, $E$13)</f>
        <v>24.628599999999999</v>
      </c>
      <c r="J991" s="61">
        <f>17.9571 * CHOOSE(CONTROL!$C$19, $C$13, 100%, $E$13)</f>
        <v>17.957100000000001</v>
      </c>
      <c r="K991" s="61">
        <f>17.9573 * CHOOSE(CONTROL!$C$19, $C$13, 100%, $E$13)</f>
        <v>17.9573</v>
      </c>
    </row>
    <row r="992" spans="1:11" ht="15">
      <c r="A992" s="13">
        <v>72046</v>
      </c>
      <c r="B992" s="60">
        <f>14.8247 * CHOOSE(CONTROL!$C$19, $C$13, 100%, $E$13)</f>
        <v>14.8247</v>
      </c>
      <c r="C992" s="60">
        <f>14.8247 * CHOOSE(CONTROL!$C$19, $C$13, 100%, $E$13)</f>
        <v>14.8247</v>
      </c>
      <c r="D992" s="60">
        <f>14.8416 * CHOOSE(CONTROL!$C$19, $C$13, 100%, $E$13)</f>
        <v>14.8416</v>
      </c>
      <c r="E992" s="61">
        <f>18.208 * CHOOSE(CONTROL!$C$19, $C$13, 100%, $E$13)</f>
        <v>18.207999999999998</v>
      </c>
      <c r="F992" s="61">
        <f>18.208 * CHOOSE(CONTROL!$C$19, $C$13, 100%, $E$13)</f>
        <v>18.207999999999998</v>
      </c>
      <c r="G992" s="61">
        <f>18.2081 * CHOOSE(CONTROL!$C$19, $C$13, 100%, $E$13)</f>
        <v>18.208100000000002</v>
      </c>
      <c r="H992" s="61">
        <f>24.6797* CHOOSE(CONTROL!$C$19, $C$13, 100%, $E$13)</f>
        <v>24.6797</v>
      </c>
      <c r="I992" s="61">
        <f>24.6799 * CHOOSE(CONTROL!$C$19, $C$13, 100%, $E$13)</f>
        <v>24.6799</v>
      </c>
      <c r="J992" s="61">
        <f>18.208 * CHOOSE(CONTROL!$C$19, $C$13, 100%, $E$13)</f>
        <v>18.207999999999998</v>
      </c>
      <c r="K992" s="61">
        <f>18.2081 * CHOOSE(CONTROL!$C$19, $C$13, 100%, $E$13)</f>
        <v>18.208100000000002</v>
      </c>
    </row>
    <row r="993" spans="1:11" ht="15">
      <c r="A993" s="13">
        <v>72076</v>
      </c>
      <c r="B993" s="60">
        <f>14.8247 * CHOOSE(CONTROL!$C$19, $C$13, 100%, $E$13)</f>
        <v>14.8247</v>
      </c>
      <c r="C993" s="60">
        <f>14.8247 * CHOOSE(CONTROL!$C$19, $C$13, 100%, $E$13)</f>
        <v>14.8247</v>
      </c>
      <c r="D993" s="60">
        <f>14.8584 * CHOOSE(CONTROL!$C$19, $C$13, 100%, $E$13)</f>
        <v>14.8584</v>
      </c>
      <c r="E993" s="61">
        <f>18.3036 * CHOOSE(CONTROL!$C$19, $C$13, 100%, $E$13)</f>
        <v>18.303599999999999</v>
      </c>
      <c r="F993" s="61">
        <f>18.3036 * CHOOSE(CONTROL!$C$19, $C$13, 100%, $E$13)</f>
        <v>18.303599999999999</v>
      </c>
      <c r="G993" s="61">
        <f>18.3057 * CHOOSE(CONTROL!$C$19, $C$13, 100%, $E$13)</f>
        <v>18.305700000000002</v>
      </c>
      <c r="H993" s="61">
        <f>24.7311* CHOOSE(CONTROL!$C$19, $C$13, 100%, $E$13)</f>
        <v>24.731100000000001</v>
      </c>
      <c r="I993" s="61">
        <f>24.7332 * CHOOSE(CONTROL!$C$19, $C$13, 100%, $E$13)</f>
        <v>24.7332</v>
      </c>
      <c r="J993" s="61">
        <f>18.3036 * CHOOSE(CONTROL!$C$19, $C$13, 100%, $E$13)</f>
        <v>18.303599999999999</v>
      </c>
      <c r="K993" s="61">
        <f>18.3057 * CHOOSE(CONTROL!$C$19, $C$13, 100%, $E$13)</f>
        <v>18.305700000000002</v>
      </c>
    </row>
    <row r="994" spans="1:11" ht="15">
      <c r="A994" s="13">
        <v>72107</v>
      </c>
      <c r="B994" s="60">
        <f>14.8308 * CHOOSE(CONTROL!$C$19, $C$13, 100%, $E$13)</f>
        <v>14.8308</v>
      </c>
      <c r="C994" s="60">
        <f>14.8308 * CHOOSE(CONTROL!$C$19, $C$13, 100%, $E$13)</f>
        <v>14.8308</v>
      </c>
      <c r="D994" s="60">
        <f>14.8645 * CHOOSE(CONTROL!$C$19, $C$13, 100%, $E$13)</f>
        <v>14.8645</v>
      </c>
      <c r="E994" s="61">
        <f>18.2122 * CHOOSE(CONTROL!$C$19, $C$13, 100%, $E$13)</f>
        <v>18.212199999999999</v>
      </c>
      <c r="F994" s="61">
        <f>18.2122 * CHOOSE(CONTROL!$C$19, $C$13, 100%, $E$13)</f>
        <v>18.212199999999999</v>
      </c>
      <c r="G994" s="61">
        <f>18.2143 * CHOOSE(CONTROL!$C$19, $C$13, 100%, $E$13)</f>
        <v>18.214300000000001</v>
      </c>
      <c r="H994" s="61">
        <f>24.7826* CHOOSE(CONTROL!$C$19, $C$13, 100%, $E$13)</f>
        <v>24.782599999999999</v>
      </c>
      <c r="I994" s="61">
        <f>24.7847 * CHOOSE(CONTROL!$C$19, $C$13, 100%, $E$13)</f>
        <v>24.784700000000001</v>
      </c>
      <c r="J994" s="61">
        <f>18.2122 * CHOOSE(CONTROL!$C$19, $C$13, 100%, $E$13)</f>
        <v>18.212199999999999</v>
      </c>
      <c r="K994" s="61">
        <f>18.2143 * CHOOSE(CONTROL!$C$19, $C$13, 100%, $E$13)</f>
        <v>18.214300000000001</v>
      </c>
    </row>
    <row r="995" spans="1:11" ht="15">
      <c r="A995" s="13">
        <v>72137</v>
      </c>
      <c r="B995" s="60">
        <f>15.034 * CHOOSE(CONTROL!$C$19, $C$13, 100%, $E$13)</f>
        <v>15.034000000000001</v>
      </c>
      <c r="C995" s="60">
        <f>15.034 * CHOOSE(CONTROL!$C$19, $C$13, 100%, $E$13)</f>
        <v>15.034000000000001</v>
      </c>
      <c r="D995" s="60">
        <f>15.0676 * CHOOSE(CONTROL!$C$19, $C$13, 100%, $E$13)</f>
        <v>15.067600000000001</v>
      </c>
      <c r="E995" s="61">
        <f>18.5404 * CHOOSE(CONTROL!$C$19, $C$13, 100%, $E$13)</f>
        <v>18.540400000000002</v>
      </c>
      <c r="F995" s="61">
        <f>18.5404 * CHOOSE(CONTROL!$C$19, $C$13, 100%, $E$13)</f>
        <v>18.540400000000002</v>
      </c>
      <c r="G995" s="61">
        <f>18.5425 * CHOOSE(CONTROL!$C$19, $C$13, 100%, $E$13)</f>
        <v>18.5425</v>
      </c>
      <c r="H995" s="61">
        <f>24.8343* CHOOSE(CONTROL!$C$19, $C$13, 100%, $E$13)</f>
        <v>24.834299999999999</v>
      </c>
      <c r="I995" s="61">
        <f>24.8363 * CHOOSE(CONTROL!$C$19, $C$13, 100%, $E$13)</f>
        <v>24.836300000000001</v>
      </c>
      <c r="J995" s="61">
        <f>18.5404 * CHOOSE(CONTROL!$C$19, $C$13, 100%, $E$13)</f>
        <v>18.540400000000002</v>
      </c>
      <c r="K995" s="61">
        <f>18.5425 * CHOOSE(CONTROL!$C$19, $C$13, 100%, $E$13)</f>
        <v>18.5425</v>
      </c>
    </row>
    <row r="996" spans="1:11" ht="15">
      <c r="A996" s="13">
        <v>72168</v>
      </c>
      <c r="B996" s="60">
        <f>15.0407 * CHOOSE(CONTROL!$C$19, $C$13, 100%, $E$13)</f>
        <v>15.040699999999999</v>
      </c>
      <c r="C996" s="60">
        <f>15.0407 * CHOOSE(CONTROL!$C$19, $C$13, 100%, $E$13)</f>
        <v>15.040699999999999</v>
      </c>
      <c r="D996" s="60">
        <f>15.0743 * CHOOSE(CONTROL!$C$19, $C$13, 100%, $E$13)</f>
        <v>15.074299999999999</v>
      </c>
      <c r="E996" s="61">
        <f>18.258 * CHOOSE(CONTROL!$C$19, $C$13, 100%, $E$13)</f>
        <v>18.257999999999999</v>
      </c>
      <c r="F996" s="61">
        <f>18.258 * CHOOSE(CONTROL!$C$19, $C$13, 100%, $E$13)</f>
        <v>18.257999999999999</v>
      </c>
      <c r="G996" s="61">
        <f>18.2601 * CHOOSE(CONTROL!$C$19, $C$13, 100%, $E$13)</f>
        <v>18.260100000000001</v>
      </c>
      <c r="H996" s="61">
        <f>24.886* CHOOSE(CONTROL!$C$19, $C$13, 100%, $E$13)</f>
        <v>24.885999999999999</v>
      </c>
      <c r="I996" s="61">
        <f>24.8881 * CHOOSE(CONTROL!$C$19, $C$13, 100%, $E$13)</f>
        <v>24.888100000000001</v>
      </c>
      <c r="J996" s="61">
        <f>18.258 * CHOOSE(CONTROL!$C$19, $C$13, 100%, $E$13)</f>
        <v>18.257999999999999</v>
      </c>
      <c r="K996" s="61">
        <f>18.2601 * CHOOSE(CONTROL!$C$19, $C$13, 100%, $E$13)</f>
        <v>18.260100000000001</v>
      </c>
    </row>
    <row r="997" spans="1:11" ht="15">
      <c r="A997" s="13">
        <v>72199</v>
      </c>
      <c r="B997" s="60">
        <f>15.0376 * CHOOSE(CONTROL!$C$19, $C$13, 100%, $E$13)</f>
        <v>15.037599999999999</v>
      </c>
      <c r="C997" s="60">
        <f>15.0376 * CHOOSE(CONTROL!$C$19, $C$13, 100%, $E$13)</f>
        <v>15.037599999999999</v>
      </c>
      <c r="D997" s="60">
        <f>15.0713 * CHOOSE(CONTROL!$C$19, $C$13, 100%, $E$13)</f>
        <v>15.071300000000001</v>
      </c>
      <c r="E997" s="61">
        <f>18.224 * CHOOSE(CONTROL!$C$19, $C$13, 100%, $E$13)</f>
        <v>18.224</v>
      </c>
      <c r="F997" s="61">
        <f>18.224 * CHOOSE(CONTROL!$C$19, $C$13, 100%, $E$13)</f>
        <v>18.224</v>
      </c>
      <c r="G997" s="61">
        <f>18.2261 * CHOOSE(CONTROL!$C$19, $C$13, 100%, $E$13)</f>
        <v>18.226099999999999</v>
      </c>
      <c r="H997" s="61">
        <f>24.9378* CHOOSE(CONTROL!$C$19, $C$13, 100%, $E$13)</f>
        <v>24.937799999999999</v>
      </c>
      <c r="I997" s="61">
        <f>24.9399 * CHOOSE(CONTROL!$C$19, $C$13, 100%, $E$13)</f>
        <v>24.939900000000002</v>
      </c>
      <c r="J997" s="61">
        <f>18.224 * CHOOSE(CONTROL!$C$19, $C$13, 100%, $E$13)</f>
        <v>18.224</v>
      </c>
      <c r="K997" s="61">
        <f>18.2261 * CHOOSE(CONTROL!$C$19, $C$13, 100%, $E$13)</f>
        <v>18.226099999999999</v>
      </c>
    </row>
    <row r="998" spans="1:11" ht="15">
      <c r="A998" s="13">
        <v>72229</v>
      </c>
      <c r="B998" s="60">
        <f>15.0746 * CHOOSE(CONTROL!$C$19, $C$13, 100%, $E$13)</f>
        <v>15.0746</v>
      </c>
      <c r="C998" s="60">
        <f>15.0746 * CHOOSE(CONTROL!$C$19, $C$13, 100%, $E$13)</f>
        <v>15.0746</v>
      </c>
      <c r="D998" s="60">
        <f>15.0914 * CHOOSE(CONTROL!$C$19, $C$13, 100%, $E$13)</f>
        <v>15.0914</v>
      </c>
      <c r="E998" s="61">
        <f>18.3382 * CHOOSE(CONTROL!$C$19, $C$13, 100%, $E$13)</f>
        <v>18.338200000000001</v>
      </c>
      <c r="F998" s="61">
        <f>18.3382 * CHOOSE(CONTROL!$C$19, $C$13, 100%, $E$13)</f>
        <v>18.338200000000001</v>
      </c>
      <c r="G998" s="61">
        <f>18.3383 * CHOOSE(CONTROL!$C$19, $C$13, 100%, $E$13)</f>
        <v>18.3383</v>
      </c>
      <c r="H998" s="61">
        <f>24.9898* CHOOSE(CONTROL!$C$19, $C$13, 100%, $E$13)</f>
        <v>24.989799999999999</v>
      </c>
      <c r="I998" s="61">
        <f>24.99 * CHOOSE(CONTROL!$C$19, $C$13, 100%, $E$13)</f>
        <v>24.99</v>
      </c>
      <c r="J998" s="61">
        <f>18.3382 * CHOOSE(CONTROL!$C$19, $C$13, 100%, $E$13)</f>
        <v>18.338200000000001</v>
      </c>
      <c r="K998" s="61">
        <f>18.3383 * CHOOSE(CONTROL!$C$19, $C$13, 100%, $E$13)</f>
        <v>18.3383</v>
      </c>
    </row>
    <row r="999" spans="1:11" ht="15">
      <c r="A999" s="13">
        <v>72260</v>
      </c>
      <c r="B999" s="60">
        <f>15.0776 * CHOOSE(CONTROL!$C$19, $C$13, 100%, $E$13)</f>
        <v>15.0776</v>
      </c>
      <c r="C999" s="60">
        <f>15.0776 * CHOOSE(CONTROL!$C$19, $C$13, 100%, $E$13)</f>
        <v>15.0776</v>
      </c>
      <c r="D999" s="60">
        <f>15.0945 * CHOOSE(CONTROL!$C$19, $C$13, 100%, $E$13)</f>
        <v>15.0945</v>
      </c>
      <c r="E999" s="61">
        <f>18.4041 * CHOOSE(CONTROL!$C$19, $C$13, 100%, $E$13)</f>
        <v>18.4041</v>
      </c>
      <c r="F999" s="61">
        <f>18.4041 * CHOOSE(CONTROL!$C$19, $C$13, 100%, $E$13)</f>
        <v>18.4041</v>
      </c>
      <c r="G999" s="61">
        <f>18.4042 * CHOOSE(CONTROL!$C$19, $C$13, 100%, $E$13)</f>
        <v>18.404199999999999</v>
      </c>
      <c r="H999" s="61">
        <f>25.0419* CHOOSE(CONTROL!$C$19, $C$13, 100%, $E$13)</f>
        <v>25.041899999999998</v>
      </c>
      <c r="I999" s="61">
        <f>25.042 * CHOOSE(CONTROL!$C$19, $C$13, 100%, $E$13)</f>
        <v>25.042000000000002</v>
      </c>
      <c r="J999" s="61">
        <f>18.4041 * CHOOSE(CONTROL!$C$19, $C$13, 100%, $E$13)</f>
        <v>18.4041</v>
      </c>
      <c r="K999" s="61">
        <f>18.4042 * CHOOSE(CONTROL!$C$19, $C$13, 100%, $E$13)</f>
        <v>18.404199999999999</v>
      </c>
    </row>
    <row r="1000" spans="1:11" ht="15">
      <c r="A1000" s="13">
        <v>72290</v>
      </c>
      <c r="B1000" s="60">
        <f>15.0776 * CHOOSE(CONTROL!$C$19, $C$13, 100%, $E$13)</f>
        <v>15.0776</v>
      </c>
      <c r="C1000" s="60">
        <f>15.0776 * CHOOSE(CONTROL!$C$19, $C$13, 100%, $E$13)</f>
        <v>15.0776</v>
      </c>
      <c r="D1000" s="60">
        <f>15.0945 * CHOOSE(CONTROL!$C$19, $C$13, 100%, $E$13)</f>
        <v>15.0945</v>
      </c>
      <c r="E1000" s="61">
        <f>18.2446 * CHOOSE(CONTROL!$C$19, $C$13, 100%, $E$13)</f>
        <v>18.244599999999998</v>
      </c>
      <c r="F1000" s="61">
        <f>18.2446 * CHOOSE(CONTROL!$C$19, $C$13, 100%, $E$13)</f>
        <v>18.244599999999998</v>
      </c>
      <c r="G1000" s="61">
        <f>18.2448 * CHOOSE(CONTROL!$C$19, $C$13, 100%, $E$13)</f>
        <v>18.244800000000001</v>
      </c>
      <c r="H1000" s="61">
        <f>25.094* CHOOSE(CONTROL!$C$19, $C$13, 100%, $E$13)</f>
        <v>25.094000000000001</v>
      </c>
      <c r="I1000" s="61">
        <f>25.0942 * CHOOSE(CONTROL!$C$19, $C$13, 100%, $E$13)</f>
        <v>25.094200000000001</v>
      </c>
      <c r="J1000" s="61">
        <f>18.2446 * CHOOSE(CONTROL!$C$19, $C$13, 100%, $E$13)</f>
        <v>18.244599999999998</v>
      </c>
      <c r="K1000" s="61">
        <f>18.2448 * CHOOSE(CONTROL!$C$19, $C$13, 100%, $E$13)</f>
        <v>18.244800000000001</v>
      </c>
    </row>
    <row r="1001" spans="1:11" ht="15">
      <c r="A1001" s="13">
        <v>72321</v>
      </c>
      <c r="B1001" s="60">
        <f>15.0191 * CHOOSE(CONTROL!$C$19, $C$13, 100%, $E$13)</f>
        <v>15.0191</v>
      </c>
      <c r="C1001" s="60">
        <f>15.0191 * CHOOSE(CONTROL!$C$19, $C$13, 100%, $E$13)</f>
        <v>15.0191</v>
      </c>
      <c r="D1001" s="60">
        <f>15.0359 * CHOOSE(CONTROL!$C$19, $C$13, 100%, $E$13)</f>
        <v>15.0359</v>
      </c>
      <c r="E1001" s="61">
        <f>18.2769 * CHOOSE(CONTROL!$C$19, $C$13, 100%, $E$13)</f>
        <v>18.276900000000001</v>
      </c>
      <c r="F1001" s="61">
        <f>18.2769 * CHOOSE(CONTROL!$C$19, $C$13, 100%, $E$13)</f>
        <v>18.276900000000001</v>
      </c>
      <c r="G1001" s="61">
        <f>18.2771 * CHOOSE(CONTROL!$C$19, $C$13, 100%, $E$13)</f>
        <v>18.277100000000001</v>
      </c>
      <c r="H1001" s="61">
        <f>24.8507* CHOOSE(CONTROL!$C$19, $C$13, 100%, $E$13)</f>
        <v>24.8507</v>
      </c>
      <c r="I1001" s="61">
        <f>24.8509 * CHOOSE(CONTROL!$C$19, $C$13, 100%, $E$13)</f>
        <v>24.850899999999999</v>
      </c>
      <c r="J1001" s="61">
        <f>18.2769 * CHOOSE(CONTROL!$C$19, $C$13, 100%, $E$13)</f>
        <v>18.276900000000001</v>
      </c>
      <c r="K1001" s="61">
        <f>18.2771 * CHOOSE(CONTROL!$C$19, $C$13, 100%, $E$13)</f>
        <v>18.277100000000001</v>
      </c>
    </row>
    <row r="1002" spans="1:11" ht="15">
      <c r="A1002" s="13">
        <v>72352</v>
      </c>
      <c r="B1002" s="60">
        <f>15.0161 * CHOOSE(CONTROL!$C$19, $C$13, 100%, $E$13)</f>
        <v>15.0161</v>
      </c>
      <c r="C1002" s="60">
        <f>15.0161 * CHOOSE(CONTROL!$C$19, $C$13, 100%, $E$13)</f>
        <v>15.0161</v>
      </c>
      <c r="D1002" s="60">
        <f>15.0329 * CHOOSE(CONTROL!$C$19, $C$13, 100%, $E$13)</f>
        <v>15.0329</v>
      </c>
      <c r="E1002" s="61">
        <f>17.969 * CHOOSE(CONTROL!$C$19, $C$13, 100%, $E$13)</f>
        <v>17.969000000000001</v>
      </c>
      <c r="F1002" s="61">
        <f>17.969 * CHOOSE(CONTROL!$C$19, $C$13, 100%, $E$13)</f>
        <v>17.969000000000001</v>
      </c>
      <c r="G1002" s="61">
        <f>17.9692 * CHOOSE(CONTROL!$C$19, $C$13, 100%, $E$13)</f>
        <v>17.969200000000001</v>
      </c>
      <c r="H1002" s="61">
        <f>24.9025* CHOOSE(CONTROL!$C$19, $C$13, 100%, $E$13)</f>
        <v>24.9025</v>
      </c>
      <c r="I1002" s="61">
        <f>24.9027 * CHOOSE(CONTROL!$C$19, $C$13, 100%, $E$13)</f>
        <v>24.902699999999999</v>
      </c>
      <c r="J1002" s="61">
        <f>17.969 * CHOOSE(CONTROL!$C$19, $C$13, 100%, $E$13)</f>
        <v>17.969000000000001</v>
      </c>
      <c r="K1002" s="61">
        <f>17.9692 * CHOOSE(CONTROL!$C$19, $C$13, 100%, $E$13)</f>
        <v>17.969200000000001</v>
      </c>
    </row>
    <row r="1003" spans="1:11" ht="15">
      <c r="A1003" s="13">
        <v>72380</v>
      </c>
      <c r="B1003" s="60">
        <f>15.013 * CHOOSE(CONTROL!$C$19, $C$13, 100%, $E$13)</f>
        <v>15.013</v>
      </c>
      <c r="C1003" s="60">
        <f>15.013 * CHOOSE(CONTROL!$C$19, $C$13, 100%, $E$13)</f>
        <v>15.013</v>
      </c>
      <c r="D1003" s="60">
        <f>15.0299 * CHOOSE(CONTROL!$C$19, $C$13, 100%, $E$13)</f>
        <v>15.0299</v>
      </c>
      <c r="E1003" s="61">
        <f>18.208 * CHOOSE(CONTROL!$C$19, $C$13, 100%, $E$13)</f>
        <v>18.207999999999998</v>
      </c>
      <c r="F1003" s="61">
        <f>18.208 * CHOOSE(CONTROL!$C$19, $C$13, 100%, $E$13)</f>
        <v>18.207999999999998</v>
      </c>
      <c r="G1003" s="61">
        <f>18.2082 * CHOOSE(CONTROL!$C$19, $C$13, 100%, $E$13)</f>
        <v>18.208200000000001</v>
      </c>
      <c r="H1003" s="61">
        <f>24.9544* CHOOSE(CONTROL!$C$19, $C$13, 100%, $E$13)</f>
        <v>24.9544</v>
      </c>
      <c r="I1003" s="61">
        <f>24.9546 * CHOOSE(CONTROL!$C$19, $C$13, 100%, $E$13)</f>
        <v>24.954599999999999</v>
      </c>
      <c r="J1003" s="61">
        <f>18.208 * CHOOSE(CONTROL!$C$19, $C$13, 100%, $E$13)</f>
        <v>18.207999999999998</v>
      </c>
      <c r="K1003" s="61">
        <f>18.2082 * CHOOSE(CONTROL!$C$19, $C$13, 100%, $E$13)</f>
        <v>18.208200000000001</v>
      </c>
    </row>
    <row r="1004" spans="1:11" ht="15">
      <c r="A1004" s="13">
        <v>72411</v>
      </c>
      <c r="B1004" s="60">
        <f>15.0215 * CHOOSE(CONTROL!$C$19, $C$13, 100%, $E$13)</f>
        <v>15.0215</v>
      </c>
      <c r="C1004" s="60">
        <f>15.0215 * CHOOSE(CONTROL!$C$19, $C$13, 100%, $E$13)</f>
        <v>15.0215</v>
      </c>
      <c r="D1004" s="60">
        <f>15.0384 * CHOOSE(CONTROL!$C$19, $C$13, 100%, $E$13)</f>
        <v>15.038399999999999</v>
      </c>
      <c r="E1004" s="61">
        <f>18.4626 * CHOOSE(CONTROL!$C$19, $C$13, 100%, $E$13)</f>
        <v>18.462599999999998</v>
      </c>
      <c r="F1004" s="61">
        <f>18.4626 * CHOOSE(CONTROL!$C$19, $C$13, 100%, $E$13)</f>
        <v>18.462599999999998</v>
      </c>
      <c r="G1004" s="61">
        <f>18.4628 * CHOOSE(CONTROL!$C$19, $C$13, 100%, $E$13)</f>
        <v>18.462800000000001</v>
      </c>
      <c r="H1004" s="61">
        <f>25.0064* CHOOSE(CONTROL!$C$19, $C$13, 100%, $E$13)</f>
        <v>25.006399999999999</v>
      </c>
      <c r="I1004" s="61">
        <f>25.0066 * CHOOSE(CONTROL!$C$19, $C$13, 100%, $E$13)</f>
        <v>25.006599999999999</v>
      </c>
      <c r="J1004" s="61">
        <f>18.4626 * CHOOSE(CONTROL!$C$19, $C$13, 100%, $E$13)</f>
        <v>18.462599999999998</v>
      </c>
      <c r="K1004" s="61">
        <f>18.4628 * CHOOSE(CONTROL!$C$19, $C$13, 100%, $E$13)</f>
        <v>18.462800000000001</v>
      </c>
    </row>
    <row r="1005" spans="1:11" ht="15">
      <c r="A1005" s="13">
        <v>72441</v>
      </c>
      <c r="B1005" s="60">
        <f>15.0215 * CHOOSE(CONTROL!$C$19, $C$13, 100%, $E$13)</f>
        <v>15.0215</v>
      </c>
      <c r="C1005" s="60">
        <f>15.0215 * CHOOSE(CONTROL!$C$19, $C$13, 100%, $E$13)</f>
        <v>15.0215</v>
      </c>
      <c r="D1005" s="60">
        <f>15.0552 * CHOOSE(CONTROL!$C$19, $C$13, 100%, $E$13)</f>
        <v>15.055199999999999</v>
      </c>
      <c r="E1005" s="61">
        <f>18.5597 * CHOOSE(CONTROL!$C$19, $C$13, 100%, $E$13)</f>
        <v>18.559699999999999</v>
      </c>
      <c r="F1005" s="61">
        <f>18.5597 * CHOOSE(CONTROL!$C$19, $C$13, 100%, $E$13)</f>
        <v>18.559699999999999</v>
      </c>
      <c r="G1005" s="61">
        <f>18.5618 * CHOOSE(CONTROL!$C$19, $C$13, 100%, $E$13)</f>
        <v>18.561800000000002</v>
      </c>
      <c r="H1005" s="61">
        <f>25.0585* CHOOSE(CONTROL!$C$19, $C$13, 100%, $E$13)</f>
        <v>25.058499999999999</v>
      </c>
      <c r="I1005" s="61">
        <f>25.0606 * CHOOSE(CONTROL!$C$19, $C$13, 100%, $E$13)</f>
        <v>25.060600000000001</v>
      </c>
      <c r="J1005" s="61">
        <f>18.5597 * CHOOSE(CONTROL!$C$19, $C$13, 100%, $E$13)</f>
        <v>18.559699999999999</v>
      </c>
      <c r="K1005" s="61">
        <f>18.5618 * CHOOSE(CONTROL!$C$19, $C$13, 100%, $E$13)</f>
        <v>18.561800000000002</v>
      </c>
    </row>
    <row r="1006" spans="1:11" ht="15">
      <c r="A1006" s="13">
        <v>72472</v>
      </c>
      <c r="B1006" s="60">
        <f>15.0276 * CHOOSE(CONTROL!$C$19, $C$13, 100%, $E$13)</f>
        <v>15.0276</v>
      </c>
      <c r="C1006" s="60">
        <f>15.0276 * CHOOSE(CONTROL!$C$19, $C$13, 100%, $E$13)</f>
        <v>15.0276</v>
      </c>
      <c r="D1006" s="60">
        <f>15.0613 * CHOOSE(CONTROL!$C$19, $C$13, 100%, $E$13)</f>
        <v>15.061299999999999</v>
      </c>
      <c r="E1006" s="61">
        <f>18.4669 * CHOOSE(CONTROL!$C$19, $C$13, 100%, $E$13)</f>
        <v>18.466899999999999</v>
      </c>
      <c r="F1006" s="61">
        <f>18.4669 * CHOOSE(CONTROL!$C$19, $C$13, 100%, $E$13)</f>
        <v>18.466899999999999</v>
      </c>
      <c r="G1006" s="61">
        <f>18.469 * CHOOSE(CONTROL!$C$19, $C$13, 100%, $E$13)</f>
        <v>18.469000000000001</v>
      </c>
      <c r="H1006" s="61">
        <f>25.1107* CHOOSE(CONTROL!$C$19, $C$13, 100%, $E$13)</f>
        <v>25.110700000000001</v>
      </c>
      <c r="I1006" s="61">
        <f>25.1128 * CHOOSE(CONTROL!$C$19, $C$13, 100%, $E$13)</f>
        <v>25.1128</v>
      </c>
      <c r="J1006" s="61">
        <f>18.4669 * CHOOSE(CONTROL!$C$19, $C$13, 100%, $E$13)</f>
        <v>18.466899999999999</v>
      </c>
      <c r="K1006" s="61">
        <f>18.469 * CHOOSE(CONTROL!$C$19, $C$13, 100%, $E$13)</f>
        <v>18.469000000000001</v>
      </c>
    </row>
    <row r="1007" spans="1:11" ht="15">
      <c r="A1007" s="13">
        <v>72502</v>
      </c>
      <c r="B1007" s="60">
        <f>15.2333 * CHOOSE(CONTROL!$C$19, $C$13, 100%, $E$13)</f>
        <v>15.2333</v>
      </c>
      <c r="C1007" s="60">
        <f>15.2333 * CHOOSE(CONTROL!$C$19, $C$13, 100%, $E$13)</f>
        <v>15.2333</v>
      </c>
      <c r="D1007" s="60">
        <f>15.267 * CHOOSE(CONTROL!$C$19, $C$13, 100%, $E$13)</f>
        <v>15.266999999999999</v>
      </c>
      <c r="E1007" s="61">
        <f>18.7995 * CHOOSE(CONTROL!$C$19, $C$13, 100%, $E$13)</f>
        <v>18.799499999999998</v>
      </c>
      <c r="F1007" s="61">
        <f>18.7995 * CHOOSE(CONTROL!$C$19, $C$13, 100%, $E$13)</f>
        <v>18.799499999999998</v>
      </c>
      <c r="G1007" s="61">
        <f>18.8016 * CHOOSE(CONTROL!$C$19, $C$13, 100%, $E$13)</f>
        <v>18.801600000000001</v>
      </c>
      <c r="H1007" s="61">
        <f>25.163* CHOOSE(CONTROL!$C$19, $C$13, 100%, $E$13)</f>
        <v>25.163</v>
      </c>
      <c r="I1007" s="61">
        <f>25.1651 * CHOOSE(CONTROL!$C$19, $C$13, 100%, $E$13)</f>
        <v>25.165099999999999</v>
      </c>
      <c r="J1007" s="61">
        <f>18.7995 * CHOOSE(CONTROL!$C$19, $C$13, 100%, $E$13)</f>
        <v>18.799499999999998</v>
      </c>
      <c r="K1007" s="61">
        <f>18.8016 * CHOOSE(CONTROL!$C$19, $C$13, 100%, $E$13)</f>
        <v>18.801600000000001</v>
      </c>
    </row>
    <row r="1008" spans="1:11" ht="15">
      <c r="A1008" s="13">
        <v>72533</v>
      </c>
      <c r="B1008" s="60">
        <f>15.24 * CHOOSE(CONTROL!$C$19, $C$13, 100%, $E$13)</f>
        <v>15.24</v>
      </c>
      <c r="C1008" s="60">
        <f>15.24 * CHOOSE(CONTROL!$C$19, $C$13, 100%, $E$13)</f>
        <v>15.24</v>
      </c>
      <c r="D1008" s="60">
        <f>15.2736 * CHOOSE(CONTROL!$C$19, $C$13, 100%, $E$13)</f>
        <v>15.2736</v>
      </c>
      <c r="E1008" s="61">
        <f>18.5129 * CHOOSE(CONTROL!$C$19, $C$13, 100%, $E$13)</f>
        <v>18.512899999999998</v>
      </c>
      <c r="F1008" s="61">
        <f>18.5129 * CHOOSE(CONTROL!$C$19, $C$13, 100%, $E$13)</f>
        <v>18.512899999999998</v>
      </c>
      <c r="G1008" s="61">
        <f>18.515 * CHOOSE(CONTROL!$C$19, $C$13, 100%, $E$13)</f>
        <v>18.515000000000001</v>
      </c>
      <c r="H1008" s="61">
        <f>25.2154* CHOOSE(CONTROL!$C$19, $C$13, 100%, $E$13)</f>
        <v>25.215399999999999</v>
      </c>
      <c r="I1008" s="61">
        <f>25.2175 * CHOOSE(CONTROL!$C$19, $C$13, 100%, $E$13)</f>
        <v>25.217500000000001</v>
      </c>
      <c r="J1008" s="61">
        <f>18.5129 * CHOOSE(CONTROL!$C$19, $C$13, 100%, $E$13)</f>
        <v>18.512899999999998</v>
      </c>
      <c r="K1008" s="61">
        <f>18.515 * CHOOSE(CONTROL!$C$19, $C$13, 100%, $E$13)</f>
        <v>18.515000000000001</v>
      </c>
    </row>
    <row r="1009" spans="1:11" ht="15">
      <c r="A1009" s="13">
        <v>72564</v>
      </c>
      <c r="B1009" s="60">
        <f>15.2369 * CHOOSE(CONTROL!$C$19, $C$13, 100%, $E$13)</f>
        <v>15.2369</v>
      </c>
      <c r="C1009" s="60">
        <f>15.2369 * CHOOSE(CONTROL!$C$19, $C$13, 100%, $E$13)</f>
        <v>15.2369</v>
      </c>
      <c r="D1009" s="60">
        <f>15.2706 * CHOOSE(CONTROL!$C$19, $C$13, 100%, $E$13)</f>
        <v>15.2706</v>
      </c>
      <c r="E1009" s="61">
        <f>18.4784 * CHOOSE(CONTROL!$C$19, $C$13, 100%, $E$13)</f>
        <v>18.478400000000001</v>
      </c>
      <c r="F1009" s="61">
        <f>18.4784 * CHOOSE(CONTROL!$C$19, $C$13, 100%, $E$13)</f>
        <v>18.478400000000001</v>
      </c>
      <c r="G1009" s="61">
        <f>18.4805 * CHOOSE(CONTROL!$C$19, $C$13, 100%, $E$13)</f>
        <v>18.480499999999999</v>
      </c>
      <c r="H1009" s="61">
        <f>25.268* CHOOSE(CONTROL!$C$19, $C$13, 100%, $E$13)</f>
        <v>25.268000000000001</v>
      </c>
      <c r="I1009" s="61">
        <f>25.27 * CHOOSE(CONTROL!$C$19, $C$13, 100%, $E$13)</f>
        <v>25.27</v>
      </c>
      <c r="J1009" s="61">
        <f>18.4784 * CHOOSE(CONTROL!$C$19, $C$13, 100%, $E$13)</f>
        <v>18.478400000000001</v>
      </c>
      <c r="K1009" s="61">
        <f>18.4805 * CHOOSE(CONTROL!$C$19, $C$13, 100%, $E$13)</f>
        <v>18.480499999999999</v>
      </c>
    </row>
    <row r="1010" spans="1:11" ht="15">
      <c r="A1010" s="13">
        <v>72594</v>
      </c>
      <c r="B1010" s="60">
        <f>15.2747 * CHOOSE(CONTROL!$C$19, $C$13, 100%, $E$13)</f>
        <v>15.274699999999999</v>
      </c>
      <c r="C1010" s="60">
        <f>15.2747 * CHOOSE(CONTROL!$C$19, $C$13, 100%, $E$13)</f>
        <v>15.274699999999999</v>
      </c>
      <c r="D1010" s="60">
        <f>15.2915 * CHOOSE(CONTROL!$C$19, $C$13, 100%, $E$13)</f>
        <v>15.291499999999999</v>
      </c>
      <c r="E1010" s="61">
        <f>18.5944 * CHOOSE(CONTROL!$C$19, $C$13, 100%, $E$13)</f>
        <v>18.5944</v>
      </c>
      <c r="F1010" s="61">
        <f>18.5944 * CHOOSE(CONTROL!$C$19, $C$13, 100%, $E$13)</f>
        <v>18.5944</v>
      </c>
      <c r="G1010" s="61">
        <f>18.5946 * CHOOSE(CONTROL!$C$19, $C$13, 100%, $E$13)</f>
        <v>18.5946</v>
      </c>
      <c r="H1010" s="61">
        <f>25.3206* CHOOSE(CONTROL!$C$19, $C$13, 100%, $E$13)</f>
        <v>25.320599999999999</v>
      </c>
      <c r="I1010" s="61">
        <f>25.3208 * CHOOSE(CONTROL!$C$19, $C$13, 100%, $E$13)</f>
        <v>25.320799999999998</v>
      </c>
      <c r="J1010" s="61">
        <f>18.5944 * CHOOSE(CONTROL!$C$19, $C$13, 100%, $E$13)</f>
        <v>18.5944</v>
      </c>
      <c r="K1010" s="61">
        <f>18.5946 * CHOOSE(CONTROL!$C$19, $C$13, 100%, $E$13)</f>
        <v>18.5946</v>
      </c>
    </row>
    <row r="1011" spans="1:11" ht="15">
      <c r="A1011" s="13">
        <v>72625</v>
      </c>
      <c r="B1011" s="60">
        <f>15.2777 * CHOOSE(CONTROL!$C$19, $C$13, 100%, $E$13)</f>
        <v>15.277699999999999</v>
      </c>
      <c r="C1011" s="60">
        <f>15.2777 * CHOOSE(CONTROL!$C$19, $C$13, 100%, $E$13)</f>
        <v>15.277699999999999</v>
      </c>
      <c r="D1011" s="60">
        <f>15.2945 * CHOOSE(CONTROL!$C$19, $C$13, 100%, $E$13)</f>
        <v>15.294499999999999</v>
      </c>
      <c r="E1011" s="61">
        <f>18.6613 * CHOOSE(CONTROL!$C$19, $C$13, 100%, $E$13)</f>
        <v>18.661300000000001</v>
      </c>
      <c r="F1011" s="61">
        <f>18.6613 * CHOOSE(CONTROL!$C$19, $C$13, 100%, $E$13)</f>
        <v>18.661300000000001</v>
      </c>
      <c r="G1011" s="61">
        <f>18.6614 * CHOOSE(CONTROL!$C$19, $C$13, 100%, $E$13)</f>
        <v>18.6614</v>
      </c>
      <c r="H1011" s="61">
        <f>25.3733* CHOOSE(CONTROL!$C$19, $C$13, 100%, $E$13)</f>
        <v>25.3733</v>
      </c>
      <c r="I1011" s="61">
        <f>25.3735 * CHOOSE(CONTROL!$C$19, $C$13, 100%, $E$13)</f>
        <v>25.3735</v>
      </c>
      <c r="J1011" s="61">
        <f>18.6613 * CHOOSE(CONTROL!$C$19, $C$13, 100%, $E$13)</f>
        <v>18.661300000000001</v>
      </c>
      <c r="K1011" s="61">
        <f>18.6614 * CHOOSE(CONTROL!$C$19, $C$13, 100%, $E$13)</f>
        <v>18.6614</v>
      </c>
    </row>
    <row r="1012" spans="1:11" ht="15">
      <c r="A1012" s="13">
        <v>72655</v>
      </c>
      <c r="B1012" s="60">
        <f>15.2777 * CHOOSE(CONTROL!$C$19, $C$13, 100%, $E$13)</f>
        <v>15.277699999999999</v>
      </c>
      <c r="C1012" s="60">
        <f>15.2777 * CHOOSE(CONTROL!$C$19, $C$13, 100%, $E$13)</f>
        <v>15.277699999999999</v>
      </c>
      <c r="D1012" s="60">
        <f>15.2945 * CHOOSE(CONTROL!$C$19, $C$13, 100%, $E$13)</f>
        <v>15.294499999999999</v>
      </c>
      <c r="E1012" s="61">
        <f>18.4995 * CHOOSE(CONTROL!$C$19, $C$13, 100%, $E$13)</f>
        <v>18.499500000000001</v>
      </c>
      <c r="F1012" s="61">
        <f>18.4995 * CHOOSE(CONTROL!$C$19, $C$13, 100%, $E$13)</f>
        <v>18.499500000000001</v>
      </c>
      <c r="G1012" s="61">
        <f>18.4996 * CHOOSE(CONTROL!$C$19, $C$13, 100%, $E$13)</f>
        <v>18.499600000000001</v>
      </c>
      <c r="H1012" s="61">
        <f>25.4262* CHOOSE(CONTROL!$C$19, $C$13, 100%, $E$13)</f>
        <v>25.426200000000001</v>
      </c>
      <c r="I1012" s="61">
        <f>25.4264 * CHOOSE(CONTROL!$C$19, $C$13, 100%, $E$13)</f>
        <v>25.426400000000001</v>
      </c>
      <c r="J1012" s="61">
        <f>18.4995 * CHOOSE(CONTROL!$C$19, $C$13, 100%, $E$13)</f>
        <v>18.499500000000001</v>
      </c>
      <c r="K1012" s="61">
        <f>18.4996 * CHOOSE(CONTROL!$C$19, $C$13, 100%, $E$13)</f>
        <v>18.499600000000001</v>
      </c>
    </row>
    <row r="1013" spans="1:11" ht="15">
      <c r="A1013" s="13">
        <v>72686</v>
      </c>
      <c r="B1013" s="60">
        <f>15.2157 * CHOOSE(CONTROL!$C$19, $C$13, 100%, $E$13)</f>
        <v>15.2157</v>
      </c>
      <c r="C1013" s="60">
        <f>15.2157 * CHOOSE(CONTROL!$C$19, $C$13, 100%, $E$13)</f>
        <v>15.2157</v>
      </c>
      <c r="D1013" s="60">
        <f>15.2326 * CHOOSE(CONTROL!$C$19, $C$13, 100%, $E$13)</f>
        <v>15.2326</v>
      </c>
      <c r="E1013" s="61">
        <f>18.5288 * CHOOSE(CONTROL!$C$19, $C$13, 100%, $E$13)</f>
        <v>18.5288</v>
      </c>
      <c r="F1013" s="61">
        <f>18.5288 * CHOOSE(CONTROL!$C$19, $C$13, 100%, $E$13)</f>
        <v>18.5288</v>
      </c>
      <c r="G1013" s="61">
        <f>18.5289 * CHOOSE(CONTROL!$C$19, $C$13, 100%, $E$13)</f>
        <v>18.5289</v>
      </c>
      <c r="H1013" s="61">
        <f>25.1754* CHOOSE(CONTROL!$C$19, $C$13, 100%, $E$13)</f>
        <v>25.1754</v>
      </c>
      <c r="I1013" s="61">
        <f>25.1756 * CHOOSE(CONTROL!$C$19, $C$13, 100%, $E$13)</f>
        <v>25.175599999999999</v>
      </c>
      <c r="J1013" s="61">
        <f>18.5288 * CHOOSE(CONTROL!$C$19, $C$13, 100%, $E$13)</f>
        <v>18.5288</v>
      </c>
      <c r="K1013" s="61">
        <f>18.5289 * CHOOSE(CONTROL!$C$19, $C$13, 100%, $E$13)</f>
        <v>18.5289</v>
      </c>
    </row>
    <row r="1014" spans="1:11" ht="15">
      <c r="A1014" s="13">
        <v>72717</v>
      </c>
      <c r="B1014" s="60">
        <f>15.2127 * CHOOSE(CONTROL!$C$19, $C$13, 100%, $E$13)</f>
        <v>15.2127</v>
      </c>
      <c r="C1014" s="60">
        <f>15.2127 * CHOOSE(CONTROL!$C$19, $C$13, 100%, $E$13)</f>
        <v>15.2127</v>
      </c>
      <c r="D1014" s="60">
        <f>15.2295 * CHOOSE(CONTROL!$C$19, $C$13, 100%, $E$13)</f>
        <v>15.2295</v>
      </c>
      <c r="E1014" s="61">
        <f>18.2164 * CHOOSE(CONTROL!$C$19, $C$13, 100%, $E$13)</f>
        <v>18.2164</v>
      </c>
      <c r="F1014" s="61">
        <f>18.2164 * CHOOSE(CONTROL!$C$19, $C$13, 100%, $E$13)</f>
        <v>18.2164</v>
      </c>
      <c r="G1014" s="61">
        <f>18.2166 * CHOOSE(CONTROL!$C$19, $C$13, 100%, $E$13)</f>
        <v>18.2166</v>
      </c>
      <c r="H1014" s="61">
        <f>25.2279* CHOOSE(CONTROL!$C$19, $C$13, 100%, $E$13)</f>
        <v>25.227900000000002</v>
      </c>
      <c r="I1014" s="61">
        <f>25.228 * CHOOSE(CONTROL!$C$19, $C$13, 100%, $E$13)</f>
        <v>25.228000000000002</v>
      </c>
      <c r="J1014" s="61">
        <f>18.2164 * CHOOSE(CONTROL!$C$19, $C$13, 100%, $E$13)</f>
        <v>18.2164</v>
      </c>
      <c r="K1014" s="61">
        <f>18.2166 * CHOOSE(CONTROL!$C$19, $C$13, 100%, $E$13)</f>
        <v>18.2166</v>
      </c>
    </row>
    <row r="1015" spans="1:11" ht="15">
      <c r="A1015" s="13">
        <v>72745</v>
      </c>
      <c r="B1015" s="60">
        <f>15.2096 * CHOOSE(CONTROL!$C$19, $C$13, 100%, $E$13)</f>
        <v>15.2096</v>
      </c>
      <c r="C1015" s="60">
        <f>15.2096 * CHOOSE(CONTROL!$C$19, $C$13, 100%, $E$13)</f>
        <v>15.2096</v>
      </c>
      <c r="D1015" s="60">
        <f>15.2265 * CHOOSE(CONTROL!$C$19, $C$13, 100%, $E$13)</f>
        <v>15.2265</v>
      </c>
      <c r="E1015" s="61">
        <f>18.4589 * CHOOSE(CONTROL!$C$19, $C$13, 100%, $E$13)</f>
        <v>18.4589</v>
      </c>
      <c r="F1015" s="61">
        <f>18.4589 * CHOOSE(CONTROL!$C$19, $C$13, 100%, $E$13)</f>
        <v>18.4589</v>
      </c>
      <c r="G1015" s="61">
        <f>18.459 * CHOOSE(CONTROL!$C$19, $C$13, 100%, $E$13)</f>
        <v>18.459</v>
      </c>
      <c r="H1015" s="61">
        <f>25.2804* CHOOSE(CONTROL!$C$19, $C$13, 100%, $E$13)</f>
        <v>25.2804</v>
      </c>
      <c r="I1015" s="61">
        <f>25.2806 * CHOOSE(CONTROL!$C$19, $C$13, 100%, $E$13)</f>
        <v>25.2806</v>
      </c>
      <c r="J1015" s="61">
        <f>18.4589 * CHOOSE(CONTROL!$C$19, $C$13, 100%, $E$13)</f>
        <v>18.4589</v>
      </c>
      <c r="K1015" s="61">
        <f>18.459 * CHOOSE(CONTROL!$C$19, $C$13, 100%, $E$13)</f>
        <v>18.459</v>
      </c>
    </row>
    <row r="1016" spans="1:11" ht="15">
      <c r="A1016" s="13">
        <v>72776</v>
      </c>
      <c r="B1016" s="60">
        <f>15.2183 * CHOOSE(CONTROL!$C$19, $C$13, 100%, $E$13)</f>
        <v>15.218299999999999</v>
      </c>
      <c r="C1016" s="60">
        <f>15.2183 * CHOOSE(CONTROL!$C$19, $C$13, 100%, $E$13)</f>
        <v>15.218299999999999</v>
      </c>
      <c r="D1016" s="60">
        <f>15.2352 * CHOOSE(CONTROL!$C$19, $C$13, 100%, $E$13)</f>
        <v>15.235200000000001</v>
      </c>
      <c r="E1016" s="61">
        <f>18.7173 * CHOOSE(CONTROL!$C$19, $C$13, 100%, $E$13)</f>
        <v>18.717300000000002</v>
      </c>
      <c r="F1016" s="61">
        <f>18.7173 * CHOOSE(CONTROL!$C$19, $C$13, 100%, $E$13)</f>
        <v>18.717300000000002</v>
      </c>
      <c r="G1016" s="61">
        <f>18.7175 * CHOOSE(CONTROL!$C$19, $C$13, 100%, $E$13)</f>
        <v>18.717500000000001</v>
      </c>
      <c r="H1016" s="61">
        <f>25.3331* CHOOSE(CONTROL!$C$19, $C$13, 100%, $E$13)</f>
        <v>25.333100000000002</v>
      </c>
      <c r="I1016" s="61">
        <f>25.3333 * CHOOSE(CONTROL!$C$19, $C$13, 100%, $E$13)</f>
        <v>25.333300000000001</v>
      </c>
      <c r="J1016" s="61">
        <f>18.7173 * CHOOSE(CONTROL!$C$19, $C$13, 100%, $E$13)</f>
        <v>18.717300000000002</v>
      </c>
      <c r="K1016" s="61">
        <f>18.7175 * CHOOSE(CONTROL!$C$19, $C$13, 100%, $E$13)</f>
        <v>18.717500000000001</v>
      </c>
    </row>
    <row r="1017" spans="1:11" ht="15">
      <c r="A1017" s="13">
        <v>72806</v>
      </c>
      <c r="B1017" s="60">
        <f>15.2183 * CHOOSE(CONTROL!$C$19, $C$13, 100%, $E$13)</f>
        <v>15.218299999999999</v>
      </c>
      <c r="C1017" s="60">
        <f>15.2183 * CHOOSE(CONTROL!$C$19, $C$13, 100%, $E$13)</f>
        <v>15.218299999999999</v>
      </c>
      <c r="D1017" s="60">
        <f>15.252 * CHOOSE(CONTROL!$C$19, $C$13, 100%, $E$13)</f>
        <v>15.252000000000001</v>
      </c>
      <c r="E1017" s="61">
        <f>18.8158 * CHOOSE(CONTROL!$C$19, $C$13, 100%, $E$13)</f>
        <v>18.815799999999999</v>
      </c>
      <c r="F1017" s="61">
        <f>18.8158 * CHOOSE(CONTROL!$C$19, $C$13, 100%, $E$13)</f>
        <v>18.815799999999999</v>
      </c>
      <c r="G1017" s="61">
        <f>18.8179 * CHOOSE(CONTROL!$C$19, $C$13, 100%, $E$13)</f>
        <v>18.817900000000002</v>
      </c>
      <c r="H1017" s="61">
        <f>25.3859* CHOOSE(CONTROL!$C$19, $C$13, 100%, $E$13)</f>
        <v>25.385899999999999</v>
      </c>
      <c r="I1017" s="61">
        <f>25.3879 * CHOOSE(CONTROL!$C$19, $C$13, 100%, $E$13)</f>
        <v>25.387899999999998</v>
      </c>
      <c r="J1017" s="61">
        <f>18.8158 * CHOOSE(CONTROL!$C$19, $C$13, 100%, $E$13)</f>
        <v>18.815799999999999</v>
      </c>
      <c r="K1017" s="61">
        <f>18.8179 * CHOOSE(CONTROL!$C$19, $C$13, 100%, $E$13)</f>
        <v>18.817900000000002</v>
      </c>
    </row>
    <row r="1018" spans="1:11" ht="15">
      <c r="A1018" s="13">
        <v>72837</v>
      </c>
      <c r="B1018" s="60">
        <f>15.2244 * CHOOSE(CONTROL!$C$19, $C$13, 100%, $E$13)</f>
        <v>15.224399999999999</v>
      </c>
      <c r="C1018" s="60">
        <f>15.2244 * CHOOSE(CONTROL!$C$19, $C$13, 100%, $E$13)</f>
        <v>15.224399999999999</v>
      </c>
      <c r="D1018" s="60">
        <f>15.2581 * CHOOSE(CONTROL!$C$19, $C$13, 100%, $E$13)</f>
        <v>15.258100000000001</v>
      </c>
      <c r="E1018" s="61">
        <f>18.7215 * CHOOSE(CONTROL!$C$19, $C$13, 100%, $E$13)</f>
        <v>18.721499999999999</v>
      </c>
      <c r="F1018" s="61">
        <f>18.7215 * CHOOSE(CONTROL!$C$19, $C$13, 100%, $E$13)</f>
        <v>18.721499999999999</v>
      </c>
      <c r="G1018" s="61">
        <f>18.7236 * CHOOSE(CONTROL!$C$19, $C$13, 100%, $E$13)</f>
        <v>18.723600000000001</v>
      </c>
      <c r="H1018" s="61">
        <f>25.4387* CHOOSE(CONTROL!$C$19, $C$13, 100%, $E$13)</f>
        <v>25.438700000000001</v>
      </c>
      <c r="I1018" s="61">
        <f>25.4408 * CHOOSE(CONTROL!$C$19, $C$13, 100%, $E$13)</f>
        <v>25.440799999999999</v>
      </c>
      <c r="J1018" s="61">
        <f>18.7215 * CHOOSE(CONTROL!$C$19, $C$13, 100%, $E$13)</f>
        <v>18.721499999999999</v>
      </c>
      <c r="K1018" s="61">
        <f>18.7236 * CHOOSE(CONTROL!$C$19, $C$13, 100%, $E$13)</f>
        <v>18.723600000000001</v>
      </c>
    </row>
    <row r="1019" spans="1:11" ht="15">
      <c r="A1019" s="13">
        <v>72867</v>
      </c>
      <c r="B1019" s="60">
        <f>15.4326 * CHOOSE(CONTROL!$C$19, $C$13, 100%, $E$13)</f>
        <v>15.432600000000001</v>
      </c>
      <c r="C1019" s="60">
        <f>15.4326 * CHOOSE(CONTROL!$C$19, $C$13, 100%, $E$13)</f>
        <v>15.432600000000001</v>
      </c>
      <c r="D1019" s="60">
        <f>15.4663 * CHOOSE(CONTROL!$C$19, $C$13, 100%, $E$13)</f>
        <v>15.4663</v>
      </c>
      <c r="E1019" s="61">
        <f>19.0586 * CHOOSE(CONTROL!$C$19, $C$13, 100%, $E$13)</f>
        <v>19.058599999999998</v>
      </c>
      <c r="F1019" s="61">
        <f>19.0586 * CHOOSE(CONTROL!$C$19, $C$13, 100%, $E$13)</f>
        <v>19.058599999999998</v>
      </c>
      <c r="G1019" s="61">
        <f>19.0607 * CHOOSE(CONTROL!$C$19, $C$13, 100%, $E$13)</f>
        <v>19.060700000000001</v>
      </c>
      <c r="H1019" s="61">
        <f>25.4917* CHOOSE(CONTROL!$C$19, $C$13, 100%, $E$13)</f>
        <v>25.491700000000002</v>
      </c>
      <c r="I1019" s="61">
        <f>25.4938 * CHOOSE(CONTROL!$C$19, $C$13, 100%, $E$13)</f>
        <v>25.4938</v>
      </c>
      <c r="J1019" s="61">
        <f>19.0586 * CHOOSE(CONTROL!$C$19, $C$13, 100%, $E$13)</f>
        <v>19.058599999999998</v>
      </c>
      <c r="K1019" s="61">
        <f>19.0607 * CHOOSE(CONTROL!$C$19, $C$13, 100%, $E$13)</f>
        <v>19.060700000000001</v>
      </c>
    </row>
    <row r="1020" spans="1:11" ht="15">
      <c r="A1020" s="13">
        <v>72898</v>
      </c>
      <c r="B1020" s="60">
        <f>15.4393 * CHOOSE(CONTROL!$C$19, $C$13, 100%, $E$13)</f>
        <v>15.439299999999999</v>
      </c>
      <c r="C1020" s="60">
        <f>15.4393 * CHOOSE(CONTROL!$C$19, $C$13, 100%, $E$13)</f>
        <v>15.439299999999999</v>
      </c>
      <c r="D1020" s="60">
        <f>15.473 * CHOOSE(CONTROL!$C$19, $C$13, 100%, $E$13)</f>
        <v>15.473000000000001</v>
      </c>
      <c r="E1020" s="61">
        <f>18.7677 * CHOOSE(CONTROL!$C$19, $C$13, 100%, $E$13)</f>
        <v>18.767700000000001</v>
      </c>
      <c r="F1020" s="61">
        <f>18.7677 * CHOOSE(CONTROL!$C$19, $C$13, 100%, $E$13)</f>
        <v>18.767700000000001</v>
      </c>
      <c r="G1020" s="61">
        <f>18.7698 * CHOOSE(CONTROL!$C$19, $C$13, 100%, $E$13)</f>
        <v>18.7698</v>
      </c>
      <c r="H1020" s="61">
        <f>25.5448* CHOOSE(CONTROL!$C$19, $C$13, 100%, $E$13)</f>
        <v>25.544799999999999</v>
      </c>
      <c r="I1020" s="61">
        <f>25.5469 * CHOOSE(CONTROL!$C$19, $C$13, 100%, $E$13)</f>
        <v>25.546900000000001</v>
      </c>
      <c r="J1020" s="61">
        <f>18.7677 * CHOOSE(CONTROL!$C$19, $C$13, 100%, $E$13)</f>
        <v>18.767700000000001</v>
      </c>
      <c r="K1020" s="61">
        <f>18.7698 * CHOOSE(CONTROL!$C$19, $C$13, 100%, $E$13)</f>
        <v>18.7698</v>
      </c>
    </row>
    <row r="1021" spans="1:11" ht="15">
      <c r="A1021" s="13">
        <v>72929</v>
      </c>
      <c r="B1021" s="60">
        <f>15.4363 * CHOOSE(CONTROL!$C$19, $C$13, 100%, $E$13)</f>
        <v>15.436299999999999</v>
      </c>
      <c r="C1021" s="60">
        <f>15.4363 * CHOOSE(CONTROL!$C$19, $C$13, 100%, $E$13)</f>
        <v>15.436299999999999</v>
      </c>
      <c r="D1021" s="60">
        <f>15.4699 * CHOOSE(CONTROL!$C$19, $C$13, 100%, $E$13)</f>
        <v>15.469900000000001</v>
      </c>
      <c r="E1021" s="61">
        <f>18.7328 * CHOOSE(CONTROL!$C$19, $C$13, 100%, $E$13)</f>
        <v>18.732800000000001</v>
      </c>
      <c r="F1021" s="61">
        <f>18.7328 * CHOOSE(CONTROL!$C$19, $C$13, 100%, $E$13)</f>
        <v>18.732800000000001</v>
      </c>
      <c r="G1021" s="61">
        <f>18.7349 * CHOOSE(CONTROL!$C$19, $C$13, 100%, $E$13)</f>
        <v>18.7349</v>
      </c>
      <c r="H1021" s="61">
        <f>25.5981* CHOOSE(CONTROL!$C$19, $C$13, 100%, $E$13)</f>
        <v>25.598099999999999</v>
      </c>
      <c r="I1021" s="61">
        <f>25.6002 * CHOOSE(CONTROL!$C$19, $C$13, 100%, $E$13)</f>
        <v>25.600200000000001</v>
      </c>
      <c r="J1021" s="61">
        <f>18.7328 * CHOOSE(CONTROL!$C$19, $C$13, 100%, $E$13)</f>
        <v>18.732800000000001</v>
      </c>
      <c r="K1021" s="61">
        <f>18.7349 * CHOOSE(CONTROL!$C$19, $C$13, 100%, $E$13)</f>
        <v>18.7349</v>
      </c>
    </row>
    <row r="1022" spans="1:11" ht="15">
      <c r="A1022" s="13">
        <v>72959</v>
      </c>
      <c r="B1022" s="60">
        <f>15.4747 * CHOOSE(CONTROL!$C$19, $C$13, 100%, $E$13)</f>
        <v>15.4747</v>
      </c>
      <c r="C1022" s="60">
        <f>15.4747 * CHOOSE(CONTROL!$C$19, $C$13, 100%, $E$13)</f>
        <v>15.4747</v>
      </c>
      <c r="D1022" s="60">
        <f>15.4916 * CHOOSE(CONTROL!$C$19, $C$13, 100%, $E$13)</f>
        <v>15.4916</v>
      </c>
      <c r="E1022" s="61">
        <f>18.8507 * CHOOSE(CONTROL!$C$19, $C$13, 100%, $E$13)</f>
        <v>18.8507</v>
      </c>
      <c r="F1022" s="61">
        <f>18.8507 * CHOOSE(CONTROL!$C$19, $C$13, 100%, $E$13)</f>
        <v>18.8507</v>
      </c>
      <c r="G1022" s="61">
        <f>18.8509 * CHOOSE(CONTROL!$C$19, $C$13, 100%, $E$13)</f>
        <v>18.850899999999999</v>
      </c>
      <c r="H1022" s="61">
        <f>25.6514* CHOOSE(CONTROL!$C$19, $C$13, 100%, $E$13)</f>
        <v>25.651399999999999</v>
      </c>
      <c r="I1022" s="61">
        <f>25.6516 * CHOOSE(CONTROL!$C$19, $C$13, 100%, $E$13)</f>
        <v>25.651599999999998</v>
      </c>
      <c r="J1022" s="61">
        <f>18.8507 * CHOOSE(CONTROL!$C$19, $C$13, 100%, $E$13)</f>
        <v>18.8507</v>
      </c>
      <c r="K1022" s="61">
        <f>18.8509 * CHOOSE(CONTROL!$C$19, $C$13, 100%, $E$13)</f>
        <v>18.850899999999999</v>
      </c>
    </row>
    <row r="1023" spans="1:11" ht="15">
      <c r="A1023" s="13">
        <v>72990</v>
      </c>
      <c r="B1023" s="60">
        <f>15.4778 * CHOOSE(CONTROL!$C$19, $C$13, 100%, $E$13)</f>
        <v>15.4778</v>
      </c>
      <c r="C1023" s="60">
        <f>15.4778 * CHOOSE(CONTROL!$C$19, $C$13, 100%, $E$13)</f>
        <v>15.4778</v>
      </c>
      <c r="D1023" s="60">
        <f>15.4946 * CHOOSE(CONTROL!$C$19, $C$13, 100%, $E$13)</f>
        <v>15.4946</v>
      </c>
      <c r="E1023" s="61">
        <f>18.9185 * CHOOSE(CONTROL!$C$19, $C$13, 100%, $E$13)</f>
        <v>18.918500000000002</v>
      </c>
      <c r="F1023" s="61">
        <f>18.9185 * CHOOSE(CONTROL!$C$19, $C$13, 100%, $E$13)</f>
        <v>18.918500000000002</v>
      </c>
      <c r="G1023" s="61">
        <f>18.9187 * CHOOSE(CONTROL!$C$19, $C$13, 100%, $E$13)</f>
        <v>18.918700000000001</v>
      </c>
      <c r="H1023" s="61">
        <f>25.7048* CHOOSE(CONTROL!$C$19, $C$13, 100%, $E$13)</f>
        <v>25.704799999999999</v>
      </c>
      <c r="I1023" s="61">
        <f>25.705 * CHOOSE(CONTROL!$C$19, $C$13, 100%, $E$13)</f>
        <v>25.704999999999998</v>
      </c>
      <c r="J1023" s="61">
        <f>18.9185 * CHOOSE(CONTROL!$C$19, $C$13, 100%, $E$13)</f>
        <v>18.918500000000002</v>
      </c>
      <c r="K1023" s="61">
        <f>18.9187 * CHOOSE(CONTROL!$C$19, $C$13, 100%, $E$13)</f>
        <v>18.918700000000001</v>
      </c>
    </row>
    <row r="1024" spans="1:11" ht="15">
      <c r="A1024" s="13">
        <v>73020</v>
      </c>
      <c r="B1024" s="60">
        <f>15.4778 * CHOOSE(CONTROL!$C$19, $C$13, 100%, $E$13)</f>
        <v>15.4778</v>
      </c>
      <c r="C1024" s="60">
        <f>15.4778 * CHOOSE(CONTROL!$C$19, $C$13, 100%, $E$13)</f>
        <v>15.4778</v>
      </c>
      <c r="D1024" s="60">
        <f>15.4946 * CHOOSE(CONTROL!$C$19, $C$13, 100%, $E$13)</f>
        <v>15.4946</v>
      </c>
      <c r="E1024" s="61">
        <f>18.7543 * CHOOSE(CONTROL!$C$19, $C$13, 100%, $E$13)</f>
        <v>18.754300000000001</v>
      </c>
      <c r="F1024" s="61">
        <f>18.7543 * CHOOSE(CONTROL!$C$19, $C$13, 100%, $E$13)</f>
        <v>18.754300000000001</v>
      </c>
      <c r="G1024" s="61">
        <f>18.7545 * CHOOSE(CONTROL!$C$19, $C$13, 100%, $E$13)</f>
        <v>18.7545</v>
      </c>
      <c r="H1024" s="61">
        <f>25.7584* CHOOSE(CONTROL!$C$19, $C$13, 100%, $E$13)</f>
        <v>25.758400000000002</v>
      </c>
      <c r="I1024" s="61">
        <f>25.7586 * CHOOSE(CONTROL!$C$19, $C$13, 100%, $E$13)</f>
        <v>25.758600000000001</v>
      </c>
      <c r="J1024" s="61">
        <f>18.7543 * CHOOSE(CONTROL!$C$19, $C$13, 100%, $E$13)</f>
        <v>18.754300000000001</v>
      </c>
      <c r="K1024" s="61">
        <f>18.7545 * CHOOSE(CONTROL!$C$19, $C$13, 100%, $E$13)</f>
        <v>18.7545</v>
      </c>
    </row>
    <row r="1025" spans="1:11" ht="15">
      <c r="A1025" s="13">
        <v>73051</v>
      </c>
      <c r="B1025" s="60">
        <f>15.4123 * CHOOSE(CONTROL!$C$19, $C$13, 100%, $E$13)</f>
        <v>15.4123</v>
      </c>
      <c r="C1025" s="60">
        <f>15.4123 * CHOOSE(CONTROL!$C$19, $C$13, 100%, $E$13)</f>
        <v>15.4123</v>
      </c>
      <c r="D1025" s="60">
        <f>15.4292 * CHOOSE(CONTROL!$C$19, $C$13, 100%, $E$13)</f>
        <v>15.4292</v>
      </c>
      <c r="E1025" s="61">
        <f>18.7806 * CHOOSE(CONTROL!$C$19, $C$13, 100%, $E$13)</f>
        <v>18.7806</v>
      </c>
      <c r="F1025" s="61">
        <f>18.7806 * CHOOSE(CONTROL!$C$19, $C$13, 100%, $E$13)</f>
        <v>18.7806</v>
      </c>
      <c r="G1025" s="61">
        <f>18.7808 * CHOOSE(CONTROL!$C$19, $C$13, 100%, $E$13)</f>
        <v>18.780799999999999</v>
      </c>
      <c r="H1025" s="61">
        <f>25.5001* CHOOSE(CONTROL!$C$19, $C$13, 100%, $E$13)</f>
        <v>25.5001</v>
      </c>
      <c r="I1025" s="61">
        <f>25.5002 * CHOOSE(CONTROL!$C$19, $C$13, 100%, $E$13)</f>
        <v>25.5002</v>
      </c>
      <c r="J1025" s="61">
        <f>18.7806 * CHOOSE(CONTROL!$C$19, $C$13, 100%, $E$13)</f>
        <v>18.7806</v>
      </c>
      <c r="K1025" s="61">
        <f>18.7808 * CHOOSE(CONTROL!$C$19, $C$13, 100%, $E$13)</f>
        <v>18.780799999999999</v>
      </c>
    </row>
    <row r="1026" spans="1:11" ht="15">
      <c r="A1026" s="13">
        <v>73082</v>
      </c>
      <c r="B1026" s="60">
        <f>15.4093 * CHOOSE(CONTROL!$C$19, $C$13, 100%, $E$13)</f>
        <v>15.4093</v>
      </c>
      <c r="C1026" s="60">
        <f>15.4093 * CHOOSE(CONTROL!$C$19, $C$13, 100%, $E$13)</f>
        <v>15.4093</v>
      </c>
      <c r="D1026" s="60">
        <f>15.4261 * CHOOSE(CONTROL!$C$19, $C$13, 100%, $E$13)</f>
        <v>15.4261</v>
      </c>
      <c r="E1026" s="61">
        <f>18.4638 * CHOOSE(CONTROL!$C$19, $C$13, 100%, $E$13)</f>
        <v>18.463799999999999</v>
      </c>
      <c r="F1026" s="61">
        <f>18.4638 * CHOOSE(CONTROL!$C$19, $C$13, 100%, $E$13)</f>
        <v>18.463799999999999</v>
      </c>
      <c r="G1026" s="61">
        <f>18.4639 * CHOOSE(CONTROL!$C$19, $C$13, 100%, $E$13)</f>
        <v>18.463899999999999</v>
      </c>
      <c r="H1026" s="61">
        <f>25.5532* CHOOSE(CONTROL!$C$19, $C$13, 100%, $E$13)</f>
        <v>25.5532</v>
      </c>
      <c r="I1026" s="61">
        <f>25.5534 * CHOOSE(CONTROL!$C$19, $C$13, 100%, $E$13)</f>
        <v>25.5534</v>
      </c>
      <c r="J1026" s="61">
        <f>18.4638 * CHOOSE(CONTROL!$C$19, $C$13, 100%, $E$13)</f>
        <v>18.463799999999999</v>
      </c>
      <c r="K1026" s="61">
        <f>18.4639 * CHOOSE(CONTROL!$C$19, $C$13, 100%, $E$13)</f>
        <v>18.463899999999999</v>
      </c>
    </row>
    <row r="1027" spans="1:11" ht="15">
      <c r="A1027" s="13">
        <v>73110</v>
      </c>
      <c r="B1027" s="60">
        <f>15.4063 * CHOOSE(CONTROL!$C$19, $C$13, 100%, $E$13)</f>
        <v>15.4063</v>
      </c>
      <c r="C1027" s="60">
        <f>15.4063 * CHOOSE(CONTROL!$C$19, $C$13, 100%, $E$13)</f>
        <v>15.4063</v>
      </c>
      <c r="D1027" s="60">
        <f>15.4231 * CHOOSE(CONTROL!$C$19, $C$13, 100%, $E$13)</f>
        <v>15.4231</v>
      </c>
      <c r="E1027" s="61">
        <f>18.7098 * CHOOSE(CONTROL!$C$19, $C$13, 100%, $E$13)</f>
        <v>18.709800000000001</v>
      </c>
      <c r="F1027" s="61">
        <f>18.7098 * CHOOSE(CONTROL!$C$19, $C$13, 100%, $E$13)</f>
        <v>18.709800000000001</v>
      </c>
      <c r="G1027" s="61">
        <f>18.7099 * CHOOSE(CONTROL!$C$19, $C$13, 100%, $E$13)</f>
        <v>18.709900000000001</v>
      </c>
      <c r="H1027" s="61">
        <f>25.6064* CHOOSE(CONTROL!$C$19, $C$13, 100%, $E$13)</f>
        <v>25.606400000000001</v>
      </c>
      <c r="I1027" s="61">
        <f>25.6066 * CHOOSE(CONTROL!$C$19, $C$13, 100%, $E$13)</f>
        <v>25.6066</v>
      </c>
      <c r="J1027" s="61">
        <f>18.7098 * CHOOSE(CONTROL!$C$19, $C$13, 100%, $E$13)</f>
        <v>18.709800000000001</v>
      </c>
      <c r="K1027" s="61">
        <f>18.7099 * CHOOSE(CONTROL!$C$19, $C$13, 100%, $E$13)</f>
        <v>18.709900000000001</v>
      </c>
    </row>
    <row r="1028" spans="1:11" ht="15">
      <c r="A1028" s="13">
        <v>73141</v>
      </c>
      <c r="B1028" s="60">
        <f>15.4152 * CHOOSE(CONTROL!$C$19, $C$13, 100%, $E$13)</f>
        <v>15.4152</v>
      </c>
      <c r="C1028" s="60">
        <f>15.4152 * CHOOSE(CONTROL!$C$19, $C$13, 100%, $E$13)</f>
        <v>15.4152</v>
      </c>
      <c r="D1028" s="60">
        <f>15.432 * CHOOSE(CONTROL!$C$19, $C$13, 100%, $E$13)</f>
        <v>15.432</v>
      </c>
      <c r="E1028" s="61">
        <f>18.972 * CHOOSE(CONTROL!$C$19, $C$13, 100%, $E$13)</f>
        <v>18.972000000000001</v>
      </c>
      <c r="F1028" s="61">
        <f>18.972 * CHOOSE(CONTROL!$C$19, $C$13, 100%, $E$13)</f>
        <v>18.972000000000001</v>
      </c>
      <c r="G1028" s="61">
        <f>18.9722 * CHOOSE(CONTROL!$C$19, $C$13, 100%, $E$13)</f>
        <v>18.972200000000001</v>
      </c>
      <c r="H1028" s="61">
        <f>25.6598* CHOOSE(CONTROL!$C$19, $C$13, 100%, $E$13)</f>
        <v>25.659800000000001</v>
      </c>
      <c r="I1028" s="61">
        <f>25.6599 * CHOOSE(CONTROL!$C$19, $C$13, 100%, $E$13)</f>
        <v>25.6599</v>
      </c>
      <c r="J1028" s="61">
        <f>18.972 * CHOOSE(CONTROL!$C$19, $C$13, 100%, $E$13)</f>
        <v>18.972000000000001</v>
      </c>
      <c r="K1028" s="61">
        <f>18.9722 * CHOOSE(CONTROL!$C$19, $C$13, 100%, $E$13)</f>
        <v>18.972200000000001</v>
      </c>
    </row>
    <row r="1029" spans="1:11" ht="15">
      <c r="A1029" s="13">
        <v>73171</v>
      </c>
      <c r="B1029" s="60">
        <f>15.4152 * CHOOSE(CONTROL!$C$19, $C$13, 100%, $E$13)</f>
        <v>15.4152</v>
      </c>
      <c r="C1029" s="60">
        <f>15.4152 * CHOOSE(CONTROL!$C$19, $C$13, 100%, $E$13)</f>
        <v>15.4152</v>
      </c>
      <c r="D1029" s="60">
        <f>15.4488 * CHOOSE(CONTROL!$C$19, $C$13, 100%, $E$13)</f>
        <v>15.4488</v>
      </c>
      <c r="E1029" s="61">
        <f>19.0719 * CHOOSE(CONTROL!$C$19, $C$13, 100%, $E$13)</f>
        <v>19.071899999999999</v>
      </c>
      <c r="F1029" s="61">
        <f>19.0719 * CHOOSE(CONTROL!$C$19, $C$13, 100%, $E$13)</f>
        <v>19.071899999999999</v>
      </c>
      <c r="G1029" s="61">
        <f>19.074 * CHOOSE(CONTROL!$C$19, $C$13, 100%, $E$13)</f>
        <v>19.074000000000002</v>
      </c>
      <c r="H1029" s="61">
        <f>25.7132* CHOOSE(CONTROL!$C$19, $C$13, 100%, $E$13)</f>
        <v>25.713200000000001</v>
      </c>
      <c r="I1029" s="61">
        <f>25.7153 * CHOOSE(CONTROL!$C$19, $C$13, 100%, $E$13)</f>
        <v>25.715299999999999</v>
      </c>
      <c r="J1029" s="61">
        <f>19.0719 * CHOOSE(CONTROL!$C$19, $C$13, 100%, $E$13)</f>
        <v>19.071899999999999</v>
      </c>
      <c r="K1029" s="61">
        <f>19.074 * CHOOSE(CONTROL!$C$19, $C$13, 100%, $E$13)</f>
        <v>19.074000000000002</v>
      </c>
    </row>
    <row r="1030" spans="1:11" ht="15">
      <c r="A1030" s="13">
        <v>73202</v>
      </c>
      <c r="B1030" s="60">
        <f>15.4212 * CHOOSE(CONTROL!$C$19, $C$13, 100%, $E$13)</f>
        <v>15.421200000000001</v>
      </c>
      <c r="C1030" s="60">
        <f>15.4212 * CHOOSE(CONTROL!$C$19, $C$13, 100%, $E$13)</f>
        <v>15.421200000000001</v>
      </c>
      <c r="D1030" s="60">
        <f>15.4549 * CHOOSE(CONTROL!$C$19, $C$13, 100%, $E$13)</f>
        <v>15.4549</v>
      </c>
      <c r="E1030" s="61">
        <f>18.9762 * CHOOSE(CONTROL!$C$19, $C$13, 100%, $E$13)</f>
        <v>18.976199999999999</v>
      </c>
      <c r="F1030" s="61">
        <f>18.9762 * CHOOSE(CONTROL!$C$19, $C$13, 100%, $E$13)</f>
        <v>18.976199999999999</v>
      </c>
      <c r="G1030" s="61">
        <f>18.9783 * CHOOSE(CONTROL!$C$19, $C$13, 100%, $E$13)</f>
        <v>18.978300000000001</v>
      </c>
      <c r="H1030" s="61">
        <f>25.7668* CHOOSE(CONTROL!$C$19, $C$13, 100%, $E$13)</f>
        <v>25.7668</v>
      </c>
      <c r="I1030" s="61">
        <f>25.7689 * CHOOSE(CONTROL!$C$19, $C$13, 100%, $E$13)</f>
        <v>25.768899999999999</v>
      </c>
      <c r="J1030" s="61">
        <f>18.9762 * CHOOSE(CONTROL!$C$19, $C$13, 100%, $E$13)</f>
        <v>18.976199999999999</v>
      </c>
      <c r="K1030" s="61">
        <f>18.9783 * CHOOSE(CONTROL!$C$19, $C$13, 100%, $E$13)</f>
        <v>18.978300000000001</v>
      </c>
    </row>
    <row r="1031" spans="1:11" ht="15">
      <c r="A1031" s="13">
        <v>73232</v>
      </c>
      <c r="B1031" s="60">
        <f>15.6319 * CHOOSE(CONTROL!$C$19, $C$13, 100%, $E$13)</f>
        <v>15.6319</v>
      </c>
      <c r="C1031" s="60">
        <f>15.6319 * CHOOSE(CONTROL!$C$19, $C$13, 100%, $E$13)</f>
        <v>15.6319</v>
      </c>
      <c r="D1031" s="60">
        <f>15.6656 * CHOOSE(CONTROL!$C$19, $C$13, 100%, $E$13)</f>
        <v>15.6656</v>
      </c>
      <c r="E1031" s="61">
        <f>19.3177 * CHOOSE(CONTROL!$C$19, $C$13, 100%, $E$13)</f>
        <v>19.317699999999999</v>
      </c>
      <c r="F1031" s="61">
        <f>19.3177 * CHOOSE(CONTROL!$C$19, $C$13, 100%, $E$13)</f>
        <v>19.317699999999999</v>
      </c>
      <c r="G1031" s="61">
        <f>19.3198 * CHOOSE(CONTROL!$C$19, $C$13, 100%, $E$13)</f>
        <v>19.319800000000001</v>
      </c>
      <c r="H1031" s="61">
        <f>25.8205* CHOOSE(CONTROL!$C$19, $C$13, 100%, $E$13)</f>
        <v>25.820499999999999</v>
      </c>
      <c r="I1031" s="61">
        <f>25.8226 * CHOOSE(CONTROL!$C$19, $C$13, 100%, $E$13)</f>
        <v>25.822600000000001</v>
      </c>
      <c r="J1031" s="61">
        <f>19.3177 * CHOOSE(CONTROL!$C$19, $C$13, 100%, $E$13)</f>
        <v>19.317699999999999</v>
      </c>
      <c r="K1031" s="61">
        <f>19.3198 * CHOOSE(CONTROL!$C$19, $C$13, 100%, $E$13)</f>
        <v>19.319800000000001</v>
      </c>
    </row>
    <row r="1032" spans="1:11" ht="15">
      <c r="A1032" s="13">
        <v>73263</v>
      </c>
      <c r="B1032" s="60">
        <f>15.6386 * CHOOSE(CONTROL!$C$19, $C$13, 100%, $E$13)</f>
        <v>15.6386</v>
      </c>
      <c r="C1032" s="60">
        <f>15.6386 * CHOOSE(CONTROL!$C$19, $C$13, 100%, $E$13)</f>
        <v>15.6386</v>
      </c>
      <c r="D1032" s="60">
        <f>15.6723 * CHOOSE(CONTROL!$C$19, $C$13, 100%, $E$13)</f>
        <v>15.6723</v>
      </c>
      <c r="E1032" s="61">
        <f>19.0226 * CHOOSE(CONTROL!$C$19, $C$13, 100%, $E$13)</f>
        <v>19.022600000000001</v>
      </c>
      <c r="F1032" s="61">
        <f>19.0226 * CHOOSE(CONTROL!$C$19, $C$13, 100%, $E$13)</f>
        <v>19.022600000000001</v>
      </c>
      <c r="G1032" s="61">
        <f>19.0247 * CHOOSE(CONTROL!$C$19, $C$13, 100%, $E$13)</f>
        <v>19.024699999999999</v>
      </c>
      <c r="H1032" s="61">
        <f>25.8743* CHOOSE(CONTROL!$C$19, $C$13, 100%, $E$13)</f>
        <v>25.874300000000002</v>
      </c>
      <c r="I1032" s="61">
        <f>25.8764 * CHOOSE(CONTROL!$C$19, $C$13, 100%, $E$13)</f>
        <v>25.8764</v>
      </c>
      <c r="J1032" s="61">
        <f>19.0226 * CHOOSE(CONTROL!$C$19, $C$13, 100%, $E$13)</f>
        <v>19.022600000000001</v>
      </c>
      <c r="K1032" s="61">
        <f>19.0247 * CHOOSE(CONTROL!$C$19, $C$13, 100%, $E$13)</f>
        <v>19.024699999999999</v>
      </c>
    </row>
    <row r="1033" spans="1:11" ht="15">
      <c r="A1033" s="13">
        <v>73294</v>
      </c>
      <c r="B1033" s="60">
        <f>15.6356 * CHOOSE(CONTROL!$C$19, $C$13, 100%, $E$13)</f>
        <v>15.6356</v>
      </c>
      <c r="C1033" s="60">
        <f>15.6356 * CHOOSE(CONTROL!$C$19, $C$13, 100%, $E$13)</f>
        <v>15.6356</v>
      </c>
      <c r="D1033" s="60">
        <f>15.6692 * CHOOSE(CONTROL!$C$19, $C$13, 100%, $E$13)</f>
        <v>15.6692</v>
      </c>
      <c r="E1033" s="61">
        <f>18.9871 * CHOOSE(CONTROL!$C$19, $C$13, 100%, $E$13)</f>
        <v>18.987100000000002</v>
      </c>
      <c r="F1033" s="61">
        <f>18.9871 * CHOOSE(CONTROL!$C$19, $C$13, 100%, $E$13)</f>
        <v>18.987100000000002</v>
      </c>
      <c r="G1033" s="61">
        <f>18.9892 * CHOOSE(CONTROL!$C$19, $C$13, 100%, $E$13)</f>
        <v>18.9892</v>
      </c>
      <c r="H1033" s="61">
        <f>25.9282* CHOOSE(CONTROL!$C$19, $C$13, 100%, $E$13)</f>
        <v>25.9282</v>
      </c>
      <c r="I1033" s="61">
        <f>25.9303 * CHOOSE(CONTROL!$C$19, $C$13, 100%, $E$13)</f>
        <v>25.930299999999999</v>
      </c>
      <c r="J1033" s="61">
        <f>18.9871 * CHOOSE(CONTROL!$C$19, $C$13, 100%, $E$13)</f>
        <v>18.987100000000002</v>
      </c>
      <c r="K1033" s="61">
        <f>18.9892 * CHOOSE(CONTROL!$C$19, $C$13, 100%, $E$13)</f>
        <v>18.9892</v>
      </c>
    </row>
    <row r="1034" spans="1:11" ht="15">
      <c r="A1034" s="13">
        <v>73324</v>
      </c>
      <c r="B1034" s="60">
        <f>15.6748 * CHOOSE(CONTROL!$C$19, $C$13, 100%, $E$13)</f>
        <v>15.674799999999999</v>
      </c>
      <c r="C1034" s="60">
        <f>15.6748 * CHOOSE(CONTROL!$C$19, $C$13, 100%, $E$13)</f>
        <v>15.674799999999999</v>
      </c>
      <c r="D1034" s="60">
        <f>15.6916 * CHOOSE(CONTROL!$C$19, $C$13, 100%, $E$13)</f>
        <v>15.691599999999999</v>
      </c>
      <c r="E1034" s="61">
        <f>19.107 * CHOOSE(CONTROL!$C$19, $C$13, 100%, $E$13)</f>
        <v>19.106999999999999</v>
      </c>
      <c r="F1034" s="61">
        <f>19.107 * CHOOSE(CONTROL!$C$19, $C$13, 100%, $E$13)</f>
        <v>19.106999999999999</v>
      </c>
      <c r="G1034" s="61">
        <f>19.1071 * CHOOSE(CONTROL!$C$19, $C$13, 100%, $E$13)</f>
        <v>19.107099999999999</v>
      </c>
      <c r="H1034" s="61">
        <f>25.9822* CHOOSE(CONTROL!$C$19, $C$13, 100%, $E$13)</f>
        <v>25.982199999999999</v>
      </c>
      <c r="I1034" s="61">
        <f>25.9824 * CHOOSE(CONTROL!$C$19, $C$13, 100%, $E$13)</f>
        <v>25.982399999999998</v>
      </c>
      <c r="J1034" s="61">
        <f>19.107 * CHOOSE(CONTROL!$C$19, $C$13, 100%, $E$13)</f>
        <v>19.106999999999999</v>
      </c>
      <c r="K1034" s="61">
        <f>19.1071 * CHOOSE(CONTROL!$C$19, $C$13, 100%, $E$13)</f>
        <v>19.107099999999999</v>
      </c>
    </row>
    <row r="1035" spans="1:11" ht="15">
      <c r="A1035" s="13">
        <v>73355</v>
      </c>
      <c r="B1035" s="60">
        <f>15.6778 * CHOOSE(CONTROL!$C$19, $C$13, 100%, $E$13)</f>
        <v>15.6778</v>
      </c>
      <c r="C1035" s="60">
        <f>15.6778 * CHOOSE(CONTROL!$C$19, $C$13, 100%, $E$13)</f>
        <v>15.6778</v>
      </c>
      <c r="D1035" s="60">
        <f>15.6947 * CHOOSE(CONTROL!$C$19, $C$13, 100%, $E$13)</f>
        <v>15.694699999999999</v>
      </c>
      <c r="E1035" s="61">
        <f>19.1757 * CHOOSE(CONTROL!$C$19, $C$13, 100%, $E$13)</f>
        <v>19.175699999999999</v>
      </c>
      <c r="F1035" s="61">
        <f>19.1757 * CHOOSE(CONTROL!$C$19, $C$13, 100%, $E$13)</f>
        <v>19.175699999999999</v>
      </c>
      <c r="G1035" s="61">
        <f>19.1759 * CHOOSE(CONTROL!$C$19, $C$13, 100%, $E$13)</f>
        <v>19.175899999999999</v>
      </c>
      <c r="H1035" s="61">
        <f>26.0363* CHOOSE(CONTROL!$C$19, $C$13, 100%, $E$13)</f>
        <v>26.036300000000001</v>
      </c>
      <c r="I1035" s="61">
        <f>26.0365 * CHOOSE(CONTROL!$C$19, $C$13, 100%, $E$13)</f>
        <v>26.0365</v>
      </c>
      <c r="J1035" s="61">
        <f>19.1757 * CHOOSE(CONTROL!$C$19, $C$13, 100%, $E$13)</f>
        <v>19.175699999999999</v>
      </c>
      <c r="K1035" s="61">
        <f>19.1759 * CHOOSE(CONTROL!$C$19, $C$13, 100%, $E$13)</f>
        <v>19.175899999999999</v>
      </c>
    </row>
    <row r="1036" spans="1:11" ht="15">
      <c r="A1036" s="13">
        <v>73385</v>
      </c>
      <c r="B1036" s="60">
        <f>15.6778 * CHOOSE(CONTROL!$C$19, $C$13, 100%, $E$13)</f>
        <v>15.6778</v>
      </c>
      <c r="C1036" s="60">
        <f>15.6778 * CHOOSE(CONTROL!$C$19, $C$13, 100%, $E$13)</f>
        <v>15.6778</v>
      </c>
      <c r="D1036" s="60">
        <f>15.6947 * CHOOSE(CONTROL!$C$19, $C$13, 100%, $E$13)</f>
        <v>15.694699999999999</v>
      </c>
      <c r="E1036" s="61">
        <f>19.0091 * CHOOSE(CONTROL!$C$19, $C$13, 100%, $E$13)</f>
        <v>19.0091</v>
      </c>
      <c r="F1036" s="61">
        <f>19.0091 * CHOOSE(CONTROL!$C$19, $C$13, 100%, $E$13)</f>
        <v>19.0091</v>
      </c>
      <c r="G1036" s="61">
        <f>19.0093 * CHOOSE(CONTROL!$C$19, $C$13, 100%, $E$13)</f>
        <v>19.0093</v>
      </c>
      <c r="H1036" s="61">
        <f>26.0906* CHOOSE(CONTROL!$C$19, $C$13, 100%, $E$13)</f>
        <v>26.090599999999998</v>
      </c>
      <c r="I1036" s="61">
        <f>26.0907 * CHOOSE(CONTROL!$C$19, $C$13, 100%, $E$13)</f>
        <v>26.090699999999998</v>
      </c>
      <c r="J1036" s="61">
        <f>19.0091 * CHOOSE(CONTROL!$C$19, $C$13, 100%, $E$13)</f>
        <v>19.0091</v>
      </c>
      <c r="K1036" s="61">
        <f>19.0093 * CHOOSE(CONTROL!$C$19, $C$13, 100%, $E$13)</f>
        <v>19.0093</v>
      </c>
    </row>
    <row r="1037" spans="1:11" ht="15">
      <c r="A1037" s="10"/>
      <c r="B1037" s="60"/>
      <c r="C1037" s="60"/>
      <c r="D1037" s="60"/>
      <c r="E1037" s="61"/>
      <c r="F1037" s="61"/>
      <c r="G1037" s="61"/>
      <c r="H1037" s="61"/>
      <c r="I1037" s="61"/>
      <c r="J1037" s="61"/>
      <c r="K1037" s="61"/>
    </row>
    <row r="1038" spans="1:11" ht="15">
      <c r="A1038" s="3">
        <v>2016</v>
      </c>
      <c r="B1038" s="60">
        <f t="shared" ref="B1038:K1038" si="0">AVERAGE(B17:B28)</f>
        <v>2.3326333333333338</v>
      </c>
      <c r="C1038" s="60">
        <f t="shared" si="0"/>
        <v>2.3326333333333338</v>
      </c>
      <c r="D1038" s="60">
        <f t="shared" si="0"/>
        <v>2.3564583333333338</v>
      </c>
      <c r="E1038" s="60">
        <f t="shared" si="0"/>
        <v>3.0010749999999997</v>
      </c>
      <c r="F1038" s="60">
        <f t="shared" si="0"/>
        <v>2.0505</v>
      </c>
      <c r="G1038" s="60">
        <f t="shared" si="0"/>
        <v>2.0514916666666667</v>
      </c>
      <c r="H1038" s="60">
        <f t="shared" si="0"/>
        <v>4.4683083333333338</v>
      </c>
      <c r="I1038" s="60">
        <f t="shared" si="0"/>
        <v>4.4692833333333333</v>
      </c>
      <c r="J1038" s="60">
        <f t="shared" si="0"/>
        <v>3.0010749999999997</v>
      </c>
      <c r="K1038" s="60">
        <f t="shared" si="0"/>
        <v>3.0020583333333328</v>
      </c>
    </row>
    <row r="1039" spans="1:11" ht="15">
      <c r="A1039" s="3">
        <v>2017</v>
      </c>
      <c r="B1039" s="60">
        <f t="shared" ref="B1039:K1039" si="1">AVERAGE(B29:B40)</f>
        <v>2.2862499999999994</v>
      </c>
      <c r="C1039" s="60">
        <f t="shared" si="1"/>
        <v>2.2862499999999994</v>
      </c>
      <c r="D1039" s="60">
        <f t="shared" si="1"/>
        <v>2.3100916666666667</v>
      </c>
      <c r="E1039" s="60">
        <f t="shared" si="1"/>
        <v>3.4390666666666667</v>
      </c>
      <c r="F1039" s="60">
        <f t="shared" si="1"/>
        <v>2.0505</v>
      </c>
      <c r="G1039" s="60">
        <f t="shared" si="1"/>
        <v>2.0514916666666667</v>
      </c>
      <c r="H1039" s="60">
        <f t="shared" si="1"/>
        <v>4.3277583333333327</v>
      </c>
      <c r="I1039" s="60">
        <f t="shared" si="1"/>
        <v>4.3287249999999995</v>
      </c>
      <c r="J1039" s="60">
        <f t="shared" si="1"/>
        <v>3.4390666666666667</v>
      </c>
      <c r="K1039" s="60">
        <f t="shared" si="1"/>
        <v>3.4400583333333334</v>
      </c>
    </row>
    <row r="1040" spans="1:11" ht="15">
      <c r="A1040" s="3">
        <v>2018</v>
      </c>
      <c r="B1040" s="60">
        <f t="shared" ref="B1040:K1040" si="2">AVERAGE(B41:B52)</f>
        <v>2.3824083333333332</v>
      </c>
      <c r="C1040" s="60">
        <f t="shared" si="2"/>
        <v>2.3824083333333332</v>
      </c>
      <c r="D1040" s="60">
        <f t="shared" si="2"/>
        <v>2.40625</v>
      </c>
      <c r="E1040" s="60">
        <f t="shared" si="2"/>
        <v>2.4131499999999995</v>
      </c>
      <c r="F1040" s="60">
        <f t="shared" si="2"/>
        <v>2.4131499999999995</v>
      </c>
      <c r="G1040" s="60">
        <f t="shared" si="2"/>
        <v>2.4140916666666663</v>
      </c>
      <c r="H1040" s="60">
        <f t="shared" si="2"/>
        <v>4.4372083333333334</v>
      </c>
      <c r="I1040" s="60">
        <f t="shared" si="2"/>
        <v>4.4381666666666666</v>
      </c>
      <c r="J1040" s="60">
        <f t="shared" si="2"/>
        <v>2.4131499999999995</v>
      </c>
      <c r="K1040" s="60">
        <f t="shared" si="2"/>
        <v>2.4140916666666663</v>
      </c>
    </row>
    <row r="1041" spans="1:11" ht="15">
      <c r="A1041" s="3">
        <v>2019</v>
      </c>
      <c r="B1041" s="60">
        <f t="shared" ref="B1041:K1041" si="3">AVERAGE(B53:B64)</f>
        <v>2.4799249999999997</v>
      </c>
      <c r="C1041" s="60">
        <f t="shared" si="3"/>
        <v>2.4799249999999997</v>
      </c>
      <c r="D1041" s="60">
        <f t="shared" si="3"/>
        <v>2.5037750000000005</v>
      </c>
      <c r="E1041" s="60">
        <f t="shared" si="3"/>
        <v>2.5851166666666665</v>
      </c>
      <c r="F1041" s="60">
        <f t="shared" si="3"/>
        <v>2.5851166666666665</v>
      </c>
      <c r="G1041" s="60">
        <f t="shared" si="3"/>
        <v>2.5860750000000001</v>
      </c>
      <c r="H1041" s="60">
        <f t="shared" si="3"/>
        <v>4.5494083333333339</v>
      </c>
      <c r="I1041" s="60">
        <f t="shared" si="3"/>
        <v>4.5503833333333334</v>
      </c>
      <c r="J1041" s="60">
        <f t="shared" si="3"/>
        <v>2.5851166666666665</v>
      </c>
      <c r="K1041" s="60">
        <f t="shared" si="3"/>
        <v>2.5860750000000001</v>
      </c>
    </row>
    <row r="1042" spans="1:11" ht="15">
      <c r="A1042" s="3">
        <v>2020</v>
      </c>
      <c r="B1042" s="60">
        <f t="shared" ref="B1042:K1042" si="4">AVERAGE(B65:B76)</f>
        <v>2.7314916666666664</v>
      </c>
      <c r="C1042" s="60">
        <f t="shared" si="4"/>
        <v>2.7314916666666664</v>
      </c>
      <c r="D1042" s="60">
        <f t="shared" si="4"/>
        <v>2.75535</v>
      </c>
      <c r="E1042" s="60">
        <f t="shared" si="4"/>
        <v>2.7418416666666663</v>
      </c>
      <c r="F1042" s="60">
        <f t="shared" si="4"/>
        <v>2.7418416666666663</v>
      </c>
      <c r="G1042" s="60">
        <f t="shared" si="4"/>
        <v>2.7428249999999998</v>
      </c>
      <c r="H1042" s="60">
        <f t="shared" si="4"/>
        <v>4.6644499999999995</v>
      </c>
      <c r="I1042" s="60">
        <f t="shared" si="4"/>
        <v>4.6654333333333335</v>
      </c>
      <c r="J1042" s="60">
        <f t="shared" si="4"/>
        <v>2.7418416666666663</v>
      </c>
      <c r="K1042" s="60">
        <f t="shared" si="4"/>
        <v>2.7428249999999998</v>
      </c>
    </row>
    <row r="1043" spans="1:11" ht="15">
      <c r="A1043" s="3">
        <v>2021</v>
      </c>
      <c r="B1043" s="60">
        <f t="shared" ref="B1043:K1043" si="5">AVERAGE(B77:B88)</f>
        <v>2.8390749999999998</v>
      </c>
      <c r="C1043" s="60">
        <f t="shared" si="5"/>
        <v>2.8390749999999998</v>
      </c>
      <c r="D1043" s="60">
        <f t="shared" si="5"/>
        <v>2.8629000000000002</v>
      </c>
      <c r="E1043" s="60">
        <f t="shared" si="5"/>
        <v>2.8837499999999996</v>
      </c>
      <c r="F1043" s="60">
        <f t="shared" si="5"/>
        <v>2.8837499999999996</v>
      </c>
      <c r="G1043" s="60">
        <f t="shared" si="5"/>
        <v>2.884725</v>
      </c>
      <c r="H1043" s="60">
        <f t="shared" si="5"/>
        <v>4.7824166666666672</v>
      </c>
      <c r="I1043" s="60">
        <f t="shared" si="5"/>
        <v>4.7833833333333331</v>
      </c>
      <c r="J1043" s="60">
        <f t="shared" si="5"/>
        <v>2.8837499999999996</v>
      </c>
      <c r="K1043" s="60">
        <f t="shared" si="5"/>
        <v>2.884725</v>
      </c>
    </row>
    <row r="1044" spans="1:11" ht="15">
      <c r="A1044" s="3">
        <v>2022</v>
      </c>
      <c r="B1044" s="60">
        <f t="shared" ref="B1044:K1044" si="6">AVERAGE(B89:B100)</f>
        <v>2.9780166666666665</v>
      </c>
      <c r="C1044" s="60">
        <f t="shared" si="6"/>
        <v>2.9780166666666665</v>
      </c>
      <c r="D1044" s="60">
        <f t="shared" si="6"/>
        <v>3.0018666666666665</v>
      </c>
      <c r="E1044" s="60">
        <f t="shared" si="6"/>
        <v>3.0113999999999987</v>
      </c>
      <c r="F1044" s="60">
        <f t="shared" si="6"/>
        <v>3.0113999999999987</v>
      </c>
      <c r="G1044" s="60">
        <f t="shared" si="6"/>
        <v>3.0123666666666664</v>
      </c>
      <c r="H1044" s="60">
        <f t="shared" si="6"/>
        <v>4.9033499999999997</v>
      </c>
      <c r="I1044" s="60">
        <f t="shared" si="6"/>
        <v>4.9043083333333337</v>
      </c>
      <c r="J1044" s="60">
        <f t="shared" si="6"/>
        <v>3.0113999999999987</v>
      </c>
      <c r="K1044" s="60">
        <f t="shared" si="6"/>
        <v>3.0123666666666664</v>
      </c>
    </row>
    <row r="1045" spans="1:11" ht="15">
      <c r="A1045" s="3">
        <v>2023</v>
      </c>
      <c r="B1045" s="60">
        <f t="shared" ref="B1045:K1045" si="7">AVERAGE(B101:B112)</f>
        <v>3.0768416666666667</v>
      </c>
      <c r="C1045" s="60">
        <f t="shared" si="7"/>
        <v>3.0768416666666667</v>
      </c>
      <c r="D1045" s="60">
        <f t="shared" si="7"/>
        <v>3.100683333333333</v>
      </c>
      <c r="E1045" s="60">
        <f t="shared" si="7"/>
        <v>3.1658749999999998</v>
      </c>
      <c r="F1045" s="60">
        <f t="shared" si="7"/>
        <v>3.1658749999999998</v>
      </c>
      <c r="G1045" s="60">
        <f t="shared" si="7"/>
        <v>3.1668666666666661</v>
      </c>
      <c r="H1045" s="60">
        <f t="shared" si="7"/>
        <v>5.0273500000000002</v>
      </c>
      <c r="I1045" s="60">
        <f t="shared" si="7"/>
        <v>5.0283083333333343</v>
      </c>
      <c r="J1045" s="60">
        <f t="shared" si="7"/>
        <v>3.1658749999999998</v>
      </c>
      <c r="K1045" s="60">
        <f t="shared" si="7"/>
        <v>3.1668666666666661</v>
      </c>
    </row>
    <row r="1046" spans="1:11" ht="15">
      <c r="A1046" s="3">
        <v>2024</v>
      </c>
      <c r="B1046" s="60">
        <f t="shared" ref="B1046:K1046" si="8">AVERAGE(B113:B124)</f>
        <v>3.1546750000000006</v>
      </c>
      <c r="C1046" s="60">
        <f t="shared" si="8"/>
        <v>3.1546750000000006</v>
      </c>
      <c r="D1046" s="60">
        <f t="shared" si="8"/>
        <v>3.1785083333333333</v>
      </c>
      <c r="E1046" s="60">
        <f t="shared" si="8"/>
        <v>3.2875416666666664</v>
      </c>
      <c r="F1046" s="60">
        <f t="shared" si="8"/>
        <v>3.2875416666666664</v>
      </c>
      <c r="G1046" s="60">
        <f t="shared" si="8"/>
        <v>3.288475</v>
      </c>
      <c r="H1046" s="60">
        <f t="shared" si="8"/>
        <v>5.1544750000000006</v>
      </c>
      <c r="I1046" s="60">
        <f t="shared" si="8"/>
        <v>5.1554666666666682</v>
      </c>
      <c r="J1046" s="60">
        <f t="shared" si="8"/>
        <v>3.2875416666666664</v>
      </c>
      <c r="K1046" s="60">
        <f t="shared" si="8"/>
        <v>3.288475</v>
      </c>
    </row>
    <row r="1047" spans="1:11" ht="15">
      <c r="A1047" s="3">
        <v>2025</v>
      </c>
      <c r="B1047" s="60">
        <f t="shared" ref="B1047:K1047" si="9">AVERAGE(B125:B136)</f>
        <v>3.2306000000000004</v>
      </c>
      <c r="C1047" s="60">
        <f t="shared" si="9"/>
        <v>3.2306000000000004</v>
      </c>
      <c r="D1047" s="60">
        <f t="shared" si="9"/>
        <v>3.2544333333333344</v>
      </c>
      <c r="E1047" s="60">
        <f t="shared" si="9"/>
        <v>3.4095249999999999</v>
      </c>
      <c r="F1047" s="60">
        <f t="shared" si="9"/>
        <v>3.4095249999999999</v>
      </c>
      <c r="G1047" s="60">
        <f t="shared" si="9"/>
        <v>3.4104999999999994</v>
      </c>
      <c r="H1047" s="60">
        <f t="shared" si="9"/>
        <v>5.2848250000000005</v>
      </c>
      <c r="I1047" s="60">
        <f t="shared" si="9"/>
        <v>5.2858000000000001</v>
      </c>
      <c r="J1047" s="60">
        <f t="shared" si="9"/>
        <v>3.4095249999999999</v>
      </c>
      <c r="K1047" s="60">
        <f t="shared" si="9"/>
        <v>3.4104999999999994</v>
      </c>
    </row>
    <row r="1048" spans="1:11" ht="15">
      <c r="A1048" s="3">
        <v>2026</v>
      </c>
      <c r="B1048" s="60">
        <f t="shared" ref="B1048:K1048" si="10">AVERAGE(B137:B148)</f>
        <v>3.3089750000000002</v>
      </c>
      <c r="C1048" s="60">
        <f t="shared" si="10"/>
        <v>3.3089750000000002</v>
      </c>
      <c r="D1048" s="60">
        <f t="shared" si="10"/>
        <v>3.3328333333333333</v>
      </c>
      <c r="E1048" s="60">
        <f t="shared" si="10"/>
        <v>3.5205666666666668</v>
      </c>
      <c r="F1048" s="60">
        <f t="shared" si="10"/>
        <v>3.5205666666666668</v>
      </c>
      <c r="G1048" s="60">
        <f t="shared" si="10"/>
        <v>3.5215333333333336</v>
      </c>
      <c r="H1048" s="60">
        <f t="shared" si="10"/>
        <v>5.4184833333333335</v>
      </c>
      <c r="I1048" s="60">
        <f t="shared" si="10"/>
        <v>5.4194500000000003</v>
      </c>
      <c r="J1048" s="60">
        <f t="shared" si="10"/>
        <v>3.5205666666666668</v>
      </c>
      <c r="K1048" s="60">
        <f t="shared" si="10"/>
        <v>3.5215333333333336</v>
      </c>
    </row>
    <row r="1049" spans="1:11" ht="15">
      <c r="A1049" s="3">
        <v>2027</v>
      </c>
      <c r="B1049" s="60">
        <f t="shared" ref="B1049:K1049" si="11">AVERAGE(B149:B160)</f>
        <v>3.3874416666666671</v>
      </c>
      <c r="C1049" s="60">
        <f t="shared" si="11"/>
        <v>3.3874416666666671</v>
      </c>
      <c r="D1049" s="60">
        <f t="shared" si="11"/>
        <v>3.4112833333333339</v>
      </c>
      <c r="E1049" s="60">
        <f t="shared" si="11"/>
        <v>3.6206999999999998</v>
      </c>
      <c r="F1049" s="60">
        <f t="shared" si="11"/>
        <v>3.6206999999999998</v>
      </c>
      <c r="G1049" s="60">
        <f t="shared" si="11"/>
        <v>3.6216833333333334</v>
      </c>
      <c r="H1049" s="60">
        <f t="shared" si="11"/>
        <v>5.555483333333334</v>
      </c>
      <c r="I1049" s="60">
        <f t="shared" si="11"/>
        <v>5.5564749999999989</v>
      </c>
      <c r="J1049" s="60">
        <f t="shared" si="11"/>
        <v>3.6206999999999998</v>
      </c>
      <c r="K1049" s="60">
        <f t="shared" si="11"/>
        <v>3.6216833333333334</v>
      </c>
    </row>
    <row r="1050" spans="1:11" ht="15">
      <c r="A1050" s="3">
        <v>2028</v>
      </c>
      <c r="B1050" s="60">
        <f t="shared" ref="B1050:K1050" si="12">AVERAGE(B161:B172)</f>
        <v>3.4717833333333332</v>
      </c>
      <c r="C1050" s="60">
        <f t="shared" si="12"/>
        <v>3.4717833333333332</v>
      </c>
      <c r="D1050" s="60">
        <f t="shared" si="12"/>
        <v>3.4955999999999996</v>
      </c>
      <c r="E1050" s="60">
        <f t="shared" si="12"/>
        <v>3.6455333333333333</v>
      </c>
      <c r="F1050" s="60">
        <f t="shared" si="12"/>
        <v>3.6455333333333333</v>
      </c>
      <c r="G1050" s="60">
        <f t="shared" si="12"/>
        <v>3.6464999999999996</v>
      </c>
      <c r="H1050" s="60">
        <f t="shared" si="12"/>
        <v>5.6960000000000006</v>
      </c>
      <c r="I1050" s="60">
        <f t="shared" si="12"/>
        <v>5.6969666666666674</v>
      </c>
      <c r="J1050" s="60">
        <f t="shared" si="12"/>
        <v>3.6455333333333333</v>
      </c>
      <c r="K1050" s="60">
        <f t="shared" si="12"/>
        <v>3.6464999999999996</v>
      </c>
    </row>
    <row r="1051" spans="1:11" ht="15">
      <c r="A1051" s="3">
        <v>2029</v>
      </c>
      <c r="B1051" s="60">
        <f t="shared" ref="B1051:K1051" si="13">AVERAGE(B173:B184)</f>
        <v>3.5597499999999997</v>
      </c>
      <c r="C1051" s="60">
        <f t="shared" si="13"/>
        <v>3.5597499999999997</v>
      </c>
      <c r="D1051" s="60">
        <f t="shared" si="13"/>
        <v>3.5836000000000001</v>
      </c>
      <c r="E1051" s="60">
        <f t="shared" si="13"/>
        <v>3.7360416666666669</v>
      </c>
      <c r="F1051" s="60">
        <f t="shared" si="13"/>
        <v>3.7360416666666669</v>
      </c>
      <c r="G1051" s="60">
        <f t="shared" si="13"/>
        <v>3.7370083333333333</v>
      </c>
      <c r="H1051" s="60">
        <f t="shared" si="13"/>
        <v>5.8400250000000007</v>
      </c>
      <c r="I1051" s="60">
        <f t="shared" si="13"/>
        <v>5.8410166666666674</v>
      </c>
      <c r="J1051" s="60">
        <f t="shared" si="13"/>
        <v>3.7360416666666669</v>
      </c>
      <c r="K1051" s="60">
        <f t="shared" si="13"/>
        <v>3.7370083333333333</v>
      </c>
    </row>
    <row r="1052" spans="1:11" ht="15">
      <c r="A1052" s="3">
        <v>2030</v>
      </c>
      <c r="B1052" s="60">
        <f t="shared" ref="B1052:K1052" si="14">AVERAGE(B185:B196)</f>
        <v>3.6564333333333328</v>
      </c>
      <c r="C1052" s="60">
        <f t="shared" si="14"/>
        <v>3.6564333333333328</v>
      </c>
      <c r="D1052" s="60">
        <f t="shared" si="14"/>
        <v>3.6802916666666672</v>
      </c>
      <c r="E1052" s="60">
        <f t="shared" si="14"/>
        <v>3.8432166666666667</v>
      </c>
      <c r="F1052" s="60">
        <f t="shared" si="14"/>
        <v>3.8432166666666667</v>
      </c>
      <c r="G1052" s="60">
        <f t="shared" si="14"/>
        <v>3.8441833333333331</v>
      </c>
      <c r="H1052" s="60">
        <f t="shared" si="14"/>
        <v>5.9877166666666666</v>
      </c>
      <c r="I1052" s="60">
        <f t="shared" si="14"/>
        <v>5.9887000000000006</v>
      </c>
      <c r="J1052" s="60">
        <f t="shared" si="14"/>
        <v>3.8432166666666667</v>
      </c>
      <c r="K1052" s="60">
        <f t="shared" si="14"/>
        <v>3.8441833333333331</v>
      </c>
    </row>
    <row r="1053" spans="1:11" ht="15">
      <c r="A1053" s="3">
        <v>2031</v>
      </c>
      <c r="B1053" s="60">
        <f t="shared" ref="B1053:K1053" si="15">AVERAGE(B197:B208)</f>
        <v>3.7383999999999999</v>
      </c>
      <c r="C1053" s="60">
        <f t="shared" si="15"/>
        <v>3.7383999999999999</v>
      </c>
      <c r="D1053" s="60">
        <f t="shared" si="15"/>
        <v>3.7622416666666667</v>
      </c>
      <c r="E1053" s="60">
        <f t="shared" si="15"/>
        <v>3.9515583333333333</v>
      </c>
      <c r="F1053" s="60">
        <f t="shared" si="15"/>
        <v>3.9515583333333333</v>
      </c>
      <c r="G1053" s="60">
        <f t="shared" si="15"/>
        <v>3.9525166666666665</v>
      </c>
      <c r="H1053" s="60">
        <f t="shared" si="15"/>
        <v>6.1391416666666672</v>
      </c>
      <c r="I1053" s="60">
        <f t="shared" si="15"/>
        <v>6.1401083333333331</v>
      </c>
      <c r="J1053" s="60">
        <f t="shared" si="15"/>
        <v>3.9515583333333333</v>
      </c>
      <c r="K1053" s="60">
        <f t="shared" si="15"/>
        <v>3.9525166666666665</v>
      </c>
    </row>
    <row r="1054" spans="1:11" ht="15">
      <c r="A1054" s="3">
        <v>2032</v>
      </c>
      <c r="B1054" s="60">
        <f t="shared" ref="B1054:K1054" si="16">AVERAGE(B209:B220)</f>
        <v>3.8228833333333339</v>
      </c>
      <c r="C1054" s="60">
        <f t="shared" si="16"/>
        <v>3.8228833333333339</v>
      </c>
      <c r="D1054" s="60">
        <f t="shared" si="16"/>
        <v>3.8467083333333325</v>
      </c>
      <c r="E1054" s="60">
        <f t="shared" si="16"/>
        <v>4.0618500000000006</v>
      </c>
      <c r="F1054" s="60">
        <f t="shared" si="16"/>
        <v>4.0618500000000006</v>
      </c>
      <c r="G1054" s="60">
        <f t="shared" si="16"/>
        <v>4.0628249999999992</v>
      </c>
      <c r="H1054" s="60">
        <f t="shared" si="16"/>
        <v>6.2944000000000004</v>
      </c>
      <c r="I1054" s="60">
        <f t="shared" si="16"/>
        <v>6.2953666666666672</v>
      </c>
      <c r="J1054" s="60">
        <f t="shared" si="16"/>
        <v>4.0618500000000006</v>
      </c>
      <c r="K1054" s="60">
        <f t="shared" si="16"/>
        <v>4.0628249999999992</v>
      </c>
    </row>
    <row r="1055" spans="1:11" ht="15">
      <c r="A1055" s="3">
        <v>2033</v>
      </c>
      <c r="B1055" s="60">
        <f t="shared" ref="B1055:K1055" si="17">AVERAGE(B221:B232)</f>
        <v>3.9006083333333326</v>
      </c>
      <c r="C1055" s="60">
        <f t="shared" si="17"/>
        <v>3.9006083333333326</v>
      </c>
      <c r="D1055" s="60">
        <f t="shared" si="17"/>
        <v>3.9244583333333334</v>
      </c>
      <c r="E1055" s="60">
        <f t="shared" si="17"/>
        <v>4.1747916666666658</v>
      </c>
      <c r="F1055" s="60">
        <f t="shared" si="17"/>
        <v>4.1747916666666658</v>
      </c>
      <c r="G1055" s="60">
        <f t="shared" si="17"/>
        <v>4.1757666666666671</v>
      </c>
      <c r="H1055" s="60">
        <f t="shared" si="17"/>
        <v>6.4535749999999998</v>
      </c>
      <c r="I1055" s="60">
        <f t="shared" si="17"/>
        <v>6.4545500000000002</v>
      </c>
      <c r="J1055" s="60">
        <f t="shared" si="17"/>
        <v>4.1747916666666658</v>
      </c>
      <c r="K1055" s="60">
        <f t="shared" si="17"/>
        <v>4.1757666666666671</v>
      </c>
    </row>
    <row r="1056" spans="1:11" ht="15">
      <c r="A1056" s="3">
        <v>2034</v>
      </c>
      <c r="B1056" s="60">
        <f t="shared" ref="B1056:K1056" si="18">AVERAGE(B233:B244)</f>
        <v>3.9877083333333334</v>
      </c>
      <c r="C1056" s="60">
        <f t="shared" si="18"/>
        <v>3.9877083333333334</v>
      </c>
      <c r="D1056" s="60">
        <f t="shared" si="18"/>
        <v>4.0115500000000006</v>
      </c>
      <c r="E1056" s="60">
        <f t="shared" si="18"/>
        <v>4.2910750000000002</v>
      </c>
      <c r="F1056" s="60">
        <f t="shared" si="18"/>
        <v>4.2910750000000002</v>
      </c>
      <c r="G1056" s="60">
        <f t="shared" si="18"/>
        <v>4.292041666666667</v>
      </c>
      <c r="H1056" s="60">
        <f t="shared" si="18"/>
        <v>6.6167833333333341</v>
      </c>
      <c r="I1056" s="60">
        <f t="shared" si="18"/>
        <v>6.6177416666666664</v>
      </c>
      <c r="J1056" s="60">
        <f t="shared" si="18"/>
        <v>4.2910750000000002</v>
      </c>
      <c r="K1056" s="60">
        <f t="shared" si="18"/>
        <v>4.292041666666667</v>
      </c>
    </row>
    <row r="1057" spans="1:11" ht="15">
      <c r="A1057" s="3">
        <v>2035</v>
      </c>
      <c r="B1057" s="60">
        <f t="shared" ref="B1057:K1057" si="19">AVERAGE(B245:B256)</f>
        <v>4.0831583333333343</v>
      </c>
      <c r="C1057" s="60">
        <f t="shared" si="19"/>
        <v>4.0831583333333343</v>
      </c>
      <c r="D1057" s="60">
        <f t="shared" si="19"/>
        <v>4.1070000000000002</v>
      </c>
      <c r="E1057" s="60">
        <f t="shared" si="19"/>
        <v>4.4108166666666664</v>
      </c>
      <c r="F1057" s="60">
        <f t="shared" si="19"/>
        <v>4.4108166666666664</v>
      </c>
      <c r="G1057" s="60">
        <f t="shared" si="19"/>
        <v>4.4117833333333332</v>
      </c>
      <c r="H1057" s="60">
        <f t="shared" si="19"/>
        <v>6.7840999999999996</v>
      </c>
      <c r="I1057" s="60">
        <f t="shared" si="19"/>
        <v>6.7850833333333336</v>
      </c>
      <c r="J1057" s="60">
        <f t="shared" si="19"/>
        <v>4.4108166666666664</v>
      </c>
      <c r="K1057" s="60">
        <f t="shared" si="19"/>
        <v>4.4117833333333332</v>
      </c>
    </row>
    <row r="1058" spans="1:11" ht="15">
      <c r="A1058" s="3">
        <v>2036</v>
      </c>
      <c r="B1058" s="60">
        <f t="shared" ref="B1058:K1058" si="20">AVERAGE(B257:B268)</f>
        <v>4.1822749999999997</v>
      </c>
      <c r="C1058" s="60">
        <f t="shared" si="20"/>
        <v>4.1822749999999997</v>
      </c>
      <c r="D1058" s="60">
        <f t="shared" si="20"/>
        <v>4.2061416666666656</v>
      </c>
      <c r="E1058" s="60">
        <f t="shared" si="20"/>
        <v>4.5303666666666667</v>
      </c>
      <c r="F1058" s="60">
        <f t="shared" si="20"/>
        <v>4.5303666666666667</v>
      </c>
      <c r="G1058" s="60">
        <f t="shared" si="20"/>
        <v>4.5313249999999998</v>
      </c>
      <c r="H1058" s="60">
        <f t="shared" si="20"/>
        <v>6.9556416666666658</v>
      </c>
      <c r="I1058" s="60">
        <f t="shared" si="20"/>
        <v>6.9566250000000016</v>
      </c>
      <c r="J1058" s="60">
        <f t="shared" si="20"/>
        <v>4.5303666666666667</v>
      </c>
      <c r="K1058" s="60">
        <f t="shared" si="20"/>
        <v>4.5313249999999998</v>
      </c>
    </row>
    <row r="1059" spans="1:11" ht="15">
      <c r="A1059" s="3">
        <v>2037</v>
      </c>
      <c r="B1059" s="60">
        <f t="shared" ref="B1059:K1059" si="21">AVERAGE(B269:B280)</f>
        <v>4.2830666666666675</v>
      </c>
      <c r="C1059" s="60">
        <f t="shared" si="21"/>
        <v>4.2830666666666675</v>
      </c>
      <c r="D1059" s="60">
        <f t="shared" si="21"/>
        <v>4.3069166666666669</v>
      </c>
      <c r="E1059" s="60">
        <f t="shared" si="21"/>
        <v>4.6544583333333334</v>
      </c>
      <c r="F1059" s="60">
        <f t="shared" si="21"/>
        <v>4.6544583333333334</v>
      </c>
      <c r="G1059" s="60">
        <f t="shared" si="21"/>
        <v>4.6554250000000001</v>
      </c>
      <c r="H1059" s="60">
        <f t="shared" si="21"/>
        <v>7.1315666666666653</v>
      </c>
      <c r="I1059" s="60">
        <f t="shared" si="21"/>
        <v>7.1325250000000002</v>
      </c>
      <c r="J1059" s="60">
        <f t="shared" si="21"/>
        <v>4.6544583333333334</v>
      </c>
      <c r="K1059" s="60">
        <f t="shared" si="21"/>
        <v>4.6554250000000001</v>
      </c>
    </row>
    <row r="1060" spans="1:11" ht="15">
      <c r="A1060" s="3">
        <v>2038</v>
      </c>
      <c r="B1060" s="60">
        <f t="shared" ref="B1060:K1060" si="22">AVERAGE(B281:B292)</f>
        <v>4.3887583333333327</v>
      </c>
      <c r="C1060" s="60">
        <f t="shared" si="22"/>
        <v>4.3887583333333327</v>
      </c>
      <c r="D1060" s="60">
        <f t="shared" si="22"/>
        <v>4.4126250000000011</v>
      </c>
      <c r="E1060" s="60">
        <f t="shared" si="22"/>
        <v>4.7885083333333336</v>
      </c>
      <c r="F1060" s="60">
        <f t="shared" si="22"/>
        <v>4.7885083333333336</v>
      </c>
      <c r="G1060" s="60">
        <f t="shared" si="22"/>
        <v>4.7894916666666667</v>
      </c>
      <c r="H1060" s="60">
        <f t="shared" si="22"/>
        <v>7.3119083333333323</v>
      </c>
      <c r="I1060" s="60">
        <f t="shared" si="22"/>
        <v>7.3128666666666673</v>
      </c>
      <c r="J1060" s="60">
        <f t="shared" si="22"/>
        <v>4.7885083333333336</v>
      </c>
      <c r="K1060" s="60">
        <f t="shared" si="22"/>
        <v>4.7894916666666667</v>
      </c>
    </row>
    <row r="1061" spans="1:11" ht="15">
      <c r="A1061" s="3">
        <v>2039</v>
      </c>
      <c r="B1061" s="60">
        <f t="shared" ref="B1061:K1061" si="23">AVERAGE(B293:B304)</f>
        <v>4.4963916666666668</v>
      </c>
      <c r="C1061" s="60">
        <f t="shared" si="23"/>
        <v>4.4963916666666668</v>
      </c>
      <c r="D1061" s="60">
        <f t="shared" si="23"/>
        <v>4.5202500000000008</v>
      </c>
      <c r="E1061" s="60">
        <f t="shared" si="23"/>
        <v>4.9185083333333326</v>
      </c>
      <c r="F1061" s="60">
        <f t="shared" si="23"/>
        <v>4.9185083333333326</v>
      </c>
      <c r="G1061" s="60">
        <f t="shared" si="23"/>
        <v>4.919483333333333</v>
      </c>
      <c r="H1061" s="60">
        <f t="shared" si="23"/>
        <v>7.4967916666666667</v>
      </c>
      <c r="I1061" s="60">
        <f t="shared" si="23"/>
        <v>7.4977749999999999</v>
      </c>
      <c r="J1061" s="60">
        <f t="shared" si="23"/>
        <v>4.9185083333333326</v>
      </c>
      <c r="K1061" s="60">
        <f t="shared" si="23"/>
        <v>4.919483333333333</v>
      </c>
    </row>
    <row r="1062" spans="1:11" ht="15">
      <c r="A1062" s="3">
        <v>2040</v>
      </c>
      <c r="B1062" s="60">
        <f t="shared" ref="B1062:K1062" si="24">AVERAGE(B305:B316)</f>
        <v>4.6104833333333328</v>
      </c>
      <c r="C1062" s="60">
        <f t="shared" si="24"/>
        <v>4.6104833333333328</v>
      </c>
      <c r="D1062" s="60">
        <f t="shared" si="24"/>
        <v>4.634316666666666</v>
      </c>
      <c r="E1062" s="60">
        <f t="shared" si="24"/>
        <v>5.0565249999999997</v>
      </c>
      <c r="F1062" s="60">
        <f t="shared" si="24"/>
        <v>5.0565249999999997</v>
      </c>
      <c r="G1062" s="60">
        <f t="shared" si="24"/>
        <v>5.0575000000000001</v>
      </c>
      <c r="H1062" s="60">
        <f t="shared" si="24"/>
        <v>7.6863833333333345</v>
      </c>
      <c r="I1062" s="60">
        <f t="shared" si="24"/>
        <v>7.6873750000000003</v>
      </c>
      <c r="J1062" s="60">
        <f t="shared" si="24"/>
        <v>5.0565249999999997</v>
      </c>
      <c r="K1062" s="60">
        <f t="shared" si="24"/>
        <v>5.0575000000000001</v>
      </c>
    </row>
    <row r="1063" spans="1:11" ht="15">
      <c r="A1063" s="3">
        <v>2041</v>
      </c>
      <c r="B1063" s="60">
        <f t="shared" ref="B1063:K1063" si="25">AVERAGE(B317:B328)</f>
        <v>4.727475000000001</v>
      </c>
      <c r="C1063" s="60">
        <f t="shared" si="25"/>
        <v>4.727475000000001</v>
      </c>
      <c r="D1063" s="60">
        <f t="shared" si="25"/>
        <v>4.7512916666666669</v>
      </c>
      <c r="E1063" s="60">
        <f t="shared" si="25"/>
        <v>5.1984249999999994</v>
      </c>
      <c r="F1063" s="60">
        <f t="shared" si="25"/>
        <v>5.1984249999999994</v>
      </c>
      <c r="G1063" s="60">
        <f t="shared" si="25"/>
        <v>5.1993916666666662</v>
      </c>
      <c r="H1063" s="60">
        <f t="shared" si="25"/>
        <v>7.8807833333333326</v>
      </c>
      <c r="I1063" s="60">
        <f t="shared" si="25"/>
        <v>7.8817500000000003</v>
      </c>
      <c r="J1063" s="60">
        <f t="shared" si="25"/>
        <v>5.1984249999999994</v>
      </c>
      <c r="K1063" s="60">
        <f t="shared" si="25"/>
        <v>5.1993916666666662</v>
      </c>
    </row>
    <row r="1064" spans="1:11" ht="15">
      <c r="A1064" s="3">
        <v>2042</v>
      </c>
      <c r="B1064" s="60">
        <f t="shared" ref="B1064:K1064" si="26">AVERAGE(B329:B340)</f>
        <v>4.8474083333333331</v>
      </c>
      <c r="C1064" s="60">
        <f t="shared" si="26"/>
        <v>4.8474083333333331</v>
      </c>
      <c r="D1064" s="60">
        <f t="shared" si="26"/>
        <v>4.8712499999999999</v>
      </c>
      <c r="E1064" s="60">
        <f t="shared" si="26"/>
        <v>5.3443250000000004</v>
      </c>
      <c r="F1064" s="60">
        <f t="shared" si="26"/>
        <v>5.3443250000000004</v>
      </c>
      <c r="G1064" s="60">
        <f t="shared" si="26"/>
        <v>5.3453000000000008</v>
      </c>
      <c r="H1064" s="60">
        <f t="shared" si="26"/>
        <v>8.0800583333333336</v>
      </c>
      <c r="I1064" s="60">
        <f t="shared" si="26"/>
        <v>8.0810416666666676</v>
      </c>
      <c r="J1064" s="60">
        <f t="shared" si="26"/>
        <v>5.3443250000000004</v>
      </c>
      <c r="K1064" s="60">
        <f t="shared" si="26"/>
        <v>5.3453000000000008</v>
      </c>
    </row>
    <row r="1065" spans="1:11" ht="15">
      <c r="A1065" s="3">
        <v>2043</v>
      </c>
      <c r="B1065" s="60">
        <f t="shared" ref="B1065:K1065" si="27">AVERAGE(B341:B352)</f>
        <v>4.9704083333333342</v>
      </c>
      <c r="C1065" s="60">
        <f t="shared" si="27"/>
        <v>4.9704083333333342</v>
      </c>
      <c r="D1065" s="60">
        <f t="shared" si="27"/>
        <v>4.9942583333333337</v>
      </c>
      <c r="E1065" s="60">
        <f t="shared" si="27"/>
        <v>5.4943166666666663</v>
      </c>
      <c r="F1065" s="60">
        <f t="shared" si="27"/>
        <v>5.4943166666666663</v>
      </c>
      <c r="G1065" s="60">
        <f t="shared" si="27"/>
        <v>5.4953000000000003</v>
      </c>
      <c r="H1065" s="60">
        <f t="shared" si="27"/>
        <v>8.2843999999999998</v>
      </c>
      <c r="I1065" s="60">
        <f t="shared" si="27"/>
        <v>8.2853583333333329</v>
      </c>
      <c r="J1065" s="60">
        <f t="shared" si="27"/>
        <v>5.4943166666666663</v>
      </c>
      <c r="K1065" s="60">
        <f t="shared" si="27"/>
        <v>5.4953000000000003</v>
      </c>
    </row>
    <row r="1066" spans="1:11" ht="15">
      <c r="A1066" s="3">
        <v>2044</v>
      </c>
      <c r="B1066" s="60">
        <f t="shared" ref="B1066:K1066" si="28">AVERAGE(B353:B364)</f>
        <v>5.0965250000000006</v>
      </c>
      <c r="C1066" s="60">
        <f t="shared" si="28"/>
        <v>5.0965250000000006</v>
      </c>
      <c r="D1066" s="60">
        <f t="shared" si="28"/>
        <v>5.1203916666666665</v>
      </c>
      <c r="E1066" s="60">
        <f t="shared" si="28"/>
        <v>5.6485583333333338</v>
      </c>
      <c r="F1066" s="60">
        <f t="shared" si="28"/>
        <v>5.6485583333333338</v>
      </c>
      <c r="G1066" s="60">
        <f t="shared" si="28"/>
        <v>5.6495333333333333</v>
      </c>
      <c r="H1066" s="60">
        <f t="shared" si="28"/>
        <v>8.4938916666666664</v>
      </c>
      <c r="I1066" s="60">
        <f t="shared" si="28"/>
        <v>8.4948666666666668</v>
      </c>
      <c r="J1066" s="60">
        <f t="shared" si="28"/>
        <v>5.6485583333333338</v>
      </c>
      <c r="K1066" s="60">
        <f t="shared" si="28"/>
        <v>5.6495333333333333</v>
      </c>
    </row>
    <row r="1067" spans="1:11" ht="15">
      <c r="A1067" s="3">
        <v>2045</v>
      </c>
      <c r="B1067" s="60">
        <f t="shared" ref="B1067:K1067" si="29">AVERAGE(B365:B376)</f>
        <v>5.2258749999999994</v>
      </c>
      <c r="C1067" s="60">
        <f t="shared" si="29"/>
        <v>5.2258749999999994</v>
      </c>
      <c r="D1067" s="60">
        <f t="shared" si="29"/>
        <v>5.249716666666667</v>
      </c>
      <c r="E1067" s="60">
        <f t="shared" si="29"/>
        <v>5.8071166666666683</v>
      </c>
      <c r="F1067" s="60">
        <f t="shared" si="29"/>
        <v>5.8071166666666683</v>
      </c>
      <c r="G1067" s="60">
        <f t="shared" si="29"/>
        <v>5.8081000000000005</v>
      </c>
      <c r="H1067" s="60">
        <f t="shared" si="29"/>
        <v>8.7086833333333331</v>
      </c>
      <c r="I1067" s="60">
        <f t="shared" si="29"/>
        <v>8.7096583333333335</v>
      </c>
      <c r="J1067" s="60">
        <f t="shared" si="29"/>
        <v>5.8071166666666683</v>
      </c>
      <c r="K1067" s="60">
        <f t="shared" si="29"/>
        <v>5.8081000000000005</v>
      </c>
    </row>
    <row r="1068" spans="1:11" ht="15">
      <c r="A1068" s="3">
        <v>2046</v>
      </c>
      <c r="B1068" s="60">
        <f t="shared" ref="B1068:K1068" si="30">AVERAGE(B377:B388)</f>
        <v>5.3584916666666667</v>
      </c>
      <c r="C1068" s="60">
        <f t="shared" si="30"/>
        <v>5.3584916666666667</v>
      </c>
      <c r="D1068" s="60">
        <f t="shared" si="30"/>
        <v>5.3823416666666661</v>
      </c>
      <c r="E1068" s="60">
        <f t="shared" si="30"/>
        <v>5.9701666666666666</v>
      </c>
      <c r="F1068" s="60">
        <f t="shared" si="30"/>
        <v>5.9701666666666666</v>
      </c>
      <c r="G1068" s="60">
        <f t="shared" si="30"/>
        <v>5.9711416666666652</v>
      </c>
      <c r="H1068" s="60">
        <f t="shared" si="30"/>
        <v>8.928941666666665</v>
      </c>
      <c r="I1068" s="60">
        <f t="shared" si="30"/>
        <v>8.9298916666666681</v>
      </c>
      <c r="J1068" s="60">
        <f t="shared" si="30"/>
        <v>5.9701666666666666</v>
      </c>
      <c r="K1068" s="60">
        <f t="shared" si="30"/>
        <v>5.9711416666666652</v>
      </c>
    </row>
    <row r="1069" spans="1:11" ht="15">
      <c r="A1069" s="3">
        <v>2047</v>
      </c>
      <c r="B1069" s="60">
        <f t="shared" ref="B1069:K1069" si="31">AVERAGE(B389:B400)</f>
        <v>5.4945083333333331</v>
      </c>
      <c r="C1069" s="60">
        <f t="shared" si="31"/>
        <v>5.4945083333333331</v>
      </c>
      <c r="D1069" s="60">
        <f t="shared" si="31"/>
        <v>5.5183249999999999</v>
      </c>
      <c r="E1069" s="60">
        <f t="shared" si="31"/>
        <v>6.1377999999999995</v>
      </c>
      <c r="F1069" s="60">
        <f t="shared" si="31"/>
        <v>6.1377999999999995</v>
      </c>
      <c r="G1069" s="60">
        <f t="shared" si="31"/>
        <v>6.1387666666666663</v>
      </c>
      <c r="H1069" s="60">
        <f t="shared" si="31"/>
        <v>9.1547083333333337</v>
      </c>
      <c r="I1069" s="60">
        <f t="shared" si="31"/>
        <v>9.1556750000000005</v>
      </c>
      <c r="J1069" s="60">
        <f t="shared" si="31"/>
        <v>6.1377999999999995</v>
      </c>
      <c r="K1069" s="60">
        <f t="shared" si="31"/>
        <v>6.1387666666666663</v>
      </c>
    </row>
    <row r="1070" spans="1:11" ht="15">
      <c r="A1070" s="3">
        <v>2048</v>
      </c>
      <c r="B1070" s="60">
        <f t="shared" ref="B1070:K1070" si="32">AVERAGE(B401:B412)</f>
        <v>5.6339333333333341</v>
      </c>
      <c r="C1070" s="60">
        <f t="shared" si="32"/>
        <v>5.6339333333333341</v>
      </c>
      <c r="D1070" s="60">
        <f t="shared" si="32"/>
        <v>5.6577999999999991</v>
      </c>
      <c r="E1070" s="60">
        <f t="shared" si="32"/>
        <v>6.3101416666666674</v>
      </c>
      <c r="F1070" s="60">
        <f t="shared" si="32"/>
        <v>6.3101416666666674</v>
      </c>
      <c r="G1070" s="60">
        <f t="shared" si="32"/>
        <v>6.3111083333333324</v>
      </c>
      <c r="H1070" s="60">
        <f t="shared" si="32"/>
        <v>9.3862249999999996</v>
      </c>
      <c r="I1070" s="60">
        <f t="shared" si="32"/>
        <v>9.3871833333333345</v>
      </c>
      <c r="J1070" s="60">
        <f t="shared" si="32"/>
        <v>6.3101416666666674</v>
      </c>
      <c r="K1070" s="60">
        <f t="shared" si="32"/>
        <v>6.3111083333333324</v>
      </c>
    </row>
    <row r="1071" spans="1:11" ht="15">
      <c r="A1071" s="3">
        <v>2049</v>
      </c>
      <c r="B1071" s="60">
        <f t="shared" ref="B1071:K1071" si="33">AVERAGE(B413:B424)</f>
        <v>5.7769416666666666</v>
      </c>
      <c r="C1071" s="60">
        <f t="shared" si="33"/>
        <v>5.7769416666666666</v>
      </c>
      <c r="D1071" s="60">
        <f t="shared" si="33"/>
        <v>5.8007999999999997</v>
      </c>
      <c r="E1071" s="60">
        <f t="shared" si="33"/>
        <v>6.487333333333333</v>
      </c>
      <c r="F1071" s="60">
        <f t="shared" si="33"/>
        <v>6.487333333333333</v>
      </c>
      <c r="G1071" s="60">
        <f t="shared" si="33"/>
        <v>6.4883083333333325</v>
      </c>
      <c r="H1071" s="60">
        <f t="shared" si="33"/>
        <v>9.6235750000000007</v>
      </c>
      <c r="I1071" s="60">
        <f t="shared" si="33"/>
        <v>9.6245583333333347</v>
      </c>
      <c r="J1071" s="60">
        <f t="shared" si="33"/>
        <v>6.487333333333333</v>
      </c>
      <c r="K1071" s="60">
        <f t="shared" si="33"/>
        <v>6.4883083333333325</v>
      </c>
    </row>
    <row r="1072" spans="1:11" ht="15">
      <c r="A1072" s="3">
        <v>2050</v>
      </c>
      <c r="B1072" s="60">
        <f t="shared" ref="B1072:K1072" si="34">AVERAGE(B425:B436)</f>
        <v>5.923566666666666</v>
      </c>
      <c r="C1072" s="60">
        <f t="shared" si="34"/>
        <v>5.923566666666666</v>
      </c>
      <c r="D1072" s="60">
        <f t="shared" si="34"/>
        <v>5.9474166666666664</v>
      </c>
      <c r="E1072" s="60">
        <f t="shared" si="34"/>
        <v>6.6695499999999983</v>
      </c>
      <c r="F1072" s="60">
        <f t="shared" si="34"/>
        <v>6.6695499999999983</v>
      </c>
      <c r="G1072" s="60">
        <f t="shared" si="34"/>
        <v>6.6705083333333341</v>
      </c>
      <c r="H1072" s="60">
        <f t="shared" si="34"/>
        <v>9.8669416666666674</v>
      </c>
      <c r="I1072" s="60">
        <f t="shared" si="34"/>
        <v>9.8679333333333332</v>
      </c>
      <c r="J1072" s="60">
        <f t="shared" si="34"/>
        <v>6.6695499999999983</v>
      </c>
      <c r="K1072" s="60">
        <f t="shared" si="34"/>
        <v>6.6705083333333341</v>
      </c>
    </row>
    <row r="1073" spans="1:11" ht="15">
      <c r="A1073" s="3">
        <v>2051</v>
      </c>
      <c r="B1073" s="60">
        <f t="shared" ref="B1073:K1073" si="35">AVERAGE(B437:B448)</f>
        <v>6.0739333333333336</v>
      </c>
      <c r="C1073" s="60">
        <f t="shared" si="35"/>
        <v>6.0739333333333336</v>
      </c>
      <c r="D1073" s="60">
        <f t="shared" si="35"/>
        <v>6.0977750000000013</v>
      </c>
      <c r="E1073" s="60">
        <f t="shared" si="35"/>
        <v>6.8568833333333332</v>
      </c>
      <c r="F1073" s="60">
        <f t="shared" si="35"/>
        <v>6.8568833333333332</v>
      </c>
      <c r="G1073" s="60">
        <f t="shared" si="35"/>
        <v>6.8578416666666664</v>
      </c>
      <c r="H1073" s="60">
        <f t="shared" si="35"/>
        <v>10.116474999999999</v>
      </c>
      <c r="I1073" s="60">
        <f t="shared" si="35"/>
        <v>10.11745</v>
      </c>
      <c r="J1073" s="60">
        <f t="shared" si="35"/>
        <v>6.8568833333333332</v>
      </c>
      <c r="K1073" s="60">
        <f t="shared" si="35"/>
        <v>6.8578416666666664</v>
      </c>
    </row>
    <row r="1074" spans="1:11" ht="15">
      <c r="A1074" s="3">
        <v>2052</v>
      </c>
      <c r="B1074" s="60">
        <f t="shared" ref="B1074:K1074" si="36">AVERAGE(B449:B460)</f>
        <v>6.2281083333333322</v>
      </c>
      <c r="C1074" s="60">
        <f t="shared" si="36"/>
        <v>6.2281083333333322</v>
      </c>
      <c r="D1074" s="60">
        <f t="shared" si="36"/>
        <v>6.2519583333333335</v>
      </c>
      <c r="E1074" s="60">
        <f t="shared" si="36"/>
        <v>7.049475000000001</v>
      </c>
      <c r="F1074" s="60">
        <f t="shared" si="36"/>
        <v>7.049475000000001</v>
      </c>
      <c r="G1074" s="60">
        <f t="shared" si="36"/>
        <v>7.0504416666666669</v>
      </c>
      <c r="H1074" s="60">
        <f t="shared" si="36"/>
        <v>10.372300000000001</v>
      </c>
      <c r="I1074" s="60">
        <f t="shared" si="36"/>
        <v>10.373266666666666</v>
      </c>
      <c r="J1074" s="60">
        <f t="shared" si="36"/>
        <v>7.049475000000001</v>
      </c>
      <c r="K1074" s="60">
        <f t="shared" si="36"/>
        <v>7.0504416666666669</v>
      </c>
    </row>
    <row r="1075" spans="1:11" ht="15">
      <c r="A1075" s="3">
        <v>2053</v>
      </c>
      <c r="B1075" s="60">
        <f t="shared" ref="B1075:K1075" si="37">AVERAGE(B461:B472)</f>
        <v>6.386216666666666</v>
      </c>
      <c r="C1075" s="60">
        <f t="shared" si="37"/>
        <v>6.386216666666666</v>
      </c>
      <c r="D1075" s="60">
        <f t="shared" si="37"/>
        <v>6.4100749999999991</v>
      </c>
      <c r="E1075" s="60">
        <f t="shared" si="37"/>
        <v>7.2475249999999996</v>
      </c>
      <c r="F1075" s="60">
        <f t="shared" si="37"/>
        <v>7.2475249999999996</v>
      </c>
      <c r="G1075" s="60">
        <f t="shared" si="37"/>
        <v>7.2484916666666672</v>
      </c>
      <c r="H1075" s="60">
        <f t="shared" si="37"/>
        <v>10.634608333333333</v>
      </c>
      <c r="I1075" s="60">
        <f t="shared" si="37"/>
        <v>10.635583333333335</v>
      </c>
      <c r="J1075" s="60">
        <f t="shared" si="37"/>
        <v>7.2475249999999996</v>
      </c>
      <c r="K1075" s="60">
        <f t="shared" si="37"/>
        <v>7.2484916666666672</v>
      </c>
    </row>
    <row r="1076" spans="1:11" ht="15">
      <c r="A1076" s="3">
        <v>2054</v>
      </c>
      <c r="B1076" s="60">
        <f t="shared" ref="B1076:K1076" si="38">AVERAGE(B473:B484)</f>
        <v>6.5483416666666656</v>
      </c>
      <c r="C1076" s="60">
        <f t="shared" si="38"/>
        <v>6.5483416666666656</v>
      </c>
      <c r="D1076" s="60">
        <f t="shared" si="38"/>
        <v>6.5721999999999996</v>
      </c>
      <c r="E1076" s="60">
        <f t="shared" si="38"/>
        <v>7.4511333333333338</v>
      </c>
      <c r="F1076" s="60">
        <f t="shared" si="38"/>
        <v>7.4511333333333338</v>
      </c>
      <c r="G1076" s="60">
        <f t="shared" si="38"/>
        <v>7.4521083333333324</v>
      </c>
      <c r="H1076" s="60">
        <f t="shared" si="38"/>
        <v>10.903533333333334</v>
      </c>
      <c r="I1076" s="60">
        <f t="shared" si="38"/>
        <v>10.904491666666667</v>
      </c>
      <c r="J1076" s="60">
        <f t="shared" si="38"/>
        <v>7.4511333333333338</v>
      </c>
      <c r="K1076" s="60">
        <f t="shared" si="38"/>
        <v>7.4521083333333324</v>
      </c>
    </row>
    <row r="1077" spans="1:11" ht="15">
      <c r="A1077" s="3">
        <v>2055</v>
      </c>
      <c r="B1077" s="60">
        <f t="shared" ref="B1077:K1077" si="39">AVERAGE(B17:B496)</f>
        <v>4.2844087499999954</v>
      </c>
      <c r="C1077" s="60">
        <f t="shared" si="39"/>
        <v>4.2844087499999954</v>
      </c>
      <c r="D1077" s="60">
        <f t="shared" si="39"/>
        <v>4.3082541666666696</v>
      </c>
      <c r="E1077" s="60">
        <f t="shared" si="39"/>
        <v>4.7119027083333327</v>
      </c>
      <c r="F1077" s="60">
        <f t="shared" si="39"/>
        <v>4.6534241666666665</v>
      </c>
      <c r="G1077" s="60">
        <f t="shared" si="39"/>
        <v>4.6543943749999972</v>
      </c>
      <c r="H1077" s="60">
        <f t="shared" si="39"/>
        <v>7.1645485416666759</v>
      </c>
      <c r="I1077" s="60">
        <f t="shared" si="39"/>
        <v>7.1655204166666682</v>
      </c>
      <c r="J1077" s="60">
        <f t="shared" si="39"/>
        <v>4.7119027083333327</v>
      </c>
      <c r="K1077" s="60">
        <f t="shared" si="39"/>
        <v>4.7128727083333315</v>
      </c>
    </row>
    <row r="1078" spans="1:11" ht="15">
      <c r="A1078" s="3">
        <v>2056</v>
      </c>
      <c r="B1078" s="60">
        <f t="shared" ref="B1078:K1078" si="40">AVERAGE(B497:B508)</f>
        <v>6.8850749999999996</v>
      </c>
      <c r="C1078" s="60">
        <f t="shared" si="40"/>
        <v>6.8850749999999996</v>
      </c>
      <c r="D1078" s="60">
        <f t="shared" si="40"/>
        <v>6.9089083333333328</v>
      </c>
      <c r="E1078" s="60">
        <f t="shared" si="40"/>
        <v>7.8757666666666664</v>
      </c>
      <c r="F1078" s="60">
        <f t="shared" si="40"/>
        <v>7.8757666666666664</v>
      </c>
      <c r="G1078" s="60">
        <f t="shared" si="40"/>
        <v>7.8767250000000004</v>
      </c>
      <c r="H1078" s="60">
        <f t="shared" si="40"/>
        <v>11.461975000000002</v>
      </c>
      <c r="I1078" s="60">
        <f t="shared" si="40"/>
        <v>11.462941666666667</v>
      </c>
      <c r="J1078" s="60">
        <f t="shared" si="40"/>
        <v>7.8757666666666664</v>
      </c>
      <c r="K1078" s="60">
        <f t="shared" si="40"/>
        <v>7.8767250000000004</v>
      </c>
    </row>
    <row r="1079" spans="1:11" ht="15">
      <c r="A1079" s="3">
        <v>2057</v>
      </c>
      <c r="B1079" s="60">
        <f t="shared" ref="B1079:K1079" si="41">AVERAGE(B509:B520)</f>
        <v>7.0598833333333326</v>
      </c>
      <c r="C1079" s="60">
        <f t="shared" si="41"/>
        <v>7.0598833333333326</v>
      </c>
      <c r="D1079" s="60">
        <f t="shared" si="41"/>
        <v>7.0837250000000012</v>
      </c>
      <c r="E1079" s="60">
        <f t="shared" si="41"/>
        <v>8.0970833333333321</v>
      </c>
      <c r="F1079" s="60">
        <f t="shared" si="41"/>
        <v>8.0970833333333321</v>
      </c>
      <c r="G1079" s="60">
        <f t="shared" si="41"/>
        <v>8.0980500000000006</v>
      </c>
      <c r="H1079" s="60">
        <f t="shared" si="41"/>
        <v>11.751825000000002</v>
      </c>
      <c r="I1079" s="60">
        <f t="shared" si="41"/>
        <v>11.752808333333332</v>
      </c>
      <c r="J1079" s="60">
        <f t="shared" si="41"/>
        <v>8.0970833333333321</v>
      </c>
      <c r="K1079" s="60">
        <f t="shared" si="41"/>
        <v>8.0980500000000006</v>
      </c>
    </row>
    <row r="1080" spans="1:11" ht="15">
      <c r="A1080" s="3">
        <v>2058</v>
      </c>
      <c r="B1080" s="60">
        <f t="shared" ref="B1080:K1080" si="42">AVERAGE(B521:B532)</f>
        <v>7.239141666666665</v>
      </c>
      <c r="C1080" s="60">
        <f t="shared" si="42"/>
        <v>7.239141666666665</v>
      </c>
      <c r="D1080" s="60">
        <f t="shared" si="42"/>
        <v>7.2629916666666672</v>
      </c>
      <c r="E1080" s="60">
        <f t="shared" si="42"/>
        <v>8.3246583333333337</v>
      </c>
      <c r="F1080" s="60">
        <f t="shared" si="42"/>
        <v>8.3246583333333337</v>
      </c>
      <c r="G1080" s="60">
        <f t="shared" si="42"/>
        <v>8.3256250000000005</v>
      </c>
      <c r="H1080" s="60">
        <f t="shared" si="42"/>
        <v>12.049024999999999</v>
      </c>
      <c r="I1080" s="60">
        <f t="shared" si="42"/>
        <v>12.049991666666669</v>
      </c>
      <c r="J1080" s="60">
        <f t="shared" si="42"/>
        <v>8.3246583333333337</v>
      </c>
      <c r="K1080" s="60">
        <f t="shared" si="42"/>
        <v>8.3256250000000005</v>
      </c>
    </row>
    <row r="1081" spans="1:11" ht="15">
      <c r="A1081" s="3">
        <v>2059</v>
      </c>
      <c r="B1081" s="60">
        <f t="shared" ref="B1081:K1081" si="43">AVERAGE(B533:B544)</f>
        <v>7.4229666666666665</v>
      </c>
      <c r="C1081" s="60">
        <f t="shared" si="43"/>
        <v>7.4229666666666665</v>
      </c>
      <c r="D1081" s="60">
        <f t="shared" si="43"/>
        <v>7.4467916666666687</v>
      </c>
      <c r="E1081" s="60">
        <f t="shared" si="43"/>
        <v>8.5586166666666657</v>
      </c>
      <c r="F1081" s="60">
        <f t="shared" si="43"/>
        <v>8.5586166666666657</v>
      </c>
      <c r="G1081" s="60">
        <f t="shared" si="43"/>
        <v>8.559608333333335</v>
      </c>
      <c r="H1081" s="60">
        <f t="shared" si="43"/>
        <v>12.353700000000002</v>
      </c>
      <c r="I1081" s="60">
        <f t="shared" si="43"/>
        <v>12.354683333333334</v>
      </c>
      <c r="J1081" s="60">
        <f t="shared" si="43"/>
        <v>8.5586166666666657</v>
      </c>
      <c r="K1081" s="60">
        <f t="shared" si="43"/>
        <v>8.559608333333335</v>
      </c>
    </row>
    <row r="1082" spans="1:11" ht="15">
      <c r="A1082" s="3">
        <v>2060</v>
      </c>
      <c r="B1082" s="60">
        <f t="shared" ref="B1082:K1082" si="44">AVERAGE(B545:B556)</f>
        <v>7.611433333333335</v>
      </c>
      <c r="C1082" s="60">
        <f t="shared" si="44"/>
        <v>7.611433333333335</v>
      </c>
      <c r="D1082" s="60">
        <f t="shared" si="44"/>
        <v>7.6353</v>
      </c>
      <c r="E1082" s="60">
        <f t="shared" si="44"/>
        <v>8.7992083333333344</v>
      </c>
      <c r="F1082" s="60">
        <f t="shared" si="44"/>
        <v>8.7992083333333344</v>
      </c>
      <c r="G1082" s="60">
        <f t="shared" si="44"/>
        <v>8.8001916666666649</v>
      </c>
      <c r="H1082" s="60">
        <f t="shared" si="44"/>
        <v>12.666124999999999</v>
      </c>
      <c r="I1082" s="60">
        <f t="shared" si="44"/>
        <v>12.667091666666666</v>
      </c>
      <c r="J1082" s="60">
        <f t="shared" si="44"/>
        <v>8.7992083333333344</v>
      </c>
      <c r="K1082" s="60">
        <f t="shared" si="44"/>
        <v>8.8001916666666649</v>
      </c>
    </row>
    <row r="1083" spans="1:11" ht="15">
      <c r="A1083" s="3">
        <v>2061</v>
      </c>
      <c r="B1083" s="60">
        <f t="shared" ref="B1083:K1083" si="45">AVERAGE(B557:B568)</f>
        <v>7.804733333333334</v>
      </c>
      <c r="C1083" s="60">
        <f t="shared" si="45"/>
        <v>7.804733333333334</v>
      </c>
      <c r="D1083" s="60">
        <f t="shared" si="45"/>
        <v>7.8285666666666671</v>
      </c>
      <c r="E1083" s="60">
        <f t="shared" si="45"/>
        <v>9.0465833333333325</v>
      </c>
      <c r="F1083" s="60">
        <f t="shared" si="45"/>
        <v>9.0465833333333325</v>
      </c>
      <c r="G1083" s="60">
        <f t="shared" si="45"/>
        <v>9.0475666666666665</v>
      </c>
      <c r="H1083" s="60">
        <f t="shared" si="45"/>
        <v>12.986416666666665</v>
      </c>
      <c r="I1083" s="60">
        <f t="shared" si="45"/>
        <v>12.987408333333333</v>
      </c>
      <c r="J1083" s="60">
        <f t="shared" si="45"/>
        <v>9.0465833333333325</v>
      </c>
      <c r="K1083" s="60">
        <f t="shared" si="45"/>
        <v>9.0475666666666665</v>
      </c>
    </row>
    <row r="1084" spans="1:11" ht="15">
      <c r="A1084" s="3">
        <v>2062</v>
      </c>
      <c r="B1084" s="60">
        <f t="shared" ref="B1084:K1093" ca="1" si="46">AVERAGE(OFFSET(B$569,($A1084-$A$1084)*12,0,12,1))</f>
        <v>8.002933333333333</v>
      </c>
      <c r="C1084" s="60">
        <f t="shared" ca="1" si="46"/>
        <v>8.002933333333333</v>
      </c>
      <c r="D1084" s="60">
        <f t="shared" ca="1" si="46"/>
        <v>8.0267833333333325</v>
      </c>
      <c r="E1084" s="60">
        <f t="shared" ca="1" si="46"/>
        <v>9.3009249999999994</v>
      </c>
      <c r="F1084" s="60">
        <f t="shared" ca="1" si="46"/>
        <v>9.3009249999999994</v>
      </c>
      <c r="G1084" s="60">
        <f t="shared" ca="1" si="46"/>
        <v>9.3019166666666653</v>
      </c>
      <c r="H1084" s="60">
        <f t="shared" ca="1" si="46"/>
        <v>13.314841666666666</v>
      </c>
      <c r="I1084" s="60">
        <f t="shared" ca="1" si="46"/>
        <v>13.315791666666664</v>
      </c>
      <c r="J1084" s="60">
        <f t="shared" ca="1" si="46"/>
        <v>9.3009249999999994</v>
      </c>
      <c r="K1084" s="60">
        <f t="shared" ca="1" si="46"/>
        <v>9.3019166666666653</v>
      </c>
    </row>
    <row r="1085" spans="1:11" ht="15">
      <c r="A1085" s="3">
        <v>2063</v>
      </c>
      <c r="B1085" s="60">
        <f t="shared" ca="1" si="46"/>
        <v>8.2011416666666666</v>
      </c>
      <c r="C1085" s="60">
        <f t="shared" ca="1" si="46"/>
        <v>8.2011416666666666</v>
      </c>
      <c r="D1085" s="60">
        <f t="shared" ca="1" si="46"/>
        <v>8.224983333333336</v>
      </c>
      <c r="E1085" s="60">
        <f t="shared" ca="1" si="46"/>
        <v>9.5553000000000008</v>
      </c>
      <c r="F1085" s="60">
        <f t="shared" ca="1" si="46"/>
        <v>9.5553000000000008</v>
      </c>
      <c r="G1085" s="60">
        <f t="shared" ca="1" si="46"/>
        <v>9.5562500000000004</v>
      </c>
      <c r="H1085" s="60">
        <f t="shared" ca="1" si="46"/>
        <v>13.643241666666668</v>
      </c>
      <c r="I1085" s="60">
        <f t="shared" ca="1" si="46"/>
        <v>13.644216666666665</v>
      </c>
      <c r="J1085" s="60">
        <f t="shared" ca="1" si="46"/>
        <v>9.5553000000000008</v>
      </c>
      <c r="K1085" s="60">
        <f t="shared" ca="1" si="46"/>
        <v>9.5562500000000004</v>
      </c>
    </row>
    <row r="1086" spans="1:11" ht="15">
      <c r="A1086" s="3">
        <v>2064</v>
      </c>
      <c r="B1086" s="60">
        <f t="shared" ca="1" si="46"/>
        <v>8.3993333333333347</v>
      </c>
      <c r="C1086" s="60">
        <f t="shared" ca="1" si="46"/>
        <v>8.3993333333333347</v>
      </c>
      <c r="D1086" s="60">
        <f t="shared" ca="1" si="46"/>
        <v>8.423191666666666</v>
      </c>
      <c r="E1086" s="60">
        <f t="shared" ca="1" si="46"/>
        <v>9.8096166666666686</v>
      </c>
      <c r="F1086" s="60">
        <f t="shared" ca="1" si="46"/>
        <v>9.8096166666666686</v>
      </c>
      <c r="G1086" s="60">
        <f t="shared" ca="1" si="46"/>
        <v>9.8106083333333345</v>
      </c>
      <c r="H1086" s="60">
        <f t="shared" ca="1" si="46"/>
        <v>13.971650000000002</v>
      </c>
      <c r="I1086" s="60">
        <f t="shared" ca="1" si="46"/>
        <v>13.972624999999999</v>
      </c>
      <c r="J1086" s="60">
        <f t="shared" ca="1" si="46"/>
        <v>9.8096166666666686</v>
      </c>
      <c r="K1086" s="60">
        <f t="shared" ca="1" si="46"/>
        <v>9.8106083333333345</v>
      </c>
    </row>
    <row r="1087" spans="1:11" ht="15">
      <c r="A1087" s="3">
        <v>2065</v>
      </c>
      <c r="B1087" s="60">
        <f t="shared" ca="1" si="46"/>
        <v>8.5975333333333328</v>
      </c>
      <c r="C1087" s="60">
        <f t="shared" ca="1" si="46"/>
        <v>8.5975333333333328</v>
      </c>
      <c r="D1087" s="60">
        <f t="shared" ca="1" si="46"/>
        <v>8.6213916666666659</v>
      </c>
      <c r="E1087" s="60">
        <f t="shared" ca="1" si="46"/>
        <v>10.063975000000001</v>
      </c>
      <c r="F1087" s="60">
        <f t="shared" ca="1" si="46"/>
        <v>10.063975000000001</v>
      </c>
      <c r="G1087" s="60">
        <f t="shared" ca="1" si="46"/>
        <v>10.064958333333331</v>
      </c>
      <c r="H1087" s="60">
        <f t="shared" ca="1" si="46"/>
        <v>14.300050000000001</v>
      </c>
      <c r="I1087" s="60">
        <f t="shared" ca="1" si="46"/>
        <v>14.301041666666668</v>
      </c>
      <c r="J1087" s="60">
        <f t="shared" ca="1" si="46"/>
        <v>10.063975000000001</v>
      </c>
      <c r="K1087" s="60">
        <f t="shared" ca="1" si="46"/>
        <v>10.064958333333331</v>
      </c>
    </row>
    <row r="1088" spans="1:11" ht="15">
      <c r="A1088" s="3">
        <v>2066</v>
      </c>
      <c r="B1088" s="60">
        <f t="shared" ca="1" si="46"/>
        <v>8.7957416666666663</v>
      </c>
      <c r="C1088" s="60">
        <f t="shared" ca="1" si="46"/>
        <v>8.7957416666666663</v>
      </c>
      <c r="D1088" s="60">
        <f t="shared" ca="1" si="46"/>
        <v>8.8196000000000012</v>
      </c>
      <c r="E1088" s="60">
        <f t="shared" ca="1" si="46"/>
        <v>10.318325</v>
      </c>
      <c r="F1088" s="60">
        <f t="shared" ca="1" si="46"/>
        <v>10.318325</v>
      </c>
      <c r="G1088" s="60">
        <f t="shared" ca="1" si="46"/>
        <v>10.319308333333334</v>
      </c>
      <c r="H1088" s="60">
        <f t="shared" ca="1" si="46"/>
        <v>14.628458333333333</v>
      </c>
      <c r="I1088" s="60">
        <f t="shared" ca="1" si="46"/>
        <v>14.629449999999997</v>
      </c>
      <c r="J1088" s="60">
        <f t="shared" ca="1" si="46"/>
        <v>10.318325</v>
      </c>
      <c r="K1088" s="60">
        <f t="shared" ca="1" si="46"/>
        <v>10.319308333333334</v>
      </c>
    </row>
    <row r="1089" spans="1:11" ht="15">
      <c r="A1089" s="3">
        <v>2067</v>
      </c>
      <c r="B1089" s="60">
        <f t="shared" ca="1" si="46"/>
        <v>8.9939499999999999</v>
      </c>
      <c r="C1089" s="60">
        <f t="shared" ca="1" si="46"/>
        <v>8.9939499999999999</v>
      </c>
      <c r="D1089" s="60">
        <f t="shared" ca="1" si="46"/>
        <v>9.0177999999999994</v>
      </c>
      <c r="E1089" s="60">
        <f t="shared" ca="1" si="46"/>
        <v>10.572658333333333</v>
      </c>
      <c r="F1089" s="60">
        <f t="shared" ca="1" si="46"/>
        <v>10.572658333333333</v>
      </c>
      <c r="G1089" s="60">
        <f t="shared" ca="1" si="46"/>
        <v>10.573633333333335</v>
      </c>
      <c r="H1089" s="60">
        <f t="shared" ca="1" si="46"/>
        <v>14.956875000000004</v>
      </c>
      <c r="I1089" s="60">
        <f t="shared" ca="1" si="46"/>
        <v>14.957825</v>
      </c>
      <c r="J1089" s="60">
        <f t="shared" ca="1" si="46"/>
        <v>10.572658333333333</v>
      </c>
      <c r="K1089" s="60">
        <f t="shared" ca="1" si="46"/>
        <v>10.573633333333335</v>
      </c>
    </row>
    <row r="1090" spans="1:11" ht="15">
      <c r="A1090" s="3">
        <v>2068</v>
      </c>
      <c r="B1090" s="60">
        <f t="shared" ca="1" si="46"/>
        <v>9.1921583333333334</v>
      </c>
      <c r="C1090" s="60">
        <f t="shared" ca="1" si="46"/>
        <v>9.1921583333333334</v>
      </c>
      <c r="D1090" s="60">
        <f t="shared" ca="1" si="46"/>
        <v>9.2160000000000011</v>
      </c>
      <c r="E1090" s="60">
        <f t="shared" ca="1" si="46"/>
        <v>10.827016666666665</v>
      </c>
      <c r="F1090" s="60">
        <f t="shared" ca="1" si="46"/>
        <v>10.827016666666665</v>
      </c>
      <c r="G1090" s="60">
        <f t="shared" ca="1" si="46"/>
        <v>10.827991666666668</v>
      </c>
      <c r="H1090" s="60">
        <f t="shared" ca="1" si="46"/>
        <v>15.285266666666667</v>
      </c>
      <c r="I1090" s="60">
        <f t="shared" ca="1" si="46"/>
        <v>15.286250000000003</v>
      </c>
      <c r="J1090" s="60">
        <f t="shared" ca="1" si="46"/>
        <v>10.827016666666665</v>
      </c>
      <c r="K1090" s="60">
        <f t="shared" ca="1" si="46"/>
        <v>10.827991666666668</v>
      </c>
    </row>
    <row r="1091" spans="1:11" ht="15">
      <c r="A1091" s="3">
        <v>2069</v>
      </c>
      <c r="B1091" s="60">
        <f t="shared" ca="1" si="46"/>
        <v>9.3903750000000006</v>
      </c>
      <c r="C1091" s="60">
        <f t="shared" ca="1" si="46"/>
        <v>9.3903750000000006</v>
      </c>
      <c r="D1091" s="60">
        <f t="shared" ca="1" si="46"/>
        <v>9.4141916666666674</v>
      </c>
      <c r="E1091" s="60">
        <f t="shared" ca="1" si="46"/>
        <v>11.081358333333334</v>
      </c>
      <c r="F1091" s="60">
        <f t="shared" ca="1" si="46"/>
        <v>11.081358333333334</v>
      </c>
      <c r="G1091" s="60">
        <f t="shared" ca="1" si="46"/>
        <v>11.082333333333331</v>
      </c>
      <c r="H1091" s="60">
        <f t="shared" ca="1" si="46"/>
        <v>15.613674999999999</v>
      </c>
      <c r="I1091" s="60">
        <f t="shared" ca="1" si="46"/>
        <v>15.614650000000003</v>
      </c>
      <c r="J1091" s="60">
        <f t="shared" ca="1" si="46"/>
        <v>11.081358333333334</v>
      </c>
      <c r="K1091" s="60">
        <f t="shared" ca="1" si="46"/>
        <v>11.082333333333331</v>
      </c>
    </row>
    <row r="1092" spans="1:11" ht="15">
      <c r="A1092" s="3">
        <v>2070</v>
      </c>
      <c r="B1092" s="60">
        <f t="shared" ca="1" si="46"/>
        <v>9.5885749999999987</v>
      </c>
      <c r="C1092" s="60">
        <f t="shared" ca="1" si="46"/>
        <v>9.5885749999999987</v>
      </c>
      <c r="D1092" s="60">
        <f t="shared" ca="1" si="46"/>
        <v>9.6124166666666664</v>
      </c>
      <c r="E1092" s="60">
        <f t="shared" ca="1" si="46"/>
        <v>11.335708333333335</v>
      </c>
      <c r="F1092" s="60">
        <f t="shared" ca="1" si="46"/>
        <v>11.335708333333335</v>
      </c>
      <c r="G1092" s="60">
        <f t="shared" ca="1" si="46"/>
        <v>11.336683333333333</v>
      </c>
      <c r="H1092" s="60">
        <f t="shared" ca="1" si="46"/>
        <v>15.942091666666668</v>
      </c>
      <c r="I1092" s="60">
        <f t="shared" ca="1" si="46"/>
        <v>15.943075000000002</v>
      </c>
      <c r="J1092" s="60">
        <f t="shared" ca="1" si="46"/>
        <v>11.335708333333335</v>
      </c>
      <c r="K1092" s="60">
        <f t="shared" ca="1" si="46"/>
        <v>11.336683333333333</v>
      </c>
    </row>
    <row r="1093" spans="1:11" ht="15">
      <c r="A1093" s="3">
        <v>2071</v>
      </c>
      <c r="B1093" s="60">
        <f t="shared" ca="1" si="46"/>
        <v>9.7867666666666668</v>
      </c>
      <c r="C1093" s="60">
        <f t="shared" ca="1" si="46"/>
        <v>9.7867666666666668</v>
      </c>
      <c r="D1093" s="60">
        <f t="shared" ca="1" si="46"/>
        <v>9.8106083333333363</v>
      </c>
      <c r="E1093" s="60">
        <f t="shared" ca="1" si="46"/>
        <v>11.590058333333332</v>
      </c>
      <c r="F1093" s="60">
        <f t="shared" ca="1" si="46"/>
        <v>11.590058333333332</v>
      </c>
      <c r="G1093" s="60">
        <f t="shared" ca="1" si="46"/>
        <v>11.591025</v>
      </c>
      <c r="H1093" s="60">
        <f t="shared" ca="1" si="46"/>
        <v>16.270491666666668</v>
      </c>
      <c r="I1093" s="60">
        <f t="shared" ca="1" si="46"/>
        <v>16.271466666666665</v>
      </c>
      <c r="J1093" s="60">
        <f t="shared" ca="1" si="46"/>
        <v>11.590058333333332</v>
      </c>
      <c r="K1093" s="60">
        <f t="shared" ca="1" si="46"/>
        <v>11.591025</v>
      </c>
    </row>
    <row r="1094" spans="1:11" ht="15">
      <c r="A1094" s="3">
        <v>2072</v>
      </c>
      <c r="B1094" s="60">
        <f t="shared" ref="B1094:K1103" ca="1" si="47">AVERAGE(OFFSET(B$569,($A1094-$A$1084)*12,0,12,1))</f>
        <v>9.9849666666666685</v>
      </c>
      <c r="C1094" s="60">
        <f t="shared" ca="1" si="47"/>
        <v>9.9849666666666685</v>
      </c>
      <c r="D1094" s="60">
        <f t="shared" ca="1" si="47"/>
        <v>10.008808333333334</v>
      </c>
      <c r="E1094" s="60">
        <f t="shared" ca="1" si="47"/>
        <v>11.844408333333334</v>
      </c>
      <c r="F1094" s="60">
        <f t="shared" ca="1" si="47"/>
        <v>11.844408333333334</v>
      </c>
      <c r="G1094" s="60">
        <f t="shared" ca="1" si="47"/>
        <v>11.845391666666666</v>
      </c>
      <c r="H1094" s="60">
        <f t="shared" ca="1" si="47"/>
        <v>16.598916666666668</v>
      </c>
      <c r="I1094" s="60">
        <f t="shared" ca="1" si="47"/>
        <v>16.599858333333334</v>
      </c>
      <c r="J1094" s="60">
        <f t="shared" ca="1" si="47"/>
        <v>11.844408333333334</v>
      </c>
      <c r="K1094" s="60">
        <f t="shared" ca="1" si="47"/>
        <v>11.845391666666666</v>
      </c>
    </row>
    <row r="1095" spans="1:11" ht="15">
      <c r="A1095" s="3">
        <v>2073</v>
      </c>
      <c r="B1095" s="60">
        <f t="shared" ca="1" si="47"/>
        <v>10.183174999999999</v>
      </c>
      <c r="C1095" s="60">
        <f t="shared" ca="1" si="47"/>
        <v>10.183174999999999</v>
      </c>
      <c r="D1095" s="60">
        <f t="shared" ca="1" si="47"/>
        <v>10.207033333333333</v>
      </c>
      <c r="E1095" s="60">
        <f t="shared" ca="1" si="47"/>
        <v>12.098766666666668</v>
      </c>
      <c r="F1095" s="60">
        <f t="shared" ca="1" si="47"/>
        <v>12.098766666666668</v>
      </c>
      <c r="G1095" s="60">
        <f t="shared" ca="1" si="47"/>
        <v>12.099725000000001</v>
      </c>
      <c r="H1095" s="60">
        <f t="shared" ca="1" si="47"/>
        <v>16.927299999999999</v>
      </c>
      <c r="I1095" s="60">
        <f t="shared" ca="1" si="47"/>
        <v>16.92829166666667</v>
      </c>
      <c r="J1095" s="60">
        <f t="shared" ca="1" si="47"/>
        <v>12.098766666666668</v>
      </c>
      <c r="K1095" s="60">
        <f t="shared" ca="1" si="47"/>
        <v>12.099725000000001</v>
      </c>
    </row>
    <row r="1096" spans="1:11" ht="15">
      <c r="A1096" s="3">
        <v>2074</v>
      </c>
      <c r="B1096" s="60">
        <f t="shared" ca="1" si="47"/>
        <v>10.381366666666667</v>
      </c>
      <c r="C1096" s="60">
        <f t="shared" ca="1" si="47"/>
        <v>10.381366666666667</v>
      </c>
      <c r="D1096" s="60">
        <f t="shared" ca="1" si="47"/>
        <v>10.405225</v>
      </c>
      <c r="E1096" s="60">
        <f t="shared" ca="1" si="47"/>
        <v>12.353099999999998</v>
      </c>
      <c r="F1096" s="60">
        <f t="shared" ca="1" si="47"/>
        <v>12.353099999999998</v>
      </c>
      <c r="G1096" s="60">
        <f t="shared" ca="1" si="47"/>
        <v>12.354075</v>
      </c>
      <c r="H1096" s="60">
        <f t="shared" ca="1" si="47"/>
        <v>17.255700000000001</v>
      </c>
      <c r="I1096" s="60">
        <f t="shared" ca="1" si="47"/>
        <v>17.256691666666665</v>
      </c>
      <c r="J1096" s="60">
        <f t="shared" ca="1" si="47"/>
        <v>12.353099999999998</v>
      </c>
      <c r="K1096" s="60">
        <f t="shared" ca="1" si="47"/>
        <v>12.354075</v>
      </c>
    </row>
    <row r="1097" spans="1:11" ht="15">
      <c r="A1097" s="3">
        <v>2075</v>
      </c>
      <c r="B1097" s="60">
        <f t="shared" ca="1" si="47"/>
        <v>10.579575</v>
      </c>
      <c r="C1097" s="60">
        <f t="shared" ca="1" si="47"/>
        <v>10.579575</v>
      </c>
      <c r="D1097" s="60">
        <f t="shared" ca="1" si="47"/>
        <v>10.603416666666666</v>
      </c>
      <c r="E1097" s="60">
        <f t="shared" ca="1" si="47"/>
        <v>12.60745</v>
      </c>
      <c r="F1097" s="60">
        <f t="shared" ca="1" si="47"/>
        <v>12.60745</v>
      </c>
      <c r="G1097" s="60">
        <f t="shared" ca="1" si="47"/>
        <v>12.60843333333333</v>
      </c>
      <c r="H1097" s="60">
        <f t="shared" ca="1" si="47"/>
        <v>17.584125</v>
      </c>
      <c r="I1097" s="60">
        <f t="shared" ca="1" si="47"/>
        <v>17.585100000000001</v>
      </c>
      <c r="J1097" s="60">
        <f t="shared" ca="1" si="47"/>
        <v>12.60745</v>
      </c>
      <c r="K1097" s="60">
        <f t="shared" ca="1" si="47"/>
        <v>12.60843333333333</v>
      </c>
    </row>
    <row r="1098" spans="1:11" ht="15">
      <c r="A1098" s="3">
        <v>2076</v>
      </c>
      <c r="B1098" s="60">
        <f t="shared" ca="1" si="47"/>
        <v>10.777783333333332</v>
      </c>
      <c r="C1098" s="60">
        <f t="shared" ca="1" si="47"/>
        <v>10.777783333333332</v>
      </c>
      <c r="D1098" s="60">
        <f t="shared" ca="1" si="47"/>
        <v>10.801625000000001</v>
      </c>
      <c r="E1098" s="60">
        <f t="shared" ca="1" si="47"/>
        <v>12.861800000000001</v>
      </c>
      <c r="F1098" s="60">
        <f t="shared" ca="1" si="47"/>
        <v>12.861800000000001</v>
      </c>
      <c r="G1098" s="60">
        <f t="shared" ca="1" si="47"/>
        <v>12.862766666666667</v>
      </c>
      <c r="H1098" s="60">
        <f t="shared" ca="1" si="47"/>
        <v>17.912525000000002</v>
      </c>
      <c r="I1098" s="60">
        <f t="shared" ca="1" si="47"/>
        <v>17.913508333333333</v>
      </c>
      <c r="J1098" s="60">
        <f t="shared" ca="1" si="47"/>
        <v>12.861800000000001</v>
      </c>
      <c r="K1098" s="60">
        <f t="shared" ca="1" si="47"/>
        <v>12.862766666666667</v>
      </c>
    </row>
    <row r="1099" spans="1:11" ht="15">
      <c r="A1099" s="3">
        <v>2077</v>
      </c>
      <c r="B1099" s="60">
        <f t="shared" ca="1" si="47"/>
        <v>10.975991666666667</v>
      </c>
      <c r="C1099" s="60">
        <f t="shared" ca="1" si="47"/>
        <v>10.975991666666667</v>
      </c>
      <c r="D1099" s="60">
        <f t="shared" ca="1" si="47"/>
        <v>10.999833333333333</v>
      </c>
      <c r="E1099" s="60">
        <f t="shared" ca="1" si="47"/>
        <v>13.116141666666664</v>
      </c>
      <c r="F1099" s="60">
        <f t="shared" ca="1" si="47"/>
        <v>13.116141666666664</v>
      </c>
      <c r="G1099" s="60">
        <f t="shared" ca="1" si="47"/>
        <v>13.117099999999999</v>
      </c>
      <c r="H1099" s="60">
        <f t="shared" ca="1" si="47"/>
        <v>18.240941666666668</v>
      </c>
      <c r="I1099" s="60">
        <f t="shared" ca="1" si="47"/>
        <v>18.241908333333335</v>
      </c>
      <c r="J1099" s="60">
        <f t="shared" ca="1" si="47"/>
        <v>13.116141666666664</v>
      </c>
      <c r="K1099" s="60">
        <f t="shared" ca="1" si="47"/>
        <v>13.117099999999999</v>
      </c>
    </row>
    <row r="1100" spans="1:11" ht="15">
      <c r="A1100" s="3">
        <v>2078</v>
      </c>
      <c r="B1100" s="60">
        <f t="shared" ca="1" si="47"/>
        <v>11.174191666666667</v>
      </c>
      <c r="C1100" s="60">
        <f t="shared" ca="1" si="47"/>
        <v>11.174191666666667</v>
      </c>
      <c r="D1100" s="60">
        <f t="shared" ca="1" si="47"/>
        <v>11.198041666666667</v>
      </c>
      <c r="E1100" s="60">
        <f t="shared" ca="1" si="47"/>
        <v>13.370483333333333</v>
      </c>
      <c r="F1100" s="60">
        <f t="shared" ca="1" si="47"/>
        <v>13.370483333333333</v>
      </c>
      <c r="G1100" s="60">
        <f t="shared" ca="1" si="47"/>
        <v>13.371466666666668</v>
      </c>
      <c r="H1100" s="60">
        <f t="shared" ca="1" si="47"/>
        <v>18.569341666666663</v>
      </c>
      <c r="I1100" s="60">
        <f t="shared" ca="1" si="47"/>
        <v>18.570325</v>
      </c>
      <c r="J1100" s="60">
        <f t="shared" ca="1" si="47"/>
        <v>13.370483333333333</v>
      </c>
      <c r="K1100" s="60">
        <f t="shared" ca="1" si="47"/>
        <v>13.371466666666668</v>
      </c>
    </row>
    <row r="1101" spans="1:11" ht="15">
      <c r="A1101" s="3">
        <v>2079</v>
      </c>
      <c r="B1101" s="60">
        <f t="shared" ca="1" si="47"/>
        <v>11.372391666666667</v>
      </c>
      <c r="C1101" s="60">
        <f t="shared" ca="1" si="47"/>
        <v>11.372391666666667</v>
      </c>
      <c r="D1101" s="60">
        <f t="shared" ca="1" si="47"/>
        <v>11.396233333333333</v>
      </c>
      <c r="E1101" s="60">
        <f t="shared" ca="1" si="47"/>
        <v>13.624833333333333</v>
      </c>
      <c r="F1101" s="60">
        <f t="shared" ca="1" si="47"/>
        <v>13.624833333333333</v>
      </c>
      <c r="G1101" s="60">
        <f t="shared" ca="1" si="47"/>
        <v>13.625799999999998</v>
      </c>
      <c r="H1101" s="60">
        <f t="shared" ca="1" si="47"/>
        <v>18.897741666666668</v>
      </c>
      <c r="I1101" s="60">
        <f t="shared" ca="1" si="47"/>
        <v>18.898724999999999</v>
      </c>
      <c r="J1101" s="60">
        <f t="shared" ca="1" si="47"/>
        <v>13.624833333333333</v>
      </c>
      <c r="K1101" s="60">
        <f t="shared" ca="1" si="47"/>
        <v>13.625799999999998</v>
      </c>
    </row>
    <row r="1102" spans="1:11" ht="15">
      <c r="A1102" s="3">
        <v>2080</v>
      </c>
      <c r="B1102" s="60">
        <f t="shared" ca="1" si="47"/>
        <v>11.570599999999999</v>
      </c>
      <c r="C1102" s="60">
        <f t="shared" ca="1" si="47"/>
        <v>11.570599999999999</v>
      </c>
      <c r="D1102" s="60">
        <f t="shared" ca="1" si="47"/>
        <v>11.594458333333334</v>
      </c>
      <c r="E1102" s="60">
        <f t="shared" ca="1" si="47"/>
        <v>13.879166666666665</v>
      </c>
      <c r="F1102" s="60">
        <f t="shared" ca="1" si="47"/>
        <v>13.879166666666665</v>
      </c>
      <c r="G1102" s="60">
        <f t="shared" ca="1" si="47"/>
        <v>13.880158333333332</v>
      </c>
      <c r="H1102" s="60">
        <f t="shared" ca="1" si="47"/>
        <v>19.226166666666664</v>
      </c>
      <c r="I1102" s="60">
        <f t="shared" ca="1" si="47"/>
        <v>19.227133333333338</v>
      </c>
      <c r="J1102" s="60">
        <f t="shared" ca="1" si="47"/>
        <v>13.879166666666665</v>
      </c>
      <c r="K1102" s="60">
        <f t="shared" ca="1" si="47"/>
        <v>13.880158333333332</v>
      </c>
    </row>
    <row r="1103" spans="1:11" ht="15">
      <c r="A1103" s="3">
        <v>2081</v>
      </c>
      <c r="B1103" s="60">
        <f t="shared" ca="1" si="47"/>
        <v>11.768791666666665</v>
      </c>
      <c r="C1103" s="60">
        <f t="shared" ca="1" si="47"/>
        <v>11.768791666666665</v>
      </c>
      <c r="D1103" s="60">
        <f t="shared" ca="1" si="47"/>
        <v>11.792658333333335</v>
      </c>
      <c r="E1103" s="60">
        <f t="shared" ca="1" si="47"/>
        <v>14.133525000000001</v>
      </c>
      <c r="F1103" s="60">
        <f t="shared" ca="1" si="47"/>
        <v>14.133525000000001</v>
      </c>
      <c r="G1103" s="60">
        <f t="shared" ca="1" si="47"/>
        <v>14.134500000000001</v>
      </c>
      <c r="H1103" s="60">
        <f t="shared" ca="1" si="47"/>
        <v>19.554558333333336</v>
      </c>
      <c r="I1103" s="60">
        <f t="shared" ca="1" si="47"/>
        <v>19.555541666666667</v>
      </c>
      <c r="J1103" s="60">
        <f t="shared" ca="1" si="47"/>
        <v>14.133525000000001</v>
      </c>
      <c r="K1103" s="60">
        <f t="shared" ca="1" si="47"/>
        <v>14.134500000000001</v>
      </c>
    </row>
    <row r="1104" spans="1:11" ht="15">
      <c r="A1104" s="3">
        <v>2082</v>
      </c>
      <c r="B1104" s="60">
        <f t="shared" ref="B1104:K1113" ca="1" si="48">AVERAGE(OFFSET(B$569,($A1104-$A$1084)*12,0,12,1))</f>
        <v>11.967008333333334</v>
      </c>
      <c r="C1104" s="60">
        <f t="shared" ca="1" si="48"/>
        <v>11.967008333333334</v>
      </c>
      <c r="D1104" s="60">
        <f t="shared" ca="1" si="48"/>
        <v>11.99085</v>
      </c>
      <c r="E1104" s="60">
        <f t="shared" ca="1" si="48"/>
        <v>14.387866666666666</v>
      </c>
      <c r="F1104" s="60">
        <f t="shared" ca="1" si="48"/>
        <v>14.387866666666666</v>
      </c>
      <c r="G1104" s="60">
        <f t="shared" ca="1" si="48"/>
        <v>14.38885</v>
      </c>
      <c r="H1104" s="60">
        <f t="shared" ca="1" si="48"/>
        <v>19.882974999999998</v>
      </c>
      <c r="I1104" s="60">
        <f t="shared" ca="1" si="48"/>
        <v>19.883941666666669</v>
      </c>
      <c r="J1104" s="60">
        <f t="shared" ca="1" si="48"/>
        <v>14.387866666666666</v>
      </c>
      <c r="K1104" s="60">
        <f t="shared" ca="1" si="48"/>
        <v>14.38885</v>
      </c>
    </row>
    <row r="1105" spans="1:11" ht="15">
      <c r="A1105" s="3">
        <v>2083</v>
      </c>
      <c r="B1105" s="60">
        <f t="shared" ca="1" si="48"/>
        <v>12.165199999999999</v>
      </c>
      <c r="C1105" s="60">
        <f t="shared" ca="1" si="48"/>
        <v>12.165199999999999</v>
      </c>
      <c r="D1105" s="60">
        <f t="shared" ca="1" si="48"/>
        <v>12.189066666666667</v>
      </c>
      <c r="E1105" s="60">
        <f t="shared" ca="1" si="48"/>
        <v>14.642216666666664</v>
      </c>
      <c r="F1105" s="60">
        <f t="shared" ca="1" si="48"/>
        <v>14.642216666666664</v>
      </c>
      <c r="G1105" s="60">
        <f t="shared" ca="1" si="48"/>
        <v>14.643191666666665</v>
      </c>
      <c r="H1105" s="60">
        <f t="shared" ca="1" si="48"/>
        <v>20.211375</v>
      </c>
      <c r="I1105" s="60">
        <f t="shared" ca="1" si="48"/>
        <v>20.212350000000004</v>
      </c>
      <c r="J1105" s="60">
        <f t="shared" ca="1" si="48"/>
        <v>14.642216666666664</v>
      </c>
      <c r="K1105" s="60">
        <f t="shared" ca="1" si="48"/>
        <v>14.643191666666665</v>
      </c>
    </row>
    <row r="1106" spans="1:11" ht="15">
      <c r="A1106" s="3">
        <v>2084</v>
      </c>
      <c r="B1106" s="60">
        <f t="shared" ca="1" si="48"/>
        <v>12.363408333333332</v>
      </c>
      <c r="C1106" s="60">
        <f t="shared" ca="1" si="48"/>
        <v>12.363408333333332</v>
      </c>
      <c r="D1106" s="60">
        <f t="shared" ca="1" si="48"/>
        <v>12.387266666666667</v>
      </c>
      <c r="E1106" s="60">
        <f t="shared" ca="1" si="48"/>
        <v>14.896574999999999</v>
      </c>
      <c r="F1106" s="60">
        <f t="shared" ca="1" si="48"/>
        <v>14.896574999999999</v>
      </c>
      <c r="G1106" s="60">
        <f t="shared" ca="1" si="48"/>
        <v>14.897541666666667</v>
      </c>
      <c r="H1106" s="60">
        <f t="shared" ca="1" si="48"/>
        <v>20.539783333333336</v>
      </c>
      <c r="I1106" s="60">
        <f t="shared" ca="1" si="48"/>
        <v>20.540766666666666</v>
      </c>
      <c r="J1106" s="60">
        <f t="shared" ca="1" si="48"/>
        <v>14.896574999999999</v>
      </c>
      <c r="K1106" s="60">
        <f t="shared" ca="1" si="48"/>
        <v>14.897541666666667</v>
      </c>
    </row>
    <row r="1107" spans="1:11" ht="15">
      <c r="A1107" s="3">
        <v>2085</v>
      </c>
      <c r="B1107" s="60">
        <f t="shared" ca="1" si="48"/>
        <v>12.561633333333333</v>
      </c>
      <c r="C1107" s="60">
        <f t="shared" ca="1" si="48"/>
        <v>12.561633333333333</v>
      </c>
      <c r="D1107" s="60">
        <f t="shared" ca="1" si="48"/>
        <v>12.585458333333335</v>
      </c>
      <c r="E1107" s="60">
        <f t="shared" ca="1" si="48"/>
        <v>15.150924999999999</v>
      </c>
      <c r="F1107" s="60">
        <f t="shared" ca="1" si="48"/>
        <v>15.150924999999999</v>
      </c>
      <c r="G1107" s="60">
        <f t="shared" ca="1" si="48"/>
        <v>15.151883333333336</v>
      </c>
      <c r="H1107" s="60">
        <f t="shared" ca="1" si="48"/>
        <v>20.868191666666664</v>
      </c>
      <c r="I1107" s="60">
        <f t="shared" ca="1" si="48"/>
        <v>20.869166666666668</v>
      </c>
      <c r="J1107" s="60">
        <f t="shared" ca="1" si="48"/>
        <v>15.150924999999999</v>
      </c>
      <c r="K1107" s="60">
        <f t="shared" ca="1" si="48"/>
        <v>15.151883333333336</v>
      </c>
    </row>
    <row r="1108" spans="1:11" ht="15">
      <c r="A1108" s="3">
        <v>2086</v>
      </c>
      <c r="B1108" s="60">
        <f t="shared" ca="1" si="48"/>
        <v>12.759825000000001</v>
      </c>
      <c r="C1108" s="60">
        <f t="shared" ca="1" si="48"/>
        <v>12.759825000000001</v>
      </c>
      <c r="D1108" s="60">
        <f t="shared" ca="1" si="48"/>
        <v>12.783658333333333</v>
      </c>
      <c r="E1108" s="60">
        <f t="shared" ca="1" si="48"/>
        <v>15.405266666666668</v>
      </c>
      <c r="F1108" s="60">
        <f t="shared" ca="1" si="48"/>
        <v>15.405266666666668</v>
      </c>
      <c r="G1108" s="60">
        <f t="shared" ca="1" si="48"/>
        <v>15.406258333333328</v>
      </c>
      <c r="H1108" s="60">
        <f t="shared" ca="1" si="48"/>
        <v>21.1966</v>
      </c>
      <c r="I1108" s="60">
        <f t="shared" ca="1" si="48"/>
        <v>21.197566666666667</v>
      </c>
      <c r="J1108" s="60">
        <f t="shared" ca="1" si="48"/>
        <v>15.405266666666668</v>
      </c>
      <c r="K1108" s="60">
        <f t="shared" ca="1" si="48"/>
        <v>15.406258333333328</v>
      </c>
    </row>
    <row r="1109" spans="1:11" ht="15">
      <c r="A1109" s="3">
        <v>2087</v>
      </c>
      <c r="B1109" s="60">
        <f t="shared" ca="1" si="48"/>
        <v>12.958016666666666</v>
      </c>
      <c r="C1109" s="60">
        <f t="shared" ca="1" si="48"/>
        <v>12.958016666666666</v>
      </c>
      <c r="D1109" s="60">
        <f t="shared" ca="1" si="48"/>
        <v>12.981866666666663</v>
      </c>
      <c r="E1109" s="60">
        <f t="shared" ca="1" si="48"/>
        <v>15.659599999999998</v>
      </c>
      <c r="F1109" s="60">
        <f t="shared" ca="1" si="48"/>
        <v>15.659599999999998</v>
      </c>
      <c r="G1109" s="60">
        <f t="shared" ca="1" si="48"/>
        <v>15.660591666666669</v>
      </c>
      <c r="H1109" s="60">
        <f t="shared" ca="1" si="48"/>
        <v>21.525000000000002</v>
      </c>
      <c r="I1109" s="60">
        <f t="shared" ca="1" si="48"/>
        <v>21.525975000000003</v>
      </c>
      <c r="J1109" s="60">
        <f t="shared" ca="1" si="48"/>
        <v>15.659599999999998</v>
      </c>
      <c r="K1109" s="60">
        <f t="shared" ca="1" si="48"/>
        <v>15.660591666666669</v>
      </c>
    </row>
    <row r="1110" spans="1:11" ht="15">
      <c r="A1110" s="3">
        <v>2088</v>
      </c>
      <c r="B1110" s="60">
        <f t="shared" ca="1" si="48"/>
        <v>13.156224999999997</v>
      </c>
      <c r="C1110" s="60">
        <f t="shared" ca="1" si="48"/>
        <v>13.156224999999997</v>
      </c>
      <c r="D1110" s="60">
        <f t="shared" ca="1" si="48"/>
        <v>13.180066666666669</v>
      </c>
      <c r="E1110" s="60">
        <f t="shared" ca="1" si="48"/>
        <v>15.913966666666667</v>
      </c>
      <c r="F1110" s="60">
        <f t="shared" ca="1" si="48"/>
        <v>15.913966666666667</v>
      </c>
      <c r="G1110" s="60">
        <f t="shared" ca="1" si="48"/>
        <v>15.914925000000002</v>
      </c>
      <c r="H1110" s="60">
        <f t="shared" ca="1" si="48"/>
        <v>21.853391666666667</v>
      </c>
      <c r="I1110" s="60">
        <f t="shared" ca="1" si="48"/>
        <v>21.854375000000001</v>
      </c>
      <c r="J1110" s="60">
        <f t="shared" ca="1" si="48"/>
        <v>15.913966666666667</v>
      </c>
      <c r="K1110" s="60">
        <f t="shared" ca="1" si="48"/>
        <v>15.914925000000002</v>
      </c>
    </row>
    <row r="1111" spans="1:11" ht="15">
      <c r="A1111" s="3">
        <v>2089</v>
      </c>
      <c r="B1111" s="60">
        <f t="shared" ca="1" si="48"/>
        <v>13.354433333333334</v>
      </c>
      <c r="C1111" s="60">
        <f t="shared" ca="1" si="48"/>
        <v>13.354433333333334</v>
      </c>
      <c r="D1111" s="60">
        <f t="shared" ca="1" si="48"/>
        <v>13.378283333333334</v>
      </c>
      <c r="E1111" s="60">
        <f t="shared" ca="1" si="48"/>
        <v>16.168316666666669</v>
      </c>
      <c r="F1111" s="60">
        <f t="shared" ca="1" si="48"/>
        <v>16.168316666666669</v>
      </c>
      <c r="G1111" s="60">
        <f t="shared" ca="1" si="48"/>
        <v>16.169283333333333</v>
      </c>
      <c r="H1111" s="60">
        <f t="shared" ca="1" si="48"/>
        <v>22.181825</v>
      </c>
      <c r="I1111" s="60">
        <f t="shared" ca="1" si="48"/>
        <v>22.182791666666663</v>
      </c>
      <c r="J1111" s="60">
        <f t="shared" ca="1" si="48"/>
        <v>16.168316666666669</v>
      </c>
      <c r="K1111" s="60">
        <f t="shared" ca="1" si="48"/>
        <v>16.169283333333333</v>
      </c>
    </row>
    <row r="1112" spans="1:11" ht="15">
      <c r="A1112" s="3">
        <v>2090</v>
      </c>
      <c r="B1112" s="60">
        <f t="shared" ca="1" si="48"/>
        <v>13.552641666666666</v>
      </c>
      <c r="C1112" s="60">
        <f t="shared" ca="1" si="48"/>
        <v>13.552641666666666</v>
      </c>
      <c r="D1112" s="60">
        <f t="shared" ca="1" si="48"/>
        <v>13.576474999999997</v>
      </c>
      <c r="E1112" s="60">
        <f t="shared" ca="1" si="48"/>
        <v>16.422641666666667</v>
      </c>
      <c r="F1112" s="60">
        <f t="shared" ca="1" si="48"/>
        <v>16.422641666666667</v>
      </c>
      <c r="G1112" s="60">
        <f t="shared" ca="1" si="48"/>
        <v>16.423625000000005</v>
      </c>
      <c r="H1112" s="60">
        <f t="shared" ca="1" si="48"/>
        <v>22.510224999999991</v>
      </c>
      <c r="I1112" s="60">
        <f t="shared" ca="1" si="48"/>
        <v>22.511208333333332</v>
      </c>
      <c r="J1112" s="60">
        <f t="shared" ca="1" si="48"/>
        <v>16.422641666666667</v>
      </c>
      <c r="K1112" s="60">
        <f t="shared" ca="1" si="48"/>
        <v>16.423625000000005</v>
      </c>
    </row>
    <row r="1113" spans="1:11" ht="15">
      <c r="A1113" s="3">
        <v>2091</v>
      </c>
      <c r="B1113" s="60">
        <f t="shared" ca="1" si="48"/>
        <v>13.750824999999999</v>
      </c>
      <c r="C1113" s="60">
        <f t="shared" ca="1" si="48"/>
        <v>13.750824999999999</v>
      </c>
      <c r="D1113" s="60">
        <f t="shared" ca="1" si="48"/>
        <v>13.774691666666667</v>
      </c>
      <c r="E1113" s="60">
        <f t="shared" ca="1" si="48"/>
        <v>16.677</v>
      </c>
      <c r="F1113" s="60">
        <f t="shared" ca="1" si="48"/>
        <v>16.677</v>
      </c>
      <c r="G1113" s="60">
        <f t="shared" ca="1" si="48"/>
        <v>16.677966666666666</v>
      </c>
      <c r="H1113" s="60">
        <f t="shared" ca="1" si="48"/>
        <v>22.83863333333333</v>
      </c>
      <c r="I1113" s="60">
        <f t="shared" ca="1" si="48"/>
        <v>22.839600000000001</v>
      </c>
      <c r="J1113" s="60">
        <f t="shared" ca="1" si="48"/>
        <v>16.677</v>
      </c>
      <c r="K1113" s="60">
        <f t="shared" ca="1" si="48"/>
        <v>16.677966666666666</v>
      </c>
    </row>
    <row r="1114" spans="1:11" ht="15">
      <c r="A1114" s="3">
        <v>2092</v>
      </c>
      <c r="B1114" s="60">
        <f t="shared" ref="B1114:K1122" ca="1" si="49">AVERAGE(OFFSET(B$569,($A1114-$A$1084)*12,0,12,1))</f>
        <v>13.949050000000002</v>
      </c>
      <c r="C1114" s="60">
        <f t="shared" ca="1" si="49"/>
        <v>13.949050000000002</v>
      </c>
      <c r="D1114" s="60">
        <f t="shared" ca="1" si="49"/>
        <v>13.972883333333334</v>
      </c>
      <c r="E1114" s="60">
        <f t="shared" ca="1" si="49"/>
        <v>16.931341666666665</v>
      </c>
      <c r="F1114" s="60">
        <f t="shared" ca="1" si="49"/>
        <v>16.931341666666665</v>
      </c>
      <c r="G1114" s="60">
        <f t="shared" ca="1" si="49"/>
        <v>16.932316666666662</v>
      </c>
      <c r="H1114" s="60">
        <f t="shared" ca="1" si="49"/>
        <v>23.167033333333332</v>
      </c>
      <c r="I1114" s="60">
        <f t="shared" ca="1" si="49"/>
        <v>23.16801666666667</v>
      </c>
      <c r="J1114" s="60">
        <f t="shared" ca="1" si="49"/>
        <v>16.931341666666665</v>
      </c>
      <c r="K1114" s="60">
        <f t="shared" ca="1" si="49"/>
        <v>16.932316666666662</v>
      </c>
    </row>
    <row r="1115" spans="1:11" ht="15">
      <c r="A1115" s="3">
        <v>2093</v>
      </c>
      <c r="B1115" s="60">
        <f t="shared" ca="1" si="49"/>
        <v>14.147258333333333</v>
      </c>
      <c r="C1115" s="60">
        <f t="shared" ca="1" si="49"/>
        <v>14.147258333333333</v>
      </c>
      <c r="D1115" s="60">
        <f t="shared" ca="1" si="49"/>
        <v>14.171091666666664</v>
      </c>
      <c r="E1115" s="60">
        <f t="shared" ca="1" si="49"/>
        <v>17.185691666666667</v>
      </c>
      <c r="F1115" s="60">
        <f t="shared" ca="1" si="49"/>
        <v>17.185691666666667</v>
      </c>
      <c r="G1115" s="60">
        <f t="shared" ca="1" si="49"/>
        <v>17.186658333333334</v>
      </c>
      <c r="H1115" s="60">
        <f t="shared" ca="1" si="49"/>
        <v>23.495433333333335</v>
      </c>
      <c r="I1115" s="60">
        <f t="shared" ca="1" si="49"/>
        <v>23.496424999999999</v>
      </c>
      <c r="J1115" s="60">
        <f t="shared" ca="1" si="49"/>
        <v>17.185691666666667</v>
      </c>
      <c r="K1115" s="60">
        <f t="shared" ca="1" si="49"/>
        <v>17.186658333333334</v>
      </c>
    </row>
    <row r="1116" spans="1:11" ht="15">
      <c r="A1116" s="3">
        <v>2094</v>
      </c>
      <c r="B1116" s="60">
        <f t="shared" ca="1" si="49"/>
        <v>14.345441666666664</v>
      </c>
      <c r="C1116" s="60">
        <f t="shared" ca="1" si="49"/>
        <v>14.345441666666664</v>
      </c>
      <c r="D1116" s="60">
        <f t="shared" ca="1" si="49"/>
        <v>14.369300000000003</v>
      </c>
      <c r="E1116" s="60">
        <f t="shared" ca="1" si="49"/>
        <v>17.440033333333336</v>
      </c>
      <c r="F1116" s="60">
        <f t="shared" ca="1" si="49"/>
        <v>17.440033333333336</v>
      </c>
      <c r="G1116" s="60">
        <f t="shared" ca="1" si="49"/>
        <v>17.441016666666666</v>
      </c>
      <c r="H1116" s="60">
        <f t="shared" ca="1" si="49"/>
        <v>23.823850000000004</v>
      </c>
      <c r="I1116" s="60">
        <f t="shared" ca="1" si="49"/>
        <v>23.824825000000001</v>
      </c>
      <c r="J1116" s="60">
        <f t="shared" ca="1" si="49"/>
        <v>17.440033333333336</v>
      </c>
      <c r="K1116" s="60">
        <f t="shared" ca="1" si="49"/>
        <v>17.441016666666666</v>
      </c>
    </row>
    <row r="1117" spans="1:11" ht="15">
      <c r="A1117" s="3">
        <v>2095</v>
      </c>
      <c r="B1117" s="60">
        <f t="shared" ca="1" si="49"/>
        <v>14.543658333333335</v>
      </c>
      <c r="C1117" s="60">
        <f t="shared" ca="1" si="49"/>
        <v>14.543658333333335</v>
      </c>
      <c r="D1117" s="60">
        <f t="shared" ca="1" si="49"/>
        <v>14.567491666666667</v>
      </c>
      <c r="E1117" s="60">
        <f t="shared" ca="1" si="49"/>
        <v>17.694366666666667</v>
      </c>
      <c r="F1117" s="60">
        <f t="shared" ca="1" si="49"/>
        <v>17.694366666666667</v>
      </c>
      <c r="G1117" s="60">
        <f t="shared" ca="1" si="49"/>
        <v>17.695349999999998</v>
      </c>
      <c r="H1117" s="60">
        <f t="shared" ca="1" si="49"/>
        <v>24.152266666666673</v>
      </c>
      <c r="I1117" s="60">
        <f t="shared" ca="1" si="49"/>
        <v>24.153224999999996</v>
      </c>
      <c r="J1117" s="60">
        <f t="shared" ca="1" si="49"/>
        <v>17.694366666666667</v>
      </c>
      <c r="K1117" s="60">
        <f t="shared" ca="1" si="49"/>
        <v>17.695349999999998</v>
      </c>
    </row>
    <row r="1118" spans="1:11" ht="15">
      <c r="A1118" s="3">
        <v>2096</v>
      </c>
      <c r="B1118" s="60">
        <f t="shared" ca="1" si="49"/>
        <v>14.741866666666667</v>
      </c>
      <c r="C1118" s="60">
        <f t="shared" ca="1" si="49"/>
        <v>14.741866666666667</v>
      </c>
      <c r="D1118" s="60">
        <f t="shared" ca="1" si="49"/>
        <v>14.765708333333334</v>
      </c>
      <c r="E1118" s="60">
        <f t="shared" ca="1" si="49"/>
        <v>17.948741666666663</v>
      </c>
      <c r="F1118" s="60">
        <f t="shared" ca="1" si="49"/>
        <v>17.948741666666663</v>
      </c>
      <c r="G1118" s="60">
        <f t="shared" ca="1" si="49"/>
        <v>17.949716666666667</v>
      </c>
      <c r="H1118" s="60">
        <f t="shared" ca="1" si="49"/>
        <v>24.480666666666668</v>
      </c>
      <c r="I1118" s="60">
        <f t="shared" ca="1" si="49"/>
        <v>24.481633333333335</v>
      </c>
      <c r="J1118" s="60">
        <f t="shared" ca="1" si="49"/>
        <v>17.948741666666663</v>
      </c>
      <c r="K1118" s="60">
        <f t="shared" ca="1" si="49"/>
        <v>17.949716666666667</v>
      </c>
    </row>
    <row r="1119" spans="1:11" ht="15">
      <c r="A1119" s="3">
        <v>2097</v>
      </c>
      <c r="B1119" s="60">
        <f t="shared" ca="1" si="49"/>
        <v>14.940049999999999</v>
      </c>
      <c r="C1119" s="60">
        <f t="shared" ca="1" si="49"/>
        <v>14.940049999999999</v>
      </c>
      <c r="D1119" s="60">
        <f t="shared" ca="1" si="49"/>
        <v>14.963908333333334</v>
      </c>
      <c r="E1119" s="60">
        <f t="shared" ca="1" si="49"/>
        <v>18.203083333333332</v>
      </c>
      <c r="F1119" s="60">
        <f t="shared" ca="1" si="49"/>
        <v>18.203083333333332</v>
      </c>
      <c r="G1119" s="60">
        <f t="shared" ca="1" si="49"/>
        <v>18.204041666666669</v>
      </c>
      <c r="H1119" s="60">
        <f t="shared" ca="1" si="49"/>
        <v>24.809074999999996</v>
      </c>
      <c r="I1119" s="60">
        <f t="shared" ca="1" si="49"/>
        <v>24.81005</v>
      </c>
      <c r="J1119" s="60">
        <f t="shared" ca="1" si="49"/>
        <v>18.203083333333332</v>
      </c>
      <c r="K1119" s="60">
        <f t="shared" ca="1" si="49"/>
        <v>18.204041666666669</v>
      </c>
    </row>
    <row r="1120" spans="1:11" ht="15">
      <c r="A1120" s="3">
        <v>2098</v>
      </c>
      <c r="B1120" s="60">
        <f t="shared" ca="1" si="49"/>
        <v>15.138258333333333</v>
      </c>
      <c r="C1120" s="60">
        <f t="shared" ca="1" si="49"/>
        <v>15.138258333333333</v>
      </c>
      <c r="D1120" s="60">
        <f t="shared" ca="1" si="49"/>
        <v>15.162108333333331</v>
      </c>
      <c r="E1120" s="60">
        <f t="shared" ca="1" si="49"/>
        <v>18.457425000000004</v>
      </c>
      <c r="F1120" s="60">
        <f t="shared" ca="1" si="49"/>
        <v>18.457425000000004</v>
      </c>
      <c r="G1120" s="60">
        <f t="shared" ca="1" si="49"/>
        <v>18.458400000000001</v>
      </c>
      <c r="H1120" s="60">
        <f t="shared" ca="1" si="49"/>
        <v>25.137474999999995</v>
      </c>
      <c r="I1120" s="60">
        <f t="shared" ca="1" si="49"/>
        <v>25.138458333333332</v>
      </c>
      <c r="J1120" s="60">
        <f t="shared" ca="1" si="49"/>
        <v>18.457425000000004</v>
      </c>
      <c r="K1120" s="60">
        <f t="shared" ca="1" si="49"/>
        <v>18.458400000000001</v>
      </c>
    </row>
    <row r="1121" spans="1:11" ht="15">
      <c r="A1121" s="3">
        <v>2099</v>
      </c>
      <c r="B1121" s="60">
        <f t="shared" ca="1" si="49"/>
        <v>15.336458333333335</v>
      </c>
      <c r="C1121" s="60">
        <f t="shared" ca="1" si="49"/>
        <v>15.336458333333335</v>
      </c>
      <c r="D1121" s="60">
        <f t="shared" ca="1" si="49"/>
        <v>15.360324999999998</v>
      </c>
      <c r="E1121" s="60">
        <f t="shared" ca="1" si="49"/>
        <v>18.711774999999996</v>
      </c>
      <c r="F1121" s="60">
        <f t="shared" ca="1" si="49"/>
        <v>18.711774999999996</v>
      </c>
      <c r="G1121" s="60">
        <f t="shared" ca="1" si="49"/>
        <v>18.712750000000003</v>
      </c>
      <c r="H1121" s="60">
        <f t="shared" ca="1" si="49"/>
        <v>25.465883333333334</v>
      </c>
      <c r="I1121" s="60">
        <f t="shared" ca="1" si="49"/>
        <v>25.466858333333334</v>
      </c>
      <c r="J1121" s="60">
        <f t="shared" ca="1" si="49"/>
        <v>18.711774999999996</v>
      </c>
      <c r="K1121" s="60">
        <f t="shared" ca="1" si="49"/>
        <v>18.712750000000003</v>
      </c>
    </row>
    <row r="1122" spans="1:11" ht="15">
      <c r="A1122" s="3">
        <v>2100</v>
      </c>
      <c r="B1122" s="60">
        <f t="shared" ca="1" si="49"/>
        <v>15.534666666666666</v>
      </c>
      <c r="C1122" s="60">
        <f t="shared" ca="1" si="49"/>
        <v>15.534666666666666</v>
      </c>
      <c r="D1122" s="60">
        <f t="shared" ca="1" si="49"/>
        <v>15.558516666666668</v>
      </c>
      <c r="E1122" s="60">
        <f t="shared" ca="1" si="49"/>
        <v>18.966125000000002</v>
      </c>
      <c r="F1122" s="60">
        <f t="shared" ca="1" si="49"/>
        <v>18.966125000000002</v>
      </c>
      <c r="G1122" s="60">
        <f t="shared" ca="1" si="49"/>
        <v>18.967091666666665</v>
      </c>
      <c r="H1122" s="60">
        <f t="shared" ca="1" si="49"/>
        <v>25.794299999999996</v>
      </c>
      <c r="I1122" s="60">
        <f t="shared" ca="1" si="49"/>
        <v>25.795266666666663</v>
      </c>
      <c r="J1122" s="60">
        <f t="shared" ca="1" si="49"/>
        <v>18.966125000000002</v>
      </c>
      <c r="K1122" s="60">
        <f t="shared" ca="1" si="49"/>
        <v>18.967091666666665</v>
      </c>
    </row>
  </sheetData>
  <mergeCells count="7">
    <mergeCell ref="B14:D14"/>
    <mergeCell ref="L14:M14"/>
    <mergeCell ref="N14:O14"/>
    <mergeCell ref="L13:O13"/>
    <mergeCell ref="E14:G14"/>
    <mergeCell ref="J14:K14"/>
    <mergeCell ref="H14:I14"/>
  </mergeCells>
  <pageMargins left="0.25" right="0.25" top="0.5" bottom="0.5" header="0.25" footer="0.25"/>
  <pageSetup paperSize="119" scale="85" orientation="landscape" r:id="rId1"/>
  <headerFooter alignWithMargins="0">
    <oddFooter>&amp;R&amp;A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locked="0" defaultSize="0" autoLine="0" autoPict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381000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5:E34"/>
  <sheetViews>
    <sheetView showGridLines="0" workbookViewId="0">
      <selection activeCell="C25" sqref="C25:C26"/>
    </sheetView>
  </sheetViews>
  <sheetFormatPr defaultColWidth="8.88671875" defaultRowHeight="15.75"/>
  <cols>
    <col min="1" max="1" width="8.88671875" style="73"/>
    <col min="2" max="2" width="15.5546875" style="73" bestFit="1" customWidth="1"/>
    <col min="3" max="3" width="9.5546875" style="73" bestFit="1" customWidth="1"/>
    <col min="4" max="16384" width="8.88671875" style="73"/>
  </cols>
  <sheetData>
    <row r="5" spans="2:3">
      <c r="B5" s="78" t="s">
        <v>63</v>
      </c>
      <c r="C5" s="78" t="s">
        <v>54</v>
      </c>
    </row>
    <row r="6" spans="2:3">
      <c r="B6" s="80" t="s">
        <v>61</v>
      </c>
      <c r="C6" s="90">
        <v>2</v>
      </c>
    </row>
    <row r="7" spans="2:3">
      <c r="B7" s="80" t="s">
        <v>60</v>
      </c>
      <c r="C7" s="92"/>
    </row>
    <row r="8" spans="2:3">
      <c r="B8" s="79" t="s">
        <v>59</v>
      </c>
      <c r="C8" s="91"/>
    </row>
    <row r="11" spans="2:3">
      <c r="B11" s="78" t="s">
        <v>55</v>
      </c>
      <c r="C11" s="78" t="s">
        <v>54</v>
      </c>
    </row>
    <row r="12" spans="2:3">
      <c r="B12" s="80" t="s">
        <v>61</v>
      </c>
      <c r="C12" s="90">
        <v>1</v>
      </c>
    </row>
    <row r="13" spans="2:3">
      <c r="B13" s="80" t="s">
        <v>60</v>
      </c>
      <c r="C13" s="92"/>
    </row>
    <row r="14" spans="2:3">
      <c r="B14" s="79" t="s">
        <v>59</v>
      </c>
      <c r="C14" s="91"/>
    </row>
    <row r="18" spans="2:3">
      <c r="B18" s="78" t="s">
        <v>62</v>
      </c>
      <c r="C18" s="78" t="s">
        <v>54</v>
      </c>
    </row>
    <row r="19" spans="2:3">
      <c r="B19" s="80" t="s">
        <v>61</v>
      </c>
      <c r="C19" s="90">
        <v>2</v>
      </c>
    </row>
    <row r="20" spans="2:3">
      <c r="B20" s="80" t="s">
        <v>60</v>
      </c>
      <c r="C20" s="92"/>
    </row>
    <row r="21" spans="2:3">
      <c r="B21" s="79" t="s">
        <v>59</v>
      </c>
      <c r="C21" s="91"/>
    </row>
    <row r="24" spans="2:3">
      <c r="B24" s="78" t="s">
        <v>58</v>
      </c>
      <c r="C24" s="78" t="s">
        <v>54</v>
      </c>
    </row>
    <row r="25" spans="2:3">
      <c r="B25" s="77" t="s">
        <v>57</v>
      </c>
      <c r="C25" s="90">
        <v>1</v>
      </c>
    </row>
    <row r="26" spans="2:3">
      <c r="B26" s="76" t="s">
        <v>56</v>
      </c>
      <c r="C26" s="91"/>
    </row>
    <row r="28" spans="2:3">
      <c r="B28" s="78" t="s">
        <v>55</v>
      </c>
      <c r="C28" s="78" t="s">
        <v>54</v>
      </c>
    </row>
    <row r="29" spans="2:3">
      <c r="B29" s="77" t="s">
        <v>53</v>
      </c>
      <c r="C29" s="90">
        <v>1</v>
      </c>
    </row>
    <row r="30" spans="2:3">
      <c r="B30" s="76" t="s">
        <v>52</v>
      </c>
      <c r="C30" s="91"/>
    </row>
    <row r="34" spans="3:5">
      <c r="C34" s="75"/>
      <c r="E34" s="74"/>
    </row>
  </sheetData>
  <mergeCells count="5">
    <mergeCell ref="C29:C30"/>
    <mergeCell ref="C19:C21"/>
    <mergeCell ref="C25:C26"/>
    <mergeCell ref="C6:C8"/>
    <mergeCell ref="C12:C1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RAP-NATURAL GAS PRICES</vt:lpstr>
      <vt:lpstr>RAP TEMPLATE-GAS AVAILABILITY</vt:lpstr>
      <vt:lpstr>RAP-HEAVY &amp; LIGHT OIL &amp; WTI</vt:lpstr>
      <vt:lpstr>RAP-SOLID FUEL PRICES</vt:lpstr>
      <vt:lpstr>CONTROL</vt:lpstr>
      <vt:lpstr>'RAP TEMPLATE-GAS AVAILABILITY'!Print_Area</vt:lpstr>
      <vt:lpstr>'RAP-HEAVY &amp; LIGHT OIL &amp; WTI'!Print_Area</vt:lpstr>
      <vt:lpstr>'RAP-NATURAL GAS PRICES'!Print_Area</vt:lpstr>
      <vt:lpstr>'RAP-SOLID FUEL PRICES'!Print_Area</vt:lpstr>
      <vt:lpstr>'RAP TEMPLATE-GAS AVAILABILITY'!Print_Titles</vt:lpstr>
      <vt:lpstr>'RAP-HEAVY &amp; LIGHT OIL &amp; WTI'!Print_Titles</vt:lpstr>
      <vt:lpstr>'RAP-NATURAL GAS PRICES'!Print_Titles</vt:lpstr>
      <vt:lpstr>'RAP-SOLID FUEL PRICES'!Print_Titles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2016-07-29T16:27:48Z</dcterms:created>
  <dcterms:modified xsi:type="dcterms:W3CDTF">2016-07-29T16:27:50Z</dcterms:modified>
</cp:coreProperties>
</file>