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6140" windowHeight="12180"/>
  </bookViews>
  <sheets>
    <sheet name="Gulf" sheetId="1" r:id="rId1"/>
    <sheet name="Comparison" sheetId="2" r:id="rId2"/>
  </sheets>
  <definedNames>
    <definedName name="_xlnm.Print_Area" localSheetId="1">Comparison!$A$1:$F$35</definedName>
    <definedName name="_xlnm.Print_Area" localSheetId="0">Gulf!$A$1:$R$114</definedName>
    <definedName name="_xlnm.Print_Titles" localSheetId="0">Gulf!$1:$3</definedName>
  </definedNames>
  <calcPr calcId="145621"/>
</workbook>
</file>

<file path=xl/calcChain.xml><?xml version="1.0" encoding="utf-8"?>
<calcChain xmlns="http://schemas.openxmlformats.org/spreadsheetml/2006/main">
  <c r="O118" i="1" l="1"/>
  <c r="N117" i="1"/>
  <c r="Q116" i="1"/>
  <c r="R116" i="1"/>
  <c r="P116" i="1"/>
  <c r="O116" i="1"/>
  <c r="N116" i="1"/>
  <c r="F34" i="2" l="1"/>
  <c r="F33" i="2"/>
  <c r="F32" i="2"/>
  <c r="F31" i="2"/>
  <c r="F30" i="2"/>
  <c r="F29" i="2"/>
  <c r="F28" i="2"/>
  <c r="E28" i="2"/>
  <c r="F22" i="2"/>
  <c r="F23" i="2"/>
  <c r="Q90" i="1" l="1"/>
  <c r="P90" i="1"/>
  <c r="N90" i="1"/>
  <c r="N55" i="1" l="1"/>
  <c r="R39" i="1" l="1"/>
  <c r="Q39" i="1"/>
  <c r="P39" i="1"/>
  <c r="O24" i="1" l="1"/>
  <c r="S82" i="1" l="1"/>
  <c r="S68" i="1"/>
  <c r="S49" i="1"/>
  <c r="S35" i="1"/>
  <c r="S21" i="1"/>
  <c r="S7" i="1"/>
  <c r="N21" i="1"/>
  <c r="N27" i="1" l="1"/>
  <c r="N24" i="1"/>
  <c r="N39" i="1" l="1"/>
  <c r="B17" i="2" l="1"/>
  <c r="D23" i="2" l="1"/>
  <c r="E23" i="2"/>
  <c r="C23" i="2"/>
  <c r="B23" i="2"/>
  <c r="F10" i="2"/>
  <c r="E10" i="2"/>
  <c r="E32" i="2" s="1"/>
  <c r="D10" i="2"/>
  <c r="D32" i="2" s="1"/>
  <c r="C10" i="2"/>
  <c r="C32" i="2" s="1"/>
  <c r="B10" i="2"/>
  <c r="B32" i="2" s="1"/>
  <c r="F6" i="2"/>
  <c r="E6" i="2"/>
  <c r="D6" i="2"/>
  <c r="D28" i="2" s="1"/>
  <c r="C6" i="2"/>
  <c r="C28" i="2" s="1"/>
  <c r="B6" i="2"/>
  <c r="B28" i="2" s="1"/>
  <c r="F54" i="1"/>
  <c r="R89" i="1"/>
  <c r="Q89" i="1"/>
  <c r="P89" i="1"/>
  <c r="O89" i="1"/>
  <c r="N89" i="1"/>
  <c r="R56" i="1"/>
  <c r="Q56" i="1"/>
  <c r="P56" i="1"/>
  <c r="O56" i="1"/>
  <c r="N56" i="1"/>
  <c r="P42" i="1" l="1"/>
  <c r="Q40" i="1"/>
  <c r="Q42" i="1" s="1"/>
  <c r="Q44" i="1" s="1"/>
  <c r="P40" i="1"/>
  <c r="R40" i="1" l="1"/>
  <c r="R42" i="1" s="1"/>
  <c r="R44" i="1" s="1"/>
  <c r="B106" i="1"/>
  <c r="D114" i="1" l="1"/>
  <c r="D113" i="1"/>
  <c r="D112" i="1"/>
  <c r="D111" i="1"/>
  <c r="C114" i="1"/>
  <c r="C113" i="1"/>
  <c r="C111" i="1"/>
  <c r="C112" i="1"/>
  <c r="B114" i="1"/>
  <c r="B113" i="1"/>
  <c r="B112" i="1"/>
  <c r="B111" i="1"/>
  <c r="R114" i="1"/>
  <c r="Q114" i="1"/>
  <c r="P114" i="1"/>
  <c r="O114" i="1"/>
  <c r="N114" i="1"/>
  <c r="H114" i="1"/>
  <c r="H113" i="1"/>
  <c r="H112" i="1"/>
  <c r="H111" i="1"/>
  <c r="G114" i="1"/>
  <c r="G111" i="1"/>
  <c r="G112" i="1"/>
  <c r="G113" i="1"/>
  <c r="I114" i="1"/>
  <c r="F114" i="1"/>
  <c r="F112" i="1"/>
  <c r="F111" i="1"/>
  <c r="I111" i="1"/>
  <c r="I113" i="1"/>
  <c r="R103" i="1" l="1"/>
  <c r="Q103" i="1"/>
  <c r="P103" i="1"/>
  <c r="O103" i="1"/>
  <c r="N103" i="1"/>
  <c r="R99" i="1"/>
  <c r="Q99" i="1"/>
  <c r="P99" i="1"/>
  <c r="O99" i="1"/>
  <c r="N99" i="1"/>
  <c r="R11" i="1" l="1"/>
  <c r="Q11" i="1"/>
  <c r="P11" i="1"/>
  <c r="O11" i="1"/>
  <c r="P24" i="1"/>
  <c r="Q24" i="1" s="1"/>
  <c r="R24" i="1" s="1"/>
  <c r="R52" i="1"/>
  <c r="Q52" i="1"/>
  <c r="P52" i="1"/>
  <c r="O52" i="1"/>
  <c r="O54" i="1"/>
  <c r="P54" i="1" s="1"/>
  <c r="Q54" i="1" s="1"/>
  <c r="R54" i="1" s="1"/>
  <c r="R93" i="1" l="1"/>
  <c r="R95" i="1" s="1"/>
  <c r="R104" i="1" s="1"/>
  <c r="F11" i="2" s="1"/>
  <c r="Q93" i="1"/>
  <c r="Q95" i="1" s="1"/>
  <c r="Q104" i="1" s="1"/>
  <c r="E11" i="2" s="1"/>
  <c r="E33" i="2" s="1"/>
  <c r="P93" i="1"/>
  <c r="P95" i="1" s="1"/>
  <c r="P104" i="1" s="1"/>
  <c r="D11" i="2" s="1"/>
  <c r="D33" i="2" s="1"/>
  <c r="O93" i="1"/>
  <c r="O95" i="1" s="1"/>
  <c r="O104" i="1" s="1"/>
  <c r="C11" i="2" s="1"/>
  <c r="C33" i="2" s="1"/>
  <c r="N93" i="1"/>
  <c r="S93" i="1" s="1"/>
  <c r="H55" i="1"/>
  <c r="D55" i="1"/>
  <c r="R77" i="1"/>
  <c r="N77" i="1"/>
  <c r="R75" i="1"/>
  <c r="Q75" i="1"/>
  <c r="Q77" i="1" s="1"/>
  <c r="P75" i="1"/>
  <c r="P77" i="1" s="1"/>
  <c r="O75" i="1"/>
  <c r="O77" i="1" s="1"/>
  <c r="N75" i="1"/>
  <c r="S75" i="1" s="1"/>
  <c r="R61" i="1"/>
  <c r="R63" i="1" s="1"/>
  <c r="R102" i="1" s="1"/>
  <c r="F9" i="2" s="1"/>
  <c r="Q61" i="1"/>
  <c r="Q63" i="1" s="1"/>
  <c r="Q102" i="1" s="1"/>
  <c r="E9" i="2" s="1"/>
  <c r="E31" i="2" s="1"/>
  <c r="P61" i="1"/>
  <c r="P63" i="1" s="1"/>
  <c r="P102" i="1" s="1"/>
  <c r="D9" i="2" s="1"/>
  <c r="D31" i="2" s="1"/>
  <c r="O61" i="1"/>
  <c r="O63" i="1" s="1"/>
  <c r="O102" i="1" s="1"/>
  <c r="C9" i="2" s="1"/>
  <c r="C31" i="2" s="1"/>
  <c r="N61" i="1"/>
  <c r="N63" i="1" s="1"/>
  <c r="N102" i="1" s="1"/>
  <c r="B9" i="2" s="1"/>
  <c r="B31" i="2" s="1"/>
  <c r="G52" i="1"/>
  <c r="G59" i="1"/>
  <c r="G60" i="1"/>
  <c r="I57" i="1"/>
  <c r="I52" i="1"/>
  <c r="I53" i="1"/>
  <c r="I54" i="1"/>
  <c r="I56" i="1"/>
  <c r="I59" i="1"/>
  <c r="I60" i="1"/>
  <c r="G56" i="1"/>
  <c r="B53" i="1"/>
  <c r="R16" i="1"/>
  <c r="Q16" i="1"/>
  <c r="O16" i="1"/>
  <c r="N16" i="1"/>
  <c r="R7" i="1"/>
  <c r="Q7" i="1"/>
  <c r="P7" i="1"/>
  <c r="O7" i="1"/>
  <c r="N7" i="1"/>
  <c r="Q101" i="1"/>
  <c r="E8" i="2" s="1"/>
  <c r="E30" i="2" s="1"/>
  <c r="R35" i="1"/>
  <c r="Q35" i="1"/>
  <c r="P35" i="1"/>
  <c r="O35" i="1"/>
  <c r="N35" i="1"/>
  <c r="R82" i="1"/>
  <c r="Q82" i="1"/>
  <c r="P82" i="1"/>
  <c r="O82" i="1"/>
  <c r="R49" i="1"/>
  <c r="Q49" i="1"/>
  <c r="P49" i="1"/>
  <c r="O49" i="1"/>
  <c r="N49" i="1"/>
  <c r="S14" i="1"/>
  <c r="R68" i="1"/>
  <c r="Q68" i="1"/>
  <c r="P68" i="1"/>
  <c r="O68" i="1"/>
  <c r="N68" i="1"/>
  <c r="R101" i="1"/>
  <c r="F8" i="2" s="1"/>
  <c r="P44" i="1"/>
  <c r="P101" i="1" s="1"/>
  <c r="D8" i="2" s="1"/>
  <c r="D30" i="2" s="1"/>
  <c r="O42" i="1"/>
  <c r="O44" i="1" s="1"/>
  <c r="O101" i="1" s="1"/>
  <c r="C8" i="2" s="1"/>
  <c r="C30" i="2" s="1"/>
  <c r="N42" i="1"/>
  <c r="N44" i="1" s="1"/>
  <c r="N101" i="1" s="1"/>
  <c r="B8" i="2" s="1"/>
  <c r="B30" i="2" s="1"/>
  <c r="Q28" i="1"/>
  <c r="Q30" i="1" s="1"/>
  <c r="Q100" i="1" s="1"/>
  <c r="E7" i="2" s="1"/>
  <c r="R28" i="1"/>
  <c r="R30" i="1" s="1"/>
  <c r="R100" i="1" s="1"/>
  <c r="F7" i="2" s="1"/>
  <c r="P28" i="1"/>
  <c r="P30" i="1" s="1"/>
  <c r="P100" i="1" s="1"/>
  <c r="D7" i="2" s="1"/>
  <c r="O28" i="1"/>
  <c r="O30" i="1" s="1"/>
  <c r="O100" i="1" s="1"/>
  <c r="C7" i="2" s="1"/>
  <c r="N28" i="1"/>
  <c r="N30" i="1" s="1"/>
  <c r="N100" i="1" s="1"/>
  <c r="B7" i="2" s="1"/>
  <c r="R14" i="1"/>
  <c r="Q14" i="1"/>
  <c r="P14" i="1"/>
  <c r="P16" i="1" s="1"/>
  <c r="O14" i="1"/>
  <c r="N14" i="1"/>
  <c r="F106" i="1"/>
  <c r="C52" i="1"/>
  <c r="G53" i="1"/>
  <c r="C53" i="1"/>
  <c r="F56" i="1"/>
  <c r="C56" i="1"/>
  <c r="B56" i="1"/>
  <c r="F58" i="1"/>
  <c r="G58" i="1"/>
  <c r="F52" i="1"/>
  <c r="B52" i="1"/>
  <c r="B60" i="1"/>
  <c r="G54" i="1"/>
  <c r="B54" i="1"/>
  <c r="G49" i="1"/>
  <c r="F49" i="1"/>
  <c r="C49" i="1"/>
  <c r="B87" i="1"/>
  <c r="G92" i="1"/>
  <c r="B92" i="1"/>
  <c r="G90" i="1"/>
  <c r="F90" i="1"/>
  <c r="C90" i="1"/>
  <c r="B90" i="1"/>
  <c r="G89" i="1"/>
  <c r="C89" i="1"/>
  <c r="B89" i="1"/>
  <c r="G88" i="1"/>
  <c r="F88" i="1"/>
  <c r="B88" i="1"/>
  <c r="G91" i="1"/>
  <c r="C91" i="1"/>
  <c r="B91" i="1"/>
  <c r="F86" i="1"/>
  <c r="B86" i="1"/>
  <c r="G85" i="1"/>
  <c r="B85" i="1"/>
  <c r="G82" i="1"/>
  <c r="F82" i="1"/>
  <c r="C82" i="1"/>
  <c r="B82" i="1"/>
  <c r="B73" i="1"/>
  <c r="C73" i="1"/>
  <c r="G72" i="1"/>
  <c r="G71" i="1"/>
  <c r="C71" i="1"/>
  <c r="F71" i="1"/>
  <c r="B71" i="1"/>
  <c r="G74" i="1"/>
  <c r="B74" i="1"/>
  <c r="F72" i="1"/>
  <c r="B72" i="1"/>
  <c r="G68" i="1"/>
  <c r="F68" i="1"/>
  <c r="C68" i="1"/>
  <c r="B68" i="1"/>
  <c r="B41" i="1"/>
  <c r="G40" i="1"/>
  <c r="F40" i="1"/>
  <c r="C40" i="1"/>
  <c r="B40" i="1"/>
  <c r="G39" i="1"/>
  <c r="F39" i="1"/>
  <c r="B39" i="1"/>
  <c r="G38" i="1"/>
  <c r="F38" i="1"/>
  <c r="B38" i="1"/>
  <c r="G35" i="1"/>
  <c r="F35" i="1"/>
  <c r="C35" i="1"/>
  <c r="B35" i="1"/>
  <c r="B11" i="1"/>
  <c r="F10" i="1"/>
  <c r="B10" i="1"/>
  <c r="G12" i="1"/>
  <c r="F12" i="1"/>
  <c r="G13" i="1"/>
  <c r="G10" i="1"/>
  <c r="G7" i="1"/>
  <c r="F7" i="1"/>
  <c r="C7" i="1"/>
  <c r="B7" i="1"/>
  <c r="F27" i="1"/>
  <c r="F24" i="1"/>
  <c r="C21" i="1"/>
  <c r="B24" i="1"/>
  <c r="B27" i="1"/>
  <c r="G24" i="1"/>
  <c r="C24" i="1"/>
  <c r="G27" i="1"/>
  <c r="B26" i="1"/>
  <c r="G26" i="1"/>
  <c r="B25" i="1"/>
  <c r="G21" i="1"/>
  <c r="F21" i="1"/>
  <c r="B21" i="1"/>
  <c r="F12" i="2" l="1"/>
  <c r="S28" i="1"/>
  <c r="E29" i="2"/>
  <c r="E34" i="2" s="1"/>
  <c r="E12" i="2"/>
  <c r="D29" i="2"/>
  <c r="D34" i="2" s="1"/>
  <c r="D12" i="2"/>
  <c r="C29" i="2"/>
  <c r="C34" i="2" s="1"/>
  <c r="C12" i="2"/>
  <c r="B29" i="2"/>
  <c r="R105" i="1"/>
  <c r="R107" i="1" s="1"/>
  <c r="Q105" i="1"/>
  <c r="Q107" i="1" s="1"/>
  <c r="P105" i="1"/>
  <c r="P107" i="1" s="1"/>
  <c r="O105" i="1"/>
  <c r="O107" i="1" s="1"/>
  <c r="S42" i="1"/>
  <c r="N95" i="1"/>
  <c r="N104" i="1" s="1"/>
  <c r="C54" i="1"/>
  <c r="N105" i="1" l="1"/>
  <c r="N107" i="1" s="1"/>
  <c r="B11" i="2"/>
  <c r="F85" i="1"/>
  <c r="F93" i="1"/>
  <c r="F91" i="1"/>
  <c r="F87" i="1"/>
  <c r="C87" i="1"/>
  <c r="C86" i="1"/>
  <c r="C88" i="1"/>
  <c r="C92" i="1"/>
  <c r="C85" i="1"/>
  <c r="F73" i="1"/>
  <c r="G73" i="1"/>
  <c r="C72" i="1"/>
  <c r="C74" i="1"/>
  <c r="C41" i="1"/>
  <c r="C39" i="1"/>
  <c r="C38" i="1"/>
  <c r="F26" i="1"/>
  <c r="B33" i="2" l="1"/>
  <c r="B34" i="2" s="1"/>
  <c r="B12" i="2"/>
  <c r="C27" i="1"/>
  <c r="C26" i="1"/>
  <c r="F25" i="1"/>
  <c r="C25" i="1"/>
  <c r="F11" i="1" l="1"/>
  <c r="G11" i="1" l="1"/>
  <c r="L57" i="1" l="1"/>
  <c r="J57" i="1"/>
  <c r="H57" i="1"/>
  <c r="D13" i="1"/>
  <c r="L25" i="1"/>
  <c r="J25" i="1"/>
  <c r="I25" i="1"/>
  <c r="H25" i="1"/>
  <c r="D25" i="1"/>
  <c r="F95" i="1" l="1"/>
  <c r="G57" i="1"/>
  <c r="F57" i="1"/>
  <c r="C58" i="1"/>
  <c r="C59" i="1"/>
  <c r="D57" i="1"/>
  <c r="C57" i="1"/>
  <c r="C60" i="1"/>
  <c r="F89" i="1"/>
  <c r="G25" i="1" l="1"/>
  <c r="H13" i="1" l="1"/>
  <c r="H12" i="1"/>
  <c r="H11" i="1"/>
  <c r="F13" i="1"/>
  <c r="D11" i="1" l="1"/>
  <c r="D12" i="1"/>
  <c r="C12" i="1"/>
  <c r="C13" i="1"/>
  <c r="C10" i="1"/>
  <c r="I13" i="1" l="1"/>
  <c r="L13" i="1" s="1"/>
  <c r="I11" i="1"/>
  <c r="J13" i="1"/>
  <c r="L11" i="1"/>
  <c r="L12" i="1" l="1"/>
  <c r="L10" i="1"/>
  <c r="J10" i="1"/>
  <c r="J12" i="1"/>
  <c r="I14" i="1"/>
  <c r="F59" i="1" l="1"/>
  <c r="F60" i="1"/>
  <c r="F53" i="1"/>
  <c r="G87" i="1"/>
  <c r="G86" i="1"/>
  <c r="F92" i="1"/>
  <c r="J106" i="1" l="1"/>
  <c r="I106" i="1"/>
  <c r="G106" i="1"/>
  <c r="C106" i="1"/>
  <c r="H58" i="1"/>
  <c r="H56" i="1"/>
  <c r="H53" i="1"/>
  <c r="H52" i="1"/>
  <c r="I68" i="1"/>
  <c r="J71" i="1"/>
  <c r="I72" i="1"/>
  <c r="I71" i="1"/>
  <c r="J90" i="1"/>
  <c r="J85" i="1"/>
  <c r="D106" i="1" l="1"/>
  <c r="H106" i="1"/>
  <c r="J59" i="1"/>
  <c r="J54" i="1"/>
  <c r="J53" i="1"/>
  <c r="J52" i="1"/>
  <c r="L60" i="1" l="1"/>
  <c r="H59" i="1"/>
  <c r="L59" i="1"/>
  <c r="L58" i="1"/>
  <c r="L54" i="1"/>
  <c r="L53" i="1"/>
  <c r="I61" i="1" l="1"/>
  <c r="S61" i="1" s="1"/>
  <c r="L52" i="1"/>
  <c r="H60" i="1"/>
  <c r="J56" i="1"/>
  <c r="J61" i="1" s="1"/>
  <c r="J49" i="1"/>
  <c r="I49" i="1"/>
  <c r="J86" i="1"/>
  <c r="I86" i="1"/>
  <c r="I88" i="1"/>
  <c r="I89" i="1"/>
  <c r="I85" i="1"/>
  <c r="I91" i="1"/>
  <c r="I82" i="1"/>
  <c r="I90" i="1"/>
  <c r="F74" i="1"/>
  <c r="G41" i="1"/>
  <c r="F41" i="1"/>
  <c r="H27" i="1"/>
  <c r="G14" i="1"/>
  <c r="H10" i="1"/>
  <c r="J63" i="1" l="1"/>
  <c r="J102" i="1" s="1"/>
  <c r="L61" i="1"/>
  <c r="G16" i="1"/>
  <c r="G99" i="1" s="1"/>
  <c r="H49" i="1"/>
  <c r="H7" i="1"/>
  <c r="F28" i="1"/>
  <c r="F30" i="1" s="1"/>
  <c r="H39" i="1"/>
  <c r="H40" i="1"/>
  <c r="H71" i="1"/>
  <c r="H74" i="1"/>
  <c r="H89" i="1"/>
  <c r="H88" i="1"/>
  <c r="L56" i="1"/>
  <c r="G42" i="1"/>
  <c r="G44" i="1" s="1"/>
  <c r="G101" i="1" s="1"/>
  <c r="H72" i="1"/>
  <c r="H26" i="1"/>
  <c r="L49" i="1"/>
  <c r="H21" i="1"/>
  <c r="F61" i="1"/>
  <c r="H73" i="1"/>
  <c r="H90" i="1"/>
  <c r="H91" i="1"/>
  <c r="H92" i="1"/>
  <c r="H86" i="1"/>
  <c r="H87" i="1"/>
  <c r="I63" i="1"/>
  <c r="I102" i="1" s="1"/>
  <c r="L102" i="1" s="1"/>
  <c r="G61" i="1"/>
  <c r="G63" i="1" s="1"/>
  <c r="G102" i="1" s="1"/>
  <c r="H54" i="1"/>
  <c r="G75" i="1"/>
  <c r="G77" i="1" s="1"/>
  <c r="G103" i="1" s="1"/>
  <c r="L86" i="1"/>
  <c r="G28" i="1"/>
  <c r="G30" i="1" s="1"/>
  <c r="G100" i="1" s="1"/>
  <c r="H24" i="1"/>
  <c r="F75" i="1"/>
  <c r="F77" i="1" s="1"/>
  <c r="F103" i="1" s="1"/>
  <c r="H82" i="1"/>
  <c r="F14" i="1"/>
  <c r="H14" i="1" s="1"/>
  <c r="F42" i="1"/>
  <c r="H41" i="1"/>
  <c r="G93" i="1"/>
  <c r="G95" i="1" s="1"/>
  <c r="G104" i="1" s="1"/>
  <c r="H85" i="1"/>
  <c r="H35" i="1"/>
  <c r="H38" i="1"/>
  <c r="H68" i="1"/>
  <c r="J41" i="1"/>
  <c r="J39" i="1"/>
  <c r="J38" i="1"/>
  <c r="I41" i="1"/>
  <c r="I40" i="1"/>
  <c r="I39" i="1"/>
  <c r="L39" i="1" s="1"/>
  <c r="I38" i="1"/>
  <c r="L38" i="1" s="1"/>
  <c r="I35" i="1"/>
  <c r="L63" i="1" l="1"/>
  <c r="H42" i="1"/>
  <c r="G105" i="1"/>
  <c r="H75" i="1"/>
  <c r="H103" i="1"/>
  <c r="H28" i="1"/>
  <c r="F63" i="1"/>
  <c r="F102" i="1" s="1"/>
  <c r="H102" i="1" s="1"/>
  <c r="H61" i="1"/>
  <c r="H93" i="1"/>
  <c r="F16" i="1"/>
  <c r="H77" i="1"/>
  <c r="F44" i="1"/>
  <c r="L41" i="1"/>
  <c r="L27" i="1"/>
  <c r="J24" i="1"/>
  <c r="I26" i="1"/>
  <c r="I24" i="1"/>
  <c r="I21" i="1"/>
  <c r="I7" i="1"/>
  <c r="H95" i="1" l="1"/>
  <c r="F104" i="1"/>
  <c r="H104" i="1" s="1"/>
  <c r="H30" i="1"/>
  <c r="F100" i="1"/>
  <c r="H63" i="1"/>
  <c r="H44" i="1"/>
  <c r="F101" i="1"/>
  <c r="H101" i="1" s="1"/>
  <c r="H16" i="1"/>
  <c r="F99" i="1"/>
  <c r="L24" i="1"/>
  <c r="H100" i="1" l="1"/>
  <c r="F105" i="1"/>
  <c r="H105" i="1" s="1"/>
  <c r="H99" i="1"/>
  <c r="C14" i="1"/>
  <c r="D56" i="1"/>
  <c r="C93" i="1" l="1"/>
  <c r="C95" i="1" s="1"/>
  <c r="C104" i="1" s="1"/>
  <c r="C28" i="1"/>
  <c r="C30" i="1" s="1"/>
  <c r="C100" i="1" s="1"/>
  <c r="C42" i="1"/>
  <c r="C44" i="1" s="1"/>
  <c r="C101" i="1" s="1"/>
  <c r="C75" i="1"/>
  <c r="C77" i="1" s="1"/>
  <c r="C103" i="1" s="1"/>
  <c r="C16" i="1"/>
  <c r="C99" i="1" s="1"/>
  <c r="C61" i="1"/>
  <c r="C63" i="1" s="1"/>
  <c r="C102" i="1" s="1"/>
  <c r="L14" i="1"/>
  <c r="L7" i="1"/>
  <c r="J14" i="1"/>
  <c r="J16" i="1" s="1"/>
  <c r="J99" i="1" s="1"/>
  <c r="D10" i="1"/>
  <c r="D7" i="1"/>
  <c r="J7" i="1"/>
  <c r="J27" i="1"/>
  <c r="J26" i="1"/>
  <c r="L26" i="1" s="1"/>
  <c r="I27" i="1"/>
  <c r="D24" i="1"/>
  <c r="D27" i="1"/>
  <c r="D21" i="1"/>
  <c r="J21" i="1"/>
  <c r="L21" i="1" s="1"/>
  <c r="D54" i="1"/>
  <c r="D59" i="1"/>
  <c r="D52" i="1"/>
  <c r="D58" i="1"/>
  <c r="D53" i="1"/>
  <c r="D60" i="1"/>
  <c r="J92" i="1"/>
  <c r="I92" i="1"/>
  <c r="L92" i="1" s="1"/>
  <c r="D92" i="1"/>
  <c r="J91" i="1"/>
  <c r="L91" i="1" s="1"/>
  <c r="D91" i="1"/>
  <c r="L90" i="1"/>
  <c r="D90" i="1"/>
  <c r="J89" i="1"/>
  <c r="L89" i="1" s="1"/>
  <c r="D89" i="1"/>
  <c r="J88" i="1"/>
  <c r="L88" i="1" s="1"/>
  <c r="D88" i="1"/>
  <c r="J87" i="1"/>
  <c r="I87" i="1"/>
  <c r="L87" i="1" s="1"/>
  <c r="D87" i="1"/>
  <c r="D86" i="1"/>
  <c r="L85" i="1"/>
  <c r="D85" i="1"/>
  <c r="D82" i="1"/>
  <c r="J82" i="1"/>
  <c r="L82" i="1" s="1"/>
  <c r="J73" i="1"/>
  <c r="D73" i="1"/>
  <c r="I73" i="1"/>
  <c r="L73" i="1" s="1"/>
  <c r="J74" i="1"/>
  <c r="I74" i="1"/>
  <c r="D74" i="1"/>
  <c r="L72" i="1"/>
  <c r="D72" i="1"/>
  <c r="L71" i="1"/>
  <c r="D71" i="1"/>
  <c r="L68" i="1"/>
  <c r="D68" i="1"/>
  <c r="J68" i="1"/>
  <c r="J40" i="1"/>
  <c r="L40" i="1" s="1"/>
  <c r="D38" i="1"/>
  <c r="L74" i="1" l="1"/>
  <c r="L75" i="1" s="1"/>
  <c r="B75" i="1"/>
  <c r="I75" i="1"/>
  <c r="I77" i="1" s="1"/>
  <c r="I103" i="1" s="1"/>
  <c r="I28" i="1"/>
  <c r="I30" i="1" s="1"/>
  <c r="I100" i="1" s="1"/>
  <c r="J28" i="1"/>
  <c r="J30" i="1" s="1"/>
  <c r="J100" i="1" s="1"/>
  <c r="B14" i="1"/>
  <c r="D14" i="1" s="1"/>
  <c r="C105" i="1"/>
  <c r="D93" i="1"/>
  <c r="D49" i="1"/>
  <c r="D61" i="1"/>
  <c r="B28" i="1"/>
  <c r="B30" i="1" s="1"/>
  <c r="D26" i="1"/>
  <c r="D28" i="1" s="1"/>
  <c r="D30" i="1" s="1"/>
  <c r="J75" i="1"/>
  <c r="J77" i="1" s="1"/>
  <c r="J103" i="1" s="1"/>
  <c r="I16" i="1"/>
  <c r="I99" i="1" s="1"/>
  <c r="L99" i="1" s="1"/>
  <c r="L28" i="1"/>
  <c r="L30" i="1" s="1"/>
  <c r="L16" i="1"/>
  <c r="I93" i="1"/>
  <c r="B61" i="1"/>
  <c r="B93" i="1"/>
  <c r="B95" i="1" s="1"/>
  <c r="J93" i="1"/>
  <c r="J95" i="1" s="1"/>
  <c r="J104" i="1" s="1"/>
  <c r="L100" i="1" l="1"/>
  <c r="B100" i="1"/>
  <c r="D100" i="1" s="1"/>
  <c r="L103" i="1"/>
  <c r="D75" i="1"/>
  <c r="B77" i="1"/>
  <c r="D77" i="1" s="1"/>
  <c r="L77" i="1"/>
  <c r="I95" i="1"/>
  <c r="I104" i="1" s="1"/>
  <c r="L104" i="1" s="1"/>
  <c r="L93" i="1"/>
  <c r="L95" i="1" s="1"/>
  <c r="B16" i="1"/>
  <c r="B104" i="1"/>
  <c r="D104" i="1" s="1"/>
  <c r="D95" i="1"/>
  <c r="B63" i="1"/>
  <c r="D41" i="1"/>
  <c r="D40" i="1"/>
  <c r="D39" i="1"/>
  <c r="J35" i="1"/>
  <c r="L35" i="1" s="1"/>
  <c r="D35" i="1"/>
  <c r="B99" i="1" l="1"/>
  <c r="D99" i="1" s="1"/>
  <c r="D63" i="1"/>
  <c r="B102" i="1"/>
  <c r="D102" i="1" s="1"/>
  <c r="B103" i="1"/>
  <c r="D103" i="1" s="1"/>
  <c r="D16" i="1"/>
  <c r="L42" i="1"/>
  <c r="L44" i="1" s="1"/>
  <c r="D42" i="1"/>
  <c r="B42" i="1"/>
  <c r="B44" i="1" s="1"/>
  <c r="D44" i="1" s="1"/>
  <c r="I42" i="1"/>
  <c r="I44" i="1" s="1"/>
  <c r="I101" i="1" s="1"/>
  <c r="J42" i="1"/>
  <c r="J44" i="1" s="1"/>
  <c r="J101" i="1" s="1"/>
  <c r="J105" i="1" s="1"/>
  <c r="I105" i="1" l="1"/>
  <c r="L101" i="1"/>
  <c r="B101" i="1"/>
  <c r="D101" i="1" s="1"/>
  <c r="L105" i="1" l="1"/>
  <c r="B105" i="1"/>
  <c r="D105" i="1" s="1"/>
</calcChain>
</file>

<file path=xl/sharedStrings.xml><?xml version="1.0" encoding="utf-8"?>
<sst xmlns="http://schemas.openxmlformats.org/spreadsheetml/2006/main" count="201" uniqueCount="85">
  <si>
    <t>GULF POWER COMPANY</t>
  </si>
  <si>
    <t>Labor</t>
  </si>
  <si>
    <t>Non Labor</t>
  </si>
  <si>
    <t>Variance</t>
  </si>
  <si>
    <t>Required Flex</t>
  </si>
  <si>
    <t>40781 - Treasury</t>
  </si>
  <si>
    <t>Bank Fees</t>
  </si>
  <si>
    <t>Lines of Credit- Fees</t>
  </si>
  <si>
    <t>Outside Services</t>
  </si>
  <si>
    <t>Meals &amp; Travel</t>
  </si>
  <si>
    <t>40782 - Secretary &amp; Treasury Admin.</t>
  </si>
  <si>
    <t>Total Non-Labor:</t>
  </si>
  <si>
    <t>TOTAL TREASURY</t>
  </si>
  <si>
    <t>Office Supplies</t>
  </si>
  <si>
    <t>40784 - RIM</t>
  </si>
  <si>
    <t>40786 - Corporate Secretary</t>
  </si>
  <si>
    <t>Meals, Travel, &amp; Training</t>
  </si>
  <si>
    <t xml:space="preserve">Office Supplies </t>
  </si>
  <si>
    <t>Trustee &amp; Registrar Fees</t>
  </si>
  <si>
    <t>Securities Expense</t>
  </si>
  <si>
    <t>Board of Directors</t>
  </si>
  <si>
    <t>Other Misc. Expense</t>
  </si>
  <si>
    <t>Office Furniture &amp; Equip.</t>
  </si>
  <si>
    <t>Team Building</t>
  </si>
  <si>
    <t>Travel Expenses</t>
  </si>
  <si>
    <t>Training Costs</t>
  </si>
  <si>
    <t>Professional Dues</t>
  </si>
  <si>
    <t>Meetings (Meals Brought In)</t>
  </si>
  <si>
    <t>TOTAL RIM</t>
  </si>
  <si>
    <t>TOTAL CORPORATE SECRETARY</t>
  </si>
  <si>
    <t>Scanner Maintenance</t>
  </si>
  <si>
    <t>TOTAL SECRETARY/TREAS/FP ADMIN.</t>
  </si>
  <si>
    <t>Quarterly AFT Meeting</t>
  </si>
  <si>
    <t>40764 - Financial Planning</t>
  </si>
  <si>
    <t>OT Meals/ Meetings</t>
  </si>
  <si>
    <t>Meals &amp; Travel (primarily CPE)</t>
  </si>
  <si>
    <t>TOTAL FINANCIAL PLANNING</t>
  </si>
  <si>
    <t>Budgeting</t>
  </si>
  <si>
    <t>Financial Planning</t>
  </si>
  <si>
    <t>Treasury</t>
  </si>
  <si>
    <t>Records &amp; Info. Mgmt.</t>
  </si>
  <si>
    <t>Corporate Secretary</t>
  </si>
  <si>
    <t>TOTAL:</t>
  </si>
  <si>
    <t>Corp. Secretary/ FP/ Treas. Admin</t>
  </si>
  <si>
    <t>Office Supplies (Shredding)</t>
  </si>
  <si>
    <t>40762 - Budgeting &amp; Reporting</t>
  </si>
  <si>
    <t>YTD Actual</t>
  </si>
  <si>
    <t>YTD Bud</t>
  </si>
  <si>
    <t>Revised Budget (After Flex)</t>
  </si>
  <si>
    <t>Annual Bud.</t>
  </si>
  <si>
    <t>TOTAL BUDGETING</t>
  </si>
  <si>
    <t>FP/CS/TR/RIM/B&amp;R/CS ADMIN.</t>
  </si>
  <si>
    <t>Training Costs (including travel)</t>
  </si>
  <si>
    <t>System Meetings</t>
  </si>
  <si>
    <t>Parking Space for Leigh</t>
  </si>
  <si>
    <t>Rebecca</t>
  </si>
  <si>
    <t>Josh</t>
  </si>
  <si>
    <t>Sharon</t>
  </si>
  <si>
    <t>Jul Actual</t>
  </si>
  <si>
    <t>Jul Bud</t>
  </si>
  <si>
    <t>Jul  Bud</t>
  </si>
  <si>
    <t>Summary- All Areas</t>
  </si>
  <si>
    <t>BUDGET FORECAST</t>
  </si>
  <si>
    <t>Check</t>
  </si>
  <si>
    <t>Office/ Cubicle Redesign</t>
  </si>
  <si>
    <t>GUIDELINE</t>
  </si>
  <si>
    <t>426 Accounts</t>
  </si>
  <si>
    <t>PAC</t>
  </si>
  <si>
    <t>Foundation</t>
  </si>
  <si>
    <t>Memberships</t>
  </si>
  <si>
    <t>Total:</t>
  </si>
  <si>
    <t>Variance to Guideline</t>
  </si>
  <si>
    <t>40762- Budgeting &amp; Reporting</t>
  </si>
  <si>
    <t>40764- Financial Planning</t>
  </si>
  <si>
    <t>40781- Treasury</t>
  </si>
  <si>
    <t>40782- Administration</t>
  </si>
  <si>
    <t>40784- Records &amp; Info. Mgmt.</t>
  </si>
  <si>
    <t>40786- Corporate Secretary</t>
  </si>
  <si>
    <t xml:space="preserve">GULF POWER COMPANY </t>
  </si>
  <si>
    <t>2016 BUDGET REQUEST COMPARED TO 2015 REQUEST</t>
  </si>
  <si>
    <t>Increase over 2015</t>
  </si>
  <si>
    <t>Outside Services (Keegan)</t>
  </si>
  <si>
    <t>2016 GUIDELINE (Forecasted Last Year)</t>
  </si>
  <si>
    <t>BUDGET FORECAST FOR 2016-2020</t>
  </si>
  <si>
    <t>BUDGET REQUEST to GUIDELINE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</si>
</sst>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9" fillId="0" borderId="21" applyNumberFormat="0" applyFill="0" applyAlignment="0" applyProtection="0"/>
    <xf numFmtId="0" fontId="10" fillId="0" borderId="22" applyNumberFormat="0" applyFill="0" applyAlignment="0" applyProtection="0"/>
    <xf numFmtId="0" fontId="10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23" applyNumberFormat="0" applyAlignment="0" applyProtection="0"/>
    <xf numFmtId="0" fontId="15" fillId="14" borderId="24" applyNumberFormat="0" applyAlignment="0" applyProtection="0"/>
    <xf numFmtId="0" fontId="16" fillId="14" borderId="23" applyNumberFormat="0" applyAlignment="0" applyProtection="0"/>
    <xf numFmtId="0" fontId="17" fillId="0" borderId="25" applyNumberFormat="0" applyFill="0" applyAlignment="0" applyProtection="0"/>
    <xf numFmtId="0" fontId="18" fillId="15" borderId="26" applyNumberFormat="0" applyAlignment="0" applyProtection="0"/>
    <xf numFmtId="0" fontId="19" fillId="0" borderId="0" applyNumberFormat="0" applyFill="0" applyBorder="0" applyAlignment="0" applyProtection="0"/>
    <xf numFmtId="0" fontId="6" fillId="16" borderId="27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28" applyNumberFormat="0" applyFill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21" fillId="40" borderId="0" applyNumberFormat="0" applyBorder="0" applyAlignment="0" applyProtection="0"/>
  </cellStyleXfs>
  <cellXfs count="144">
    <xf numFmtId="0" fontId="0" fillId="0" borderId="0" xfId="0"/>
    <xf numFmtId="0" fontId="1" fillId="0" borderId="0" xfId="0" applyFont="1" applyFill="1" applyBorder="1"/>
    <xf numFmtId="38" fontId="0" fillId="0" borderId="0" xfId="0" applyNumberFormat="1"/>
    <xf numFmtId="38" fontId="1" fillId="0" borderId="0" xfId="0" applyNumberFormat="1" applyFont="1"/>
    <xf numFmtId="38" fontId="0" fillId="0" borderId="6" xfId="0" applyNumberFormat="1" applyBorder="1"/>
    <xf numFmtId="38" fontId="0" fillId="0" borderId="7" xfId="0" applyNumberFormat="1" applyBorder="1"/>
    <xf numFmtId="38" fontId="0" fillId="0" borderId="0" xfId="0" applyNumberFormat="1" applyBorder="1"/>
    <xf numFmtId="38" fontId="0" fillId="0" borderId="9" xfId="0" applyNumberFormat="1" applyBorder="1"/>
    <xf numFmtId="38" fontId="0" fillId="0" borderId="5" xfId="0" applyNumberFormat="1" applyBorder="1"/>
    <xf numFmtId="38" fontId="0" fillId="0" borderId="8" xfId="0" applyNumberFormat="1" applyBorder="1"/>
    <xf numFmtId="0" fontId="0" fillId="0" borderId="0" xfId="0" applyBorder="1"/>
    <xf numFmtId="38" fontId="1" fillId="0" borderId="0" xfId="0" applyNumberFormat="1" applyFont="1" applyBorder="1"/>
    <xf numFmtId="38" fontId="0" fillId="0" borderId="9" xfId="0" applyNumberFormat="1" applyFont="1" applyBorder="1"/>
    <xf numFmtId="38" fontId="1" fillId="0" borderId="8" xfId="0" applyNumberFormat="1" applyFont="1" applyBorder="1"/>
    <xf numFmtId="38" fontId="1" fillId="0" borderId="2" xfId="0" applyNumberFormat="1" applyFont="1" applyBorder="1"/>
    <xf numFmtId="38" fontId="1" fillId="0" borderId="4" xfId="0" applyNumberFormat="1" applyFont="1" applyBorder="1"/>
    <xf numFmtId="38" fontId="1" fillId="0" borderId="1" xfId="0" applyNumberFormat="1" applyFont="1" applyBorder="1"/>
    <xf numFmtId="38" fontId="1" fillId="0" borderId="3" xfId="0" applyNumberFormat="1" applyFont="1" applyBorder="1"/>
    <xf numFmtId="0" fontId="0" fillId="0" borderId="13" xfId="0" applyBorder="1"/>
    <xf numFmtId="0" fontId="1" fillId="0" borderId="14" xfId="0" applyFont="1" applyFill="1" applyBorder="1"/>
    <xf numFmtId="0" fontId="0" fillId="0" borderId="14" xfId="0" applyBorder="1"/>
    <xf numFmtId="0" fontId="2" fillId="0" borderId="14" xfId="0" applyFont="1" applyBorder="1"/>
    <xf numFmtId="0" fontId="0" fillId="0" borderId="14" xfId="0" applyFont="1" applyBorder="1"/>
    <xf numFmtId="0" fontId="0" fillId="0" borderId="14" xfId="0" applyFill="1" applyBorder="1"/>
    <xf numFmtId="38" fontId="3" fillId="0" borderId="0" xfId="0" applyNumberFormat="1" applyFont="1" applyBorder="1"/>
    <xf numFmtId="38" fontId="1" fillId="0" borderId="9" xfId="0" applyNumberFormat="1" applyFont="1" applyBorder="1"/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right"/>
    </xf>
    <xf numFmtId="0" fontId="2" fillId="0" borderId="0" xfId="0" applyFont="1" applyBorder="1" applyAlignment="1"/>
    <xf numFmtId="0" fontId="1" fillId="0" borderId="0" xfId="0" applyFont="1" applyFill="1" applyBorder="1" applyAlignment="1">
      <alignment horizontal="right"/>
    </xf>
    <xf numFmtId="38" fontId="1" fillId="0" borderId="0" xfId="0" applyNumberFormat="1" applyFont="1" applyFill="1" applyBorder="1"/>
    <xf numFmtId="38" fontId="1" fillId="0" borderId="0" xfId="0" applyNumberFormat="1" applyFont="1" applyFill="1"/>
    <xf numFmtId="0" fontId="1" fillId="3" borderId="1" xfId="0" applyFont="1" applyFill="1" applyBorder="1" applyAlignment="1">
      <alignment wrapText="1"/>
    </xf>
    <xf numFmtId="0" fontId="1" fillId="3" borderId="10" xfId="0" applyFont="1" applyFill="1" applyBorder="1"/>
    <xf numFmtId="0" fontId="1" fillId="3" borderId="10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wrapText="1"/>
    </xf>
    <xf numFmtId="0" fontId="1" fillId="5" borderId="1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0" xfId="0" applyFont="1" applyFill="1" applyBorder="1" applyAlignment="1">
      <alignment wrapText="1"/>
    </xf>
    <xf numFmtId="0" fontId="1" fillId="7" borderId="1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wrapText="1"/>
    </xf>
    <xf numFmtId="0" fontId="1" fillId="8" borderId="10" xfId="0" applyFont="1" applyFill="1" applyBorder="1"/>
    <xf numFmtId="0" fontId="1" fillId="8" borderId="10" xfId="0" applyFont="1" applyFill="1" applyBorder="1" applyAlignment="1">
      <alignment wrapText="1"/>
    </xf>
    <xf numFmtId="38" fontId="1" fillId="0" borderId="11" xfId="0" applyNumberFormat="1" applyFont="1" applyBorder="1"/>
    <xf numFmtId="38" fontId="1" fillId="0" borderId="12" xfId="0" applyNumberFormat="1" applyFont="1" applyBorder="1"/>
    <xf numFmtId="38" fontId="0" fillId="0" borderId="11" xfId="0" applyNumberFormat="1" applyBorder="1"/>
    <xf numFmtId="38" fontId="0" fillId="0" borderId="4" xfId="0" applyNumberFormat="1" applyBorder="1"/>
    <xf numFmtId="0" fontId="4" fillId="0" borderId="0" xfId="0" applyFont="1" applyFill="1" applyBorder="1" applyAlignment="1">
      <alignment horizontal="left"/>
    </xf>
    <xf numFmtId="0" fontId="0" fillId="0" borderId="8" xfId="0" applyBorder="1"/>
    <xf numFmtId="38" fontId="0" fillId="0" borderId="12" xfId="0" applyNumberFormat="1" applyBorder="1"/>
    <xf numFmtId="38" fontId="0" fillId="0" borderId="0" xfId="0" applyNumberFormat="1" applyFill="1" applyBorder="1"/>
    <xf numFmtId="0" fontId="0" fillId="0" borderId="0" xfId="0" applyFill="1" applyBorder="1"/>
    <xf numFmtId="0" fontId="0" fillId="0" borderId="5" xfId="0" applyBorder="1" applyAlignment="1">
      <alignment wrapText="1"/>
    </xf>
    <xf numFmtId="0" fontId="1" fillId="0" borderId="8" xfId="0" applyFont="1" applyFill="1" applyBorder="1"/>
    <xf numFmtId="0" fontId="2" fillId="0" borderId="8" xfId="0" applyFont="1" applyBorder="1"/>
    <xf numFmtId="0" fontId="0" fillId="0" borderId="8" xfId="0" applyFont="1" applyBorder="1"/>
    <xf numFmtId="0" fontId="1" fillId="0" borderId="8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right"/>
    </xf>
    <xf numFmtId="38" fontId="1" fillId="2" borderId="17" xfId="0" applyNumberFormat="1" applyFont="1" applyFill="1" applyBorder="1"/>
    <xf numFmtId="38" fontId="1" fillId="2" borderId="16" xfId="0" applyNumberFormat="1" applyFont="1" applyFill="1" applyBorder="1"/>
    <xf numFmtId="38" fontId="1" fillId="2" borderId="18" xfId="0" applyNumberFormat="1" applyFont="1" applyFill="1" applyBorder="1"/>
    <xf numFmtId="38" fontId="1" fillId="0" borderId="2" xfId="0" applyNumberFormat="1" applyFont="1" applyFill="1" applyBorder="1"/>
    <xf numFmtId="0" fontId="1" fillId="0" borderId="0" xfId="0" applyFont="1" applyFill="1" applyBorder="1" applyAlignment="1">
      <alignment wrapText="1"/>
    </xf>
    <xf numFmtId="38" fontId="0" fillId="0" borderId="13" xfId="0" applyNumberFormat="1" applyBorder="1"/>
    <xf numFmtId="38" fontId="1" fillId="0" borderId="14" xfId="0" applyNumberFormat="1" applyFont="1" applyBorder="1"/>
    <xf numFmtId="38" fontId="0" fillId="0" borderId="14" xfId="0" applyNumberFormat="1" applyBorder="1"/>
    <xf numFmtId="38" fontId="1" fillId="0" borderId="10" xfId="0" applyNumberFormat="1" applyFont="1" applyBorder="1"/>
    <xf numFmtId="38" fontId="1" fillId="0" borderId="15" xfId="0" applyNumberFormat="1" applyFont="1" applyBorder="1"/>
    <xf numFmtId="0" fontId="2" fillId="0" borderId="4" xfId="0" applyFont="1" applyBorder="1" applyAlignment="1"/>
    <xf numFmtId="38" fontId="1" fillId="2" borderId="1" xfId="0" applyNumberFormat="1" applyFont="1" applyFill="1" applyBorder="1"/>
    <xf numFmtId="38" fontId="1" fillId="2" borderId="2" xfId="0" applyNumberFormat="1" applyFont="1" applyFill="1" applyBorder="1"/>
    <xf numFmtId="38" fontId="1" fillId="2" borderId="3" xfId="0" applyNumberFormat="1" applyFont="1" applyFill="1" applyBorder="1"/>
    <xf numFmtId="38" fontId="0" fillId="0" borderId="15" xfId="0" applyNumberFormat="1" applyBorder="1"/>
    <xf numFmtId="38" fontId="1" fillId="2" borderId="19" xfId="0" applyNumberFormat="1" applyFont="1" applyFill="1" applyBorder="1"/>
    <xf numFmtId="0" fontId="1" fillId="6" borderId="10" xfId="0" applyFont="1" applyFill="1" applyBorder="1"/>
    <xf numFmtId="38" fontId="1" fillId="0" borderId="5" xfId="0" applyNumberFormat="1" applyFont="1" applyBorder="1"/>
    <xf numFmtId="38" fontId="1" fillId="0" borderId="6" xfId="0" applyNumberFormat="1" applyFont="1" applyBorder="1"/>
    <xf numFmtId="38" fontId="1" fillId="0" borderId="7" xfId="0" applyNumberFormat="1" applyFont="1" applyBorder="1"/>
    <xf numFmtId="38" fontId="1" fillId="0" borderId="13" xfId="0" applyNumberFormat="1" applyFont="1" applyBorder="1"/>
    <xf numFmtId="0" fontId="5" fillId="9" borderId="1" xfId="0" applyFont="1" applyFill="1" applyBorder="1"/>
    <xf numFmtId="0" fontId="1" fillId="9" borderId="10" xfId="0" applyFont="1" applyFill="1" applyBorder="1"/>
    <xf numFmtId="0" fontId="1" fillId="9" borderId="10" xfId="0" applyFont="1" applyFill="1" applyBorder="1" applyAlignment="1">
      <alignment wrapText="1"/>
    </xf>
    <xf numFmtId="0" fontId="1" fillId="0" borderId="14" xfId="0" applyFont="1" applyBorder="1" applyAlignment="1">
      <alignment horizontal="right"/>
    </xf>
    <xf numFmtId="0" fontId="0" fillId="0" borderId="10" xfId="0" applyFill="1" applyBorder="1"/>
    <xf numFmtId="0" fontId="1" fillId="8" borderId="1" xfId="0" applyFont="1" applyFill="1" applyBorder="1"/>
    <xf numFmtId="0" fontId="0" fillId="0" borderId="0" xfId="0"/>
    <xf numFmtId="38" fontId="0" fillId="0" borderId="0" xfId="0" applyNumberFormat="1"/>
    <xf numFmtId="0" fontId="22" fillId="0" borderId="0" xfId="0" applyFont="1"/>
    <xf numFmtId="0" fontId="2" fillId="41" borderId="1" xfId="0" applyFont="1" applyFill="1" applyBorder="1" applyAlignment="1">
      <alignment wrapText="1"/>
    </xf>
    <xf numFmtId="0" fontId="2" fillId="41" borderId="2" xfId="0" applyFont="1" applyFill="1" applyBorder="1"/>
    <xf numFmtId="0" fontId="2" fillId="41" borderId="3" xfId="0" applyFont="1" applyFill="1" applyBorder="1"/>
    <xf numFmtId="0" fontId="0" fillId="0" borderId="5" xfId="0" applyFill="1" applyBorder="1"/>
    <xf numFmtId="0" fontId="0" fillId="0" borderId="6" xfId="0" applyBorder="1"/>
    <xf numFmtId="0" fontId="0" fillId="0" borderId="7" xfId="0" applyBorder="1"/>
    <xf numFmtId="38" fontId="1" fillId="0" borderId="8" xfId="0" applyNumberFormat="1" applyFont="1" applyFill="1" applyBorder="1"/>
    <xf numFmtId="0" fontId="0" fillId="0" borderId="9" xfId="0" applyBorder="1"/>
    <xf numFmtId="0" fontId="0" fillId="0" borderId="8" xfId="0" applyFill="1" applyBorder="1"/>
    <xf numFmtId="38" fontId="0" fillId="0" borderId="8" xfId="0" applyNumberFormat="1" applyFill="1" applyBorder="1"/>
    <xf numFmtId="38" fontId="1" fillId="0" borderId="1" xfId="0" applyNumberFormat="1" applyFont="1" applyFill="1" applyBorder="1"/>
    <xf numFmtId="38" fontId="0" fillId="0" borderId="4" xfId="0" applyNumberFormat="1" applyFill="1" applyBorder="1"/>
    <xf numFmtId="38" fontId="0" fillId="0" borderId="9" xfId="0" applyNumberFormat="1" applyFill="1" applyBorder="1"/>
    <xf numFmtId="38" fontId="0" fillId="0" borderId="12" xfId="0" applyNumberFormat="1" applyFill="1" applyBorder="1"/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/>
    <xf numFmtId="0" fontId="2" fillId="4" borderId="3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2" xfId="0" applyFont="1" applyFill="1" applyBorder="1"/>
    <xf numFmtId="0" fontId="2" fillId="5" borderId="3" xfId="0" applyFont="1" applyFill="1" applyBorder="1"/>
    <xf numFmtId="0" fontId="2" fillId="6" borderId="1" xfId="0" applyFont="1" applyFill="1" applyBorder="1" applyAlignment="1">
      <alignment wrapText="1"/>
    </xf>
    <xf numFmtId="0" fontId="2" fillId="6" borderId="2" xfId="0" applyFont="1" applyFill="1" applyBorder="1"/>
    <xf numFmtId="0" fontId="2" fillId="6" borderId="3" xfId="0" applyFont="1" applyFill="1" applyBorder="1"/>
    <xf numFmtId="0" fontId="2" fillId="8" borderId="1" xfId="0" applyFont="1" applyFill="1" applyBorder="1" applyAlignment="1">
      <alignment wrapText="1"/>
    </xf>
    <xf numFmtId="0" fontId="2" fillId="8" borderId="2" xfId="0" applyFont="1" applyFill="1" applyBorder="1"/>
    <xf numFmtId="0" fontId="2" fillId="8" borderId="3" xfId="0" applyFont="1" applyFill="1" applyBorder="1"/>
    <xf numFmtId="38" fontId="1" fillId="0" borderId="9" xfId="0" applyNumberFormat="1" applyFont="1" applyFill="1" applyBorder="1"/>
    <xf numFmtId="0" fontId="2" fillId="7" borderId="1" xfId="0" applyFont="1" applyFill="1" applyBorder="1" applyAlignment="1">
      <alignment wrapText="1"/>
    </xf>
    <xf numFmtId="0" fontId="2" fillId="7" borderId="2" xfId="0" applyFont="1" applyFill="1" applyBorder="1"/>
    <xf numFmtId="0" fontId="2" fillId="7" borderId="3" xfId="0" applyFont="1" applyFill="1" applyBorder="1"/>
    <xf numFmtId="0" fontId="2" fillId="9" borderId="1" xfId="0" applyFont="1" applyFill="1" applyBorder="1" applyAlignment="1">
      <alignment wrapText="1"/>
    </xf>
    <xf numFmtId="0" fontId="2" fillId="9" borderId="2" xfId="0" applyFont="1" applyFill="1" applyBorder="1"/>
    <xf numFmtId="0" fontId="2" fillId="9" borderId="3" xfId="0" applyFont="1" applyFill="1" applyBorder="1"/>
    <xf numFmtId="0" fontId="22" fillId="0" borderId="0" xfId="0" applyFont="1" applyAlignment="1">
      <alignment horizontal="right"/>
    </xf>
    <xf numFmtId="0" fontId="1" fillId="0" borderId="0" xfId="0" applyFont="1"/>
    <xf numFmtId="0" fontId="1" fillId="42" borderId="1" xfId="0" applyFont="1" applyFill="1" applyBorder="1"/>
    <xf numFmtId="0" fontId="1" fillId="42" borderId="2" xfId="0" applyFont="1" applyFill="1" applyBorder="1"/>
    <xf numFmtId="0" fontId="1" fillId="42" borderId="3" xfId="0" applyFont="1" applyFill="1" applyBorder="1"/>
    <xf numFmtId="0" fontId="2" fillId="42" borderId="1" xfId="0" applyFont="1" applyFill="1" applyBorder="1"/>
    <xf numFmtId="0" fontId="2" fillId="42" borderId="2" xfId="0" applyFont="1" applyFill="1" applyBorder="1"/>
    <xf numFmtId="0" fontId="2" fillId="42" borderId="3" xfId="0" applyFont="1" applyFill="1" applyBorder="1"/>
    <xf numFmtId="0" fontId="1" fillId="42" borderId="10" xfId="0" applyFont="1" applyFill="1" applyBorder="1"/>
    <xf numFmtId="0" fontId="1" fillId="0" borderId="15" xfId="0" applyFont="1" applyBorder="1" applyAlignment="1">
      <alignment horizontal="right"/>
    </xf>
    <xf numFmtId="0" fontId="0" fillId="0" borderId="0" xfId="0" applyAlignment="1">
      <alignment wrapText="1"/>
    </xf>
    <xf numFmtId="10" fontId="0" fillId="0" borderId="0" xfId="0" applyNumberFormat="1"/>
    <xf numFmtId="0" fontId="22" fillId="0" borderId="0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38" fontId="0" fillId="43" borderId="0" xfId="0" applyNumberFormat="1" applyFill="1" applyBorder="1"/>
    <xf numFmtId="38" fontId="0" fillId="43" borderId="9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"/>
  <sheetViews>
    <sheetView tabSelected="1" topLeftCell="A74" zoomScaleNormal="100" workbookViewId="0">
      <selection activeCell="P90" sqref="P90"/>
    </sheetView>
  </sheetViews>
  <sheetFormatPr defaultRowHeight="15" x14ac:dyDescent="0.25"/>
  <cols>
    <col min="1" max="1" width="30.42578125" customWidth="1"/>
    <col min="2" max="2" width="10.5703125" customWidth="1"/>
    <col min="3" max="4" width="10" customWidth="1"/>
    <col min="5" max="5" width="3.42578125" customWidth="1"/>
    <col min="6" max="6" width="10" customWidth="1"/>
    <col min="7" max="7" width="10.42578125" customWidth="1"/>
    <col min="8" max="8" width="11" customWidth="1"/>
    <col min="9" max="9" width="11.28515625" customWidth="1"/>
    <col min="10" max="10" width="9.140625" customWidth="1"/>
    <col min="11" max="11" width="2.7109375" customWidth="1"/>
    <col min="12" max="12" width="15.85546875" customWidth="1"/>
    <col min="13" max="13" width="4.7109375" customWidth="1"/>
    <col min="14" max="14" width="11.7109375" customWidth="1"/>
    <col min="15" max="15" width="11.140625" customWidth="1"/>
    <col min="16" max="16" width="10.42578125" customWidth="1"/>
    <col min="17" max="17" width="10.7109375" customWidth="1"/>
    <col min="18" max="18" width="9.85546875" customWidth="1"/>
    <col min="19" max="19" width="9.42578125" customWidth="1"/>
    <col min="20" max="20" width="14.28515625" bestFit="1" customWidth="1"/>
  </cols>
  <sheetData>
    <row r="1" spans="1:19" ht="18.75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9" ht="18.75" x14ac:dyDescent="0.3">
      <c r="A2" s="140" t="s">
        <v>83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1:19" ht="18.75" x14ac:dyDescent="0.3">
      <c r="A3" s="140" t="s">
        <v>51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19" x14ac:dyDescent="0.25">
      <c r="A4" s="92" t="s">
        <v>55</v>
      </c>
      <c r="B4" s="28"/>
      <c r="C4" s="28"/>
      <c r="D4" s="28"/>
      <c r="E4" s="28"/>
      <c r="F4" s="28"/>
      <c r="G4" s="28"/>
      <c r="H4" s="28"/>
      <c r="I4" s="28"/>
      <c r="J4" s="28"/>
      <c r="L4" s="28"/>
      <c r="M4" s="28"/>
      <c r="N4" s="139" t="s">
        <v>62</v>
      </c>
      <c r="O4" s="139"/>
      <c r="P4" s="139"/>
      <c r="Q4" s="139"/>
      <c r="R4" s="139"/>
    </row>
    <row r="5" spans="1:19" ht="30" x14ac:dyDescent="0.25">
      <c r="A5" s="32" t="s">
        <v>45</v>
      </c>
      <c r="B5" s="33" t="s">
        <v>58</v>
      </c>
      <c r="C5" s="33" t="s">
        <v>59</v>
      </c>
      <c r="D5" s="33" t="s">
        <v>3</v>
      </c>
      <c r="E5" s="1"/>
      <c r="F5" s="33" t="s">
        <v>46</v>
      </c>
      <c r="G5" s="33" t="s">
        <v>47</v>
      </c>
      <c r="H5" s="33" t="s">
        <v>3</v>
      </c>
      <c r="I5" s="34" t="s">
        <v>49</v>
      </c>
      <c r="J5" s="34" t="s">
        <v>4</v>
      </c>
      <c r="L5" s="34" t="s">
        <v>48</v>
      </c>
      <c r="M5" s="67"/>
      <c r="N5" s="93">
        <v>2016</v>
      </c>
      <c r="O5" s="94">
        <v>2017</v>
      </c>
      <c r="P5" s="94">
        <v>2018</v>
      </c>
      <c r="Q5" s="94">
        <v>2019</v>
      </c>
      <c r="R5" s="95">
        <v>2020</v>
      </c>
      <c r="S5" s="136" t="s">
        <v>80</v>
      </c>
    </row>
    <row r="6" spans="1:19" x14ac:dyDescent="0.25">
      <c r="A6" s="18"/>
      <c r="B6" s="8"/>
      <c r="C6" s="4"/>
      <c r="D6" s="5"/>
      <c r="E6" s="6"/>
      <c r="F6" s="8"/>
      <c r="G6" s="4"/>
      <c r="H6" s="4"/>
      <c r="I6" s="4"/>
      <c r="J6" s="5"/>
      <c r="K6" s="2"/>
      <c r="L6" s="68"/>
      <c r="M6" s="55"/>
      <c r="N6" s="96"/>
      <c r="O6" s="97"/>
      <c r="P6" s="97"/>
      <c r="Q6" s="97"/>
      <c r="R6" s="98"/>
      <c r="S6" t="s">
        <v>63</v>
      </c>
    </row>
    <row r="7" spans="1:19" x14ac:dyDescent="0.25">
      <c r="A7" s="19" t="s">
        <v>1</v>
      </c>
      <c r="B7" s="13">
        <f>19293.33</f>
        <v>19293.330000000002</v>
      </c>
      <c r="C7" s="11">
        <f>19417</f>
        <v>19417</v>
      </c>
      <c r="D7" s="25">
        <f>+B7-C7</f>
        <v>-123.66999999999825</v>
      </c>
      <c r="E7" s="11"/>
      <c r="F7" s="13">
        <f>74765.16+29225+19326+19293.33</f>
        <v>142609.49</v>
      </c>
      <c r="G7" s="11">
        <f>76538+29126+19417+19417</f>
        <v>144498</v>
      </c>
      <c r="H7" s="11">
        <f>+F7-G7</f>
        <v>-1888.5100000000093</v>
      </c>
      <c r="I7" s="11">
        <f>251292</f>
        <v>251292</v>
      </c>
      <c r="J7" s="25">
        <f>0</f>
        <v>0</v>
      </c>
      <c r="K7" s="2"/>
      <c r="L7" s="69">
        <f>251292</f>
        <v>251292</v>
      </c>
      <c r="M7" s="30"/>
      <c r="N7" s="99">
        <f>259263</f>
        <v>259263</v>
      </c>
      <c r="O7" s="30">
        <f>269814</f>
        <v>269814</v>
      </c>
      <c r="P7" s="30">
        <f>277910</f>
        <v>277910</v>
      </c>
      <c r="Q7" s="30">
        <f>286248</f>
        <v>286248</v>
      </c>
      <c r="R7" s="119">
        <f>294508</f>
        <v>294508</v>
      </c>
      <c r="S7" s="91">
        <f>N7-I7</f>
        <v>7971</v>
      </c>
    </row>
    <row r="8" spans="1:19" x14ac:dyDescent="0.25">
      <c r="A8" s="20"/>
      <c r="B8" s="9"/>
      <c r="C8" s="6"/>
      <c r="D8" s="7"/>
      <c r="E8" s="6"/>
      <c r="F8" s="9"/>
      <c r="G8" s="6"/>
      <c r="H8" s="6"/>
      <c r="I8" s="6"/>
      <c r="J8" s="7"/>
      <c r="K8" s="2"/>
      <c r="L8" s="70"/>
      <c r="M8" s="55"/>
      <c r="N8" s="102"/>
      <c r="O8" s="55"/>
      <c r="P8" s="55"/>
      <c r="Q8" s="55"/>
      <c r="R8" s="105"/>
    </row>
    <row r="9" spans="1:19" x14ac:dyDescent="0.25">
      <c r="A9" s="21" t="s">
        <v>2</v>
      </c>
      <c r="B9" s="9"/>
      <c r="C9" s="6"/>
      <c r="D9" s="7"/>
      <c r="E9" s="6"/>
      <c r="F9" s="9"/>
      <c r="G9" s="6"/>
      <c r="H9" s="6"/>
      <c r="I9" s="6"/>
      <c r="J9" s="7"/>
      <c r="K9" s="2"/>
      <c r="L9" s="70"/>
      <c r="M9" s="55"/>
      <c r="N9" s="102"/>
      <c r="O9" s="55"/>
      <c r="P9" s="55"/>
      <c r="Q9" s="55"/>
      <c r="R9" s="105"/>
    </row>
    <row r="10" spans="1:19" x14ac:dyDescent="0.25">
      <c r="A10" s="22" t="s">
        <v>13</v>
      </c>
      <c r="B10" s="9">
        <f>180-90</f>
        <v>90</v>
      </c>
      <c r="C10" s="6">
        <f>90</f>
        <v>90</v>
      </c>
      <c r="D10" s="7">
        <f>+B10-C10</f>
        <v>0</v>
      </c>
      <c r="E10" s="6"/>
      <c r="F10" s="9">
        <f>360+19.37+90+180-90</f>
        <v>559.37</v>
      </c>
      <c r="G10" s="6">
        <f>450+90+90</f>
        <v>630</v>
      </c>
      <c r="H10" s="6">
        <f>+F10-G10</f>
        <v>-70.63</v>
      </c>
      <c r="I10" s="6">
        <v>1080</v>
      </c>
      <c r="J10" s="7">
        <f>0</f>
        <v>0</v>
      </c>
      <c r="K10" s="2"/>
      <c r="L10" s="70">
        <f>I10-J10</f>
        <v>1080</v>
      </c>
      <c r="M10" s="55"/>
      <c r="N10" s="102">
        <v>1080</v>
      </c>
      <c r="O10" s="55">
        <v>1080</v>
      </c>
      <c r="P10" s="55">
        <v>1080</v>
      </c>
      <c r="Q10" s="55">
        <v>1080</v>
      </c>
      <c r="R10" s="105">
        <v>1080</v>
      </c>
    </row>
    <row r="11" spans="1:19" s="90" customFormat="1" x14ac:dyDescent="0.25">
      <c r="A11" s="22" t="s">
        <v>52</v>
      </c>
      <c r="B11" s="9">
        <f>0</f>
        <v>0</v>
      </c>
      <c r="C11" s="6">
        <v>0</v>
      </c>
      <c r="D11" s="7">
        <f>+B11-C11</f>
        <v>0</v>
      </c>
      <c r="E11" s="6"/>
      <c r="F11" s="9">
        <f>744.2+638.38+232.29+274.44+1959+312.5+28.91-184.44</f>
        <v>4005.2799999999993</v>
      </c>
      <c r="G11" s="6">
        <f>500+850+800</f>
        <v>2150</v>
      </c>
      <c r="H11" s="6">
        <f>+F11-G11</f>
        <v>1855.2799999999993</v>
      </c>
      <c r="I11" s="6">
        <f>2500+1900+1380+1000</f>
        <v>6780</v>
      </c>
      <c r="J11" s="7">
        <v>4700</v>
      </c>
      <c r="K11" s="91"/>
      <c r="L11" s="70">
        <f>I11-J11</f>
        <v>2080</v>
      </c>
      <c r="M11" s="55"/>
      <c r="N11" s="102">
        <v>6780</v>
      </c>
      <c r="O11" s="142">
        <f>N11+(N11*0.037)</f>
        <v>7030.86</v>
      </c>
      <c r="P11" s="142">
        <f>O11+(O11*0.036)</f>
        <v>7283.9709599999996</v>
      </c>
      <c r="Q11" s="142">
        <f>P11+(P11*0.031)</f>
        <v>7509.7740597599995</v>
      </c>
      <c r="R11" s="143">
        <f>Q11+(Q11*0.028)</f>
        <v>7720.04773343328</v>
      </c>
    </row>
    <row r="12" spans="1:19" s="90" customFormat="1" x14ac:dyDescent="0.25">
      <c r="A12" s="22" t="s">
        <v>26</v>
      </c>
      <c r="B12" s="9">
        <v>60</v>
      </c>
      <c r="C12" s="6">
        <f>5</f>
        <v>5</v>
      </c>
      <c r="D12" s="7">
        <f>+B12-C12</f>
        <v>55</v>
      </c>
      <c r="E12" s="6"/>
      <c r="F12" s="9">
        <f>60</f>
        <v>60</v>
      </c>
      <c r="G12" s="6">
        <f>25+5+5</f>
        <v>35</v>
      </c>
      <c r="H12" s="6">
        <f>+F12-G12</f>
        <v>25</v>
      </c>
      <c r="I12" s="6">
        <v>60</v>
      </c>
      <c r="J12" s="7">
        <f>0</f>
        <v>0</v>
      </c>
      <c r="K12" s="91"/>
      <c r="L12" s="70">
        <f t="shared" ref="L12" si="0">I12-J12</f>
        <v>60</v>
      </c>
      <c r="M12" s="55"/>
      <c r="N12" s="102">
        <v>60</v>
      </c>
      <c r="O12" s="55">
        <v>60</v>
      </c>
      <c r="P12" s="55">
        <v>60</v>
      </c>
      <c r="Q12" s="55">
        <v>60</v>
      </c>
      <c r="R12" s="105">
        <v>60</v>
      </c>
    </row>
    <row r="13" spans="1:19" x14ac:dyDescent="0.25">
      <c r="A13" s="22" t="s">
        <v>53</v>
      </c>
      <c r="B13" s="9">
        <v>0</v>
      </c>
      <c r="C13" s="6">
        <f>42</f>
        <v>42</v>
      </c>
      <c r="D13" s="7">
        <f>+B13-C13</f>
        <v>-42</v>
      </c>
      <c r="E13" s="6"/>
      <c r="F13" s="9">
        <f>0</f>
        <v>0</v>
      </c>
      <c r="G13" s="6">
        <f>210+42+42</f>
        <v>294</v>
      </c>
      <c r="H13" s="6">
        <f>+F13-G13</f>
        <v>-294</v>
      </c>
      <c r="I13" s="6">
        <f>500+1120</f>
        <v>1620</v>
      </c>
      <c r="J13" s="7">
        <f>60+1100</f>
        <v>1160</v>
      </c>
      <c r="K13" s="2"/>
      <c r="L13" s="70">
        <f>I13-J13</f>
        <v>460</v>
      </c>
      <c r="M13" s="55"/>
      <c r="N13" s="102">
        <v>1620</v>
      </c>
      <c r="O13" s="104">
        <v>1620</v>
      </c>
      <c r="P13" s="55">
        <v>1620</v>
      </c>
      <c r="Q13" s="104">
        <v>1620</v>
      </c>
      <c r="R13" s="106">
        <v>1620</v>
      </c>
      <c r="S13" t="s">
        <v>63</v>
      </c>
    </row>
    <row r="14" spans="1:19" x14ac:dyDescent="0.25">
      <c r="A14" s="26" t="s">
        <v>11</v>
      </c>
      <c r="B14" s="16">
        <f>SUM(B10:B13)</f>
        <v>150</v>
      </c>
      <c r="C14" s="14">
        <f>SUM(C10:C13)</f>
        <v>137</v>
      </c>
      <c r="D14" s="17">
        <f>+B14-C14</f>
        <v>13</v>
      </c>
      <c r="E14" s="14"/>
      <c r="F14" s="16">
        <f>SUM(F10:F13)</f>
        <v>4624.6499999999996</v>
      </c>
      <c r="G14" s="14">
        <f>SUM(G10:G13)</f>
        <v>3109</v>
      </c>
      <c r="H14" s="14">
        <f>+F14-G14</f>
        <v>1515.6499999999996</v>
      </c>
      <c r="I14" s="14">
        <f>SUM(I10:I13)</f>
        <v>9540</v>
      </c>
      <c r="J14" s="17">
        <f>SUM(J10:J13)</f>
        <v>5860</v>
      </c>
      <c r="K14" s="11"/>
      <c r="L14" s="71">
        <f>SUM(L10:L13)</f>
        <v>3680</v>
      </c>
      <c r="M14" s="30"/>
      <c r="N14" s="103">
        <f>SUM(N10:N13)</f>
        <v>9540</v>
      </c>
      <c r="O14" s="15">
        <f>SUM(O10:O13)</f>
        <v>9790.86</v>
      </c>
      <c r="P14" s="14">
        <f>SUM(P10:P13)</f>
        <v>10043.970959999999</v>
      </c>
      <c r="Q14" s="15">
        <f>SUM(Q10:Q13)</f>
        <v>10269.774059759999</v>
      </c>
      <c r="R14" s="17">
        <f>SUM(R10:R13)</f>
        <v>10480.047733433279</v>
      </c>
      <c r="S14" s="91">
        <f>N14-I14</f>
        <v>0</v>
      </c>
    </row>
    <row r="15" spans="1:19" x14ac:dyDescent="0.25">
      <c r="A15" s="26"/>
      <c r="B15" s="48"/>
      <c r="C15" s="15"/>
      <c r="D15" s="49"/>
      <c r="E15" s="11"/>
      <c r="F15" s="48"/>
      <c r="G15" s="15"/>
      <c r="H15" s="15"/>
      <c r="I15" s="15"/>
      <c r="J15" s="49"/>
      <c r="K15" s="11"/>
      <c r="L15" s="72"/>
      <c r="M15" s="30"/>
      <c r="N15" s="99"/>
      <c r="O15" s="10"/>
      <c r="P15" s="10"/>
      <c r="Q15" s="10"/>
      <c r="R15" s="100"/>
    </row>
    <row r="16" spans="1:19" ht="15.75" thickBot="1" x14ac:dyDescent="0.3">
      <c r="A16" s="27" t="s">
        <v>50</v>
      </c>
      <c r="B16" s="63">
        <f>B7+B14</f>
        <v>19443.330000000002</v>
      </c>
      <c r="C16" s="64">
        <f>C7+C14</f>
        <v>19554</v>
      </c>
      <c r="D16" s="65">
        <f>+B16-C16</f>
        <v>-110.66999999999825</v>
      </c>
      <c r="E16" s="30"/>
      <c r="F16" s="63">
        <f>+F7+F14</f>
        <v>147234.13999999998</v>
      </c>
      <c r="G16" s="63">
        <f>+G7+G14</f>
        <v>147607</v>
      </c>
      <c r="H16" s="64">
        <f>+F16-G16</f>
        <v>-372.86000000001513</v>
      </c>
      <c r="I16" s="64">
        <f>I7+I14</f>
        <v>260832</v>
      </c>
      <c r="J16" s="65">
        <f>SUM(J14)</f>
        <v>5860</v>
      </c>
      <c r="K16" s="3"/>
      <c r="L16" s="78">
        <f>L7+L14</f>
        <v>254972</v>
      </c>
      <c r="M16" s="30"/>
      <c r="N16" s="63">
        <f>N7+N14</f>
        <v>268803</v>
      </c>
      <c r="O16" s="64">
        <f>O7+O14</f>
        <v>279604.86</v>
      </c>
      <c r="P16" s="64">
        <f t="shared" ref="P16:R16" si="1">P7+P14</f>
        <v>287953.97096000001</v>
      </c>
      <c r="Q16" s="64">
        <f t="shared" si="1"/>
        <v>296517.77405975998</v>
      </c>
      <c r="R16" s="65">
        <f t="shared" si="1"/>
        <v>304988.04773343325</v>
      </c>
    </row>
    <row r="17" spans="1:19" ht="15.75" thickTop="1" x14ac:dyDescent="0.25">
      <c r="A17" s="52"/>
      <c r="B17" s="30"/>
      <c r="C17" s="30"/>
      <c r="D17" s="30"/>
      <c r="E17" s="30"/>
      <c r="F17" s="30"/>
      <c r="G17" s="30"/>
      <c r="H17" s="30"/>
      <c r="I17" s="30"/>
      <c r="J17" s="30"/>
      <c r="K17" s="31"/>
      <c r="L17" s="30"/>
      <c r="M17" s="30"/>
    </row>
    <row r="18" spans="1:19" x14ac:dyDescent="0.25">
      <c r="A18" s="92" t="s">
        <v>56</v>
      </c>
      <c r="B18" s="73"/>
      <c r="C18" s="73"/>
      <c r="D18" s="73"/>
      <c r="E18" s="28"/>
      <c r="F18" s="73"/>
      <c r="G18" s="73"/>
      <c r="H18" s="73"/>
      <c r="I18" s="73"/>
      <c r="J18" s="73"/>
      <c r="L18" s="73"/>
      <c r="M18" s="28"/>
      <c r="N18" s="139" t="s">
        <v>62</v>
      </c>
      <c r="O18" s="139"/>
      <c r="P18" s="139"/>
      <c r="Q18" s="139"/>
      <c r="R18" s="139"/>
    </row>
    <row r="19" spans="1:19" ht="30" x14ac:dyDescent="0.25">
      <c r="A19" s="35" t="s">
        <v>33</v>
      </c>
      <c r="B19" s="36" t="s">
        <v>58</v>
      </c>
      <c r="C19" s="36" t="s">
        <v>60</v>
      </c>
      <c r="D19" s="36" t="s">
        <v>3</v>
      </c>
      <c r="E19" s="1"/>
      <c r="F19" s="36" t="s">
        <v>46</v>
      </c>
      <c r="G19" s="36" t="s">
        <v>47</v>
      </c>
      <c r="H19" s="36" t="s">
        <v>3</v>
      </c>
      <c r="I19" s="37" t="s">
        <v>49</v>
      </c>
      <c r="J19" s="37" t="s">
        <v>4</v>
      </c>
      <c r="L19" s="37" t="s">
        <v>48</v>
      </c>
      <c r="M19" s="67"/>
      <c r="N19" s="107">
        <v>2016</v>
      </c>
      <c r="O19" s="108">
        <v>2017</v>
      </c>
      <c r="P19" s="108">
        <v>2018</v>
      </c>
      <c r="Q19" s="108">
        <v>2019</v>
      </c>
      <c r="R19" s="109">
        <v>2020</v>
      </c>
    </row>
    <row r="20" spans="1:19" x14ac:dyDescent="0.25">
      <c r="A20" s="18"/>
      <c r="B20" s="8"/>
      <c r="C20" s="4"/>
      <c r="D20" s="5"/>
      <c r="E20" s="55"/>
      <c r="F20" s="8"/>
      <c r="G20" s="4"/>
      <c r="H20" s="4"/>
      <c r="I20" s="4"/>
      <c r="J20" s="5"/>
      <c r="K20" s="2"/>
      <c r="L20" s="68"/>
      <c r="M20" s="55"/>
      <c r="N20" s="101"/>
      <c r="O20" s="10"/>
      <c r="P20" s="10"/>
      <c r="Q20" s="10"/>
      <c r="R20" s="100"/>
      <c r="S20" t="s">
        <v>63</v>
      </c>
    </row>
    <row r="21" spans="1:19" x14ac:dyDescent="0.25">
      <c r="A21" s="19" t="s">
        <v>1</v>
      </c>
      <c r="B21" s="13">
        <f>24074.83</f>
        <v>24074.83</v>
      </c>
      <c r="C21" s="11">
        <f>27870+450+342+178</f>
        <v>28840</v>
      </c>
      <c r="D21" s="25">
        <f>+B21-C21</f>
        <v>-4765.1699999999983</v>
      </c>
      <c r="E21" s="30"/>
      <c r="F21" s="13">
        <f>53.22+119668.17-1383.69+43351+24130.83+24074.83</f>
        <v>209894.36000000004</v>
      </c>
      <c r="G21" s="11">
        <f>1748+108654+702+42280+28186+27870+450+342+178</f>
        <v>210410</v>
      </c>
      <c r="H21" s="11">
        <f>+F21-G21</f>
        <v>-515.63999999995576</v>
      </c>
      <c r="I21" s="11">
        <f>369032</f>
        <v>369032</v>
      </c>
      <c r="J21" s="12">
        <f>0</f>
        <v>0</v>
      </c>
      <c r="K21" s="2"/>
      <c r="L21" s="69">
        <f>I21-J21</f>
        <v>369032</v>
      </c>
      <c r="M21" s="30"/>
      <c r="N21" s="99">
        <f>457808</f>
        <v>457808</v>
      </c>
      <c r="O21" s="11">
        <v>475841</v>
      </c>
      <c r="P21" s="11">
        <v>494490</v>
      </c>
      <c r="Q21" s="11">
        <v>509328</v>
      </c>
      <c r="R21" s="25">
        <v>523997</v>
      </c>
      <c r="S21" s="91">
        <f>N21-I21</f>
        <v>88776</v>
      </c>
    </row>
    <row r="22" spans="1:19" x14ac:dyDescent="0.25">
      <c r="A22" s="20"/>
      <c r="B22" s="9"/>
      <c r="C22" s="6"/>
      <c r="D22" s="7"/>
      <c r="E22" s="55"/>
      <c r="F22" s="9"/>
      <c r="G22" s="6"/>
      <c r="H22" s="6"/>
      <c r="I22" s="6"/>
      <c r="J22" s="7"/>
      <c r="K22" s="2"/>
      <c r="L22" s="70"/>
      <c r="M22" s="55"/>
      <c r="N22" s="101"/>
      <c r="O22" s="10"/>
      <c r="P22" s="10"/>
      <c r="Q22" s="10"/>
      <c r="R22" s="100"/>
    </row>
    <row r="23" spans="1:19" x14ac:dyDescent="0.25">
      <c r="A23" s="21" t="s">
        <v>2</v>
      </c>
      <c r="B23" s="9"/>
      <c r="C23" s="6"/>
      <c r="D23" s="7"/>
      <c r="E23" s="55"/>
      <c r="F23" s="9"/>
      <c r="G23" s="6"/>
      <c r="H23" s="6"/>
      <c r="I23" s="6"/>
      <c r="J23" s="7"/>
      <c r="K23" s="2"/>
      <c r="L23" s="70"/>
      <c r="M23" s="55"/>
      <c r="N23" s="101"/>
      <c r="O23" s="10"/>
      <c r="P23" s="10"/>
      <c r="Q23" s="10"/>
      <c r="R23" s="100"/>
    </row>
    <row r="24" spans="1:19" x14ac:dyDescent="0.25">
      <c r="A24" s="22" t="s">
        <v>35</v>
      </c>
      <c r="B24" s="9">
        <f>2475.65+12.88+16.37</f>
        <v>2504.9</v>
      </c>
      <c r="C24" s="6">
        <f>454+175</f>
        <v>629</v>
      </c>
      <c r="D24" s="7">
        <f>+B24-C24</f>
        <v>1875.9</v>
      </c>
      <c r="E24" s="55"/>
      <c r="F24" s="9">
        <f>1220.5+285+34+198-68.31+24.24+709-380+904+2475.65+12.88+16.37</f>
        <v>5431.33</v>
      </c>
      <c r="G24" s="6">
        <f>652+1124+40+332+268+100+368+721+721+454+175</f>
        <v>4955</v>
      </c>
      <c r="H24" s="6">
        <f>+F24-G24</f>
        <v>476.32999999999993</v>
      </c>
      <c r="I24" s="6">
        <f>9649</f>
        <v>9649</v>
      </c>
      <c r="J24" s="7">
        <f>3349</f>
        <v>3349</v>
      </c>
      <c r="K24" s="2"/>
      <c r="L24" s="70">
        <f>I24-J24</f>
        <v>6300</v>
      </c>
      <c r="M24" s="55"/>
      <c r="N24" s="102">
        <f>9649+500+2000</f>
        <v>12149</v>
      </c>
      <c r="O24" s="6">
        <f>9649+500</f>
        <v>10149</v>
      </c>
      <c r="P24" s="142">
        <f>O24+(O24*0.036)</f>
        <v>10514.364</v>
      </c>
      <c r="Q24" s="142">
        <f>P24+(P24*0.031)</f>
        <v>10840.309283999999</v>
      </c>
      <c r="R24" s="143">
        <f>Q24+(Q24*0.028)</f>
        <v>11143.837943951999</v>
      </c>
    </row>
    <row r="25" spans="1:19" s="90" customFormat="1" x14ac:dyDescent="0.25">
      <c r="A25" s="22" t="s">
        <v>54</v>
      </c>
      <c r="B25" s="9">
        <f>0</f>
        <v>0</v>
      </c>
      <c r="C25" s="6">
        <f>0</f>
        <v>0</v>
      </c>
      <c r="D25" s="7">
        <f>+B25-C25</f>
        <v>0</v>
      </c>
      <c r="E25" s="55"/>
      <c r="F25" s="9">
        <f>380+95</f>
        <v>475</v>
      </c>
      <c r="G25" s="6">
        <f>0</f>
        <v>0</v>
      </c>
      <c r="H25" s="6">
        <f>+F25-G25</f>
        <v>475</v>
      </c>
      <c r="I25" s="6">
        <f>0</f>
        <v>0</v>
      </c>
      <c r="J25" s="7">
        <f>0</f>
        <v>0</v>
      </c>
      <c r="K25" s="91"/>
      <c r="L25" s="70">
        <f>I25-J25</f>
        <v>0</v>
      </c>
      <c r="M25" s="55"/>
      <c r="N25" s="102">
        <v>0</v>
      </c>
      <c r="O25" s="10">
        <v>0</v>
      </c>
      <c r="P25" s="10">
        <v>0</v>
      </c>
      <c r="Q25" s="55">
        <v>0</v>
      </c>
      <c r="R25" s="100">
        <v>0</v>
      </c>
    </row>
    <row r="26" spans="1:19" x14ac:dyDescent="0.25">
      <c r="A26" s="22" t="s">
        <v>26</v>
      </c>
      <c r="B26" s="9">
        <f>0</f>
        <v>0</v>
      </c>
      <c r="C26" s="6">
        <f>100</f>
        <v>100</v>
      </c>
      <c r="D26" s="7">
        <f t="shared" ref="D26:D27" si="2">+B26-C26</f>
        <v>-100</v>
      </c>
      <c r="E26" s="55"/>
      <c r="F26" s="9">
        <f>10+360</f>
        <v>370</v>
      </c>
      <c r="G26" s="6">
        <f>400+100+100+100</f>
        <v>700</v>
      </c>
      <c r="H26" s="6">
        <f t="shared" ref="H26:H27" si="3">+F26-G26</f>
        <v>-330</v>
      </c>
      <c r="I26" s="6">
        <f>1200</f>
        <v>1200</v>
      </c>
      <c r="J26" s="7">
        <f>0</f>
        <v>0</v>
      </c>
      <c r="K26" s="2"/>
      <c r="L26" s="70">
        <f>I26-J26</f>
        <v>1200</v>
      </c>
      <c r="M26" s="55"/>
      <c r="N26" s="102">
        <v>1200</v>
      </c>
      <c r="O26" s="6">
        <v>1200</v>
      </c>
      <c r="P26" s="6">
        <v>1200</v>
      </c>
      <c r="Q26" s="55">
        <v>1200</v>
      </c>
      <c r="R26" s="7">
        <v>1200</v>
      </c>
    </row>
    <row r="27" spans="1:19" x14ac:dyDescent="0.25">
      <c r="A27" s="22" t="s">
        <v>34</v>
      </c>
      <c r="B27" s="9">
        <f>98.33+89.5</f>
        <v>187.82999999999998</v>
      </c>
      <c r="C27" s="6">
        <f>83</f>
        <v>83</v>
      </c>
      <c r="D27" s="7">
        <f t="shared" si="2"/>
        <v>104.82999999999998</v>
      </c>
      <c r="E27" s="55"/>
      <c r="F27" s="9">
        <f>647.35+25.1+16.97+98.33+89.5</f>
        <v>877.25000000000011</v>
      </c>
      <c r="G27" s="6">
        <f>332+83+83+83</f>
        <v>581</v>
      </c>
      <c r="H27" s="6">
        <f t="shared" si="3"/>
        <v>296.25000000000011</v>
      </c>
      <c r="I27" s="6">
        <f>1000</f>
        <v>1000</v>
      </c>
      <c r="J27" s="7">
        <f>0</f>
        <v>0</v>
      </c>
      <c r="K27" s="2"/>
      <c r="L27" s="70">
        <f>1000</f>
        <v>1000</v>
      </c>
      <c r="M27" s="55"/>
      <c r="N27" s="102">
        <f>2000</f>
        <v>2000</v>
      </c>
      <c r="O27" s="6">
        <v>2000</v>
      </c>
      <c r="P27" s="6">
        <v>2000</v>
      </c>
      <c r="Q27" s="55">
        <v>2000</v>
      </c>
      <c r="R27" s="7">
        <v>2000</v>
      </c>
      <c r="S27" t="s">
        <v>63</v>
      </c>
    </row>
    <row r="28" spans="1:19" x14ac:dyDescent="0.25">
      <c r="A28" s="26" t="s">
        <v>11</v>
      </c>
      <c r="B28" s="16">
        <f>SUM(B24:B27)</f>
        <v>2692.73</v>
      </c>
      <c r="C28" s="14">
        <f>SUM(C24:C27)</f>
        <v>812</v>
      </c>
      <c r="D28" s="17">
        <f>SUM(D24:D27)</f>
        <v>1880.73</v>
      </c>
      <c r="E28" s="30"/>
      <c r="F28" s="16">
        <f>SUM(F24:F27)</f>
        <v>7153.58</v>
      </c>
      <c r="G28" s="14">
        <f>SUM(G24:G27)</f>
        <v>6236</v>
      </c>
      <c r="H28" s="14">
        <f>+F28-G28</f>
        <v>917.57999999999993</v>
      </c>
      <c r="I28" s="14">
        <f>SUM(I24:I27)</f>
        <v>11849</v>
      </c>
      <c r="J28" s="17">
        <f>SUM(J24:J27)</f>
        <v>3349</v>
      </c>
      <c r="K28" s="11"/>
      <c r="L28" s="71">
        <f>SUM(L24:L27)</f>
        <v>8500</v>
      </c>
      <c r="M28" s="30"/>
      <c r="N28" s="103">
        <f>SUM(N24:N27)</f>
        <v>15349</v>
      </c>
      <c r="O28" s="14">
        <f>SUM(O24:O27)</f>
        <v>13349</v>
      </c>
      <c r="P28" s="14">
        <f>SUM(P24:P27)</f>
        <v>13714.364</v>
      </c>
      <c r="Q28" s="14">
        <f>SUM(Q24:Q27)</f>
        <v>14040.309283999999</v>
      </c>
      <c r="R28" s="17">
        <f>SUM(R24:R27)</f>
        <v>14343.837943951999</v>
      </c>
      <c r="S28" s="91">
        <f>N28-I28</f>
        <v>3500</v>
      </c>
    </row>
    <row r="29" spans="1:19" x14ac:dyDescent="0.25">
      <c r="A29" s="26"/>
      <c r="B29" s="48"/>
      <c r="C29" s="15"/>
      <c r="D29" s="49"/>
      <c r="E29" s="30"/>
      <c r="F29" s="48"/>
      <c r="G29" s="15"/>
      <c r="H29" s="15"/>
      <c r="I29" s="15"/>
      <c r="J29" s="49"/>
      <c r="K29" s="11"/>
      <c r="L29" s="72"/>
      <c r="M29" s="30"/>
      <c r="N29" s="99"/>
      <c r="O29" s="10"/>
      <c r="P29" s="10"/>
      <c r="Q29" s="10"/>
      <c r="R29" s="100"/>
    </row>
    <row r="30" spans="1:19" ht="15.75" thickBot="1" x14ac:dyDescent="0.3">
      <c r="A30" s="27" t="s">
        <v>36</v>
      </c>
      <c r="B30" s="63">
        <f>B21+B28</f>
        <v>26767.56</v>
      </c>
      <c r="C30" s="64">
        <f>C21+C28</f>
        <v>29652</v>
      </c>
      <c r="D30" s="65">
        <f>D21+D28</f>
        <v>-2884.4399999999982</v>
      </c>
      <c r="E30" s="30"/>
      <c r="F30" s="63">
        <f>F21+F28</f>
        <v>217047.94000000003</v>
      </c>
      <c r="G30" s="64">
        <f>G21+G28</f>
        <v>216646</v>
      </c>
      <c r="H30" s="64">
        <f>+F30-G30</f>
        <v>401.94000000003143</v>
      </c>
      <c r="I30" s="64">
        <f>I21+I28</f>
        <v>380881</v>
      </c>
      <c r="J30" s="65">
        <f>SUM(J28)</f>
        <v>3349</v>
      </c>
      <c r="K30" s="3"/>
      <c r="L30" s="78">
        <f>L21+L28</f>
        <v>377532</v>
      </c>
      <c r="M30" s="30"/>
      <c r="N30" s="63">
        <f>N21+N28</f>
        <v>473157</v>
      </c>
      <c r="O30" s="64">
        <f>O21+O28</f>
        <v>489190</v>
      </c>
      <c r="P30" s="64">
        <f t="shared" ref="P30" si="4">P21+P28</f>
        <v>508204.364</v>
      </c>
      <c r="Q30" s="64">
        <f>Q21+Q28</f>
        <v>523368.30928400002</v>
      </c>
      <c r="R30" s="65">
        <f>R21+R28</f>
        <v>538340.83794395195</v>
      </c>
    </row>
    <row r="31" spans="1:19" ht="15.75" thickTop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9" x14ac:dyDescent="0.25">
      <c r="A32" s="92" t="s">
        <v>56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39" t="s">
        <v>62</v>
      </c>
      <c r="O32" s="139"/>
      <c r="P32" s="139"/>
      <c r="Q32" s="139"/>
      <c r="R32" s="139"/>
    </row>
    <row r="33" spans="1:19" ht="30" x14ac:dyDescent="0.25">
      <c r="A33" s="38" t="s">
        <v>5</v>
      </c>
      <c r="B33" s="39" t="s">
        <v>58</v>
      </c>
      <c r="C33" s="39" t="s">
        <v>60</v>
      </c>
      <c r="D33" s="39" t="s">
        <v>3</v>
      </c>
      <c r="E33" s="1"/>
      <c r="F33" s="39" t="s">
        <v>46</v>
      </c>
      <c r="G33" s="39" t="s">
        <v>47</v>
      </c>
      <c r="H33" s="39" t="s">
        <v>3</v>
      </c>
      <c r="I33" s="40" t="s">
        <v>49</v>
      </c>
      <c r="J33" s="40" t="s">
        <v>4</v>
      </c>
      <c r="L33" s="40" t="s">
        <v>48</v>
      </c>
      <c r="M33" s="67"/>
      <c r="N33" s="110">
        <v>2016</v>
      </c>
      <c r="O33" s="111">
        <v>2017</v>
      </c>
      <c r="P33" s="111">
        <v>2018</v>
      </c>
      <c r="Q33" s="111">
        <v>2019</v>
      </c>
      <c r="R33" s="112">
        <v>2020</v>
      </c>
    </row>
    <row r="34" spans="1:19" x14ac:dyDescent="0.25">
      <c r="A34" s="18"/>
      <c r="B34" s="8"/>
      <c r="C34" s="4"/>
      <c r="D34" s="5"/>
      <c r="E34" s="55"/>
      <c r="F34" s="8"/>
      <c r="G34" s="4"/>
      <c r="H34" s="4"/>
      <c r="I34" s="4"/>
      <c r="J34" s="5"/>
      <c r="K34" s="2"/>
      <c r="L34" s="68"/>
      <c r="M34" s="55"/>
      <c r="N34" s="96"/>
      <c r="O34" s="97"/>
      <c r="P34" s="97"/>
      <c r="Q34" s="97"/>
      <c r="R34" s="98"/>
      <c r="S34" t="s">
        <v>63</v>
      </c>
    </row>
    <row r="35" spans="1:19" x14ac:dyDescent="0.25">
      <c r="A35" s="19" t="s">
        <v>1</v>
      </c>
      <c r="B35" s="13">
        <f>3421.67</f>
        <v>3421.67</v>
      </c>
      <c r="C35" s="11">
        <f>3430</f>
        <v>3430</v>
      </c>
      <c r="D35" s="25">
        <f>+B35-C35</f>
        <v>-8.3299999999999272</v>
      </c>
      <c r="E35" s="30"/>
      <c r="F35" s="13">
        <f>18266.59+5133+3421.66+3421.67</f>
        <v>30242.92</v>
      </c>
      <c r="G35" s="11">
        <f>13520+5145+3430+3430</f>
        <v>25525</v>
      </c>
      <c r="H35" s="11">
        <f>+F35-G35</f>
        <v>4717.9199999999983</v>
      </c>
      <c r="I35" s="11">
        <f>44390</f>
        <v>44390</v>
      </c>
      <c r="J35" s="25">
        <f>0</f>
        <v>0</v>
      </c>
      <c r="K35" s="2"/>
      <c r="L35" s="69">
        <f>+I35-J35</f>
        <v>44390</v>
      </c>
      <c r="M35" s="30"/>
      <c r="N35" s="13">
        <f>45608</f>
        <v>45608</v>
      </c>
      <c r="O35" s="11">
        <f>46978</f>
        <v>46978</v>
      </c>
      <c r="P35" s="11">
        <f>48388</f>
        <v>48388</v>
      </c>
      <c r="Q35" s="11">
        <f>49840</f>
        <v>49840</v>
      </c>
      <c r="R35" s="25">
        <f>51281</f>
        <v>51281</v>
      </c>
      <c r="S35" s="91">
        <f>N35-I35</f>
        <v>1218</v>
      </c>
    </row>
    <row r="36" spans="1:19" x14ac:dyDescent="0.25">
      <c r="A36" s="20"/>
      <c r="B36" s="9"/>
      <c r="C36" s="6"/>
      <c r="D36" s="7"/>
      <c r="E36" s="55"/>
      <c r="F36" s="9"/>
      <c r="G36" s="6"/>
      <c r="H36" s="6"/>
      <c r="I36" s="6"/>
      <c r="J36" s="7"/>
      <c r="K36" s="2"/>
      <c r="L36" s="70"/>
      <c r="M36" s="55"/>
      <c r="N36" s="101"/>
      <c r="O36" s="10"/>
      <c r="P36" s="10"/>
      <c r="Q36" s="10"/>
      <c r="R36" s="100"/>
    </row>
    <row r="37" spans="1:19" x14ac:dyDescent="0.25">
      <c r="A37" s="21" t="s">
        <v>2</v>
      </c>
      <c r="B37" s="9"/>
      <c r="C37" s="6"/>
      <c r="D37" s="7"/>
      <c r="E37" s="55"/>
      <c r="F37" s="9"/>
      <c r="G37" s="6"/>
      <c r="H37" s="6"/>
      <c r="I37" s="6"/>
      <c r="J37" s="7"/>
      <c r="K37" s="2"/>
      <c r="L37" s="70"/>
      <c r="M37" s="55"/>
      <c r="N37" s="101"/>
      <c r="O37" s="10"/>
      <c r="P37" s="10"/>
      <c r="Q37" s="10"/>
      <c r="R37" s="100"/>
    </row>
    <row r="38" spans="1:19" x14ac:dyDescent="0.25">
      <c r="A38" s="22" t="s">
        <v>9</v>
      </c>
      <c r="B38" s="9">
        <f>15.25</f>
        <v>15.25</v>
      </c>
      <c r="C38" s="6">
        <f>8</f>
        <v>8</v>
      </c>
      <c r="D38" s="7">
        <f>+B38-C38</f>
        <v>7.25</v>
      </c>
      <c r="E38" s="55"/>
      <c r="F38" s="9">
        <f>15.25</f>
        <v>15.25</v>
      </c>
      <c r="G38" s="6">
        <f>32+8+8+8</f>
        <v>56</v>
      </c>
      <c r="H38" s="6">
        <f>+F38-G38</f>
        <v>-40.75</v>
      </c>
      <c r="I38" s="6">
        <f>100</f>
        <v>100</v>
      </c>
      <c r="J38" s="7">
        <f>0</f>
        <v>0</v>
      </c>
      <c r="K38" s="2"/>
      <c r="L38" s="70">
        <f>+I38-J38</f>
        <v>100</v>
      </c>
      <c r="M38" s="55"/>
      <c r="N38" s="102">
        <v>0</v>
      </c>
      <c r="O38" s="10">
        <v>0</v>
      </c>
      <c r="P38" s="10">
        <v>0</v>
      </c>
      <c r="Q38" s="55">
        <v>0</v>
      </c>
      <c r="R38" s="100">
        <v>0</v>
      </c>
    </row>
    <row r="39" spans="1:19" x14ac:dyDescent="0.25">
      <c r="A39" s="20" t="s">
        <v>6</v>
      </c>
      <c r="B39" s="9">
        <f>5910.99</f>
        <v>5910.99</v>
      </c>
      <c r="C39" s="6">
        <f>7506</f>
        <v>7506</v>
      </c>
      <c r="D39" s="7">
        <f t="shared" ref="D39:D41" si="5">+B39-C39</f>
        <v>-1595.0100000000002</v>
      </c>
      <c r="E39" s="55"/>
      <c r="F39" s="9">
        <f>43932.58+81.06+7292+8190+5910.99</f>
        <v>65406.63</v>
      </c>
      <c r="G39" s="6">
        <f>30024+7506+7506+7506</f>
        <v>52542</v>
      </c>
      <c r="H39" s="6">
        <f>+F39-G39</f>
        <v>12864.629999999997</v>
      </c>
      <c r="I39" s="6">
        <f>90000</f>
        <v>90000</v>
      </c>
      <c r="J39" s="7">
        <f>0</f>
        <v>0</v>
      </c>
      <c r="K39" s="2"/>
      <c r="L39" s="70">
        <f>+I39-J39</f>
        <v>90000</v>
      </c>
      <c r="M39" s="55"/>
      <c r="N39" s="102">
        <f>108000</f>
        <v>108000</v>
      </c>
      <c r="O39" s="6">
        <v>108000</v>
      </c>
      <c r="P39" s="6">
        <f>O39+(O39*0.03)</f>
        <v>111240</v>
      </c>
      <c r="Q39" s="55">
        <f>P39</f>
        <v>111240</v>
      </c>
      <c r="R39" s="7">
        <f>Q39+(Q39*0.03)</f>
        <v>114577.2</v>
      </c>
    </row>
    <row r="40" spans="1:19" x14ac:dyDescent="0.25">
      <c r="A40" s="20" t="s">
        <v>7</v>
      </c>
      <c r="B40" s="9">
        <f>31294.92</f>
        <v>31294.92</v>
      </c>
      <c r="C40" s="6">
        <f>40000</f>
        <v>40000</v>
      </c>
      <c r="D40" s="7">
        <f t="shared" si="5"/>
        <v>-8705.0800000000017</v>
      </c>
      <c r="E40" s="55"/>
      <c r="F40" s="9">
        <f>168455.01-37158.3+31795+34178+31294.92</f>
        <v>228564.63</v>
      </c>
      <c r="G40" s="6">
        <f>172000+44000+35000+40000</f>
        <v>291000</v>
      </c>
      <c r="H40" s="6">
        <f>+F40-G40</f>
        <v>-62435.369999999995</v>
      </c>
      <c r="I40" s="6">
        <f>530000</f>
        <v>530000</v>
      </c>
      <c r="J40" s="7">
        <f>0</f>
        <v>0</v>
      </c>
      <c r="K40" s="2"/>
      <c r="L40" s="70">
        <f>+I40-J40</f>
        <v>530000</v>
      </c>
      <c r="M40" s="55"/>
      <c r="N40" s="102">
        <v>575000</v>
      </c>
      <c r="O40" s="6">
        <v>575000</v>
      </c>
      <c r="P40" s="6">
        <f>O40+(O40*0.03)</f>
        <v>592250</v>
      </c>
      <c r="Q40" s="55">
        <f>P40+(P40*0.03)</f>
        <v>610017.5</v>
      </c>
      <c r="R40" s="7">
        <f>Q40+(Q40*0.03)</f>
        <v>628318.02500000002</v>
      </c>
    </row>
    <row r="41" spans="1:19" x14ac:dyDescent="0.25">
      <c r="A41" s="20" t="s">
        <v>8</v>
      </c>
      <c r="B41" s="9">
        <f>0</f>
        <v>0</v>
      </c>
      <c r="C41" s="6">
        <f>0</f>
        <v>0</v>
      </c>
      <c r="D41" s="7">
        <f t="shared" si="5"/>
        <v>0</v>
      </c>
      <c r="E41" s="55"/>
      <c r="F41" s="9">
        <f>0</f>
        <v>0</v>
      </c>
      <c r="G41" s="6">
        <f>0</f>
        <v>0</v>
      </c>
      <c r="H41" s="6">
        <f>+F41-G41</f>
        <v>0</v>
      </c>
      <c r="I41" s="6">
        <f>50000</f>
        <v>50000</v>
      </c>
      <c r="J41" s="7">
        <f>0</f>
        <v>0</v>
      </c>
      <c r="K41" s="6"/>
      <c r="L41" s="77">
        <f>+I41-J41</f>
        <v>50000</v>
      </c>
      <c r="M41" s="55"/>
      <c r="N41" s="102">
        <v>50000</v>
      </c>
      <c r="O41" s="6">
        <v>50000</v>
      </c>
      <c r="P41" s="6">
        <v>50000</v>
      </c>
      <c r="Q41" s="55">
        <v>50000</v>
      </c>
      <c r="R41" s="7">
        <v>50000</v>
      </c>
      <c r="S41" t="s">
        <v>63</v>
      </c>
    </row>
    <row r="42" spans="1:19" x14ac:dyDescent="0.25">
      <c r="A42" s="26" t="s">
        <v>11</v>
      </c>
      <c r="B42" s="16">
        <f>SUM(B38:B41)</f>
        <v>37221.159999999996</v>
      </c>
      <c r="C42" s="14">
        <f>SUM(C38:C41)</f>
        <v>47514</v>
      </c>
      <c r="D42" s="17">
        <f>SUM(D38:D41)</f>
        <v>-10292.840000000002</v>
      </c>
      <c r="E42" s="30"/>
      <c r="F42" s="16">
        <f>SUM(F38:F41)</f>
        <v>293986.51</v>
      </c>
      <c r="G42" s="14">
        <f>SUM(G38:G41)</f>
        <v>343598</v>
      </c>
      <c r="H42" s="14">
        <f>+F42-G42</f>
        <v>-49611.489999999991</v>
      </c>
      <c r="I42" s="14">
        <f>SUM(I38:I41)</f>
        <v>670100</v>
      </c>
      <c r="J42" s="17">
        <f>SUM(J38:J41)</f>
        <v>0</v>
      </c>
      <c r="K42" s="11"/>
      <c r="L42" s="72">
        <f>SUM(L38:L41)</f>
        <v>670100</v>
      </c>
      <c r="M42" s="30"/>
      <c r="N42" s="16">
        <f>SUM(N38:N41)</f>
        <v>733000</v>
      </c>
      <c r="O42" s="14">
        <f>SUM(O38:O41)</f>
        <v>733000</v>
      </c>
      <c r="P42" s="14">
        <f>SUM(P38:P41)</f>
        <v>753490</v>
      </c>
      <c r="Q42" s="14">
        <f>SUM(Q38:Q41)</f>
        <v>771257.5</v>
      </c>
      <c r="R42" s="17">
        <f>SUM(R38:R41)</f>
        <v>792895.22499999998</v>
      </c>
      <c r="S42" s="91">
        <f>N42-I42</f>
        <v>62900</v>
      </c>
    </row>
    <row r="43" spans="1:19" x14ac:dyDescent="0.25">
      <c r="A43" s="26"/>
      <c r="B43" s="48"/>
      <c r="C43" s="15"/>
      <c r="D43" s="49"/>
      <c r="E43" s="30"/>
      <c r="F43" s="48"/>
      <c r="G43" s="15"/>
      <c r="H43" s="15"/>
      <c r="I43" s="15"/>
      <c r="J43" s="49"/>
      <c r="K43" s="11"/>
      <c r="L43" s="72"/>
      <c r="M43" s="30"/>
      <c r="N43" s="101"/>
      <c r="O43" s="10"/>
      <c r="P43" s="10"/>
      <c r="Q43" s="10"/>
      <c r="R43" s="100"/>
    </row>
    <row r="44" spans="1:19" ht="15.75" thickBot="1" x14ac:dyDescent="0.3">
      <c r="A44" s="27" t="s">
        <v>12</v>
      </c>
      <c r="B44" s="63">
        <f>B35+B42</f>
        <v>40642.829999999994</v>
      </c>
      <c r="C44" s="64">
        <f>C35+C42</f>
        <v>50944</v>
      </c>
      <c r="D44" s="65">
        <f>+B44-C44</f>
        <v>-10301.170000000006</v>
      </c>
      <c r="E44" s="30"/>
      <c r="F44" s="63">
        <f>+F35+F42</f>
        <v>324229.43</v>
      </c>
      <c r="G44" s="64">
        <f>+G35+G42</f>
        <v>369123</v>
      </c>
      <c r="H44" s="64">
        <f>+F44-G44</f>
        <v>-44893.570000000007</v>
      </c>
      <c r="I44" s="64">
        <f>I35+I42</f>
        <v>714490</v>
      </c>
      <c r="J44" s="65">
        <f>SUM(J42)</f>
        <v>0</v>
      </c>
      <c r="K44" s="3"/>
      <c r="L44" s="78">
        <f>+L35+L42</f>
        <v>714490</v>
      </c>
      <c r="M44" s="30"/>
      <c r="N44" s="63">
        <f>N35+N42</f>
        <v>778608</v>
      </c>
      <c r="O44" s="64">
        <f>O35+O42</f>
        <v>779978</v>
      </c>
      <c r="P44" s="64">
        <f>P35+P42</f>
        <v>801878</v>
      </c>
      <c r="Q44" s="64">
        <f>Q35+Q42</f>
        <v>821097.5</v>
      </c>
      <c r="R44" s="65">
        <f>R35+R42</f>
        <v>844176.22499999998</v>
      </c>
    </row>
    <row r="45" spans="1:19" ht="15.75" thickTop="1" x14ac:dyDescent="0.2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1"/>
      <c r="L45" s="30"/>
      <c r="M45" s="30"/>
      <c r="N45" s="30"/>
    </row>
    <row r="46" spans="1:19" x14ac:dyDescent="0.25">
      <c r="A46" s="92" t="s">
        <v>57</v>
      </c>
      <c r="B46" s="30"/>
      <c r="C46" s="30"/>
      <c r="D46" s="30"/>
      <c r="E46" s="30"/>
      <c r="F46" s="30"/>
      <c r="G46" s="30"/>
      <c r="H46" s="30"/>
      <c r="I46" s="30"/>
      <c r="J46" s="30"/>
      <c r="K46" s="31"/>
      <c r="L46" s="30"/>
      <c r="M46" s="30"/>
      <c r="N46" s="139" t="s">
        <v>62</v>
      </c>
      <c r="O46" s="139"/>
      <c r="P46" s="139"/>
      <c r="Q46" s="139"/>
      <c r="R46" s="139"/>
    </row>
    <row r="47" spans="1:19" ht="30" x14ac:dyDescent="0.25">
      <c r="A47" s="41" t="s">
        <v>10</v>
      </c>
      <c r="B47" s="79" t="s">
        <v>58</v>
      </c>
      <c r="C47" s="79" t="s">
        <v>60</v>
      </c>
      <c r="D47" s="79" t="s">
        <v>3</v>
      </c>
      <c r="E47" s="67"/>
      <c r="F47" s="79" t="s">
        <v>46</v>
      </c>
      <c r="G47" s="79" t="s">
        <v>47</v>
      </c>
      <c r="H47" s="79" t="s">
        <v>3</v>
      </c>
      <c r="I47" s="42" t="s">
        <v>49</v>
      </c>
      <c r="J47" s="42" t="s">
        <v>4</v>
      </c>
      <c r="L47" s="42" t="s">
        <v>48</v>
      </c>
      <c r="M47" s="1"/>
      <c r="N47" s="113">
        <v>2016</v>
      </c>
      <c r="O47" s="114">
        <v>2017</v>
      </c>
      <c r="P47" s="114">
        <v>2018</v>
      </c>
      <c r="Q47" s="114">
        <v>2019</v>
      </c>
      <c r="R47" s="115">
        <v>2020</v>
      </c>
    </row>
    <row r="48" spans="1:19" x14ac:dyDescent="0.25">
      <c r="A48" s="57"/>
      <c r="B48" s="8"/>
      <c r="C48" s="4"/>
      <c r="D48" s="5"/>
      <c r="E48" s="55"/>
      <c r="F48" s="9"/>
      <c r="G48" s="6"/>
      <c r="H48" s="6"/>
      <c r="I48" s="55"/>
      <c r="J48" s="7"/>
      <c r="K48" s="2"/>
      <c r="L48" s="68"/>
      <c r="M48" s="6"/>
      <c r="N48" s="53"/>
      <c r="O48" s="10"/>
      <c r="P48" s="10"/>
      <c r="Q48" s="10"/>
      <c r="R48" s="100"/>
      <c r="S48" t="s">
        <v>63</v>
      </c>
    </row>
    <row r="49" spans="1:20" x14ac:dyDescent="0.25">
      <c r="A49" s="58" t="s">
        <v>1</v>
      </c>
      <c r="B49" s="13">
        <v>20479.05</v>
      </c>
      <c r="C49" s="11">
        <f>28102</f>
        <v>28102</v>
      </c>
      <c r="D49" s="25">
        <f>+B49-C49</f>
        <v>-7622.9500000000007</v>
      </c>
      <c r="E49" s="30"/>
      <c r="F49" s="13">
        <f>78201.27+38764+25461.62+20479</f>
        <v>162905.89000000001</v>
      </c>
      <c r="G49" s="11">
        <f>110772+42154+28102+28102</f>
        <v>209130</v>
      </c>
      <c r="H49" s="11">
        <f>+F49-G49</f>
        <v>-46224.109999999986</v>
      </c>
      <c r="I49" s="30">
        <f>363692</f>
        <v>363692</v>
      </c>
      <c r="J49" s="12">
        <f>0</f>
        <v>0</v>
      </c>
      <c r="K49" s="2"/>
      <c r="L49" s="69">
        <f>+I49-J49</f>
        <v>363692</v>
      </c>
      <c r="M49" s="6"/>
      <c r="N49" s="13">
        <f>350719</f>
        <v>350719</v>
      </c>
      <c r="O49" s="11">
        <f>363616</f>
        <v>363616</v>
      </c>
      <c r="P49" s="11">
        <f>376044</f>
        <v>376044</v>
      </c>
      <c r="Q49" s="30">
        <f>388132</f>
        <v>388132</v>
      </c>
      <c r="R49" s="25">
        <f>399319</f>
        <v>399319</v>
      </c>
      <c r="S49" s="91">
        <f>N49-I49</f>
        <v>-12973</v>
      </c>
    </row>
    <row r="50" spans="1:20" x14ac:dyDescent="0.25">
      <c r="A50" s="53"/>
      <c r="B50" s="9"/>
      <c r="C50" s="6"/>
      <c r="D50" s="7"/>
      <c r="E50" s="55"/>
      <c r="F50" s="9"/>
      <c r="G50" s="6"/>
      <c r="H50" s="6"/>
      <c r="I50" s="55"/>
      <c r="J50" s="7"/>
      <c r="K50" s="2"/>
      <c r="L50" s="70"/>
      <c r="M50" s="6"/>
      <c r="N50" s="53"/>
      <c r="O50" s="10"/>
      <c r="P50" s="10"/>
      <c r="Q50" s="10"/>
      <c r="R50" s="100"/>
    </row>
    <row r="51" spans="1:20" x14ac:dyDescent="0.25">
      <c r="A51" s="59" t="s">
        <v>2</v>
      </c>
      <c r="B51" s="9"/>
      <c r="C51" s="6"/>
      <c r="D51" s="7"/>
      <c r="E51" s="55"/>
      <c r="F51" s="9"/>
      <c r="G51" s="6"/>
      <c r="H51" s="6"/>
      <c r="I51" s="55"/>
      <c r="J51" s="7"/>
      <c r="K51" s="2"/>
      <c r="L51" s="70"/>
      <c r="M51" s="24"/>
      <c r="N51" s="53"/>
      <c r="O51" s="10"/>
      <c r="P51" s="10"/>
      <c r="Q51" s="10"/>
      <c r="R51" s="100"/>
    </row>
    <row r="52" spans="1:20" x14ac:dyDescent="0.25">
      <c r="A52" s="60" t="s">
        <v>24</v>
      </c>
      <c r="B52" s="9">
        <f>52.77</f>
        <v>52.77</v>
      </c>
      <c r="C52" s="6">
        <f>527+83</f>
        <v>610</v>
      </c>
      <c r="D52" s="7">
        <f>+B52-C52</f>
        <v>-557.23</v>
      </c>
      <c r="E52" s="55"/>
      <c r="F52" s="9">
        <f>1041+59.34+181.42+280.49+93.88+212+1644+52.77</f>
        <v>3564.9</v>
      </c>
      <c r="G52" s="6">
        <f>4270</f>
        <v>4270</v>
      </c>
      <c r="H52" s="6">
        <f>+F52-G52</f>
        <v>-705.09999999999991</v>
      </c>
      <c r="I52" s="6">
        <f>1000+7000+5000+1000+530</f>
        <v>14530</v>
      </c>
      <c r="J52" s="7">
        <f>8900</f>
        <v>8900</v>
      </c>
      <c r="K52" s="2"/>
      <c r="L52" s="70">
        <f>+I52-J52</f>
        <v>5630</v>
      </c>
      <c r="M52" s="24"/>
      <c r="N52" s="102">
        <v>16530</v>
      </c>
      <c r="O52" s="142">
        <f>N52+(N52*0.037)</f>
        <v>17141.61</v>
      </c>
      <c r="P52" s="142">
        <f>O52+(O52*0.036)</f>
        <v>17758.70796</v>
      </c>
      <c r="Q52" s="142">
        <f>P52+(P52*0.031)</f>
        <v>18309.227906759999</v>
      </c>
      <c r="R52" s="143">
        <f>Q52+(Q52*0.028)</f>
        <v>18821.886288149279</v>
      </c>
      <c r="T52" s="55"/>
    </row>
    <row r="53" spans="1:20" x14ac:dyDescent="0.25">
      <c r="A53" s="60" t="s">
        <v>25</v>
      </c>
      <c r="B53" s="9">
        <f>0</f>
        <v>0</v>
      </c>
      <c r="C53" s="6">
        <f>284</f>
        <v>284</v>
      </c>
      <c r="D53" s="7">
        <f t="shared" ref="D53:D60" si="6">+B53-C53</f>
        <v>-284</v>
      </c>
      <c r="E53" s="55"/>
      <c r="F53" s="9">
        <f>0</f>
        <v>0</v>
      </c>
      <c r="G53" s="6">
        <f>284</f>
        <v>284</v>
      </c>
      <c r="H53" s="6">
        <f>+F53-G53</f>
        <v>-284</v>
      </c>
      <c r="I53" s="6">
        <f>3400</f>
        <v>3400</v>
      </c>
      <c r="J53" s="7">
        <f>2650</f>
        <v>2650</v>
      </c>
      <c r="K53" s="2"/>
      <c r="L53" s="70">
        <f t="shared" ref="L53:L60" si="7">+I53-J53</f>
        <v>750</v>
      </c>
      <c r="M53" s="24"/>
      <c r="N53" s="102">
        <v>3400</v>
      </c>
      <c r="O53" s="6">
        <v>3400</v>
      </c>
      <c r="P53" s="6">
        <v>3400</v>
      </c>
      <c r="Q53" s="55">
        <v>3400</v>
      </c>
      <c r="R53" s="7">
        <v>3400</v>
      </c>
    </row>
    <row r="54" spans="1:20" x14ac:dyDescent="0.25">
      <c r="A54" s="53" t="s">
        <v>13</v>
      </c>
      <c r="B54" s="9">
        <f>1407.98</f>
        <v>1407.98</v>
      </c>
      <c r="C54" s="6">
        <f>771+125+142+83</f>
        <v>1121</v>
      </c>
      <c r="D54" s="7">
        <f t="shared" si="6"/>
        <v>286.98</v>
      </c>
      <c r="E54" s="55"/>
      <c r="F54" s="9">
        <f>2155.18+1450+2868+1407.98</f>
        <v>7881.16</v>
      </c>
      <c r="G54" s="6">
        <f>4482+1121+1121+1121</f>
        <v>7845</v>
      </c>
      <c r="H54" s="6">
        <f>+F54-G54</f>
        <v>36.159999999999854</v>
      </c>
      <c r="I54" s="6">
        <f>1500+8250+1700+1000</f>
        <v>12450</v>
      </c>
      <c r="J54" s="7">
        <f>0</f>
        <v>0</v>
      </c>
      <c r="K54" s="2"/>
      <c r="L54" s="70">
        <f t="shared" si="7"/>
        <v>12450</v>
      </c>
      <c r="M54" s="55"/>
      <c r="N54" s="102">
        <v>18000</v>
      </c>
      <c r="O54" s="142">
        <f>N54+(N54*3.7%)</f>
        <v>18666</v>
      </c>
      <c r="P54" s="142">
        <f>O54+(O54*3.6%)</f>
        <v>19337.975999999999</v>
      </c>
      <c r="Q54" s="142">
        <f>P54+(P54*3.1%)</f>
        <v>19937.453255999997</v>
      </c>
      <c r="R54" s="143">
        <f>Q54+(Q54*2.8%)</f>
        <v>20495.701947167996</v>
      </c>
    </row>
    <row r="55" spans="1:20" s="90" customFormat="1" x14ac:dyDescent="0.25">
      <c r="A55" s="53" t="s">
        <v>64</v>
      </c>
      <c r="B55" s="9">
        <v>0</v>
      </c>
      <c r="C55" s="6">
        <v>0</v>
      </c>
      <c r="D55" s="7">
        <f t="shared" si="6"/>
        <v>0</v>
      </c>
      <c r="E55" s="55"/>
      <c r="F55" s="9">
        <v>0</v>
      </c>
      <c r="G55" s="6">
        <v>0</v>
      </c>
      <c r="H55" s="6">
        <f>+F55-G55</f>
        <v>0</v>
      </c>
      <c r="I55" s="6">
        <v>0</v>
      </c>
      <c r="J55" s="7">
        <v>0</v>
      </c>
      <c r="K55" s="91"/>
      <c r="L55" s="70">
        <v>0</v>
      </c>
      <c r="M55" s="55"/>
      <c r="N55" s="102">
        <f>1500</f>
        <v>1500</v>
      </c>
      <c r="O55" s="6">
        <v>1500</v>
      </c>
      <c r="P55" s="6">
        <v>1500</v>
      </c>
      <c r="Q55" s="55">
        <v>1500</v>
      </c>
      <c r="R55" s="7">
        <v>1500</v>
      </c>
    </row>
    <row r="56" spans="1:20" x14ac:dyDescent="0.25">
      <c r="A56" s="53" t="s">
        <v>26</v>
      </c>
      <c r="B56" s="9">
        <f>420</f>
        <v>420</v>
      </c>
      <c r="C56" s="6">
        <f>200</f>
        <v>200</v>
      </c>
      <c r="D56" s="7">
        <f t="shared" si="6"/>
        <v>220</v>
      </c>
      <c r="E56" s="55"/>
      <c r="F56" s="9">
        <f>310+420</f>
        <v>730</v>
      </c>
      <c r="G56" s="6">
        <f>200+400+200</f>
        <v>800</v>
      </c>
      <c r="H56" s="6">
        <f t="shared" ref="H56:H58" si="8">+F56-G56</f>
        <v>-70</v>
      </c>
      <c r="I56" s="6">
        <f>1000</f>
        <v>1000</v>
      </c>
      <c r="J56" s="7">
        <f>0</f>
        <v>0</v>
      </c>
      <c r="K56" s="2"/>
      <c r="L56" s="70">
        <f t="shared" si="7"/>
        <v>1000</v>
      </c>
      <c r="M56" s="24"/>
      <c r="N56" s="102">
        <f>2285</f>
        <v>2285</v>
      </c>
      <c r="O56" s="6">
        <f>2285</f>
        <v>2285</v>
      </c>
      <c r="P56" s="6">
        <f>2285</f>
        <v>2285</v>
      </c>
      <c r="Q56" s="55">
        <f>2285</f>
        <v>2285</v>
      </c>
      <c r="R56" s="7">
        <f>2285</f>
        <v>2285</v>
      </c>
    </row>
    <row r="57" spans="1:20" s="90" customFormat="1" x14ac:dyDescent="0.25">
      <c r="A57" s="53" t="s">
        <v>81</v>
      </c>
      <c r="B57" s="9">
        <v>0</v>
      </c>
      <c r="C57" s="6">
        <f>0</f>
        <v>0</v>
      </c>
      <c r="D57" s="7">
        <f t="shared" si="6"/>
        <v>0</v>
      </c>
      <c r="E57" s="55"/>
      <c r="F57" s="9">
        <f>756</f>
        <v>756</v>
      </c>
      <c r="G57" s="6">
        <f>0</f>
        <v>0</v>
      </c>
      <c r="H57" s="6">
        <f t="shared" si="8"/>
        <v>756</v>
      </c>
      <c r="I57" s="6">
        <f>0</f>
        <v>0</v>
      </c>
      <c r="J57" s="7">
        <f>0</f>
        <v>0</v>
      </c>
      <c r="K57" s="91"/>
      <c r="L57" s="70">
        <f t="shared" si="7"/>
        <v>0</v>
      </c>
      <c r="M57" s="24"/>
      <c r="N57" s="53">
        <v>0</v>
      </c>
      <c r="O57" s="10">
        <v>0</v>
      </c>
      <c r="P57" s="10">
        <v>0</v>
      </c>
      <c r="Q57" s="56">
        <v>0</v>
      </c>
      <c r="R57" s="100">
        <v>0</v>
      </c>
    </row>
    <row r="58" spans="1:20" x14ac:dyDescent="0.25">
      <c r="A58" s="53" t="s">
        <v>27</v>
      </c>
      <c r="B58" s="9">
        <v>0</v>
      </c>
      <c r="C58" s="6">
        <f>167</f>
        <v>167</v>
      </c>
      <c r="D58" s="7">
        <f t="shared" si="6"/>
        <v>-167</v>
      </c>
      <c r="E58" s="55"/>
      <c r="F58" s="9">
        <f>411+202</f>
        <v>613</v>
      </c>
      <c r="G58" s="6">
        <f>835+167+167</f>
        <v>1169</v>
      </c>
      <c r="H58" s="6">
        <f t="shared" si="8"/>
        <v>-556</v>
      </c>
      <c r="I58" s="6">
        <v>2000</v>
      </c>
      <c r="J58" s="7">
        <v>250</v>
      </c>
      <c r="K58" s="2"/>
      <c r="L58" s="70">
        <f t="shared" si="7"/>
        <v>1750</v>
      </c>
      <c r="M58" s="24"/>
      <c r="N58" s="102">
        <v>2000</v>
      </c>
      <c r="O58" s="6">
        <v>2000</v>
      </c>
      <c r="P58" s="6">
        <v>2000</v>
      </c>
      <c r="Q58" s="55">
        <v>2000</v>
      </c>
      <c r="R58" s="7">
        <v>2000</v>
      </c>
    </row>
    <row r="59" spans="1:20" x14ac:dyDescent="0.25">
      <c r="A59" s="53" t="s">
        <v>32</v>
      </c>
      <c r="B59" s="9">
        <v>0</v>
      </c>
      <c r="C59" s="6">
        <f>167</f>
        <v>167</v>
      </c>
      <c r="D59" s="7">
        <f t="shared" si="6"/>
        <v>-167</v>
      </c>
      <c r="E59" s="55"/>
      <c r="F59" s="9">
        <f>0</f>
        <v>0</v>
      </c>
      <c r="G59" s="6">
        <f>835+167+167</f>
        <v>1169</v>
      </c>
      <c r="H59" s="6">
        <f>+F59-G59</f>
        <v>-1169</v>
      </c>
      <c r="I59" s="6">
        <f>1000+2000</f>
        <v>3000</v>
      </c>
      <c r="J59" s="7">
        <f>1000</f>
        <v>1000</v>
      </c>
      <c r="K59" s="2"/>
      <c r="L59" s="70">
        <f t="shared" si="7"/>
        <v>2000</v>
      </c>
      <c r="M59" s="6"/>
      <c r="N59" s="102">
        <v>3000</v>
      </c>
      <c r="O59" s="6">
        <v>3000</v>
      </c>
      <c r="P59" s="6">
        <v>3000</v>
      </c>
      <c r="Q59" s="55">
        <v>3000</v>
      </c>
      <c r="R59" s="7">
        <v>3000</v>
      </c>
    </row>
    <row r="60" spans="1:20" x14ac:dyDescent="0.25">
      <c r="A60" s="53" t="s">
        <v>23</v>
      </c>
      <c r="B60" s="9">
        <f>0</f>
        <v>0</v>
      </c>
      <c r="C60" s="6">
        <f>83</f>
        <v>83</v>
      </c>
      <c r="D60" s="7">
        <f t="shared" si="6"/>
        <v>-83</v>
      </c>
      <c r="E60" s="55"/>
      <c r="F60" s="9">
        <f>0</f>
        <v>0</v>
      </c>
      <c r="G60" s="6">
        <f>332+83+83+83</f>
        <v>581</v>
      </c>
      <c r="H60" s="6">
        <f>+F60-G60</f>
        <v>-581</v>
      </c>
      <c r="I60" s="6">
        <f>2500+1000</f>
        <v>3500</v>
      </c>
      <c r="J60" s="54">
        <v>2500</v>
      </c>
      <c r="K60" s="2"/>
      <c r="L60" s="70">
        <f t="shared" si="7"/>
        <v>1000</v>
      </c>
      <c r="M60" s="6"/>
      <c r="N60" s="102">
        <v>3500</v>
      </c>
      <c r="O60" s="6">
        <v>3500</v>
      </c>
      <c r="P60" s="6">
        <v>3500</v>
      </c>
      <c r="Q60" s="55">
        <v>3500</v>
      </c>
      <c r="R60" s="7">
        <v>3500</v>
      </c>
      <c r="S60" t="s">
        <v>63</v>
      </c>
    </row>
    <row r="61" spans="1:20" x14ac:dyDescent="0.25">
      <c r="A61" s="61" t="s">
        <v>11</v>
      </c>
      <c r="B61" s="16">
        <f>SUM(B52:B60)</f>
        <v>1880.75</v>
      </c>
      <c r="C61" s="14">
        <f>SUM(C52:C60)</f>
        <v>2632</v>
      </c>
      <c r="D61" s="17">
        <f>SUM(D52:D60)</f>
        <v>-751.25</v>
      </c>
      <c r="E61" s="30"/>
      <c r="F61" s="16">
        <f>SUM(F52:F60)</f>
        <v>13545.06</v>
      </c>
      <c r="G61" s="14">
        <f>SUM(G52:G60)</f>
        <v>16118</v>
      </c>
      <c r="H61" s="14">
        <f>+F61-G61</f>
        <v>-2572.9400000000005</v>
      </c>
      <c r="I61" s="66">
        <f>SUM(I52:I60)</f>
        <v>39880</v>
      </c>
      <c r="J61" s="17">
        <f>SUM(J52:J60)</f>
        <v>15300</v>
      </c>
      <c r="K61" s="2"/>
      <c r="L61" s="71">
        <f>+I61-J61</f>
        <v>24580</v>
      </c>
      <c r="M61" s="6"/>
      <c r="N61" s="16">
        <f>SUM(N52:N60)</f>
        <v>50215</v>
      </c>
      <c r="O61" s="14">
        <f>SUM(O52:O60)</f>
        <v>51492.61</v>
      </c>
      <c r="P61" s="14">
        <f>SUM(P52:P60)</f>
        <v>52781.683959999995</v>
      </c>
      <c r="Q61" s="66">
        <f>SUM(Q52:Q60)</f>
        <v>53931.681162759996</v>
      </c>
      <c r="R61" s="17">
        <f>SUM(R52:R60)</f>
        <v>55002.588235317278</v>
      </c>
      <c r="S61" s="91">
        <f>N61-I61</f>
        <v>10335</v>
      </c>
    </row>
    <row r="62" spans="1:20" x14ac:dyDescent="0.25">
      <c r="A62" s="61"/>
      <c r="B62" s="13"/>
      <c r="C62" s="11"/>
      <c r="D62" s="25"/>
      <c r="E62" s="30"/>
      <c r="F62" s="13"/>
      <c r="G62" s="11"/>
      <c r="H62" s="11"/>
      <c r="I62" s="30"/>
      <c r="J62" s="7"/>
      <c r="K62" s="2"/>
      <c r="L62" s="70"/>
      <c r="M62" s="6"/>
      <c r="N62" s="53"/>
      <c r="O62" s="10"/>
      <c r="P62" s="10"/>
      <c r="Q62" s="10"/>
      <c r="R62" s="100"/>
    </row>
    <row r="63" spans="1:20" ht="15.75" thickBot="1" x14ac:dyDescent="0.3">
      <c r="A63" s="62" t="s">
        <v>31</v>
      </c>
      <c r="B63" s="63">
        <f>+B49+B61</f>
        <v>22359.8</v>
      </c>
      <c r="C63" s="64">
        <f>C49+C61</f>
        <v>30734</v>
      </c>
      <c r="D63" s="65">
        <f>+B63-C63</f>
        <v>-8374.2000000000007</v>
      </c>
      <c r="E63" s="30"/>
      <c r="F63" s="63">
        <f>F49+F61</f>
        <v>176450.95</v>
      </c>
      <c r="G63" s="64">
        <f>+G49+G61</f>
        <v>225248</v>
      </c>
      <c r="H63" s="64">
        <f>+F63-G63</f>
        <v>-48797.049999999988</v>
      </c>
      <c r="I63" s="64">
        <f>I49+I61</f>
        <v>403572</v>
      </c>
      <c r="J63" s="65">
        <f>+J49+J61</f>
        <v>15300</v>
      </c>
      <c r="K63" s="2"/>
      <c r="L63" s="78">
        <f>+L49+L61</f>
        <v>388272</v>
      </c>
      <c r="M63" s="6"/>
      <c r="N63" s="63">
        <f>N49+N61</f>
        <v>400934</v>
      </c>
      <c r="O63" s="64">
        <f>O49+O61</f>
        <v>415108.61</v>
      </c>
      <c r="P63" s="64">
        <f>P49+P61</f>
        <v>428825.68395999999</v>
      </c>
      <c r="Q63" s="64">
        <f>Q49+Q61</f>
        <v>442063.68116276001</v>
      </c>
      <c r="R63" s="65">
        <f>R49+R61</f>
        <v>454321.58823531726</v>
      </c>
    </row>
    <row r="64" spans="1:20" ht="15.75" thickTop="1" x14ac:dyDescent="0.25">
      <c r="A64" s="10"/>
      <c r="B64" s="10"/>
      <c r="C64" s="10"/>
      <c r="D64" s="10"/>
      <c r="E64" s="10"/>
      <c r="F64" s="10"/>
      <c r="G64" s="10"/>
      <c r="H64" s="10"/>
      <c r="I64" s="56"/>
    </row>
    <row r="65" spans="1:19" x14ac:dyDescent="0.25">
      <c r="A65" s="92" t="s">
        <v>57</v>
      </c>
      <c r="B65" s="73"/>
      <c r="C65" s="73"/>
      <c r="D65" s="73"/>
      <c r="E65" s="28"/>
      <c r="F65" s="73"/>
      <c r="G65" s="73"/>
      <c r="H65" s="73"/>
      <c r="I65" s="73"/>
      <c r="J65" s="73"/>
      <c r="L65" s="73"/>
      <c r="M65" s="28"/>
      <c r="N65" s="139" t="s">
        <v>62</v>
      </c>
      <c r="O65" s="139"/>
      <c r="P65" s="139"/>
      <c r="Q65" s="139"/>
      <c r="R65" s="139"/>
    </row>
    <row r="66" spans="1:19" ht="30" x14ac:dyDescent="0.25">
      <c r="A66" s="43" t="s">
        <v>14</v>
      </c>
      <c r="B66" s="44" t="s">
        <v>58</v>
      </c>
      <c r="C66" s="44" t="s">
        <v>60</v>
      </c>
      <c r="D66" s="44" t="s">
        <v>3</v>
      </c>
      <c r="E66" s="1"/>
      <c r="F66" s="44" t="s">
        <v>46</v>
      </c>
      <c r="G66" s="44" t="s">
        <v>47</v>
      </c>
      <c r="H66" s="44" t="s">
        <v>3</v>
      </c>
      <c r="I66" s="45" t="s">
        <v>49</v>
      </c>
      <c r="J66" s="45" t="s">
        <v>4</v>
      </c>
      <c r="L66" s="45" t="s">
        <v>48</v>
      </c>
      <c r="M66" s="67"/>
      <c r="N66" s="120">
        <v>2016</v>
      </c>
      <c r="O66" s="121">
        <v>2017</v>
      </c>
      <c r="P66" s="121">
        <v>2018</v>
      </c>
      <c r="Q66" s="121">
        <v>2019</v>
      </c>
      <c r="R66" s="122">
        <v>2020</v>
      </c>
    </row>
    <row r="67" spans="1:19" x14ac:dyDescent="0.25">
      <c r="A67" s="18"/>
      <c r="B67" s="8"/>
      <c r="C67" s="4"/>
      <c r="D67" s="5"/>
      <c r="E67" s="55"/>
      <c r="F67" s="8"/>
      <c r="G67" s="4"/>
      <c r="H67" s="4"/>
      <c r="I67" s="4"/>
      <c r="J67" s="5"/>
      <c r="K67" s="2"/>
      <c r="L67" s="68"/>
      <c r="M67" s="55"/>
      <c r="N67" s="96"/>
      <c r="O67" s="97"/>
      <c r="P67" s="97"/>
      <c r="Q67" s="97"/>
      <c r="R67" s="98"/>
      <c r="S67" t="s">
        <v>63</v>
      </c>
    </row>
    <row r="68" spans="1:19" x14ac:dyDescent="0.25">
      <c r="A68" s="19" t="s">
        <v>1</v>
      </c>
      <c r="B68" s="13">
        <f>10055.8</f>
        <v>10055.799999999999</v>
      </c>
      <c r="C68" s="11">
        <f>13339</f>
        <v>13339</v>
      </c>
      <c r="D68" s="25">
        <f>+B68-C68</f>
        <v>-3283.2000000000007</v>
      </c>
      <c r="E68" s="30"/>
      <c r="F68" s="13">
        <f>43858.55+15084+10055.8+10055.8</f>
        <v>79054.150000000009</v>
      </c>
      <c r="G68" s="11">
        <f>52580+20008+13339+13339</f>
        <v>99266</v>
      </c>
      <c r="H68" s="11">
        <f>+F68-G68</f>
        <v>-20211.849999999991</v>
      </c>
      <c r="I68" s="11">
        <f>172630</f>
        <v>172630</v>
      </c>
      <c r="J68" s="12">
        <f>0</f>
        <v>0</v>
      </c>
      <c r="K68" s="2"/>
      <c r="L68" s="69">
        <f>I68-J68</f>
        <v>172630</v>
      </c>
      <c r="M68" s="30"/>
      <c r="N68" s="99">
        <f>180978</f>
        <v>180978</v>
      </c>
      <c r="O68" s="30">
        <f>187890</f>
        <v>187890</v>
      </c>
      <c r="P68" s="30">
        <f>195034</f>
        <v>195034</v>
      </c>
      <c r="Q68" s="30">
        <f>200880</f>
        <v>200880</v>
      </c>
      <c r="R68" s="119">
        <f>206678</f>
        <v>206678</v>
      </c>
      <c r="S68" s="91">
        <f>N68-I68</f>
        <v>8348</v>
      </c>
    </row>
    <row r="69" spans="1:19" x14ac:dyDescent="0.25">
      <c r="A69" s="20"/>
      <c r="B69" s="9"/>
      <c r="C69" s="6"/>
      <c r="D69" s="7"/>
      <c r="E69" s="55"/>
      <c r="F69" s="9"/>
      <c r="G69" s="6"/>
      <c r="H69" s="6"/>
      <c r="I69" s="6"/>
      <c r="J69" s="7"/>
      <c r="K69" s="2"/>
      <c r="L69" s="70"/>
      <c r="M69" s="55"/>
      <c r="N69" s="101"/>
      <c r="O69" s="10"/>
      <c r="P69" s="10"/>
      <c r="Q69" s="10"/>
      <c r="R69" s="100"/>
    </row>
    <row r="70" spans="1:19" x14ac:dyDescent="0.25">
      <c r="A70" s="21" t="s">
        <v>2</v>
      </c>
      <c r="B70" s="9"/>
      <c r="C70" s="6"/>
      <c r="D70" s="7"/>
      <c r="E70" s="55"/>
      <c r="F70" s="9"/>
      <c r="G70" s="6"/>
      <c r="H70" s="6"/>
      <c r="I70" s="6"/>
      <c r="J70" s="7"/>
      <c r="K70" s="2"/>
      <c r="L70" s="70"/>
      <c r="M70" s="55"/>
      <c r="N70" s="101"/>
      <c r="O70" s="10"/>
      <c r="P70" s="10"/>
      <c r="Q70" s="10"/>
      <c r="R70" s="100"/>
    </row>
    <row r="71" spans="1:19" x14ac:dyDescent="0.25">
      <c r="A71" s="22" t="s">
        <v>9</v>
      </c>
      <c r="B71" s="9">
        <f>-881.78</f>
        <v>-881.78</v>
      </c>
      <c r="C71" s="6">
        <f>58+91+125+92</f>
        <v>366</v>
      </c>
      <c r="D71" s="7">
        <f>+B71-C71</f>
        <v>-1247.78</v>
      </c>
      <c r="E71" s="55"/>
      <c r="F71" s="9">
        <f>553.46+55.14+354+456-881.78</f>
        <v>536.81999999999994</v>
      </c>
      <c r="G71" s="6">
        <f>58+91+92+241+241+366</f>
        <v>1089</v>
      </c>
      <c r="H71" s="6">
        <f>+F71-G71</f>
        <v>-552.18000000000006</v>
      </c>
      <c r="I71" s="6">
        <f>4400</f>
        <v>4400</v>
      </c>
      <c r="J71" s="7">
        <f>2400</f>
        <v>2400</v>
      </c>
      <c r="K71" s="2"/>
      <c r="L71" s="70">
        <f>I71-J71</f>
        <v>2000</v>
      </c>
      <c r="M71" s="55"/>
      <c r="N71" s="102">
        <v>2400</v>
      </c>
      <c r="O71" s="6">
        <v>2400</v>
      </c>
      <c r="P71" s="6">
        <v>2400</v>
      </c>
      <c r="Q71" s="55">
        <v>2400</v>
      </c>
      <c r="R71" s="7">
        <v>2400</v>
      </c>
    </row>
    <row r="72" spans="1:19" x14ac:dyDescent="0.25">
      <c r="A72" s="22" t="s">
        <v>44</v>
      </c>
      <c r="B72" s="9">
        <f>8.34</f>
        <v>8.34</v>
      </c>
      <c r="C72" s="6">
        <f>8</f>
        <v>8</v>
      </c>
      <c r="D72" s="7">
        <f t="shared" ref="D72:D74" si="9">+B72-C72</f>
        <v>0.33999999999999986</v>
      </c>
      <c r="E72" s="55"/>
      <c r="F72" s="9">
        <f>373.7-0.65+149+831-2+8.34</f>
        <v>1359.3899999999999</v>
      </c>
      <c r="G72" s="6">
        <f>32+8+8+8</f>
        <v>56</v>
      </c>
      <c r="H72" s="6">
        <f>+F72-G72</f>
        <v>1303.3899999999999</v>
      </c>
      <c r="I72" s="6">
        <f>100</f>
        <v>100</v>
      </c>
      <c r="J72" s="7">
        <v>0</v>
      </c>
      <c r="K72" s="2"/>
      <c r="L72" s="70">
        <f>I72-J72</f>
        <v>100</v>
      </c>
      <c r="M72" s="55"/>
      <c r="N72" s="102">
        <v>1000</v>
      </c>
      <c r="O72" s="6">
        <v>1000</v>
      </c>
      <c r="P72" s="6">
        <v>1000</v>
      </c>
      <c r="Q72" s="55">
        <v>1000</v>
      </c>
      <c r="R72" s="7">
        <v>1000</v>
      </c>
    </row>
    <row r="73" spans="1:19" x14ac:dyDescent="0.25">
      <c r="A73" s="20" t="s">
        <v>30</v>
      </c>
      <c r="B73" s="9">
        <f>0</f>
        <v>0</v>
      </c>
      <c r="C73" s="6">
        <f>0</f>
        <v>0</v>
      </c>
      <c r="D73" s="7">
        <f t="shared" si="9"/>
        <v>0</v>
      </c>
      <c r="E73" s="55"/>
      <c r="F73" s="9">
        <f>2101.84</f>
        <v>2101.84</v>
      </c>
      <c r="G73" s="6">
        <f>1250+1250</f>
        <v>2500</v>
      </c>
      <c r="H73" s="6">
        <f>+F73-G73</f>
        <v>-398.15999999999985</v>
      </c>
      <c r="I73" s="6">
        <f>5000</f>
        <v>5000</v>
      </c>
      <c r="J73" s="7">
        <f>0</f>
        <v>0</v>
      </c>
      <c r="K73" s="2"/>
      <c r="L73" s="70">
        <f>I73-J73</f>
        <v>5000</v>
      </c>
      <c r="M73" s="55"/>
      <c r="N73" s="102">
        <v>5000</v>
      </c>
      <c r="O73" s="6">
        <v>5000</v>
      </c>
      <c r="P73" s="6">
        <v>5000</v>
      </c>
      <c r="Q73" s="55">
        <v>5000</v>
      </c>
      <c r="R73" s="7">
        <v>5000</v>
      </c>
    </row>
    <row r="74" spans="1:19" x14ac:dyDescent="0.25">
      <c r="A74" s="20" t="s">
        <v>8</v>
      </c>
      <c r="B74" s="9">
        <f>0</f>
        <v>0</v>
      </c>
      <c r="C74" s="6">
        <f>83</f>
        <v>83</v>
      </c>
      <c r="D74" s="7">
        <f t="shared" si="9"/>
        <v>-83</v>
      </c>
      <c r="E74" s="55"/>
      <c r="F74" s="9">
        <f>0</f>
        <v>0</v>
      </c>
      <c r="G74" s="6">
        <f>83+83+83+83</f>
        <v>332</v>
      </c>
      <c r="H74" s="6">
        <f>+F74-G74</f>
        <v>-332</v>
      </c>
      <c r="I74" s="6">
        <f>1000</f>
        <v>1000</v>
      </c>
      <c r="J74" s="7">
        <f>500</f>
        <v>500</v>
      </c>
      <c r="K74" s="6"/>
      <c r="L74" s="70">
        <f>I74-J74</f>
        <v>500</v>
      </c>
      <c r="M74" s="55"/>
      <c r="N74" s="102">
        <v>1000</v>
      </c>
      <c r="O74" s="6">
        <v>1000</v>
      </c>
      <c r="P74" s="6">
        <v>1000</v>
      </c>
      <c r="Q74" s="55">
        <v>1000</v>
      </c>
      <c r="R74" s="7">
        <v>1000</v>
      </c>
      <c r="S74" t="s">
        <v>63</v>
      </c>
    </row>
    <row r="75" spans="1:19" x14ac:dyDescent="0.25">
      <c r="A75" s="26" t="s">
        <v>11</v>
      </c>
      <c r="B75" s="16">
        <f>SUM(B71:B74)</f>
        <v>-873.43999999999994</v>
      </c>
      <c r="C75" s="14">
        <f>SUM(C71:C74)</f>
        <v>457</v>
      </c>
      <c r="D75" s="17">
        <f>+B75-C75</f>
        <v>-1330.44</v>
      </c>
      <c r="E75" s="30"/>
      <c r="F75" s="16">
        <f>SUM(F71:F74)</f>
        <v>3998.05</v>
      </c>
      <c r="G75" s="14">
        <f>SUM(G71:G74)</f>
        <v>3977</v>
      </c>
      <c r="H75" s="14">
        <f>+F75-G75</f>
        <v>21.050000000000182</v>
      </c>
      <c r="I75" s="14">
        <f>SUM(I71:I74)</f>
        <v>10500</v>
      </c>
      <c r="J75" s="17">
        <f>SUM(J71:J74)</f>
        <v>2900</v>
      </c>
      <c r="K75" s="11"/>
      <c r="L75" s="71">
        <f>SUM(L71:L74)</f>
        <v>7600</v>
      </c>
      <c r="M75" s="30"/>
      <c r="N75" s="103">
        <f>SUM(N71:N74)</f>
        <v>9400</v>
      </c>
      <c r="O75" s="14">
        <f>SUM(O71:O74)</f>
        <v>9400</v>
      </c>
      <c r="P75" s="14">
        <f>SUM(P71:P74)</f>
        <v>9400</v>
      </c>
      <c r="Q75" s="14">
        <f>SUM(Q71:Q74)</f>
        <v>9400</v>
      </c>
      <c r="R75" s="17">
        <f>SUM(R71:R74)</f>
        <v>9400</v>
      </c>
      <c r="S75" s="91">
        <f>N75-I75</f>
        <v>-1100</v>
      </c>
    </row>
    <row r="76" spans="1:19" x14ac:dyDescent="0.25">
      <c r="A76" s="26"/>
      <c r="B76" s="48"/>
      <c r="C76" s="15"/>
      <c r="D76" s="49"/>
      <c r="E76" s="30"/>
      <c r="F76" s="48"/>
      <c r="G76" s="15"/>
      <c r="H76" s="15"/>
      <c r="I76" s="15"/>
      <c r="J76" s="49"/>
      <c r="K76" s="11"/>
      <c r="L76" s="69"/>
      <c r="M76" s="30"/>
      <c r="N76" s="99"/>
      <c r="O76" s="10"/>
      <c r="P76" s="10"/>
      <c r="Q76" s="10"/>
      <c r="R76" s="100"/>
    </row>
    <row r="77" spans="1:19" ht="15.75" thickBot="1" x14ac:dyDescent="0.3">
      <c r="A77" s="27" t="s">
        <v>28</v>
      </c>
      <c r="B77" s="63">
        <f>B68+B75</f>
        <v>9182.3599999999988</v>
      </c>
      <c r="C77" s="64">
        <f>C68+C75</f>
        <v>13796</v>
      </c>
      <c r="D77" s="65">
        <f>+B77-C77</f>
        <v>-4613.6400000000012</v>
      </c>
      <c r="E77" s="30"/>
      <c r="F77" s="63">
        <f>F68+F75</f>
        <v>83052.200000000012</v>
      </c>
      <c r="G77" s="64">
        <f>G68+G75</f>
        <v>103243</v>
      </c>
      <c r="H77" s="64">
        <f>+F77-G77</f>
        <v>-20190.799999999988</v>
      </c>
      <c r="I77" s="64">
        <f>I68+I75</f>
        <v>183130</v>
      </c>
      <c r="J77" s="65">
        <f>SUM(J75)</f>
        <v>2900</v>
      </c>
      <c r="K77" s="3"/>
      <c r="L77" s="78">
        <f>+L68+L75</f>
        <v>180230</v>
      </c>
      <c r="M77" s="30"/>
      <c r="N77" s="63">
        <f>N68+N75</f>
        <v>190378</v>
      </c>
      <c r="O77" s="64">
        <f>O68+O75</f>
        <v>197290</v>
      </c>
      <c r="P77" s="64">
        <f>P68+P75</f>
        <v>204434</v>
      </c>
      <c r="Q77" s="64">
        <f>Q68+Q75</f>
        <v>210280</v>
      </c>
      <c r="R77" s="65">
        <f>R68+R75</f>
        <v>216078</v>
      </c>
    </row>
    <row r="78" spans="1:19" ht="15.75" thickTop="1" x14ac:dyDescent="0.25">
      <c r="M78" s="56"/>
      <c r="N78" s="56"/>
    </row>
    <row r="79" spans="1:19" x14ac:dyDescent="0.25">
      <c r="A79" s="92" t="s">
        <v>57</v>
      </c>
      <c r="B79" s="28"/>
      <c r="C79" s="28"/>
      <c r="D79" s="28"/>
      <c r="E79" s="28"/>
      <c r="F79" s="28"/>
      <c r="G79" s="28"/>
      <c r="H79" s="28"/>
      <c r="I79" s="28"/>
      <c r="J79" s="28"/>
      <c r="K79" s="10"/>
      <c r="L79" s="28"/>
      <c r="M79" s="28"/>
      <c r="N79" s="139" t="s">
        <v>62</v>
      </c>
      <c r="O79" s="139"/>
      <c r="P79" s="139"/>
      <c r="Q79" s="139"/>
      <c r="R79" s="139"/>
    </row>
    <row r="80" spans="1:19" ht="30" x14ac:dyDescent="0.25">
      <c r="A80" s="89" t="s">
        <v>15</v>
      </c>
      <c r="B80" s="46" t="s">
        <v>58</v>
      </c>
      <c r="C80" s="46" t="s">
        <v>60</v>
      </c>
      <c r="D80" s="46" t="s">
        <v>3</v>
      </c>
      <c r="E80" s="1"/>
      <c r="F80" s="46" t="s">
        <v>46</v>
      </c>
      <c r="G80" s="46" t="s">
        <v>47</v>
      </c>
      <c r="H80" s="46" t="s">
        <v>3</v>
      </c>
      <c r="I80" s="47" t="s">
        <v>49</v>
      </c>
      <c r="J80" s="47" t="s">
        <v>4</v>
      </c>
      <c r="L80" s="47" t="s">
        <v>48</v>
      </c>
      <c r="M80" s="67"/>
      <c r="N80" s="116">
        <v>2016</v>
      </c>
      <c r="O80" s="117">
        <v>2017</v>
      </c>
      <c r="P80" s="117">
        <v>2018</v>
      </c>
      <c r="Q80" s="117">
        <v>2019</v>
      </c>
      <c r="R80" s="118">
        <v>2020</v>
      </c>
    </row>
    <row r="81" spans="1:19" x14ac:dyDescent="0.25">
      <c r="A81" s="18"/>
      <c r="B81" s="8"/>
      <c r="C81" s="4"/>
      <c r="D81" s="5"/>
      <c r="E81" s="55"/>
      <c r="F81" s="8"/>
      <c r="G81" s="4"/>
      <c r="H81" s="4"/>
      <c r="I81" s="4"/>
      <c r="J81" s="5"/>
      <c r="K81" s="2"/>
      <c r="L81" s="68"/>
      <c r="M81" s="55"/>
      <c r="N81" s="96"/>
      <c r="O81" s="97"/>
      <c r="P81" s="97"/>
      <c r="Q81" s="97"/>
      <c r="R81" s="98"/>
      <c r="S81" t="s">
        <v>63</v>
      </c>
    </row>
    <row r="82" spans="1:19" x14ac:dyDescent="0.25">
      <c r="A82" s="19" t="s">
        <v>1</v>
      </c>
      <c r="B82" s="13">
        <f>11598.11</f>
        <v>11598.11</v>
      </c>
      <c r="C82" s="11">
        <f>8918</f>
        <v>8918</v>
      </c>
      <c r="D82" s="25">
        <f>+B82-C82</f>
        <v>2680.1100000000006</v>
      </c>
      <c r="E82" s="30"/>
      <c r="F82" s="13">
        <f>45340.89+13832+11522+11598.11</f>
        <v>82293</v>
      </c>
      <c r="G82" s="11">
        <f>35154+13377+8918+8918</f>
        <v>66367</v>
      </c>
      <c r="H82" s="11">
        <f>+F82-G82</f>
        <v>15926</v>
      </c>
      <c r="I82" s="11">
        <f>115416</f>
        <v>115416</v>
      </c>
      <c r="J82" s="25">
        <f>0</f>
        <v>0</v>
      </c>
      <c r="K82" s="2"/>
      <c r="L82" s="69">
        <f>+I82-J82</f>
        <v>115416</v>
      </c>
      <c r="M82" s="30"/>
      <c r="N82" s="13">
        <v>119410</v>
      </c>
      <c r="O82" s="11">
        <f>122988</f>
        <v>122988</v>
      </c>
      <c r="P82" s="11">
        <f>126676</f>
        <v>126676</v>
      </c>
      <c r="Q82" s="11">
        <f>130478</f>
        <v>130478</v>
      </c>
      <c r="R82" s="25">
        <f>134238</f>
        <v>134238</v>
      </c>
      <c r="S82" s="91">
        <f>N82-I82</f>
        <v>3994</v>
      </c>
    </row>
    <row r="83" spans="1:19" x14ac:dyDescent="0.25">
      <c r="A83" s="20"/>
      <c r="B83" s="9"/>
      <c r="C83" s="6"/>
      <c r="D83" s="7"/>
      <c r="E83" s="55"/>
      <c r="F83" s="9"/>
      <c r="G83" s="6"/>
      <c r="H83" s="6"/>
      <c r="I83" s="6"/>
      <c r="J83" s="7"/>
      <c r="K83" s="2"/>
      <c r="L83" s="70"/>
      <c r="M83" s="55"/>
      <c r="N83" s="101"/>
      <c r="O83" s="10"/>
      <c r="P83" s="10"/>
      <c r="Q83" s="10"/>
      <c r="R83" s="100"/>
    </row>
    <row r="84" spans="1:19" x14ac:dyDescent="0.25">
      <c r="A84" s="21" t="s">
        <v>2</v>
      </c>
      <c r="B84" s="9"/>
      <c r="C84" s="6"/>
      <c r="D84" s="7"/>
      <c r="E84" s="55"/>
      <c r="F84" s="9"/>
      <c r="G84" s="6"/>
      <c r="H84" s="6"/>
      <c r="I84" s="6"/>
      <c r="J84" s="7"/>
      <c r="K84" s="2"/>
      <c r="L84" s="70"/>
      <c r="M84" s="55"/>
      <c r="N84" s="101"/>
      <c r="O84" s="10"/>
      <c r="P84" s="10"/>
      <c r="Q84" s="10"/>
      <c r="R84" s="100"/>
    </row>
    <row r="85" spans="1:19" x14ac:dyDescent="0.25">
      <c r="A85" s="22" t="s">
        <v>16</v>
      </c>
      <c r="B85" s="9">
        <f>0</f>
        <v>0</v>
      </c>
      <c r="C85" s="6">
        <f>42</f>
        <v>42</v>
      </c>
      <c r="D85" s="7">
        <f>+B85-C85</f>
        <v>-42</v>
      </c>
      <c r="E85" s="55"/>
      <c r="F85" s="9">
        <f>10+1+2326.32+141.1-2420.96+775-861.39-1</f>
        <v>-29.92999999999995</v>
      </c>
      <c r="G85" s="6">
        <f>322+196+42+42</f>
        <v>602</v>
      </c>
      <c r="H85" s="6">
        <f>+F85-G85</f>
        <v>-631.92999999999995</v>
      </c>
      <c r="I85" s="6">
        <f>2100</f>
        <v>2100</v>
      </c>
      <c r="J85" s="7">
        <f>1000</f>
        <v>1000</v>
      </c>
      <c r="K85" s="2"/>
      <c r="L85" s="70">
        <f>+I85-J85</f>
        <v>1100</v>
      </c>
      <c r="M85" s="55"/>
      <c r="N85" s="102">
        <v>2100</v>
      </c>
      <c r="O85" s="6">
        <v>2100</v>
      </c>
      <c r="P85" s="6">
        <v>2100</v>
      </c>
      <c r="Q85" s="55">
        <v>2100</v>
      </c>
      <c r="R85" s="7">
        <v>2100</v>
      </c>
    </row>
    <row r="86" spans="1:19" x14ac:dyDescent="0.25">
      <c r="A86" s="22" t="s">
        <v>17</v>
      </c>
      <c r="B86" s="9">
        <f>1635.42</f>
        <v>1635.42</v>
      </c>
      <c r="C86" s="6">
        <f>0</f>
        <v>0</v>
      </c>
      <c r="D86" s="7">
        <f t="shared" ref="D86:D92" si="10">+B86-C86</f>
        <v>1635.42</v>
      </c>
      <c r="E86" s="55"/>
      <c r="F86" s="9">
        <f>29578.19-29096+1107+1635.42</f>
        <v>3224.6099999999988</v>
      </c>
      <c r="G86" s="6">
        <f>0</f>
        <v>0</v>
      </c>
      <c r="H86" s="6">
        <f t="shared" ref="H86:H92" si="11">+F86-G86</f>
        <v>3224.6099999999988</v>
      </c>
      <c r="I86" s="6">
        <f>0</f>
        <v>0</v>
      </c>
      <c r="J86" s="7">
        <f>0</f>
        <v>0</v>
      </c>
      <c r="K86" s="2"/>
      <c r="L86" s="70">
        <f t="shared" ref="L86:L92" si="12">+I86-J86</f>
        <v>0</v>
      </c>
      <c r="M86" s="55"/>
      <c r="N86" s="102">
        <v>0</v>
      </c>
      <c r="O86" s="10">
        <v>0</v>
      </c>
      <c r="P86" s="10">
        <v>0</v>
      </c>
      <c r="Q86" s="55">
        <v>0</v>
      </c>
      <c r="R86" s="100">
        <v>0</v>
      </c>
    </row>
    <row r="87" spans="1:19" x14ac:dyDescent="0.25">
      <c r="A87" s="20" t="s">
        <v>8</v>
      </c>
      <c r="B87" s="9">
        <f>0</f>
        <v>0</v>
      </c>
      <c r="C87" s="6">
        <f>0</f>
        <v>0</v>
      </c>
      <c r="D87" s="7">
        <f t="shared" si="10"/>
        <v>0</v>
      </c>
      <c r="E87" s="55"/>
      <c r="F87" s="9">
        <f>416-416</f>
        <v>0</v>
      </c>
      <c r="G87" s="6">
        <f>0</f>
        <v>0</v>
      </c>
      <c r="H87" s="6">
        <f t="shared" si="11"/>
        <v>0</v>
      </c>
      <c r="I87" s="6">
        <f>600</f>
        <v>600</v>
      </c>
      <c r="J87" s="7">
        <f>600</f>
        <v>600</v>
      </c>
      <c r="K87" s="2"/>
      <c r="L87" s="70">
        <f t="shared" si="12"/>
        <v>0</v>
      </c>
      <c r="M87" s="55"/>
      <c r="N87" s="102">
        <v>0</v>
      </c>
      <c r="O87" s="10">
        <v>0</v>
      </c>
      <c r="P87" s="10">
        <v>0</v>
      </c>
      <c r="Q87" s="55">
        <v>0</v>
      </c>
      <c r="R87" s="100">
        <v>0</v>
      </c>
    </row>
    <row r="88" spans="1:19" x14ac:dyDescent="0.25">
      <c r="A88" s="23" t="s">
        <v>18</v>
      </c>
      <c r="B88" s="9">
        <f>9200</f>
        <v>9200</v>
      </c>
      <c r="C88" s="6">
        <f>4000</f>
        <v>4000</v>
      </c>
      <c r="D88" s="7">
        <f t="shared" si="10"/>
        <v>5200</v>
      </c>
      <c r="E88" s="55"/>
      <c r="F88" s="9">
        <f>17031+7931+8223+9200</f>
        <v>42385</v>
      </c>
      <c r="G88" s="6">
        <f>18000+13000+4000+4000</f>
        <v>39000</v>
      </c>
      <c r="H88" s="6">
        <f t="shared" si="11"/>
        <v>3385</v>
      </c>
      <c r="I88" s="6">
        <f>70000</f>
        <v>70000</v>
      </c>
      <c r="J88" s="7">
        <f>0</f>
        <v>0</v>
      </c>
      <c r="K88" s="6"/>
      <c r="L88" s="70">
        <f t="shared" si="12"/>
        <v>70000</v>
      </c>
      <c r="M88" s="55"/>
      <c r="N88" s="102">
        <v>62000</v>
      </c>
      <c r="O88" s="6">
        <v>62000</v>
      </c>
      <c r="P88" s="6">
        <v>62000</v>
      </c>
      <c r="Q88" s="55">
        <v>62000</v>
      </c>
      <c r="R88" s="7">
        <v>62000</v>
      </c>
    </row>
    <row r="89" spans="1:19" x14ac:dyDescent="0.25">
      <c r="A89" s="23" t="s">
        <v>19</v>
      </c>
      <c r="B89" s="9">
        <f>0</f>
        <v>0</v>
      </c>
      <c r="C89" s="6">
        <f>10000</f>
        <v>10000</v>
      </c>
      <c r="D89" s="7">
        <f t="shared" si="10"/>
        <v>-10000</v>
      </c>
      <c r="E89" s="55"/>
      <c r="F89" s="9">
        <f>15000+5958</f>
        <v>20958</v>
      </c>
      <c r="G89" s="6">
        <f>20000+10000</f>
        <v>30000</v>
      </c>
      <c r="H89" s="6">
        <f t="shared" si="11"/>
        <v>-9042</v>
      </c>
      <c r="I89" s="6">
        <f>40000</f>
        <v>40000</v>
      </c>
      <c r="J89" s="7">
        <f>0</f>
        <v>0</v>
      </c>
      <c r="K89" s="6"/>
      <c r="L89" s="70">
        <f t="shared" si="12"/>
        <v>40000</v>
      </c>
      <c r="M89" s="55"/>
      <c r="N89" s="102">
        <f>40000</f>
        <v>40000</v>
      </c>
      <c r="O89" s="6">
        <f>40000</f>
        <v>40000</v>
      </c>
      <c r="P89" s="6">
        <f>40000</f>
        <v>40000</v>
      </c>
      <c r="Q89" s="55">
        <f>40000</f>
        <v>40000</v>
      </c>
      <c r="R89" s="7">
        <f>40000</f>
        <v>40000</v>
      </c>
    </row>
    <row r="90" spans="1:19" x14ac:dyDescent="0.25">
      <c r="A90" s="23" t="s">
        <v>20</v>
      </c>
      <c r="B90" s="9">
        <f>2425.48+72625</f>
        <v>75050.48</v>
      </c>
      <c r="C90" s="6">
        <f>6533+80950</f>
        <v>87483</v>
      </c>
      <c r="D90" s="7">
        <f t="shared" si="10"/>
        <v>-12432.520000000004</v>
      </c>
      <c r="E90" s="55"/>
      <c r="F90" s="9">
        <f>29534.57+120250+29070+1018+75050</f>
        <v>254922.57</v>
      </c>
      <c r="G90" s="6">
        <f>11382+161900+20183+683+87483</f>
        <v>281631</v>
      </c>
      <c r="H90" s="6">
        <f t="shared" si="11"/>
        <v>-26708.429999999993</v>
      </c>
      <c r="I90" s="6">
        <f>66200+323800</f>
        <v>390000</v>
      </c>
      <c r="J90" s="7">
        <f>23800</f>
        <v>23800</v>
      </c>
      <c r="K90" s="6"/>
      <c r="L90" s="70">
        <f t="shared" si="12"/>
        <v>366200</v>
      </c>
      <c r="M90" s="55"/>
      <c r="N90" s="102">
        <f>395360</f>
        <v>395360</v>
      </c>
      <c r="O90" s="6">
        <v>396000</v>
      </c>
      <c r="P90" s="6">
        <f>372619</f>
        <v>372619</v>
      </c>
      <c r="Q90" s="55">
        <f>398214</f>
        <v>398214</v>
      </c>
      <c r="R90" s="7">
        <v>438848</v>
      </c>
    </row>
    <row r="91" spans="1:19" x14ac:dyDescent="0.25">
      <c r="A91" s="23" t="s">
        <v>21</v>
      </c>
      <c r="B91" s="9">
        <f>0</f>
        <v>0</v>
      </c>
      <c r="C91" s="6">
        <f>1050</f>
        <v>1050</v>
      </c>
      <c r="D91" s="7">
        <f t="shared" si="10"/>
        <v>-1050</v>
      </c>
      <c r="E91" s="55"/>
      <c r="F91" s="9">
        <f>600+827+377</f>
        <v>1804</v>
      </c>
      <c r="G91" s="6">
        <f>2100+1050</f>
        <v>3150</v>
      </c>
      <c r="H91" s="6">
        <f t="shared" si="11"/>
        <v>-1346</v>
      </c>
      <c r="I91" s="6">
        <f>4200</f>
        <v>4200</v>
      </c>
      <c r="J91" s="7">
        <f>0</f>
        <v>0</v>
      </c>
      <c r="K91" s="6"/>
      <c r="L91" s="70">
        <f t="shared" si="12"/>
        <v>4200</v>
      </c>
      <c r="M91" s="55"/>
      <c r="N91" s="102">
        <v>4200</v>
      </c>
      <c r="O91" s="6">
        <v>4200</v>
      </c>
      <c r="P91" s="6">
        <v>4200</v>
      </c>
      <c r="Q91" s="55">
        <v>4200</v>
      </c>
      <c r="R91" s="7">
        <v>4200</v>
      </c>
    </row>
    <row r="92" spans="1:19" x14ac:dyDescent="0.25">
      <c r="A92" s="23" t="s">
        <v>22</v>
      </c>
      <c r="B92" s="9">
        <f>0</f>
        <v>0</v>
      </c>
      <c r="C92" s="6">
        <f>42</f>
        <v>42</v>
      </c>
      <c r="D92" s="7">
        <f t="shared" si="10"/>
        <v>-42</v>
      </c>
      <c r="E92" s="55"/>
      <c r="F92" s="9">
        <f>0</f>
        <v>0</v>
      </c>
      <c r="G92" s="6">
        <f>168+42+42+42</f>
        <v>294</v>
      </c>
      <c r="H92" s="6">
        <f t="shared" si="11"/>
        <v>-294</v>
      </c>
      <c r="I92" s="6">
        <f>500</f>
        <v>500</v>
      </c>
      <c r="J92" s="7">
        <f>0</f>
        <v>0</v>
      </c>
      <c r="K92" s="6"/>
      <c r="L92" s="70">
        <f t="shared" si="12"/>
        <v>500</v>
      </c>
      <c r="M92" s="55"/>
      <c r="N92" s="102">
        <v>0</v>
      </c>
      <c r="O92" s="10">
        <v>0</v>
      </c>
      <c r="P92" s="10">
        <v>0</v>
      </c>
      <c r="Q92" s="55">
        <v>0</v>
      </c>
      <c r="R92" s="100">
        <v>0</v>
      </c>
      <c r="S92" t="s">
        <v>63</v>
      </c>
    </row>
    <row r="93" spans="1:19" x14ac:dyDescent="0.25">
      <c r="A93" s="26" t="s">
        <v>11</v>
      </c>
      <c r="B93" s="16">
        <f>SUM(B85:B92)</f>
        <v>85885.9</v>
      </c>
      <c r="C93" s="14">
        <f>SUM(C85:C92)</f>
        <v>102617</v>
      </c>
      <c r="D93" s="17">
        <f>SUM(D85:D92)</f>
        <v>-16731.100000000006</v>
      </c>
      <c r="E93" s="30"/>
      <c r="F93" s="16">
        <f>SUM(F85:F92)</f>
        <v>323264.25</v>
      </c>
      <c r="G93" s="14">
        <f>SUM(G85:G92)</f>
        <v>354677</v>
      </c>
      <c r="H93" s="14">
        <f>+F93-G93</f>
        <v>-31412.75</v>
      </c>
      <c r="I93" s="14">
        <f>SUM(I85:I92)</f>
        <v>507400</v>
      </c>
      <c r="J93" s="17">
        <f>SUM(J85:J92)</f>
        <v>25400</v>
      </c>
      <c r="K93" s="11"/>
      <c r="L93" s="71">
        <f>+I93-J93</f>
        <v>482000</v>
      </c>
      <c r="M93" s="30"/>
      <c r="N93" s="103">
        <f>SUM(N85:N92)</f>
        <v>503660</v>
      </c>
      <c r="O93" s="14">
        <f>SUM(O85:O92)</f>
        <v>504300</v>
      </c>
      <c r="P93" s="14">
        <f>SUM(P85:P92)</f>
        <v>480919</v>
      </c>
      <c r="Q93" s="14">
        <f>SUM(Q85:Q92)</f>
        <v>506514</v>
      </c>
      <c r="R93" s="17">
        <f>SUM(R85:R92)</f>
        <v>547148</v>
      </c>
      <c r="S93" s="91">
        <f>N93-I93</f>
        <v>-3740</v>
      </c>
    </row>
    <row r="94" spans="1:19" x14ac:dyDescent="0.25">
      <c r="A94" s="26"/>
      <c r="B94" s="80"/>
      <c r="C94" s="81"/>
      <c r="D94" s="82"/>
      <c r="E94" s="30"/>
      <c r="F94" s="80"/>
      <c r="G94" s="81"/>
      <c r="H94" s="81"/>
      <c r="I94" s="81"/>
      <c r="J94" s="82"/>
      <c r="K94" s="11"/>
      <c r="L94" s="83"/>
      <c r="M94" s="30"/>
      <c r="N94" s="99"/>
      <c r="O94" s="10"/>
      <c r="P94" s="10"/>
      <c r="Q94" s="10"/>
      <c r="R94" s="100"/>
    </row>
    <row r="95" spans="1:19" ht="15.75" thickBot="1" x14ac:dyDescent="0.3">
      <c r="A95" s="27" t="s">
        <v>29</v>
      </c>
      <c r="B95" s="63">
        <f>B82+B93</f>
        <v>97484.01</v>
      </c>
      <c r="C95" s="64">
        <f>C82+C93</f>
        <v>111535</v>
      </c>
      <c r="D95" s="65">
        <f>+B95-C95</f>
        <v>-14050.990000000005</v>
      </c>
      <c r="E95" s="30"/>
      <c r="F95" s="63">
        <f>+F82+F93</f>
        <v>405557.25</v>
      </c>
      <c r="G95" s="64">
        <f>+G82+G93</f>
        <v>421044</v>
      </c>
      <c r="H95" s="64">
        <f>+F95-G95</f>
        <v>-15486.75</v>
      </c>
      <c r="I95" s="64">
        <f>I82+I93</f>
        <v>622816</v>
      </c>
      <c r="J95" s="65">
        <f>SUM(J93)</f>
        <v>25400</v>
      </c>
      <c r="K95" s="3"/>
      <c r="L95" s="78">
        <f>+L82+L93</f>
        <v>597416</v>
      </c>
      <c r="M95" s="30"/>
      <c r="N95" s="63">
        <f>N82+N93</f>
        <v>623070</v>
      </c>
      <c r="O95" s="64">
        <f>O82+O93</f>
        <v>627288</v>
      </c>
      <c r="P95" s="64">
        <f>P82+P93</f>
        <v>607595</v>
      </c>
      <c r="Q95" s="64">
        <f>Q82+Q93</f>
        <v>636992</v>
      </c>
      <c r="R95" s="65">
        <f>R82+R93</f>
        <v>681386</v>
      </c>
    </row>
    <row r="96" spans="1:19" ht="15.75" thickTop="1" x14ac:dyDescent="0.25">
      <c r="A96" s="29"/>
      <c r="B96" s="30"/>
      <c r="C96" s="30"/>
      <c r="D96" s="30"/>
      <c r="E96" s="30"/>
      <c r="F96" s="30"/>
      <c r="G96" s="30"/>
      <c r="H96" s="30"/>
      <c r="I96" s="30"/>
      <c r="J96" s="30"/>
      <c r="K96" s="31"/>
      <c r="L96" s="30"/>
      <c r="M96" s="30"/>
      <c r="N96" s="30"/>
    </row>
    <row r="97" spans="1:21" x14ac:dyDescent="0.25">
      <c r="B97" s="73"/>
      <c r="C97" s="73"/>
      <c r="D97" s="73"/>
      <c r="E97" s="28"/>
      <c r="F97" s="73"/>
      <c r="G97" s="73"/>
      <c r="H97" s="73"/>
      <c r="I97" s="73"/>
      <c r="J97" s="73"/>
      <c r="L97" s="73"/>
      <c r="M97" s="28"/>
      <c r="N97" s="138" t="s">
        <v>62</v>
      </c>
      <c r="O97" s="138"/>
      <c r="P97" s="138"/>
      <c r="Q97" s="138"/>
      <c r="R97" s="138"/>
    </row>
    <row r="98" spans="1:21" ht="30.75" x14ac:dyDescent="0.3">
      <c r="A98" s="84" t="s">
        <v>61</v>
      </c>
      <c r="B98" s="85" t="s">
        <v>58</v>
      </c>
      <c r="C98" s="85" t="s">
        <v>60</v>
      </c>
      <c r="D98" s="85" t="s">
        <v>3</v>
      </c>
      <c r="E98" s="1"/>
      <c r="F98" s="85" t="s">
        <v>46</v>
      </c>
      <c r="G98" s="85" t="s">
        <v>47</v>
      </c>
      <c r="H98" s="85" t="s">
        <v>3</v>
      </c>
      <c r="I98" s="86" t="s">
        <v>49</v>
      </c>
      <c r="J98" s="86" t="s">
        <v>4</v>
      </c>
      <c r="L98" s="86" t="s">
        <v>48</v>
      </c>
      <c r="M98" s="67"/>
      <c r="N98" s="123">
        <v>2016</v>
      </c>
      <c r="O98" s="124">
        <v>2017</v>
      </c>
      <c r="P98" s="124">
        <v>2018</v>
      </c>
      <c r="Q98" s="124">
        <v>2019</v>
      </c>
      <c r="R98" s="125">
        <v>2020</v>
      </c>
    </row>
    <row r="99" spans="1:21" x14ac:dyDescent="0.25">
      <c r="A99" s="18" t="s">
        <v>37</v>
      </c>
      <c r="B99" s="8">
        <f>B16</f>
        <v>19443.330000000002</v>
      </c>
      <c r="C99" s="4">
        <f>C16</f>
        <v>19554</v>
      </c>
      <c r="D99" s="5">
        <f>+B99-C99</f>
        <v>-110.66999999999825</v>
      </c>
      <c r="E99" s="6"/>
      <c r="F99" s="8">
        <f>F16</f>
        <v>147234.13999999998</v>
      </c>
      <c r="G99" s="4">
        <f>G16</f>
        <v>147607</v>
      </c>
      <c r="H99" s="4">
        <f t="shared" ref="H99:H106" si="13">+F99-G99</f>
        <v>-372.86000000001513</v>
      </c>
      <c r="I99" s="4">
        <f>I16</f>
        <v>260832</v>
      </c>
      <c r="J99" s="5">
        <f>J16</f>
        <v>5860</v>
      </c>
      <c r="L99" s="68">
        <f t="shared" ref="L99:L104" si="14">+I99-J99</f>
        <v>254972</v>
      </c>
      <c r="M99" s="6"/>
      <c r="N99" s="8">
        <f>N16</f>
        <v>268803</v>
      </c>
      <c r="O99" s="4">
        <f>O16</f>
        <v>279604.86</v>
      </c>
      <c r="P99" s="4">
        <f t="shared" ref="P99:R99" si="15">P16</f>
        <v>287953.97096000001</v>
      </c>
      <c r="Q99" s="4">
        <f t="shared" si="15"/>
        <v>296517.77405975998</v>
      </c>
      <c r="R99" s="5">
        <f t="shared" si="15"/>
        <v>304988.04773343325</v>
      </c>
    </row>
    <row r="100" spans="1:21" x14ac:dyDescent="0.25">
      <c r="A100" s="20" t="s">
        <v>38</v>
      </c>
      <c r="B100" s="9">
        <f>B30</f>
        <v>26767.56</v>
      </c>
      <c r="C100" s="6">
        <f>C30</f>
        <v>29652</v>
      </c>
      <c r="D100" s="7">
        <f t="shared" ref="D100:D104" si="16">+B100-C100</f>
        <v>-2884.4399999999987</v>
      </c>
      <c r="E100" s="6"/>
      <c r="F100" s="9">
        <f>F30</f>
        <v>217047.94000000003</v>
      </c>
      <c r="G100" s="6">
        <f>G30</f>
        <v>216646</v>
      </c>
      <c r="H100" s="6">
        <f t="shared" si="13"/>
        <v>401.94000000003143</v>
      </c>
      <c r="I100" s="6">
        <f>I30</f>
        <v>380881</v>
      </c>
      <c r="J100" s="7">
        <f>J30</f>
        <v>3349</v>
      </c>
      <c r="L100" s="70">
        <f t="shared" si="14"/>
        <v>377532</v>
      </c>
      <c r="M100" s="6"/>
      <c r="N100" s="9">
        <f>N30</f>
        <v>473157</v>
      </c>
      <c r="O100" s="6">
        <f>O30</f>
        <v>489190</v>
      </c>
      <c r="P100" s="6">
        <f t="shared" ref="P100:R100" si="17">P30</f>
        <v>508204.364</v>
      </c>
      <c r="Q100" s="6">
        <f t="shared" si="17"/>
        <v>523368.30928400002</v>
      </c>
      <c r="R100" s="7">
        <f t="shared" si="17"/>
        <v>538340.83794395195</v>
      </c>
    </row>
    <row r="101" spans="1:21" x14ac:dyDescent="0.25">
      <c r="A101" s="20" t="s">
        <v>39</v>
      </c>
      <c r="B101" s="9">
        <f>B44</f>
        <v>40642.829999999994</v>
      </c>
      <c r="C101" s="6">
        <f>C44</f>
        <v>50944</v>
      </c>
      <c r="D101" s="7">
        <f t="shared" si="16"/>
        <v>-10301.170000000006</v>
      </c>
      <c r="E101" s="6"/>
      <c r="F101" s="9">
        <f>F44</f>
        <v>324229.43</v>
      </c>
      <c r="G101" s="6">
        <f>G44</f>
        <v>369123</v>
      </c>
      <c r="H101" s="6">
        <f t="shared" si="13"/>
        <v>-44893.570000000007</v>
      </c>
      <c r="I101" s="6">
        <f>I44</f>
        <v>714490</v>
      </c>
      <c r="J101" s="7">
        <f>J44</f>
        <v>0</v>
      </c>
      <c r="L101" s="70">
        <f t="shared" si="14"/>
        <v>714490</v>
      </c>
      <c r="M101" s="6"/>
      <c r="N101" s="9">
        <f>N44</f>
        <v>778608</v>
      </c>
      <c r="O101" s="6">
        <f>O44</f>
        <v>779978</v>
      </c>
      <c r="P101" s="6">
        <f t="shared" ref="P101:R101" si="18">P44</f>
        <v>801878</v>
      </c>
      <c r="Q101" s="6">
        <f t="shared" si="18"/>
        <v>821097.5</v>
      </c>
      <c r="R101" s="7">
        <f t="shared" si="18"/>
        <v>844176.22499999998</v>
      </c>
    </row>
    <row r="102" spans="1:21" x14ac:dyDescent="0.25">
      <c r="A102" s="20" t="s">
        <v>43</v>
      </c>
      <c r="B102" s="9">
        <f>B63</f>
        <v>22359.8</v>
      </c>
      <c r="C102" s="6">
        <f>C63</f>
        <v>30734</v>
      </c>
      <c r="D102" s="7">
        <f t="shared" si="16"/>
        <v>-8374.2000000000007</v>
      </c>
      <c r="E102" s="6"/>
      <c r="F102" s="9">
        <f>F63</f>
        <v>176450.95</v>
      </c>
      <c r="G102" s="6">
        <f>G63</f>
        <v>225248</v>
      </c>
      <c r="H102" s="6">
        <f>+F102-G102</f>
        <v>-48797.049999999988</v>
      </c>
      <c r="I102" s="6">
        <f>I63</f>
        <v>403572</v>
      </c>
      <c r="J102" s="7">
        <f>J63</f>
        <v>15300</v>
      </c>
      <c r="L102" s="70">
        <f t="shared" si="14"/>
        <v>388272</v>
      </c>
      <c r="M102" s="6"/>
      <c r="N102" s="9">
        <f>N63</f>
        <v>400934</v>
      </c>
      <c r="O102" s="6">
        <f>O63</f>
        <v>415108.61</v>
      </c>
      <c r="P102" s="6">
        <f t="shared" ref="P102:R102" si="19">P63</f>
        <v>428825.68395999999</v>
      </c>
      <c r="Q102" s="6">
        <f t="shared" si="19"/>
        <v>442063.68116276001</v>
      </c>
      <c r="R102" s="7">
        <f t="shared" si="19"/>
        <v>454321.58823531726</v>
      </c>
    </row>
    <row r="103" spans="1:21" x14ac:dyDescent="0.25">
      <c r="A103" s="20" t="s">
        <v>40</v>
      </c>
      <c r="B103" s="9">
        <f>B77</f>
        <v>9182.3599999999988</v>
      </c>
      <c r="C103" s="6">
        <f>C77</f>
        <v>13796</v>
      </c>
      <c r="D103" s="7">
        <f t="shared" si="16"/>
        <v>-4613.6400000000012</v>
      </c>
      <c r="E103" s="6"/>
      <c r="F103" s="9">
        <f>F77</f>
        <v>83052.200000000012</v>
      </c>
      <c r="G103" s="6">
        <f>G77</f>
        <v>103243</v>
      </c>
      <c r="H103" s="6">
        <f t="shared" si="13"/>
        <v>-20190.799999999988</v>
      </c>
      <c r="I103" s="6">
        <f>I77</f>
        <v>183130</v>
      </c>
      <c r="J103" s="7">
        <f>J77</f>
        <v>2900</v>
      </c>
      <c r="L103" s="70">
        <f t="shared" si="14"/>
        <v>180230</v>
      </c>
      <c r="M103" s="6"/>
      <c r="N103" s="9">
        <f>N77</f>
        <v>190378</v>
      </c>
      <c r="O103" s="6">
        <f>O77</f>
        <v>197290</v>
      </c>
      <c r="P103" s="6">
        <f>P77</f>
        <v>204434</v>
      </c>
      <c r="Q103" s="6">
        <f>Q77</f>
        <v>210280</v>
      </c>
      <c r="R103" s="7">
        <f>R77</f>
        <v>216078</v>
      </c>
      <c r="T103" s="55"/>
    </row>
    <row r="104" spans="1:21" x14ac:dyDescent="0.25">
      <c r="A104" s="20" t="s">
        <v>41</v>
      </c>
      <c r="B104" s="50">
        <f>B95</f>
        <v>97484.01</v>
      </c>
      <c r="C104" s="51">
        <f>C95</f>
        <v>111535</v>
      </c>
      <c r="D104" s="7">
        <f t="shared" si="16"/>
        <v>-14050.990000000005</v>
      </c>
      <c r="E104" s="6"/>
      <c r="F104" s="9">
        <f>F95</f>
        <v>405557.25</v>
      </c>
      <c r="G104" s="6">
        <f>G95</f>
        <v>421044</v>
      </c>
      <c r="H104" s="6">
        <f t="shared" si="13"/>
        <v>-15486.75</v>
      </c>
      <c r="I104" s="51">
        <f>I95</f>
        <v>622816</v>
      </c>
      <c r="J104" s="54">
        <f>J95</f>
        <v>25400</v>
      </c>
      <c r="L104" s="77">
        <f t="shared" si="14"/>
        <v>597416</v>
      </c>
      <c r="M104" s="6"/>
      <c r="N104" s="9">
        <f>N95</f>
        <v>623070</v>
      </c>
      <c r="O104" s="6">
        <f>O95</f>
        <v>627288</v>
      </c>
      <c r="P104" s="6">
        <f>P95</f>
        <v>607595</v>
      </c>
      <c r="Q104" s="6">
        <f>Q95</f>
        <v>636992</v>
      </c>
      <c r="R104" s="7">
        <f>R95</f>
        <v>681386</v>
      </c>
    </row>
    <row r="105" spans="1:21" ht="15.75" thickBot="1" x14ac:dyDescent="0.3">
      <c r="A105" s="87" t="s">
        <v>42</v>
      </c>
      <c r="B105" s="63">
        <f>SUM(B99:B104)</f>
        <v>215879.89</v>
      </c>
      <c r="C105" s="64">
        <f>SUM(C99:C104)</f>
        <v>256215</v>
      </c>
      <c r="D105" s="65">
        <f>+B105-C105</f>
        <v>-40335.109999999986</v>
      </c>
      <c r="E105" s="11"/>
      <c r="F105" s="63">
        <f>SUM(F99:F104)</f>
        <v>1353571.91</v>
      </c>
      <c r="G105" s="64">
        <f>SUM(G99:G104)</f>
        <v>1482911</v>
      </c>
      <c r="H105" s="64">
        <f t="shared" si="13"/>
        <v>-129339.09000000008</v>
      </c>
      <c r="I105" s="64">
        <f>SUM(I99:I104)</f>
        <v>2565721</v>
      </c>
      <c r="J105" s="65">
        <f>SUM(J99:J104)</f>
        <v>52809</v>
      </c>
      <c r="L105" s="78">
        <f>SUM(L99:L104)</f>
        <v>2512912</v>
      </c>
      <c r="M105" s="11"/>
      <c r="N105" s="63">
        <f>SUM(N99:N104)</f>
        <v>2734950</v>
      </c>
      <c r="O105" s="64">
        <f>SUM(O99:O104)</f>
        <v>2788459.4699999997</v>
      </c>
      <c r="P105" s="64">
        <f>SUM(P99:P104)</f>
        <v>2838891.0189200002</v>
      </c>
      <c r="Q105" s="64">
        <f>SUM(Q99:Q104)</f>
        <v>2930319.2645065202</v>
      </c>
      <c r="R105" s="65">
        <f>SUM(R99:R104)</f>
        <v>3039290.6989127025</v>
      </c>
    </row>
    <row r="106" spans="1:21" ht="15.75" thickTop="1" x14ac:dyDescent="0.25">
      <c r="A106" s="88" t="s">
        <v>1</v>
      </c>
      <c r="B106" s="51">
        <f>B7+B21+B35+B49+B68+B82</f>
        <v>88922.790000000008</v>
      </c>
      <c r="C106" s="51">
        <f>C7+C21+C35+C49+C68+C82</f>
        <v>102046</v>
      </c>
      <c r="D106" s="54">
        <f>+B106-C106</f>
        <v>-13123.209999999992</v>
      </c>
      <c r="F106" s="50">
        <f>F7+F21+F35+F49+F68+F82</f>
        <v>706999.81</v>
      </c>
      <c r="G106" s="51">
        <f>G7+G21+G35+G49+G68+G82</f>
        <v>755196</v>
      </c>
      <c r="H106" s="51">
        <f t="shared" si="13"/>
        <v>-48196.189999999944</v>
      </c>
      <c r="I106" s="51">
        <f>I7+I21+I35+I49+I68+I82</f>
        <v>1316452</v>
      </c>
      <c r="J106" s="54">
        <f>0</f>
        <v>0</v>
      </c>
      <c r="L106" s="126" t="s">
        <v>65</v>
      </c>
      <c r="N106" s="3">
        <v>2619005</v>
      </c>
      <c r="O106" s="3">
        <v>2677560</v>
      </c>
      <c r="P106" s="3">
        <v>2774927</v>
      </c>
      <c r="Q106" s="3">
        <v>2852961</v>
      </c>
      <c r="R106" s="3">
        <v>2898123</v>
      </c>
      <c r="T106" s="137"/>
      <c r="U106" s="91"/>
    </row>
    <row r="107" spans="1:21" s="90" customFormat="1" x14ac:dyDescent="0.25">
      <c r="A107" s="56"/>
      <c r="B107" s="6"/>
      <c r="C107" s="6"/>
      <c r="D107" s="6"/>
      <c r="F107" s="6"/>
      <c r="G107" s="6"/>
      <c r="H107" s="6"/>
      <c r="I107" s="6"/>
      <c r="J107" s="6"/>
      <c r="L107" s="126" t="s">
        <v>71</v>
      </c>
      <c r="N107" s="3">
        <f>N105-N106</f>
        <v>115945</v>
      </c>
      <c r="O107" s="3">
        <f>O105-O106</f>
        <v>110899.46999999974</v>
      </c>
      <c r="P107" s="3">
        <f>P105-P106</f>
        <v>63964.018920000177</v>
      </c>
      <c r="Q107" s="3">
        <f>Q105-Q106</f>
        <v>77358.264506520238</v>
      </c>
      <c r="R107" s="3">
        <f>R105-R106</f>
        <v>141167.6989127025</v>
      </c>
    </row>
    <row r="108" spans="1:21" s="90" customFormat="1" x14ac:dyDescent="0.25">
      <c r="A108" s="56"/>
      <c r="B108" s="6"/>
      <c r="C108" s="6"/>
      <c r="D108" s="6"/>
      <c r="F108" s="6"/>
      <c r="G108" s="6"/>
      <c r="H108" s="6"/>
      <c r="I108" s="6"/>
      <c r="J108" s="6"/>
      <c r="L108" s="126"/>
      <c r="N108" s="3"/>
      <c r="O108" s="3"/>
      <c r="P108" s="3"/>
      <c r="Q108" s="3"/>
      <c r="R108" s="3"/>
    </row>
    <row r="109" spans="1:21" x14ac:dyDescent="0.25">
      <c r="J109" s="2"/>
    </row>
    <row r="110" spans="1:21" ht="22.5" customHeight="1" x14ac:dyDescent="0.25">
      <c r="A110" s="134" t="s">
        <v>66</v>
      </c>
      <c r="B110" s="128" t="s">
        <v>58</v>
      </c>
      <c r="C110" s="129" t="s">
        <v>59</v>
      </c>
      <c r="D110" s="130" t="s">
        <v>3</v>
      </c>
      <c r="F110" s="128" t="s">
        <v>46</v>
      </c>
      <c r="G110" s="129" t="s">
        <v>47</v>
      </c>
      <c r="H110" s="129" t="s">
        <v>3</v>
      </c>
      <c r="I110" s="130" t="s">
        <v>49</v>
      </c>
      <c r="J110" s="55"/>
      <c r="N110" s="131">
        <v>2016</v>
      </c>
      <c r="O110" s="132">
        <v>2017</v>
      </c>
      <c r="P110" s="132">
        <v>2018</v>
      </c>
      <c r="Q110" s="132">
        <v>2019</v>
      </c>
      <c r="R110" s="133">
        <v>2020</v>
      </c>
    </row>
    <row r="111" spans="1:21" x14ac:dyDescent="0.25">
      <c r="A111" s="20" t="s">
        <v>67</v>
      </c>
      <c r="B111" s="9">
        <f>0</f>
        <v>0</v>
      </c>
      <c r="C111" s="6">
        <f>83</f>
        <v>83</v>
      </c>
      <c r="D111" s="7">
        <f>+B111-C111</f>
        <v>-83</v>
      </c>
      <c r="E111" s="91"/>
      <c r="F111" s="8">
        <f>200.06</f>
        <v>200.06</v>
      </c>
      <c r="G111" s="4">
        <f>581</f>
        <v>581</v>
      </c>
      <c r="H111" s="4">
        <f>+F111-G111</f>
        <v>-380.94</v>
      </c>
      <c r="I111" s="5">
        <f>1000</f>
        <v>1000</v>
      </c>
      <c r="J111" s="91"/>
      <c r="N111" s="8">
        <v>600</v>
      </c>
      <c r="O111" s="4">
        <v>600</v>
      </c>
      <c r="P111" s="4">
        <v>600</v>
      </c>
      <c r="Q111" s="4">
        <v>600</v>
      </c>
      <c r="R111" s="5">
        <v>600</v>
      </c>
    </row>
    <row r="112" spans="1:21" x14ac:dyDescent="0.25">
      <c r="A112" s="20" t="s">
        <v>68</v>
      </c>
      <c r="B112" s="9">
        <f>0</f>
        <v>0</v>
      </c>
      <c r="C112" s="6">
        <f>334</f>
        <v>334</v>
      </c>
      <c r="D112" s="7">
        <f>+B112-C112</f>
        <v>-334</v>
      </c>
      <c r="E112" s="91"/>
      <c r="F112" s="9">
        <f>1608.6</f>
        <v>1608.6</v>
      </c>
      <c r="G112" s="6">
        <f>2338</f>
        <v>2338</v>
      </c>
      <c r="H112" s="6">
        <f>+F112-G112</f>
        <v>-729.40000000000009</v>
      </c>
      <c r="I112" s="7">
        <v>4000</v>
      </c>
      <c r="J112" s="91"/>
      <c r="N112" s="9">
        <v>5000</v>
      </c>
      <c r="O112" s="6">
        <v>5000</v>
      </c>
      <c r="P112" s="6">
        <v>5000</v>
      </c>
      <c r="Q112" s="6">
        <v>5000</v>
      </c>
      <c r="R112" s="7">
        <v>5000</v>
      </c>
    </row>
    <row r="113" spans="1:18" x14ac:dyDescent="0.25">
      <c r="A113" s="20" t="s">
        <v>69</v>
      </c>
      <c r="B113" s="9">
        <f>0</f>
        <v>0</v>
      </c>
      <c r="C113" s="6">
        <f>0</f>
        <v>0</v>
      </c>
      <c r="D113" s="7">
        <f>+B113-C113</f>
        <v>0</v>
      </c>
      <c r="E113" s="91"/>
      <c r="F113" s="9">
        <v>0</v>
      </c>
      <c r="G113" s="6">
        <f>250</f>
        <v>250</v>
      </c>
      <c r="H113" s="6">
        <f t="shared" ref="H113:H114" si="20">+F113-G113</f>
        <v>-250</v>
      </c>
      <c r="I113" s="7">
        <f>250</f>
        <v>250</v>
      </c>
      <c r="J113" s="91"/>
      <c r="N113" s="9">
        <v>100</v>
      </c>
      <c r="O113" s="6">
        <v>100</v>
      </c>
      <c r="P113" s="6">
        <v>100</v>
      </c>
      <c r="Q113" s="6">
        <v>100</v>
      </c>
      <c r="R113" s="7">
        <v>100</v>
      </c>
    </row>
    <row r="114" spans="1:18" ht="15.75" thickBot="1" x14ac:dyDescent="0.3">
      <c r="A114" s="135" t="s">
        <v>70</v>
      </c>
      <c r="B114" s="74">
        <f>SUM(B111:B113)</f>
        <v>0</v>
      </c>
      <c r="C114" s="75">
        <f>SUM(C111:C113)</f>
        <v>417</v>
      </c>
      <c r="D114" s="76">
        <f>+B114-C114</f>
        <v>-417</v>
      </c>
      <c r="E114" s="3"/>
      <c r="F114" s="74">
        <f>SUM(F111:F113)</f>
        <v>1808.6599999999999</v>
      </c>
      <c r="G114" s="75">
        <f>SUM(G111:G113)</f>
        <v>3169</v>
      </c>
      <c r="H114" s="75">
        <f t="shared" si="20"/>
        <v>-1360.3400000000001</v>
      </c>
      <c r="I114" s="76">
        <f>SUM(I111:I113)</f>
        <v>5250</v>
      </c>
      <c r="J114" s="3"/>
      <c r="K114" s="127"/>
      <c r="L114" s="127"/>
      <c r="M114" s="127"/>
      <c r="N114" s="63">
        <f>SUM(N111:N113)</f>
        <v>5700</v>
      </c>
      <c r="O114" s="64">
        <f>SUM(O111:O113)</f>
        <v>5700</v>
      </c>
      <c r="P114" s="64">
        <f>SUM(P111:P113)</f>
        <v>5700</v>
      </c>
      <c r="Q114" s="64">
        <f>SUM(Q111:Q113)</f>
        <v>5700</v>
      </c>
      <c r="R114" s="65">
        <f>SUM(R111:R113)</f>
        <v>5700</v>
      </c>
    </row>
    <row r="115" spans="1:18" ht="15.75" thickTop="1" x14ac:dyDescent="0.25"/>
    <row r="116" spans="1:18" x14ac:dyDescent="0.25">
      <c r="N116" s="91">
        <f>N95+N114</f>
        <v>628770</v>
      </c>
      <c r="O116" s="91">
        <f>O95+O114</f>
        <v>632988</v>
      </c>
      <c r="P116" s="91">
        <f>P95+P114</f>
        <v>613295</v>
      </c>
      <c r="Q116" s="91">
        <f>Q95+Q114</f>
        <v>642692</v>
      </c>
      <c r="R116" s="91">
        <f t="shared" ref="R116" si="21">R95+R114</f>
        <v>687086</v>
      </c>
    </row>
    <row r="117" spans="1:18" x14ac:dyDescent="0.25">
      <c r="N117">
        <f>629370</f>
        <v>629370</v>
      </c>
      <c r="O117">
        <v>633688</v>
      </c>
      <c r="P117">
        <v>613995</v>
      </c>
    </row>
    <row r="118" spans="1:18" x14ac:dyDescent="0.25">
      <c r="O118" s="91">
        <f>O117-O116</f>
        <v>700</v>
      </c>
    </row>
  </sheetData>
  <mergeCells count="10">
    <mergeCell ref="N4:R4"/>
    <mergeCell ref="N18:R18"/>
    <mergeCell ref="A1:R1"/>
    <mergeCell ref="A2:R2"/>
    <mergeCell ref="A3:R3"/>
    <mergeCell ref="N97:R97"/>
    <mergeCell ref="N32:R32"/>
    <mergeCell ref="N46:R46"/>
    <mergeCell ref="N65:R65"/>
    <mergeCell ref="N79:R79"/>
  </mergeCells>
  <pageMargins left="0.7" right="0.7" top="0.75" bottom="0.75" header="0.3" footer="0.3"/>
  <pageSetup paperSize="5" scale="80" orientation="landscape" r:id="rId1"/>
  <rowBreaks count="3" manualBreakCount="3">
    <brk id="17" max="16383" man="1"/>
    <brk id="44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K11" sqref="K11"/>
    </sheetView>
  </sheetViews>
  <sheetFormatPr defaultRowHeight="15" x14ac:dyDescent="0.25"/>
  <cols>
    <col min="1" max="1" width="33.7109375" customWidth="1"/>
    <col min="2" max="2" width="10.7109375" customWidth="1"/>
    <col min="3" max="3" width="11.28515625" customWidth="1"/>
    <col min="4" max="4" width="10.28515625" customWidth="1"/>
    <col min="5" max="5" width="10.85546875" customWidth="1"/>
    <col min="6" max="6" width="10.28515625" customWidth="1"/>
  </cols>
  <sheetData>
    <row r="1" spans="1:6" s="90" customFormat="1" ht="15.75" x14ac:dyDescent="0.25">
      <c r="A1" s="141" t="s">
        <v>78</v>
      </c>
      <c r="B1" s="141"/>
      <c r="C1" s="141"/>
      <c r="D1" s="141"/>
      <c r="E1" s="141"/>
      <c r="F1" s="141"/>
    </row>
    <row r="2" spans="1:6" s="90" customFormat="1" ht="15.75" x14ac:dyDescent="0.25">
      <c r="A2" s="141" t="s">
        <v>79</v>
      </c>
      <c r="B2" s="141"/>
      <c r="C2" s="141"/>
      <c r="D2" s="141"/>
      <c r="E2" s="141"/>
      <c r="F2" s="141"/>
    </row>
    <row r="4" spans="1:6" x14ac:dyDescent="0.25">
      <c r="B4" s="138" t="s">
        <v>62</v>
      </c>
      <c r="C4" s="138"/>
      <c r="D4" s="138"/>
      <c r="E4" s="138"/>
      <c r="F4" s="138"/>
    </row>
    <row r="5" spans="1:6" x14ac:dyDescent="0.25">
      <c r="B5" s="123">
        <v>2016</v>
      </c>
      <c r="C5" s="124">
        <v>2017</v>
      </c>
      <c r="D5" s="124">
        <v>2018</v>
      </c>
      <c r="E5" s="124">
        <v>2019</v>
      </c>
      <c r="F5" s="125">
        <v>2020</v>
      </c>
    </row>
    <row r="6" spans="1:6" x14ac:dyDescent="0.25">
      <c r="A6" t="s">
        <v>72</v>
      </c>
      <c r="B6" s="8">
        <f>Gulf!N99</f>
        <v>268803</v>
      </c>
      <c r="C6" s="4">
        <f>Gulf!O99</f>
        <v>279604.86</v>
      </c>
      <c r="D6" s="4">
        <f>Gulf!P99</f>
        <v>287953.97096000001</v>
      </c>
      <c r="E6" s="4">
        <f>Gulf!Q99</f>
        <v>296517.77405975998</v>
      </c>
      <c r="F6" s="5">
        <f>Gulf!R99</f>
        <v>304988.04773343325</v>
      </c>
    </row>
    <row r="7" spans="1:6" x14ac:dyDescent="0.25">
      <c r="A7" t="s">
        <v>73</v>
      </c>
      <c r="B7" s="9">
        <f>Gulf!N100</f>
        <v>473157</v>
      </c>
      <c r="C7" s="6">
        <f>Gulf!O100</f>
        <v>489190</v>
      </c>
      <c r="D7" s="6">
        <f>Gulf!P100</f>
        <v>508204.364</v>
      </c>
      <c r="E7" s="6">
        <f>Gulf!Q100</f>
        <v>523368.30928400002</v>
      </c>
      <c r="F7" s="7">
        <f>Gulf!R100</f>
        <v>538340.83794395195</v>
      </c>
    </row>
    <row r="8" spans="1:6" x14ac:dyDescent="0.25">
      <c r="A8" t="s">
        <v>74</v>
      </c>
      <c r="B8" s="9">
        <f>Gulf!N101</f>
        <v>778608</v>
      </c>
      <c r="C8" s="6">
        <f>Gulf!O101</f>
        <v>779978</v>
      </c>
      <c r="D8" s="6">
        <f>Gulf!P101</f>
        <v>801878</v>
      </c>
      <c r="E8" s="6">
        <f>Gulf!Q101</f>
        <v>821097.5</v>
      </c>
      <c r="F8" s="7">
        <f>Gulf!R101</f>
        <v>844176.22499999998</v>
      </c>
    </row>
    <row r="9" spans="1:6" x14ac:dyDescent="0.25">
      <c r="A9" t="s">
        <v>75</v>
      </c>
      <c r="B9" s="9">
        <f>Gulf!N102</f>
        <v>400934</v>
      </c>
      <c r="C9" s="6">
        <f>Gulf!O102</f>
        <v>415108.61</v>
      </c>
      <c r="D9" s="6">
        <f>Gulf!P102</f>
        <v>428825.68395999999</v>
      </c>
      <c r="E9" s="6">
        <f>Gulf!Q102</f>
        <v>442063.68116276001</v>
      </c>
      <c r="F9" s="7">
        <f>Gulf!R102</f>
        <v>454321.58823531726</v>
      </c>
    </row>
    <row r="10" spans="1:6" x14ac:dyDescent="0.25">
      <c r="A10" t="s">
        <v>76</v>
      </c>
      <c r="B10" s="9">
        <f>Gulf!N103</f>
        <v>190378</v>
      </c>
      <c r="C10" s="6">
        <f>Gulf!O103</f>
        <v>197290</v>
      </c>
      <c r="D10" s="6">
        <f>Gulf!P103</f>
        <v>204434</v>
      </c>
      <c r="E10" s="6">
        <f>Gulf!Q103</f>
        <v>210280</v>
      </c>
      <c r="F10" s="7">
        <f>Gulf!R103</f>
        <v>216078</v>
      </c>
    </row>
    <row r="11" spans="1:6" x14ac:dyDescent="0.25">
      <c r="A11" t="s">
        <v>77</v>
      </c>
      <c r="B11" s="9">
        <f>Gulf!N104</f>
        <v>623070</v>
      </c>
      <c r="C11" s="6">
        <f>Gulf!O104</f>
        <v>627288</v>
      </c>
      <c r="D11" s="6">
        <f>Gulf!P104</f>
        <v>607595</v>
      </c>
      <c r="E11" s="6">
        <f>Gulf!Q104</f>
        <v>636992</v>
      </c>
      <c r="F11" s="7">
        <f>Gulf!R104</f>
        <v>681386</v>
      </c>
    </row>
    <row r="12" spans="1:6" ht="15.75" thickBot="1" x14ac:dyDescent="0.3">
      <c r="B12" s="63">
        <f>SUM(B6:B11)</f>
        <v>2734950</v>
      </c>
      <c r="C12" s="64">
        <f>SUM(C6:C11)</f>
        <v>2788459.4699999997</v>
      </c>
      <c r="D12" s="64">
        <f>SUM(D6:D11)</f>
        <v>2838891.0189200002</v>
      </c>
      <c r="E12" s="64">
        <f>SUM(E6:E11)</f>
        <v>2930319.2645065202</v>
      </c>
      <c r="F12" s="65">
        <f>SUM(F6:F11)</f>
        <v>3039290.6989127025</v>
      </c>
    </row>
    <row r="13" spans="1:6" ht="15.75" thickTop="1" x14ac:dyDescent="0.25"/>
    <row r="15" spans="1:6" x14ac:dyDescent="0.25">
      <c r="A15" s="90"/>
      <c r="B15" s="139" t="s">
        <v>82</v>
      </c>
      <c r="C15" s="139"/>
      <c r="D15" s="139"/>
      <c r="E15" s="139"/>
      <c r="F15" s="139"/>
    </row>
    <row r="16" spans="1:6" x14ac:dyDescent="0.25">
      <c r="A16" s="90"/>
      <c r="B16" s="123">
        <v>2016</v>
      </c>
      <c r="C16" s="124">
        <v>2017</v>
      </c>
      <c r="D16" s="124">
        <v>2018</v>
      </c>
      <c r="E16" s="124">
        <v>2019</v>
      </c>
      <c r="F16" s="125">
        <v>2020</v>
      </c>
    </row>
    <row r="17" spans="1:11" x14ac:dyDescent="0.25">
      <c r="A17" s="90" t="s">
        <v>72</v>
      </c>
      <c r="B17" s="8">
        <f>268368</f>
        <v>268368</v>
      </c>
      <c r="C17" s="4">
        <v>276136</v>
      </c>
      <c r="D17" s="4">
        <v>284148</v>
      </c>
      <c r="E17" s="4">
        <v>292374</v>
      </c>
      <c r="F17" s="5">
        <v>300859</v>
      </c>
      <c r="H17" s="91"/>
    </row>
    <row r="18" spans="1:11" x14ac:dyDescent="0.25">
      <c r="A18" s="90" t="s">
        <v>73</v>
      </c>
      <c r="B18" s="9">
        <v>397524</v>
      </c>
      <c r="C18" s="6">
        <v>413539</v>
      </c>
      <c r="D18" s="6">
        <v>427743</v>
      </c>
      <c r="E18" s="6">
        <v>440225</v>
      </c>
      <c r="F18" s="7">
        <v>453070</v>
      </c>
      <c r="K18" s="90"/>
    </row>
    <row r="19" spans="1:11" x14ac:dyDescent="0.25">
      <c r="A19" s="90" t="s">
        <v>74</v>
      </c>
      <c r="B19" s="9">
        <v>717622</v>
      </c>
      <c r="C19" s="6">
        <v>747330</v>
      </c>
      <c r="D19" s="6">
        <v>778440</v>
      </c>
      <c r="E19" s="6">
        <v>811018</v>
      </c>
      <c r="F19" s="7">
        <v>812606</v>
      </c>
      <c r="K19" s="90"/>
    </row>
    <row r="20" spans="1:11" x14ac:dyDescent="0.25">
      <c r="A20" s="90" t="s">
        <v>75</v>
      </c>
      <c r="B20" s="9">
        <v>416988</v>
      </c>
      <c r="C20" s="6">
        <v>430076</v>
      </c>
      <c r="D20" s="6">
        <v>441776</v>
      </c>
      <c r="E20" s="6">
        <v>453842</v>
      </c>
      <c r="F20" s="7">
        <v>466260</v>
      </c>
      <c r="K20" s="90"/>
    </row>
    <row r="21" spans="1:11" x14ac:dyDescent="0.25">
      <c r="A21" s="90" t="s">
        <v>76</v>
      </c>
      <c r="B21" s="9">
        <v>187491</v>
      </c>
      <c r="C21" s="6">
        <v>194278</v>
      </c>
      <c r="D21" s="6">
        <v>201347</v>
      </c>
      <c r="E21" s="6">
        <v>208660</v>
      </c>
      <c r="F21" s="7">
        <v>214670</v>
      </c>
    </row>
    <row r="22" spans="1:11" x14ac:dyDescent="0.25">
      <c r="A22" s="90" t="s">
        <v>77</v>
      </c>
      <c r="B22" s="9">
        <v>631012</v>
      </c>
      <c r="C22" s="6">
        <v>616201</v>
      </c>
      <c r="D22" s="6">
        <v>641473</v>
      </c>
      <c r="E22" s="6">
        <v>646842</v>
      </c>
      <c r="F22" s="7">
        <f>650738-80</f>
        <v>650658</v>
      </c>
    </row>
    <row r="23" spans="1:11" ht="15.75" thickBot="1" x14ac:dyDescent="0.3">
      <c r="A23" s="90"/>
      <c r="B23" s="63">
        <f>SUM(B17:B22)</f>
        <v>2619005</v>
      </c>
      <c r="C23" s="64">
        <f>SUM(C17:C22)</f>
        <v>2677560</v>
      </c>
      <c r="D23" s="64">
        <f>SUM(D17:D22)</f>
        <v>2774927</v>
      </c>
      <c r="E23" s="64">
        <f>SUM(E17:E22)</f>
        <v>2852961</v>
      </c>
      <c r="F23" s="65">
        <f>SUM(F17:F22)</f>
        <v>2898123</v>
      </c>
      <c r="H23" s="91"/>
      <c r="I23" s="91"/>
    </row>
    <row r="24" spans="1:11" ht="15.75" thickTop="1" x14ac:dyDescent="0.25"/>
    <row r="26" spans="1:11" x14ac:dyDescent="0.25">
      <c r="A26" s="90"/>
      <c r="B26" s="139" t="s">
        <v>84</v>
      </c>
      <c r="C26" s="139"/>
      <c r="D26" s="139"/>
      <c r="E26" s="139"/>
      <c r="F26" s="139"/>
    </row>
    <row r="27" spans="1:11" x14ac:dyDescent="0.25">
      <c r="A27" s="90"/>
      <c r="B27" s="123">
        <v>2016</v>
      </c>
      <c r="C27" s="124">
        <v>2017</v>
      </c>
      <c r="D27" s="124">
        <v>2018</v>
      </c>
      <c r="E27" s="124">
        <v>2019</v>
      </c>
      <c r="F27" s="125">
        <v>2020</v>
      </c>
    </row>
    <row r="28" spans="1:11" x14ac:dyDescent="0.25">
      <c r="A28" s="90" t="s">
        <v>72</v>
      </c>
      <c r="B28" s="8">
        <f t="shared" ref="B28:E29" si="0">B6-B17</f>
        <v>435</v>
      </c>
      <c r="C28" s="4">
        <f t="shared" si="0"/>
        <v>3468.859999999986</v>
      </c>
      <c r="D28" s="4">
        <f t="shared" si="0"/>
        <v>3805.970960000006</v>
      </c>
      <c r="E28" s="4">
        <f>E6-E17</f>
        <v>4143.7740597599768</v>
      </c>
      <c r="F28" s="5">
        <f t="shared" ref="F28:F33" si="1">+F6-F17</f>
        <v>4129.0477334332536</v>
      </c>
    </row>
    <row r="29" spans="1:11" x14ac:dyDescent="0.25">
      <c r="A29" s="90" t="s">
        <v>73</v>
      </c>
      <c r="B29" s="9">
        <f t="shared" si="0"/>
        <v>75633</v>
      </c>
      <c r="C29" s="6">
        <f t="shared" si="0"/>
        <v>75651</v>
      </c>
      <c r="D29" s="6">
        <f t="shared" si="0"/>
        <v>80461.364000000001</v>
      </c>
      <c r="E29" s="6">
        <f t="shared" si="0"/>
        <v>83143.309284000017</v>
      </c>
      <c r="F29" s="7">
        <f t="shared" si="1"/>
        <v>85270.837943951949</v>
      </c>
    </row>
    <row r="30" spans="1:11" x14ac:dyDescent="0.25">
      <c r="A30" s="90" t="s">
        <v>74</v>
      </c>
      <c r="B30" s="9">
        <f t="shared" ref="B30:E33" si="2">B8-B19</f>
        <v>60986</v>
      </c>
      <c r="C30" s="6">
        <f t="shared" si="2"/>
        <v>32648</v>
      </c>
      <c r="D30" s="6">
        <f t="shared" si="2"/>
        <v>23438</v>
      </c>
      <c r="E30" s="6">
        <f t="shared" si="2"/>
        <v>10079.5</v>
      </c>
      <c r="F30" s="7">
        <f t="shared" si="1"/>
        <v>31570.224999999977</v>
      </c>
    </row>
    <row r="31" spans="1:11" x14ac:dyDescent="0.25">
      <c r="A31" s="90" t="s">
        <v>75</v>
      </c>
      <c r="B31" s="9">
        <f t="shared" si="2"/>
        <v>-16054</v>
      </c>
      <c r="C31" s="6">
        <f t="shared" si="2"/>
        <v>-14967.390000000014</v>
      </c>
      <c r="D31" s="6">
        <f t="shared" si="2"/>
        <v>-12950.316040000005</v>
      </c>
      <c r="E31" s="6">
        <f t="shared" si="2"/>
        <v>-11778.318837239989</v>
      </c>
      <c r="F31" s="7">
        <f t="shared" si="1"/>
        <v>-11938.411764682736</v>
      </c>
    </row>
    <row r="32" spans="1:11" x14ac:dyDescent="0.25">
      <c r="A32" s="90" t="s">
        <v>76</v>
      </c>
      <c r="B32" s="9">
        <f t="shared" si="2"/>
        <v>2887</v>
      </c>
      <c r="C32" s="6">
        <f t="shared" si="2"/>
        <v>3012</v>
      </c>
      <c r="D32" s="6">
        <f t="shared" si="2"/>
        <v>3087</v>
      </c>
      <c r="E32" s="6">
        <f t="shared" si="2"/>
        <v>1620</v>
      </c>
      <c r="F32" s="7">
        <f t="shared" si="1"/>
        <v>1408</v>
      </c>
    </row>
    <row r="33" spans="1:6" x14ac:dyDescent="0.25">
      <c r="A33" s="90" t="s">
        <v>77</v>
      </c>
      <c r="B33" s="9">
        <f t="shared" si="2"/>
        <v>-7942</v>
      </c>
      <c r="C33" s="6">
        <f t="shared" si="2"/>
        <v>11087</v>
      </c>
      <c r="D33" s="6">
        <f t="shared" si="2"/>
        <v>-33878</v>
      </c>
      <c r="E33" s="6">
        <f t="shared" si="2"/>
        <v>-9850</v>
      </c>
      <c r="F33" s="7">
        <f t="shared" si="1"/>
        <v>30728</v>
      </c>
    </row>
    <row r="34" spans="1:6" ht="15.75" thickBot="1" x14ac:dyDescent="0.3">
      <c r="A34" s="90"/>
      <c r="B34" s="63">
        <f>SUM(B28:B33)</f>
        <v>115945</v>
      </c>
      <c r="C34" s="64">
        <f>SUM(C28:C33)</f>
        <v>110899.46999999997</v>
      </c>
      <c r="D34" s="64">
        <f>SUM(D28:D33)</f>
        <v>63964.018920000002</v>
      </c>
      <c r="E34" s="64">
        <f>SUM(E28:E33)</f>
        <v>77358.264506520005</v>
      </c>
      <c r="F34" s="65">
        <f>SUM(F28:F33)</f>
        <v>141167.69891270244</v>
      </c>
    </row>
    <row r="35" spans="1:6" ht="15.75" thickTop="1" x14ac:dyDescent="0.25"/>
  </sheetData>
  <mergeCells count="5">
    <mergeCell ref="B4:F4"/>
    <mergeCell ref="A1:F1"/>
    <mergeCell ref="A2:F2"/>
    <mergeCell ref="B15:F15"/>
    <mergeCell ref="B26:F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Gulf</vt:lpstr>
      <vt:lpstr>Comparison</vt:lpstr>
      <vt:lpstr>Comparison!Print_Area</vt:lpstr>
      <vt:lpstr>Gulf!Print_Area</vt:lpstr>
      <vt:lpstr>Gulf!Print_Titles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aejuull</dc:creator>
  <cp:lastModifiedBy>aejuull</cp:lastModifiedBy>
  <cp:lastPrinted>2015-08-19T17:04:04Z</cp:lastPrinted>
  <dcterms:created xsi:type="dcterms:W3CDTF">2014-12-07T20:06:14Z</dcterms:created>
  <dcterms:modified xsi:type="dcterms:W3CDTF">2016-11-30T20:47:14Z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1276658772</vt:i4>
  </property>
  <property fmtid="{D5CDD505-2E9C-101B-9397-08002B2CF9AE}" pid="3" name="_NewReviewCycle">
    <vt:lpwstr/>
  </property>
  <property fmtid="{D5CDD505-2E9C-101B-9397-08002B2CF9AE}" pid="4" name="_EmailSubject">
    <vt:lpwstr>Staff's 6th POD 48</vt:lpwstr>
  </property>
  <property fmtid="{D5CDD505-2E9C-101B-9397-08002B2CF9AE}" pid="5" name="_AuthorEmail">
    <vt:lpwstr>THUYNH@southernco.com</vt:lpwstr>
  </property>
  <property fmtid="{D5CDD505-2E9C-101B-9397-08002B2CF9AE}" pid="6" name="_AuthorEmailDisplayName">
    <vt:lpwstr>Huynh, Trang</vt:lpwstr>
  </property>
</Properties>
</file>