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0" windowWidth="16950" windowHeight="4605" tabRatio="906" activeTab="12"/>
  </bookViews>
  <sheets>
    <sheet name="Contacts" sheetId="72" r:id="rId1"/>
    <sheet name="Actuals" sheetId="73" r:id="rId2"/>
    <sheet name="2016-2020 Summary" sheetId="74" r:id="rId3"/>
    <sheet name="Comparison" sheetId="61" r:id="rId4"/>
    <sheet name="Uncollectibles" sheetId="30" r:id="rId5"/>
    <sheet name="Admin Exp Trans" sheetId="2" r:id="rId6"/>
    <sheet name="Prop Dam Res" sheetId="56" r:id="rId7"/>
    <sheet name="I&amp;D Ins" sheetId="55" r:id="rId8"/>
    <sheet name="Corp Ins 924" sheetId="52" r:id="rId9"/>
    <sheet name="Corp Ins 925" sheetId="53" r:id="rId10"/>
    <sheet name="Travel Ins 925" sheetId="69" r:id="rId11"/>
    <sheet name="FERC Fee" sheetId="3" r:id="rId12"/>
    <sheet name="Duplicate Chrgs" sheetId="63" r:id="rId13"/>
    <sheet name="Tower Lease" sheetId="47" r:id="rId14"/>
    <sheet name="Stores Handling" sheetId="15" r:id="rId15"/>
    <sheet name="EPRI Dues" sheetId="21" r:id="rId16"/>
    <sheet name="EEI Dues" sheetId="36" r:id="rId17"/>
    <sheet name="Def Comp" sheetId="7" r:id="rId18"/>
    <sheet name="Trans" sheetId="64" r:id="rId19"/>
    <sheet name="Trans Clause" sheetId="42" r:id="rId20"/>
    <sheet name="APC Fac Charge" sheetId="70" r:id="rId21"/>
    <sheet name="SCS Early Retire" sheetId="60" r:id="rId22"/>
    <sheet name="Rate Case Exp" sheetId="71" r:id="rId23"/>
    <sheet name="Corp Ins 737" sheetId="57" r:id="rId24"/>
    <sheet name="Misc" sheetId="75" r:id="rId25"/>
  </sheets>
  <definedNames>
    <definedName name="_xlnm._FilterDatabase" localSheetId="1" hidden="1">Actuals!$A$1:$G$67</definedName>
    <definedName name="_xlnm.Print_Area" localSheetId="2">'2016-2020 Summary'!$A$1:$J$94</definedName>
    <definedName name="_xlnm.Print_Area" localSheetId="5">'Admin Exp Trans'!$A$1:$G$24</definedName>
    <definedName name="_xlnm.Print_Area" localSheetId="20">'APC Fac Charge'!$A$1:$E$42</definedName>
    <definedName name="_xlnm.Print_Area" localSheetId="3">Comparison!$A$1:$O$93</definedName>
    <definedName name="_xlnm.Print_Area" localSheetId="0">Contacts!$A$2:$C$23</definedName>
    <definedName name="_xlnm.Print_Area" localSheetId="23">'Corp Ins 737'!$A$1:$O$26</definedName>
    <definedName name="_xlnm.Print_Area" localSheetId="8">'Corp Ins 924'!$A$1:$O$36</definedName>
    <definedName name="_xlnm.Print_Area" localSheetId="9">'Corp Ins 925'!$A$1:$O$40</definedName>
    <definedName name="_xlnm.Print_Area" localSheetId="17">'Def Comp'!$A$1:$J$25</definedName>
    <definedName name="_xlnm.Print_Area" localSheetId="12">'Duplicate Chrgs'!$A$1:$J$77</definedName>
    <definedName name="_xlnm.Print_Area" localSheetId="16">'EEI Dues'!$A$1:$G$37</definedName>
    <definedName name="_xlnm.Print_Area" localSheetId="15">'EPRI Dues'!$A$1:$M$30</definedName>
    <definedName name="_xlnm.Print_Area" localSheetId="11">'FERC Fee'!$A$1:$F$26</definedName>
    <definedName name="_xlnm.Print_Area" localSheetId="7">'I&amp;D Ins'!$A$1:$F$17</definedName>
    <definedName name="_xlnm.Print_Area" localSheetId="6">'Prop Dam Res'!$A$1:$F$19</definedName>
    <definedName name="_xlnm.Print_Area" localSheetId="22">'Rate Case Exp'!$A$1:$E$34</definedName>
    <definedName name="_xlnm.Print_Area" localSheetId="21">'SCS Early Retire'!$A$1:$J$25</definedName>
    <definedName name="_xlnm.Print_Area" localSheetId="14">'Stores Handling'!$A$1:$W$60</definedName>
    <definedName name="_xlnm.Print_Area" localSheetId="13">'Tower Lease'!$A$1:$Y$38</definedName>
    <definedName name="_xlnm.Print_Area" localSheetId="18">Trans!$A$1:$J$28</definedName>
    <definedName name="_xlnm.Print_Area" localSheetId="19">'Trans Clause'!$A$1:$K$25</definedName>
    <definedName name="_xlnm.Print_Area" localSheetId="10">'Travel Ins 925'!$A$1:$H$16</definedName>
    <definedName name="_xlnm.Print_Area" localSheetId="4">Uncollectibles!$A$1:$G$31</definedName>
    <definedName name="_xlnm.Print_Titles" localSheetId="2">'2016-2020 Summary'!$A:$A,'2016-2020 Summary'!$1:$6</definedName>
    <definedName name="_xlnm.Print_Titles" localSheetId="3">Comparison!$A:$A,Comparison!$1:$6</definedName>
  </definedNames>
  <calcPr calcId="145621"/>
</workbook>
</file>

<file path=xl/calcChain.xml><?xml version="1.0" encoding="utf-8"?>
<calcChain xmlns="http://schemas.openxmlformats.org/spreadsheetml/2006/main">
  <c r="I9" i="21" l="1"/>
  <c r="B23" i="63" l="1"/>
  <c r="G17" i="2" l="1"/>
  <c r="F17" i="2"/>
  <c r="E17" i="2"/>
  <c r="D17" i="2"/>
  <c r="C17" i="2"/>
  <c r="F19" i="75" l="1"/>
  <c r="E19" i="75"/>
  <c r="D19" i="75"/>
  <c r="C19" i="75"/>
  <c r="B19" i="75"/>
  <c r="G84" i="74" l="1"/>
  <c r="H84" i="74"/>
  <c r="I84" i="74"/>
  <c r="J84" i="74"/>
  <c r="F84" i="74"/>
  <c r="B20" i="30" l="1"/>
  <c r="F8" i="47" l="1"/>
  <c r="G8" i="47"/>
  <c r="H8" i="47"/>
  <c r="I8" i="47"/>
  <c r="J8" i="47"/>
  <c r="F9" i="47"/>
  <c r="G9" i="47"/>
  <c r="H9" i="47"/>
  <c r="I9" i="47"/>
  <c r="J9" i="47"/>
  <c r="F10" i="47"/>
  <c r="G10" i="47"/>
  <c r="H10" i="47"/>
  <c r="I10" i="47"/>
  <c r="J10" i="47"/>
  <c r="F11" i="47"/>
  <c r="G11" i="47"/>
  <c r="H11" i="47"/>
  <c r="I11" i="47"/>
  <c r="J11" i="47"/>
  <c r="F12" i="47"/>
  <c r="G12" i="47"/>
  <c r="H12" i="47"/>
  <c r="I12" i="47"/>
  <c r="J12" i="47"/>
  <c r="F13" i="47"/>
  <c r="G13" i="47"/>
  <c r="H13" i="47"/>
  <c r="I13" i="47"/>
  <c r="J13" i="47"/>
  <c r="F14" i="47"/>
  <c r="G14" i="47"/>
  <c r="H14" i="47"/>
  <c r="I14" i="47"/>
  <c r="J14" i="47"/>
  <c r="F15" i="47"/>
  <c r="G15" i="47"/>
  <c r="H15" i="47"/>
  <c r="I15" i="47"/>
  <c r="J15" i="47"/>
  <c r="F16" i="47"/>
  <c r="G16" i="47"/>
  <c r="H16" i="47"/>
  <c r="I16" i="47"/>
  <c r="J16" i="47"/>
  <c r="F17" i="47"/>
  <c r="G17" i="47"/>
  <c r="H17" i="47"/>
  <c r="I17" i="47"/>
  <c r="J17" i="47"/>
  <c r="F18" i="47"/>
  <c r="G18" i="47"/>
  <c r="H18" i="47"/>
  <c r="I18" i="47"/>
  <c r="J18" i="47"/>
  <c r="F19" i="47"/>
  <c r="G19" i="47"/>
  <c r="H19" i="47"/>
  <c r="I19" i="47"/>
  <c r="J19" i="47"/>
  <c r="B78" i="15" l="1"/>
  <c r="C69" i="15" s="1"/>
  <c r="C61" i="15"/>
  <c r="F59" i="15" s="1"/>
  <c r="F58" i="15"/>
  <c r="E56" i="15" s="1"/>
  <c r="B9" i="71"/>
  <c r="B10" i="71"/>
  <c r="B11" i="71"/>
  <c r="B12" i="71"/>
  <c r="B13" i="71"/>
  <c r="B14" i="71"/>
  <c r="B15" i="71"/>
  <c r="B16" i="71"/>
  <c r="B17" i="71"/>
  <c r="B18" i="71"/>
  <c r="B19" i="71"/>
  <c r="B8" i="71"/>
  <c r="I10" i="71"/>
  <c r="I11" i="71"/>
  <c r="B17" i="70"/>
  <c r="D35" i="15"/>
  <c r="D24" i="15" s="1"/>
  <c r="B24" i="63"/>
  <c r="O34" i="71"/>
  <c r="O36" i="71"/>
  <c r="F37" i="73"/>
  <c r="F36" i="73"/>
  <c r="F35" i="73"/>
  <c r="E72" i="74"/>
  <c r="E71" i="74"/>
  <c r="E67" i="74"/>
  <c r="E64" i="74"/>
  <c r="E61" i="74"/>
  <c r="E58" i="74"/>
  <c r="E55" i="74"/>
  <c r="E54" i="74"/>
  <c r="E53" i="74"/>
  <c r="E52" i="74"/>
  <c r="E51" i="74"/>
  <c r="E50" i="74"/>
  <c r="E47" i="74"/>
  <c r="E46" i="74"/>
  <c r="E45" i="74"/>
  <c r="E44" i="74"/>
  <c r="E43" i="74"/>
  <c r="E42" i="74"/>
  <c r="E41" i="74"/>
  <c r="E40" i="74"/>
  <c r="E39" i="74"/>
  <c r="E38" i="74"/>
  <c r="E37" i="74"/>
  <c r="E81" i="74"/>
  <c r="C84" i="74"/>
  <c r="B84" i="74"/>
  <c r="C21" i="64"/>
  <c r="B21" i="64"/>
  <c r="C21" i="42"/>
  <c r="D21" i="42"/>
  <c r="H10" i="42"/>
  <c r="I10" i="42"/>
  <c r="J10" i="42"/>
  <c r="K10" i="42"/>
  <c r="H11" i="42"/>
  <c r="I11" i="42"/>
  <c r="J11" i="42"/>
  <c r="K11" i="42"/>
  <c r="H12" i="42"/>
  <c r="I12" i="42"/>
  <c r="J12" i="42"/>
  <c r="K12" i="42"/>
  <c r="H13" i="42"/>
  <c r="I13" i="42"/>
  <c r="J13" i="42"/>
  <c r="K13" i="42"/>
  <c r="H14" i="42"/>
  <c r="I14" i="42"/>
  <c r="J14" i="42"/>
  <c r="K14" i="42"/>
  <c r="H15" i="42"/>
  <c r="I15" i="42"/>
  <c r="J15" i="42"/>
  <c r="K15" i="42"/>
  <c r="H16" i="42"/>
  <c r="I16" i="42"/>
  <c r="J16" i="42"/>
  <c r="K16" i="42"/>
  <c r="H17" i="42"/>
  <c r="I17" i="42"/>
  <c r="J17" i="42"/>
  <c r="K17" i="42"/>
  <c r="H18" i="42"/>
  <c r="I18" i="42"/>
  <c r="J18" i="42"/>
  <c r="K18" i="42"/>
  <c r="H19" i="42"/>
  <c r="I19" i="42"/>
  <c r="J19" i="42"/>
  <c r="K19" i="42"/>
  <c r="H20" i="42"/>
  <c r="I20" i="42"/>
  <c r="J20" i="42"/>
  <c r="K20" i="42"/>
  <c r="H9" i="42"/>
  <c r="I9" i="42"/>
  <c r="J9" i="42"/>
  <c r="K9" i="42"/>
  <c r="G10" i="64"/>
  <c r="H10" i="64"/>
  <c r="I10" i="64"/>
  <c r="J10" i="64"/>
  <c r="G11" i="64"/>
  <c r="H11" i="64"/>
  <c r="I11" i="64"/>
  <c r="J11" i="64"/>
  <c r="G12" i="64"/>
  <c r="H12" i="64"/>
  <c r="I12" i="64"/>
  <c r="J12" i="64"/>
  <c r="G13" i="64"/>
  <c r="H13" i="64"/>
  <c r="I13" i="64"/>
  <c r="J13" i="64"/>
  <c r="G14" i="64"/>
  <c r="H14" i="64"/>
  <c r="I14" i="64"/>
  <c r="J14" i="64"/>
  <c r="G15" i="64"/>
  <c r="H15" i="64"/>
  <c r="I15" i="64"/>
  <c r="J15" i="64"/>
  <c r="G16" i="64"/>
  <c r="H16" i="64"/>
  <c r="I16" i="64"/>
  <c r="J16" i="64"/>
  <c r="G17" i="64"/>
  <c r="H17" i="64"/>
  <c r="I17" i="64"/>
  <c r="J17" i="64"/>
  <c r="G18" i="64"/>
  <c r="H18" i="64"/>
  <c r="I18" i="64"/>
  <c r="J18" i="64"/>
  <c r="G19" i="64"/>
  <c r="H19" i="64"/>
  <c r="I19" i="64"/>
  <c r="J19" i="64"/>
  <c r="G20" i="64"/>
  <c r="H20" i="64"/>
  <c r="I20" i="64"/>
  <c r="J20" i="64"/>
  <c r="H9" i="64"/>
  <c r="I9" i="64"/>
  <c r="J9" i="64"/>
  <c r="G9" i="64"/>
  <c r="C21" i="60"/>
  <c r="B21" i="60"/>
  <c r="B7" i="69"/>
  <c r="V19" i="7"/>
  <c r="U19" i="7"/>
  <c r="T19" i="7"/>
  <c r="S19" i="7"/>
  <c r="R19" i="7"/>
  <c r="V16" i="7"/>
  <c r="U16" i="7"/>
  <c r="T16" i="7"/>
  <c r="S16" i="7"/>
  <c r="R16" i="7"/>
  <c r="V13" i="7"/>
  <c r="U13" i="7"/>
  <c r="T13" i="7"/>
  <c r="S13" i="7"/>
  <c r="R13" i="7"/>
  <c r="V10" i="7"/>
  <c r="U10" i="7"/>
  <c r="T10" i="7"/>
  <c r="S10" i="7"/>
  <c r="R10" i="7"/>
  <c r="R21" i="7"/>
  <c r="P10" i="7"/>
  <c r="P13" i="7"/>
  <c r="P16" i="7"/>
  <c r="P19" i="7"/>
  <c r="O19" i="7"/>
  <c r="O16" i="7"/>
  <c r="O13" i="7"/>
  <c r="O10" i="7"/>
  <c r="N19" i="7"/>
  <c r="N16" i="7"/>
  <c r="N13" i="7"/>
  <c r="N10" i="7"/>
  <c r="M19" i="7"/>
  <c r="M16" i="7"/>
  <c r="M13" i="7"/>
  <c r="M10" i="7"/>
  <c r="M21" i="7"/>
  <c r="L19" i="7"/>
  <c r="L16" i="7"/>
  <c r="L13" i="7"/>
  <c r="L10" i="7"/>
  <c r="L21" i="7"/>
  <c r="C15" i="52"/>
  <c r="D15" i="52"/>
  <c r="E15" i="52"/>
  <c r="F15" i="52"/>
  <c r="G15" i="52"/>
  <c r="H15" i="52"/>
  <c r="I15" i="52"/>
  <c r="J15" i="52"/>
  <c r="K15" i="52"/>
  <c r="L15" i="52"/>
  <c r="M15" i="52"/>
  <c r="N15" i="52"/>
  <c r="N30" i="52"/>
  <c r="M30" i="52"/>
  <c r="L30" i="52"/>
  <c r="K30" i="52"/>
  <c r="J30" i="52"/>
  <c r="I30" i="52"/>
  <c r="H30" i="52"/>
  <c r="G30" i="52"/>
  <c r="F30" i="52"/>
  <c r="E30" i="52"/>
  <c r="D30" i="52"/>
  <c r="C30" i="52"/>
  <c r="N25" i="52"/>
  <c r="M25" i="52"/>
  <c r="L25" i="52"/>
  <c r="K25" i="52"/>
  <c r="J25" i="52"/>
  <c r="I25" i="52"/>
  <c r="H25" i="52"/>
  <c r="G25" i="52"/>
  <c r="F25" i="52"/>
  <c r="E25" i="52"/>
  <c r="D25" i="52"/>
  <c r="C25" i="52"/>
  <c r="N20" i="52"/>
  <c r="M20" i="52"/>
  <c r="L20" i="52"/>
  <c r="K20" i="52"/>
  <c r="J20" i="52"/>
  <c r="I20" i="52"/>
  <c r="H20" i="52"/>
  <c r="G20" i="52"/>
  <c r="F20" i="52"/>
  <c r="E20" i="52"/>
  <c r="D20" i="52"/>
  <c r="C20" i="52"/>
  <c r="N10" i="52"/>
  <c r="M10" i="52"/>
  <c r="L10" i="52"/>
  <c r="K10" i="52"/>
  <c r="J10" i="52"/>
  <c r="I10" i="52"/>
  <c r="H10" i="52"/>
  <c r="G10" i="52"/>
  <c r="F10" i="52"/>
  <c r="E10" i="52"/>
  <c r="D10" i="52"/>
  <c r="C10" i="52"/>
  <c r="P21" i="7"/>
  <c r="S21" i="7"/>
  <c r="V21" i="7"/>
  <c r="O21" i="7"/>
  <c r="N21" i="7"/>
  <c r="U21" i="7"/>
  <c r="T21" i="7"/>
  <c r="N31" i="52"/>
  <c r="M31" i="52"/>
  <c r="L31" i="52"/>
  <c r="K31" i="52"/>
  <c r="J31" i="52"/>
  <c r="I31" i="52"/>
  <c r="H31" i="52"/>
  <c r="G31" i="52"/>
  <c r="F31" i="52"/>
  <c r="E31" i="52"/>
  <c r="D31" i="52"/>
  <c r="C31" i="52"/>
  <c r="N26" i="52"/>
  <c r="M26" i="52"/>
  <c r="L26" i="52"/>
  <c r="K26" i="52"/>
  <c r="J26" i="52"/>
  <c r="I26" i="52"/>
  <c r="H26" i="52"/>
  <c r="G26" i="52"/>
  <c r="F26" i="52"/>
  <c r="E26" i="52"/>
  <c r="D26" i="52"/>
  <c r="C26" i="52"/>
  <c r="N21" i="52"/>
  <c r="M21" i="52"/>
  <c r="L21" i="52"/>
  <c r="K21" i="52"/>
  <c r="J21" i="52"/>
  <c r="I21" i="52"/>
  <c r="H21" i="52"/>
  <c r="G21" i="52"/>
  <c r="F21" i="52"/>
  <c r="E21" i="52"/>
  <c r="D21" i="52"/>
  <c r="C21" i="52"/>
  <c r="N16" i="52"/>
  <c r="M16" i="52"/>
  <c r="L16" i="52"/>
  <c r="K16" i="52"/>
  <c r="J16" i="52"/>
  <c r="I16" i="52"/>
  <c r="H16" i="52"/>
  <c r="G16" i="52"/>
  <c r="F16" i="52"/>
  <c r="E16" i="52"/>
  <c r="D16" i="52"/>
  <c r="C16" i="52"/>
  <c r="O30" i="52"/>
  <c r="O25" i="52"/>
  <c r="O20" i="52"/>
  <c r="O15" i="52"/>
  <c r="N11" i="52"/>
  <c r="M11" i="52"/>
  <c r="L11" i="52"/>
  <c r="K11" i="52"/>
  <c r="J11" i="52"/>
  <c r="I11" i="52"/>
  <c r="H11" i="52"/>
  <c r="G11" i="52"/>
  <c r="F11" i="52"/>
  <c r="E11" i="52"/>
  <c r="D11" i="52"/>
  <c r="C11" i="52"/>
  <c r="O10" i="52"/>
  <c r="K18" i="36"/>
  <c r="J18" i="36"/>
  <c r="F7" i="7"/>
  <c r="C20" i="30"/>
  <c r="G9" i="74" s="1"/>
  <c r="D20" i="30"/>
  <c r="E20" i="30"/>
  <c r="L9" i="61" s="1"/>
  <c r="N9" i="61" s="1"/>
  <c r="F20" i="30"/>
  <c r="O24" i="52"/>
  <c r="O26" i="52" s="1"/>
  <c r="I21" i="74" s="1"/>
  <c r="I23" i="74" s="1"/>
  <c r="O19" i="52"/>
  <c r="O21" i="52" s="1"/>
  <c r="H21" i="74" s="1"/>
  <c r="H23" i="74" s="1"/>
  <c r="O14" i="52"/>
  <c r="O16" i="52" s="1"/>
  <c r="G21" i="74" s="1"/>
  <c r="G23" i="74" s="1"/>
  <c r="S18" i="61"/>
  <c r="S15" i="61"/>
  <c r="F18" i="70"/>
  <c r="F19" i="70"/>
  <c r="F20" i="70"/>
  <c r="F21" i="70"/>
  <c r="F22" i="70"/>
  <c r="F23" i="70"/>
  <c r="F24" i="70"/>
  <c r="F25" i="70"/>
  <c r="F26" i="70"/>
  <c r="F27" i="70"/>
  <c r="F28" i="70"/>
  <c r="B12" i="70"/>
  <c r="F17" i="70"/>
  <c r="L28" i="36"/>
  <c r="L29" i="36"/>
  <c r="L30" i="36"/>
  <c r="L31" i="36"/>
  <c r="L27" i="36"/>
  <c r="L39" i="36"/>
  <c r="L7" i="36"/>
  <c r="L8" i="36"/>
  <c r="L9" i="36"/>
  <c r="L10" i="36"/>
  <c r="L6" i="36"/>
  <c r="C20" i="7"/>
  <c r="L18" i="36"/>
  <c r="C20" i="47"/>
  <c r="B20" i="47"/>
  <c r="F39" i="73"/>
  <c r="F40" i="73"/>
  <c r="F41" i="73"/>
  <c r="F42" i="73"/>
  <c r="F43" i="73"/>
  <c r="F44" i="73"/>
  <c r="F45" i="73"/>
  <c r="F2" i="73"/>
  <c r="F3" i="73"/>
  <c r="F4" i="73"/>
  <c r="F5" i="73"/>
  <c r="F6" i="73"/>
  <c r="F7" i="73"/>
  <c r="F8" i="73"/>
  <c r="F9" i="73"/>
  <c r="F10" i="73"/>
  <c r="F11" i="73"/>
  <c r="F12" i="73"/>
  <c r="F13" i="73"/>
  <c r="F14" i="73"/>
  <c r="F15" i="73"/>
  <c r="F16" i="73"/>
  <c r="F17" i="73"/>
  <c r="F18" i="73"/>
  <c r="F19" i="73"/>
  <c r="F20" i="73"/>
  <c r="F21" i="73"/>
  <c r="F22" i="73"/>
  <c r="F23" i="73"/>
  <c r="F24" i="73"/>
  <c r="F25" i="73"/>
  <c r="F26" i="73"/>
  <c r="F27" i="73"/>
  <c r="F28" i="73"/>
  <c r="F29" i="73"/>
  <c r="F30" i="73"/>
  <c r="F31" i="73"/>
  <c r="F32" i="73"/>
  <c r="F33" i="73"/>
  <c r="F34" i="73"/>
  <c r="F38" i="73"/>
  <c r="F46" i="73"/>
  <c r="C5" i="61"/>
  <c r="C6" i="61"/>
  <c r="A2" i="61"/>
  <c r="E97" i="74"/>
  <c r="D97" i="74"/>
  <c r="C97" i="74"/>
  <c r="B97" i="74"/>
  <c r="E92" i="74"/>
  <c r="E91" i="74"/>
  <c r="D81" i="74"/>
  <c r="C81" i="74"/>
  <c r="B81" i="74"/>
  <c r="D78" i="74"/>
  <c r="C78" i="74"/>
  <c r="B78" i="74"/>
  <c r="D75" i="74"/>
  <c r="C75" i="74"/>
  <c r="B75" i="74"/>
  <c r="D72" i="74"/>
  <c r="C72" i="74"/>
  <c r="B72" i="74"/>
  <c r="E70" i="74"/>
  <c r="D67" i="74"/>
  <c r="C67" i="74"/>
  <c r="B67" i="74"/>
  <c r="D64" i="74"/>
  <c r="C64" i="74"/>
  <c r="B64" i="74"/>
  <c r="D61" i="74"/>
  <c r="C61" i="74"/>
  <c r="B61" i="74"/>
  <c r="D58" i="74"/>
  <c r="C58" i="74"/>
  <c r="B58" i="74"/>
  <c r="F54" i="74"/>
  <c r="D54" i="74"/>
  <c r="C54" i="74"/>
  <c r="B54" i="74"/>
  <c r="F53" i="74"/>
  <c r="D53" i="74"/>
  <c r="C53" i="74"/>
  <c r="B53" i="74"/>
  <c r="F52" i="74"/>
  <c r="D52" i="74"/>
  <c r="C52" i="74"/>
  <c r="B52" i="74"/>
  <c r="F51" i="74"/>
  <c r="D51" i="74"/>
  <c r="C51" i="74"/>
  <c r="B51" i="74"/>
  <c r="F50" i="74"/>
  <c r="F55" i="74" s="1"/>
  <c r="D50" i="74"/>
  <c r="C50" i="74"/>
  <c r="B50" i="74"/>
  <c r="D46" i="74"/>
  <c r="C46" i="74"/>
  <c r="B46" i="74"/>
  <c r="D45" i="74"/>
  <c r="C45" i="74"/>
  <c r="B45" i="74"/>
  <c r="D44" i="74"/>
  <c r="C44" i="74"/>
  <c r="B44" i="74"/>
  <c r="D43" i="74"/>
  <c r="C43" i="74"/>
  <c r="B43" i="74"/>
  <c r="D42" i="74"/>
  <c r="C42" i="74"/>
  <c r="B42" i="74"/>
  <c r="D41" i="74"/>
  <c r="C41" i="74"/>
  <c r="B41" i="74"/>
  <c r="D40" i="74"/>
  <c r="C40" i="74"/>
  <c r="B40" i="74"/>
  <c r="D39" i="74"/>
  <c r="C39" i="74"/>
  <c r="B39" i="74"/>
  <c r="D38" i="74"/>
  <c r="C38" i="74"/>
  <c r="B38" i="74"/>
  <c r="D37" i="74"/>
  <c r="C37" i="74"/>
  <c r="B37" i="74"/>
  <c r="D34" i="74"/>
  <c r="C34" i="74"/>
  <c r="B34" i="74"/>
  <c r="D31" i="74"/>
  <c r="C31" i="74"/>
  <c r="B31" i="74"/>
  <c r="E30" i="74"/>
  <c r="E29" i="74"/>
  <c r="D26" i="74"/>
  <c r="C26" i="74"/>
  <c r="B26" i="74"/>
  <c r="B22" i="74"/>
  <c r="D21" i="74"/>
  <c r="C21" i="74"/>
  <c r="B21" i="74"/>
  <c r="J18" i="74"/>
  <c r="I18" i="74"/>
  <c r="H18" i="74"/>
  <c r="G18" i="74"/>
  <c r="F18" i="74"/>
  <c r="D18" i="74"/>
  <c r="D22" i="74"/>
  <c r="C18" i="74"/>
  <c r="C22" i="74"/>
  <c r="J15" i="74"/>
  <c r="I15" i="74"/>
  <c r="H15" i="74"/>
  <c r="G15" i="74"/>
  <c r="F15" i="74"/>
  <c r="D15" i="74"/>
  <c r="C15" i="74"/>
  <c r="B15" i="74"/>
  <c r="D12" i="74"/>
  <c r="C12" i="74"/>
  <c r="B12" i="74"/>
  <c r="D9" i="74"/>
  <c r="C9" i="74"/>
  <c r="B9" i="74"/>
  <c r="G6" i="74"/>
  <c r="J5" i="74"/>
  <c r="I5" i="74"/>
  <c r="H5" i="74"/>
  <c r="G5" i="74"/>
  <c r="D5" i="74"/>
  <c r="E15" i="74"/>
  <c r="E9" i="74"/>
  <c r="B55" i="74"/>
  <c r="B23" i="74"/>
  <c r="E34" i="74"/>
  <c r="E31" i="74"/>
  <c r="E75" i="74"/>
  <c r="E12" i="74"/>
  <c r="E21" i="74"/>
  <c r="D47" i="74"/>
  <c r="H6" i="74"/>
  <c r="E26" i="74"/>
  <c r="B47" i="74"/>
  <c r="D55" i="74"/>
  <c r="E78" i="74"/>
  <c r="D23" i="74"/>
  <c r="E18" i="74"/>
  <c r="C47" i="74"/>
  <c r="E22" i="74"/>
  <c r="C23" i="74"/>
  <c r="C55" i="74"/>
  <c r="B89" i="74"/>
  <c r="B94" i="74"/>
  <c r="D89" i="74"/>
  <c r="D94" i="74"/>
  <c r="E23" i="74"/>
  <c r="I6" i="74"/>
  <c r="C89" i="74"/>
  <c r="B98" i="74"/>
  <c r="D98" i="74"/>
  <c r="J6" i="74"/>
  <c r="E89" i="74"/>
  <c r="C94" i="74"/>
  <c r="C98" i="74"/>
  <c r="E94" i="74"/>
  <c r="E98" i="74"/>
  <c r="B96" i="61"/>
  <c r="D22" i="15"/>
  <c r="E22" i="15" s="1"/>
  <c r="F22" i="15" s="1"/>
  <c r="G22" i="15" s="1"/>
  <c r="H22" i="15" s="1"/>
  <c r="C16" i="70"/>
  <c r="D16" i="70"/>
  <c r="E16" i="70"/>
  <c r="F16" i="70"/>
  <c r="B18" i="70"/>
  <c r="B19" i="70"/>
  <c r="B20" i="70"/>
  <c r="B21" i="70"/>
  <c r="B22" i="70"/>
  <c r="B23" i="70"/>
  <c r="B24" i="70"/>
  <c r="B25" i="70"/>
  <c r="B26" i="70"/>
  <c r="B27" i="70"/>
  <c r="B28" i="70"/>
  <c r="C18" i="70"/>
  <c r="C19" i="70"/>
  <c r="C20" i="70"/>
  <c r="C21" i="70"/>
  <c r="C22" i="70"/>
  <c r="C23" i="70"/>
  <c r="C24" i="70"/>
  <c r="C25" i="70"/>
  <c r="C26" i="70"/>
  <c r="C27" i="70"/>
  <c r="C28" i="70"/>
  <c r="D18" i="70"/>
  <c r="D19" i="70"/>
  <c r="D20" i="70"/>
  <c r="D21" i="70"/>
  <c r="D22" i="70"/>
  <c r="D23" i="70"/>
  <c r="D24" i="70"/>
  <c r="D25" i="70"/>
  <c r="D26" i="70"/>
  <c r="D27" i="70"/>
  <c r="D28" i="70"/>
  <c r="E18" i="70"/>
  <c r="E19" i="70"/>
  <c r="E20" i="70"/>
  <c r="E21" i="70"/>
  <c r="E22" i="70"/>
  <c r="E23" i="70"/>
  <c r="E24" i="70"/>
  <c r="E25" i="70"/>
  <c r="E26" i="70"/>
  <c r="E27" i="70"/>
  <c r="E28" i="70"/>
  <c r="B11" i="70"/>
  <c r="I71" i="74"/>
  <c r="I72" i="74"/>
  <c r="E17" i="70"/>
  <c r="B10" i="70"/>
  <c r="H71" i="74"/>
  <c r="H72" i="74"/>
  <c r="D17" i="70"/>
  <c r="D29" i="70"/>
  <c r="B9" i="70"/>
  <c r="G71" i="74"/>
  <c r="G72" i="74"/>
  <c r="C17" i="70"/>
  <c r="C29" i="70"/>
  <c r="B8" i="70"/>
  <c r="F71" i="74"/>
  <c r="B29" i="70"/>
  <c r="E29" i="70"/>
  <c r="F29" i="70"/>
  <c r="J71" i="74"/>
  <c r="J72" i="74"/>
  <c r="F30" i="70"/>
  <c r="E30" i="70"/>
  <c r="B30" i="70"/>
  <c r="C30" i="70"/>
  <c r="D30" i="70"/>
  <c r="U24" i="47"/>
  <c r="U7" i="47"/>
  <c r="N7" i="47"/>
  <c r="F32" i="63"/>
  <c r="F27" i="63"/>
  <c r="C7" i="60"/>
  <c r="G5" i="61"/>
  <c r="J5" i="61"/>
  <c r="M5" i="61"/>
  <c r="P5" i="61"/>
  <c r="O5" i="61"/>
  <c r="L5" i="61"/>
  <c r="I5" i="61"/>
  <c r="F5" i="61"/>
  <c r="J19" i="7"/>
  <c r="I19" i="7"/>
  <c r="H19" i="7"/>
  <c r="G19" i="7"/>
  <c r="J18" i="7"/>
  <c r="I18" i="7"/>
  <c r="H18" i="7"/>
  <c r="G18" i="7"/>
  <c r="J17" i="7"/>
  <c r="I17" i="7"/>
  <c r="H17" i="7"/>
  <c r="G17" i="7"/>
  <c r="J16" i="7"/>
  <c r="I16" i="7"/>
  <c r="H16" i="7"/>
  <c r="G16" i="7"/>
  <c r="J15" i="7"/>
  <c r="I15" i="7"/>
  <c r="H15" i="7"/>
  <c r="G15" i="7"/>
  <c r="J14" i="7"/>
  <c r="I14" i="7"/>
  <c r="H14" i="7"/>
  <c r="G14" i="7"/>
  <c r="J13" i="7"/>
  <c r="I13" i="7"/>
  <c r="H13" i="7"/>
  <c r="G13" i="7"/>
  <c r="J12" i="7"/>
  <c r="I12" i="7"/>
  <c r="H12" i="7"/>
  <c r="G12" i="7"/>
  <c r="J11" i="7"/>
  <c r="I11" i="7"/>
  <c r="H11" i="7"/>
  <c r="G11" i="7"/>
  <c r="J10" i="7"/>
  <c r="I10" i="7"/>
  <c r="H10" i="7"/>
  <c r="G10" i="7"/>
  <c r="F19" i="7"/>
  <c r="F16" i="7"/>
  <c r="F13" i="7"/>
  <c r="G32" i="63"/>
  <c r="H32" i="63"/>
  <c r="I32" i="63"/>
  <c r="J32" i="63"/>
  <c r="G30" i="63"/>
  <c r="H30" i="63"/>
  <c r="I30" i="63"/>
  <c r="J30" i="63"/>
  <c r="F30" i="63"/>
  <c r="O29" i="61"/>
  <c r="J29" i="74"/>
  <c r="L29" i="61"/>
  <c r="I29" i="74"/>
  <c r="I29" i="61"/>
  <c r="H29" i="74"/>
  <c r="F29" i="61"/>
  <c r="G29" i="74"/>
  <c r="C29" i="61"/>
  <c r="S29" i="61"/>
  <c r="F29" i="74"/>
  <c r="V24" i="47"/>
  <c r="W24" i="47"/>
  <c r="X24" i="47"/>
  <c r="Y24" i="47"/>
  <c r="V7" i="47"/>
  <c r="W7" i="47"/>
  <c r="X7" i="47"/>
  <c r="Y7" i="47"/>
  <c r="R20" i="47"/>
  <c r="Q20" i="47"/>
  <c r="P20" i="47"/>
  <c r="O20" i="47"/>
  <c r="N20" i="47"/>
  <c r="O7" i="47"/>
  <c r="P7" i="47"/>
  <c r="Q7" i="47"/>
  <c r="R7" i="47"/>
  <c r="H9" i="74"/>
  <c r="J9" i="74"/>
  <c r="F9" i="74"/>
  <c r="U37" i="47"/>
  <c r="V37" i="47"/>
  <c r="U20" i="47"/>
  <c r="V20" i="47"/>
  <c r="W37" i="47"/>
  <c r="W20" i="47"/>
  <c r="X20" i="47"/>
  <c r="X37" i="47"/>
  <c r="P71" i="61"/>
  <c r="A9" i="70"/>
  <c r="A10" i="70"/>
  <c r="A11" i="70"/>
  <c r="A12" i="70"/>
  <c r="Y37" i="47"/>
  <c r="Y20" i="47"/>
  <c r="D10" i="63"/>
  <c r="D11" i="63"/>
  <c r="D12" i="63"/>
  <c r="D13" i="63"/>
  <c r="D14" i="63"/>
  <c r="D15" i="63"/>
  <c r="D9" i="63"/>
  <c r="C9" i="61"/>
  <c r="S9" i="61" s="1"/>
  <c r="F20" i="71"/>
  <c r="O81" i="61"/>
  <c r="J81" i="74"/>
  <c r="C71" i="61"/>
  <c r="S71" i="61"/>
  <c r="C54" i="61"/>
  <c r="S54" i="61" s="1"/>
  <c r="C53" i="61"/>
  <c r="S53" i="61" s="1"/>
  <c r="C52" i="61"/>
  <c r="S52" i="61"/>
  <c r="C50" i="61"/>
  <c r="S50" i="61"/>
  <c r="C18" i="61"/>
  <c r="C15" i="61"/>
  <c r="C51" i="61"/>
  <c r="D20" i="71"/>
  <c r="E20" i="71"/>
  <c r="C7" i="71"/>
  <c r="D7" i="71"/>
  <c r="E7" i="71"/>
  <c r="F7" i="71"/>
  <c r="A2" i="71"/>
  <c r="S51" i="61"/>
  <c r="L81" i="61"/>
  <c r="N81" i="61"/>
  <c r="I81" i="74"/>
  <c r="I81" i="61"/>
  <c r="K81" i="61"/>
  <c r="H81" i="74"/>
  <c r="C20" i="71"/>
  <c r="B20" i="71"/>
  <c r="J8" i="21"/>
  <c r="G50" i="74" s="1"/>
  <c r="F81" i="61"/>
  <c r="H81" i="61"/>
  <c r="G81" i="74"/>
  <c r="C81" i="61"/>
  <c r="S81" i="61"/>
  <c r="F81" i="74"/>
  <c r="O71" i="61"/>
  <c r="L71" i="61"/>
  <c r="N71" i="61"/>
  <c r="I71" i="61"/>
  <c r="K71" i="61"/>
  <c r="F71" i="61"/>
  <c r="E71" i="61"/>
  <c r="E81" i="61"/>
  <c r="H71" i="61"/>
  <c r="Q71" i="61"/>
  <c r="B13" i="70"/>
  <c r="C13" i="70"/>
  <c r="A2" i="70"/>
  <c r="Q1" i="61"/>
  <c r="E6" i="69"/>
  <c r="F6" i="69"/>
  <c r="G6" i="69"/>
  <c r="H6" i="69"/>
  <c r="A2" i="69"/>
  <c r="C7" i="3"/>
  <c r="D7" i="3"/>
  <c r="E7" i="3"/>
  <c r="F7" i="3"/>
  <c r="J10" i="21"/>
  <c r="J9" i="21"/>
  <c r="G51" i="74" s="1"/>
  <c r="C50" i="15"/>
  <c r="F48" i="15" s="1"/>
  <c r="F47" i="15"/>
  <c r="E45" i="15" s="1"/>
  <c r="D69" i="15" s="1"/>
  <c r="G52" i="74"/>
  <c r="B20" i="3"/>
  <c r="I13" i="21"/>
  <c r="C26" i="61"/>
  <c r="S26" i="61"/>
  <c r="F26" i="74"/>
  <c r="C20" i="3"/>
  <c r="G26" i="74"/>
  <c r="K23" i="53"/>
  <c r="D17" i="53"/>
  <c r="F17" i="53"/>
  <c r="H17" i="53"/>
  <c r="J17" i="53"/>
  <c r="K17" i="53"/>
  <c r="L17" i="53"/>
  <c r="C17" i="53"/>
  <c r="E17" i="53"/>
  <c r="G17" i="53"/>
  <c r="I17" i="53"/>
  <c r="M17" i="53"/>
  <c r="D11" i="53"/>
  <c r="E11" i="53"/>
  <c r="F11" i="53"/>
  <c r="H11" i="53"/>
  <c r="I11" i="53"/>
  <c r="J11" i="53"/>
  <c r="K11" i="53"/>
  <c r="L11" i="53"/>
  <c r="M11" i="53"/>
  <c r="C11" i="53"/>
  <c r="O9" i="52"/>
  <c r="O11" i="52" s="1"/>
  <c r="F21" i="74" s="1"/>
  <c r="F23" i="74" s="1"/>
  <c r="D23" i="53"/>
  <c r="E23" i="53"/>
  <c r="F23" i="53"/>
  <c r="H23" i="53"/>
  <c r="I23" i="53"/>
  <c r="J23" i="53"/>
  <c r="L23" i="53"/>
  <c r="M23" i="53"/>
  <c r="G11" i="53"/>
  <c r="B41" i="63"/>
  <c r="C41" i="63"/>
  <c r="D41" i="63"/>
  <c r="E41" i="63"/>
  <c r="F41" i="63"/>
  <c r="G41" i="63"/>
  <c r="D44" i="63"/>
  <c r="E44" i="63"/>
  <c r="F44" i="63"/>
  <c r="G44" i="63"/>
  <c r="H44" i="63"/>
  <c r="G8" i="63"/>
  <c r="H8" i="63"/>
  <c r="I8" i="63"/>
  <c r="J8" i="63"/>
  <c r="I41" i="63"/>
  <c r="C48" i="63"/>
  <c r="D48" i="63"/>
  <c r="E48" i="63"/>
  <c r="F26" i="61"/>
  <c r="N11" i="53"/>
  <c r="O15" i="53"/>
  <c r="G23" i="53"/>
  <c r="N23" i="53"/>
  <c r="G35" i="53"/>
  <c r="C29" i="53"/>
  <c r="G29" i="53"/>
  <c r="C23" i="53"/>
  <c r="N17" i="53"/>
  <c r="N35" i="53"/>
  <c r="C50" i="63"/>
  <c r="H21" i="42"/>
  <c r="G67" i="74"/>
  <c r="I21" i="42"/>
  <c r="H67" i="74"/>
  <c r="J21" i="42"/>
  <c r="I67" i="74"/>
  <c r="K21" i="42"/>
  <c r="J67" i="74"/>
  <c r="I17" i="21"/>
  <c r="J12" i="21"/>
  <c r="J21" i="21" s="1"/>
  <c r="J11" i="21"/>
  <c r="I18" i="21"/>
  <c r="I20" i="21"/>
  <c r="G13" i="21"/>
  <c r="E9" i="21"/>
  <c r="E10" i="21"/>
  <c r="E11" i="21"/>
  <c r="E12" i="21"/>
  <c r="E8" i="21"/>
  <c r="D13" i="21"/>
  <c r="E13" i="21" s="1"/>
  <c r="C13" i="21"/>
  <c r="K7" i="56"/>
  <c r="K8" i="56"/>
  <c r="K9" i="56"/>
  <c r="K10" i="56"/>
  <c r="K11" i="56"/>
  <c r="K12" i="56"/>
  <c r="K13" i="56"/>
  <c r="K14" i="56"/>
  <c r="K15" i="56"/>
  <c r="K16" i="56"/>
  <c r="K17" i="56"/>
  <c r="K6" i="56"/>
  <c r="E11" i="36"/>
  <c r="J20" i="2"/>
  <c r="C21" i="63"/>
  <c r="K11" i="21"/>
  <c r="K20" i="21" s="1"/>
  <c r="G53" i="74"/>
  <c r="G21" i="42"/>
  <c r="F67" i="74"/>
  <c r="D20" i="3"/>
  <c r="H26" i="74"/>
  <c r="I35" i="53"/>
  <c r="I29" i="53"/>
  <c r="M35" i="53"/>
  <c r="M29" i="53"/>
  <c r="F29" i="53"/>
  <c r="F35" i="53"/>
  <c r="J29" i="53"/>
  <c r="J35" i="53"/>
  <c r="N29" i="53"/>
  <c r="E35" i="53"/>
  <c r="E29" i="53"/>
  <c r="K35" i="53"/>
  <c r="K29" i="53"/>
  <c r="D29" i="53"/>
  <c r="D35" i="53"/>
  <c r="H29" i="53"/>
  <c r="H35" i="53"/>
  <c r="L29" i="53"/>
  <c r="L35" i="53"/>
  <c r="C35" i="53"/>
  <c r="F48" i="63"/>
  <c r="E50" i="63"/>
  <c r="K50" i="63"/>
  <c r="D50" i="63"/>
  <c r="K49" i="63"/>
  <c r="K9" i="21"/>
  <c r="L11" i="21"/>
  <c r="I53" i="74" s="1"/>
  <c r="K12" i="21"/>
  <c r="L12" i="21" s="1"/>
  <c r="K10" i="21"/>
  <c r="H52" i="74" s="1"/>
  <c r="J19" i="21"/>
  <c r="I21" i="21"/>
  <c r="I22" i="21" s="1"/>
  <c r="I19" i="21"/>
  <c r="J20" i="21"/>
  <c r="J18" i="21"/>
  <c r="F51" i="61"/>
  <c r="F53" i="61"/>
  <c r="F67" i="61"/>
  <c r="O18" i="61"/>
  <c r="L18" i="61"/>
  <c r="I18" i="61"/>
  <c r="F18" i="61"/>
  <c r="O15" i="61"/>
  <c r="L15" i="61"/>
  <c r="I15" i="61"/>
  <c r="F15" i="61"/>
  <c r="F21" i="64"/>
  <c r="J21" i="64"/>
  <c r="I21" i="64"/>
  <c r="H21" i="64"/>
  <c r="G21" i="64"/>
  <c r="H53" i="74"/>
  <c r="K18" i="21"/>
  <c r="H51" i="74"/>
  <c r="L64" i="61"/>
  <c r="N64" i="61"/>
  <c r="I64" i="74"/>
  <c r="O64" i="61"/>
  <c r="J64" i="74"/>
  <c r="I64" i="61"/>
  <c r="K64" i="61"/>
  <c r="H64" i="74"/>
  <c r="F64" i="61"/>
  <c r="G64" i="74"/>
  <c r="C64" i="61"/>
  <c r="S64" i="61"/>
  <c r="F64" i="74"/>
  <c r="C67" i="61"/>
  <c r="S67" i="61"/>
  <c r="I26" i="61"/>
  <c r="K26" i="61"/>
  <c r="L9" i="21"/>
  <c r="G48" i="63"/>
  <c r="F50" i="63"/>
  <c r="K8" i="21"/>
  <c r="J17" i="21"/>
  <c r="K19" i="21"/>
  <c r="L10" i="21"/>
  <c r="M11" i="21"/>
  <c r="K21" i="21"/>
  <c r="F50" i="61"/>
  <c r="H50" i="61" s="1"/>
  <c r="F52" i="61"/>
  <c r="H52" i="61" s="1"/>
  <c r="I53" i="61"/>
  <c r="K53" i="61" s="1"/>
  <c r="I51" i="61"/>
  <c r="K51" i="61" s="1"/>
  <c r="I67" i="61"/>
  <c r="K67" i="61"/>
  <c r="J19" i="56"/>
  <c r="K19" i="56"/>
  <c r="I19" i="56"/>
  <c r="K20" i="2"/>
  <c r="P91" i="61"/>
  <c r="P90" i="61"/>
  <c r="P78" i="61"/>
  <c r="P75" i="61"/>
  <c r="P70" i="61"/>
  <c r="P72" i="61"/>
  <c r="P67" i="61"/>
  <c r="P64" i="61"/>
  <c r="Q64" i="61"/>
  <c r="P61" i="61"/>
  <c r="P58" i="61"/>
  <c r="P50" i="61"/>
  <c r="P51" i="61"/>
  <c r="P52" i="61"/>
  <c r="P53" i="61"/>
  <c r="P54" i="61"/>
  <c r="P46" i="61"/>
  <c r="P45" i="61"/>
  <c r="P44" i="61"/>
  <c r="P43" i="61"/>
  <c r="P42" i="61"/>
  <c r="P41" i="61"/>
  <c r="P40" i="61"/>
  <c r="P39" i="61"/>
  <c r="P38" i="61"/>
  <c r="P37" i="61"/>
  <c r="P34" i="61"/>
  <c r="P30" i="61"/>
  <c r="P29" i="61"/>
  <c r="Q29" i="61"/>
  <c r="P26" i="61"/>
  <c r="P22" i="61"/>
  <c r="P21" i="61"/>
  <c r="P18" i="61"/>
  <c r="Q18" i="61"/>
  <c r="P15" i="61"/>
  <c r="Q15" i="61"/>
  <c r="P12" i="61"/>
  <c r="P9" i="61"/>
  <c r="N29" i="61"/>
  <c r="N18" i="61"/>
  <c r="N15" i="61"/>
  <c r="K29" i="61"/>
  <c r="K18" i="61"/>
  <c r="K15" i="61"/>
  <c r="H67" i="61"/>
  <c r="H64" i="61"/>
  <c r="H53" i="61"/>
  <c r="H51" i="61"/>
  <c r="H29" i="61"/>
  <c r="H26" i="61"/>
  <c r="H18" i="61"/>
  <c r="H15" i="61"/>
  <c r="A2" i="60"/>
  <c r="A2" i="42"/>
  <c r="A2" i="64"/>
  <c r="A2" i="7"/>
  <c r="A2" i="36"/>
  <c r="A2" i="21"/>
  <c r="A2" i="3"/>
  <c r="A2" i="15"/>
  <c r="A2" i="47"/>
  <c r="A2" i="63"/>
  <c r="A2" i="2"/>
  <c r="A2" i="57"/>
  <c r="A2" i="53"/>
  <c r="A2" i="52"/>
  <c r="A2" i="55"/>
  <c r="A2" i="56"/>
  <c r="A2" i="30"/>
  <c r="C55" i="61"/>
  <c r="E64" i="61"/>
  <c r="E54" i="61"/>
  <c r="E53" i="61"/>
  <c r="E52" i="61"/>
  <c r="E51" i="61"/>
  <c r="E50" i="61"/>
  <c r="E29" i="61"/>
  <c r="E26" i="61"/>
  <c r="E18" i="61"/>
  <c r="E15" i="61"/>
  <c r="M8" i="55"/>
  <c r="M9" i="55"/>
  <c r="M10" i="55"/>
  <c r="M11" i="55"/>
  <c r="M12" i="55"/>
  <c r="M13" i="55"/>
  <c r="M14" i="55"/>
  <c r="M15" i="55"/>
  <c r="M16" i="55"/>
  <c r="M17" i="55"/>
  <c r="M18" i="55"/>
  <c r="M19" i="55"/>
  <c r="M7" i="55"/>
  <c r="L9" i="2"/>
  <c r="L10" i="2"/>
  <c r="L11" i="2"/>
  <c r="L12" i="2"/>
  <c r="L13" i="2"/>
  <c r="L14" i="2"/>
  <c r="L15" i="2"/>
  <c r="L16" i="2"/>
  <c r="L17" i="2"/>
  <c r="L18" i="2"/>
  <c r="L19" i="2"/>
  <c r="L8" i="2"/>
  <c r="D10" i="60"/>
  <c r="D11" i="60"/>
  <c r="D12" i="60"/>
  <c r="D13" i="60"/>
  <c r="D14" i="60"/>
  <c r="D9" i="60"/>
  <c r="E10" i="42"/>
  <c r="E11" i="42"/>
  <c r="E12" i="42"/>
  <c r="E13" i="42"/>
  <c r="E14" i="42"/>
  <c r="E9" i="42"/>
  <c r="D10" i="64"/>
  <c r="D11" i="64"/>
  <c r="D12" i="64"/>
  <c r="D13" i="64"/>
  <c r="D14" i="64"/>
  <c r="D9" i="64"/>
  <c r="G8" i="64"/>
  <c r="H8" i="64"/>
  <c r="I8" i="64"/>
  <c r="J8" i="64"/>
  <c r="H8" i="42"/>
  <c r="I8" i="42"/>
  <c r="J8" i="42"/>
  <c r="K8" i="42"/>
  <c r="D9" i="7"/>
  <c r="D10" i="7"/>
  <c r="D11" i="7"/>
  <c r="D12" i="7"/>
  <c r="D13" i="7"/>
  <c r="D14" i="7"/>
  <c r="D8" i="7"/>
  <c r="D9" i="47"/>
  <c r="D10" i="47"/>
  <c r="D11" i="47"/>
  <c r="D12" i="47"/>
  <c r="D13" i="47"/>
  <c r="D14" i="47"/>
  <c r="D8" i="47"/>
  <c r="F8" i="60"/>
  <c r="G8" i="60"/>
  <c r="H8" i="60"/>
  <c r="I8" i="60"/>
  <c r="J8" i="60"/>
  <c r="B20" i="7"/>
  <c r="A19" i="36"/>
  <c r="A27" i="36"/>
  <c r="G7" i="47"/>
  <c r="H7" i="47"/>
  <c r="I7" i="47"/>
  <c r="J7" i="47"/>
  <c r="J21" i="60"/>
  <c r="I21" i="60"/>
  <c r="H21" i="60"/>
  <c r="G21" i="60"/>
  <c r="F21" i="60"/>
  <c r="O70" i="61"/>
  <c r="O72" i="61"/>
  <c r="L70" i="61"/>
  <c r="I70" i="61"/>
  <c r="F72" i="74"/>
  <c r="O21" i="57"/>
  <c r="O18" i="57"/>
  <c r="I91" i="74" s="1"/>
  <c r="O15" i="57"/>
  <c r="H91" i="74" s="1"/>
  <c r="O12" i="57"/>
  <c r="G91" i="74" s="1"/>
  <c r="A11" i="57"/>
  <c r="A14" i="57"/>
  <c r="A17" i="57"/>
  <c r="A20" i="57"/>
  <c r="O9" i="57"/>
  <c r="C90" i="61" s="1"/>
  <c r="B11" i="56"/>
  <c r="F11" i="56"/>
  <c r="E11" i="56"/>
  <c r="D11" i="56"/>
  <c r="C11" i="56"/>
  <c r="C7" i="56"/>
  <c r="D7" i="56"/>
  <c r="E7" i="56"/>
  <c r="F7" i="56"/>
  <c r="C7" i="55"/>
  <c r="D7" i="55"/>
  <c r="E7" i="55"/>
  <c r="F7" i="55"/>
  <c r="A13" i="53"/>
  <c r="A19" i="53"/>
  <c r="A25" i="53"/>
  <c r="A31" i="53"/>
  <c r="O34" i="53"/>
  <c r="O33" i="53"/>
  <c r="O32" i="53"/>
  <c r="O28" i="53"/>
  <c r="O27" i="53"/>
  <c r="O26" i="53"/>
  <c r="O22" i="53"/>
  <c r="O21" i="53"/>
  <c r="O20" i="53"/>
  <c r="O16" i="53"/>
  <c r="O14" i="53"/>
  <c r="O10" i="53"/>
  <c r="O9" i="53"/>
  <c r="O8" i="53"/>
  <c r="A13" i="52"/>
  <c r="A18" i="52"/>
  <c r="A23" i="52"/>
  <c r="A28" i="52"/>
  <c r="O29" i="52"/>
  <c r="O31" i="52" s="1"/>
  <c r="J21" i="74" s="1"/>
  <c r="J23" i="74" s="1"/>
  <c r="F20" i="47"/>
  <c r="D11" i="36"/>
  <c r="C6" i="36"/>
  <c r="D6" i="36"/>
  <c r="E6" i="36"/>
  <c r="F6" i="36"/>
  <c r="A23" i="36"/>
  <c r="A31" i="36"/>
  <c r="B15" i="36"/>
  <c r="C75" i="61"/>
  <c r="O75" i="61"/>
  <c r="Q75" i="61"/>
  <c r="L75" i="61"/>
  <c r="N75" i="61"/>
  <c r="I75" i="61"/>
  <c r="K75" i="61"/>
  <c r="F75" i="61"/>
  <c r="H75" i="61"/>
  <c r="K7" i="21"/>
  <c r="L7" i="21"/>
  <c r="M7" i="21"/>
  <c r="D7" i="2"/>
  <c r="E7" i="2"/>
  <c r="F7" i="2"/>
  <c r="G7" i="2" s="1"/>
  <c r="I9" i="61"/>
  <c r="K9" i="61" s="1"/>
  <c r="O9" i="61"/>
  <c r="Q9" i="61" s="1"/>
  <c r="E9" i="61"/>
  <c r="B19" i="15"/>
  <c r="C9" i="15"/>
  <c r="C19" i="15" s="1"/>
  <c r="E35" i="15"/>
  <c r="E24" i="15"/>
  <c r="H20" i="47"/>
  <c r="H21" i="47" s="1"/>
  <c r="G20" i="47"/>
  <c r="G21" i="47" s="1"/>
  <c r="F11" i="36"/>
  <c r="G11" i="36"/>
  <c r="H11" i="36"/>
  <c r="E12" i="36"/>
  <c r="F12" i="36"/>
  <c r="E13" i="36"/>
  <c r="F13" i="36"/>
  <c r="E14" i="36"/>
  <c r="F14" i="36"/>
  <c r="D12" i="36"/>
  <c r="D13" i="36"/>
  <c r="D14" i="36"/>
  <c r="J20" i="7"/>
  <c r="J21" i="7"/>
  <c r="I20" i="7"/>
  <c r="I21" i="7"/>
  <c r="H20" i="7"/>
  <c r="H21" i="7"/>
  <c r="G20" i="7"/>
  <c r="G21" i="7"/>
  <c r="B11" i="55"/>
  <c r="C11" i="55"/>
  <c r="D11" i="55"/>
  <c r="F11" i="55"/>
  <c r="E11" i="55"/>
  <c r="F35" i="15"/>
  <c r="F24" i="15" s="1"/>
  <c r="G35" i="15"/>
  <c r="G24" i="15" s="1"/>
  <c r="H35" i="15"/>
  <c r="H24" i="15" s="1"/>
  <c r="B19" i="36"/>
  <c r="B20" i="36"/>
  <c r="I52" i="74"/>
  <c r="H50" i="74"/>
  <c r="O90" i="61"/>
  <c r="Q90" i="61"/>
  <c r="J91" i="74"/>
  <c r="F91" i="74"/>
  <c r="O21" i="61"/>
  <c r="L21" i="61"/>
  <c r="N21" i="61" s="1"/>
  <c r="I21" i="61"/>
  <c r="K21" i="61" s="1"/>
  <c r="F21" i="61"/>
  <c r="H21" i="61" s="1"/>
  <c r="M9" i="21"/>
  <c r="I51" i="74"/>
  <c r="M20" i="21"/>
  <c r="J53" i="74"/>
  <c r="O61" i="61"/>
  <c r="Q61" i="61"/>
  <c r="J61" i="74"/>
  <c r="L61" i="61"/>
  <c r="N61" i="61"/>
  <c r="I61" i="74"/>
  <c r="I61" i="61"/>
  <c r="K61" i="61"/>
  <c r="H61" i="74"/>
  <c r="F61" i="61"/>
  <c r="H61" i="61"/>
  <c r="G61" i="74"/>
  <c r="D20" i="7"/>
  <c r="G7" i="7"/>
  <c r="H7" i="7"/>
  <c r="I7" i="7"/>
  <c r="J7" i="7"/>
  <c r="R7" i="7"/>
  <c r="S7" i="7"/>
  <c r="T7" i="7"/>
  <c r="U7" i="7"/>
  <c r="V7" i="7"/>
  <c r="L7" i="7"/>
  <c r="M7" i="7"/>
  <c r="N7" i="7"/>
  <c r="O7" i="7"/>
  <c r="P7" i="7"/>
  <c r="E67" i="61"/>
  <c r="I78" i="61"/>
  <c r="K78" i="61"/>
  <c r="H78" i="74"/>
  <c r="L78" i="61"/>
  <c r="N78" i="61"/>
  <c r="I78" i="74"/>
  <c r="O78" i="61"/>
  <c r="J78" i="74"/>
  <c r="F78" i="61"/>
  <c r="H78" i="61"/>
  <c r="G78" i="74"/>
  <c r="C78" i="61"/>
  <c r="S78" i="61"/>
  <c r="F78" i="74"/>
  <c r="C18" i="15"/>
  <c r="Q21" i="61"/>
  <c r="I90" i="61"/>
  <c r="K90" i="61"/>
  <c r="L20" i="2"/>
  <c r="E75" i="61"/>
  <c r="L90" i="61"/>
  <c r="N90" i="61" s="1"/>
  <c r="F90" i="61"/>
  <c r="H90" i="61" s="1"/>
  <c r="C70" i="61"/>
  <c r="S70" i="61"/>
  <c r="C10" i="15"/>
  <c r="Q78" i="61"/>
  <c r="D21" i="60"/>
  <c r="E20" i="3"/>
  <c r="I26" i="74"/>
  <c r="F70" i="61"/>
  <c r="F72" i="61"/>
  <c r="H72" i="61"/>
  <c r="D20" i="47"/>
  <c r="Q72" i="61"/>
  <c r="P47" i="61"/>
  <c r="N70" i="61"/>
  <c r="L72" i="61"/>
  <c r="N72" i="61"/>
  <c r="K70" i="61"/>
  <c r="I72" i="61"/>
  <c r="K72" i="61"/>
  <c r="L18" i="21"/>
  <c r="B97" i="61"/>
  <c r="O11" i="53"/>
  <c r="F22" i="74"/>
  <c r="O29" i="53"/>
  <c r="I22" i="74"/>
  <c r="O17" i="53"/>
  <c r="G22" i="74"/>
  <c r="O23" i="53"/>
  <c r="O35" i="53"/>
  <c r="J22" i="74"/>
  <c r="H48" i="63"/>
  <c r="H50" i="63"/>
  <c r="G50" i="63"/>
  <c r="G27" i="63"/>
  <c r="H27" i="63"/>
  <c r="I27" i="63"/>
  <c r="J27" i="63"/>
  <c r="K13" i="21"/>
  <c r="L8" i="21"/>
  <c r="K17" i="21"/>
  <c r="M10" i="21"/>
  <c r="L19" i="21"/>
  <c r="L51" i="61"/>
  <c r="N51" i="61" s="1"/>
  <c r="L53" i="61"/>
  <c r="N53" i="61"/>
  <c r="O53" i="61"/>
  <c r="Q53" i="61"/>
  <c r="I52" i="61"/>
  <c r="K52" i="61"/>
  <c r="I54" i="61"/>
  <c r="K54" i="61" s="1"/>
  <c r="I50" i="61"/>
  <c r="P55" i="61"/>
  <c r="Q70" i="61"/>
  <c r="E55" i="61"/>
  <c r="P23" i="61"/>
  <c r="P31" i="61"/>
  <c r="G13" i="36"/>
  <c r="H13" i="36"/>
  <c r="G12" i="36"/>
  <c r="H12" i="36"/>
  <c r="A20" i="36"/>
  <c r="A28" i="36"/>
  <c r="A22" i="36"/>
  <c r="A30" i="36"/>
  <c r="D15" i="36"/>
  <c r="A21" i="36"/>
  <c r="A29" i="36"/>
  <c r="C14" i="15"/>
  <c r="E7" i="15"/>
  <c r="F7" i="15" s="1"/>
  <c r="G7" i="15" s="1"/>
  <c r="H7" i="15" s="1"/>
  <c r="C17" i="15"/>
  <c r="C12" i="15"/>
  <c r="C15" i="15"/>
  <c r="E21" i="42"/>
  <c r="D21" i="64"/>
  <c r="G14" i="36"/>
  <c r="C11" i="15"/>
  <c r="F15" i="36"/>
  <c r="C16" i="15"/>
  <c r="C13" i="15"/>
  <c r="B28" i="36"/>
  <c r="B21" i="36"/>
  <c r="B27" i="36"/>
  <c r="O51" i="61"/>
  <c r="Q51" i="61" s="1"/>
  <c r="E78" i="61"/>
  <c r="I50" i="74"/>
  <c r="E70" i="61"/>
  <c r="S72" i="61"/>
  <c r="I22" i="61"/>
  <c r="I23" i="61"/>
  <c r="K23" i="61" s="1"/>
  <c r="H22" i="74"/>
  <c r="M19" i="21"/>
  <c r="J52" i="74"/>
  <c r="M18" i="21"/>
  <c r="J51" i="74"/>
  <c r="C72" i="61"/>
  <c r="O22" i="61"/>
  <c r="O23" i="61"/>
  <c r="Q23" i="61" s="1"/>
  <c r="L22" i="61"/>
  <c r="L23" i="61"/>
  <c r="N23" i="61" s="1"/>
  <c r="F22" i="61"/>
  <c r="F23" i="61"/>
  <c r="H23" i="61" s="1"/>
  <c r="C22" i="61"/>
  <c r="F19" i="36"/>
  <c r="F58" i="74"/>
  <c r="D19" i="36"/>
  <c r="F92" i="74"/>
  <c r="L26" i="61"/>
  <c r="N26" i="61"/>
  <c r="H70" i="61"/>
  <c r="P88" i="61"/>
  <c r="P93" i="61"/>
  <c r="M8" i="21"/>
  <c r="L17" i="21"/>
  <c r="K50" i="61"/>
  <c r="I55" i="61"/>
  <c r="K55" i="61" s="1"/>
  <c r="L50" i="61"/>
  <c r="O52" i="61"/>
  <c r="Q52" i="61" s="1"/>
  <c r="L52" i="61"/>
  <c r="N52" i="61" s="1"/>
  <c r="L67" i="61"/>
  <c r="N67" i="61"/>
  <c r="O67" i="61"/>
  <c r="Q67" i="61"/>
  <c r="B22" i="36"/>
  <c r="B29" i="36"/>
  <c r="H14" i="36"/>
  <c r="G15" i="36"/>
  <c r="H15" i="36"/>
  <c r="S22" i="61"/>
  <c r="K22" i="61"/>
  <c r="O50" i="61"/>
  <c r="Q50" i="61" s="1"/>
  <c r="J50" i="74"/>
  <c r="E72" i="61"/>
  <c r="C91" i="61"/>
  <c r="S91" i="61"/>
  <c r="G19" i="36"/>
  <c r="E22" i="61"/>
  <c r="Q22" i="61"/>
  <c r="H22" i="61"/>
  <c r="N22" i="61"/>
  <c r="C58" i="61"/>
  <c r="S58" i="61"/>
  <c r="F20" i="36"/>
  <c r="D20" i="36"/>
  <c r="G92" i="74"/>
  <c r="D27" i="36"/>
  <c r="F27" i="36"/>
  <c r="F20" i="3"/>
  <c r="M17" i="21"/>
  <c r="N50" i="61"/>
  <c r="B23" i="36"/>
  <c r="B31" i="36"/>
  <c r="B30" i="36"/>
  <c r="F28" i="36"/>
  <c r="G58" i="74"/>
  <c r="O26" i="61"/>
  <c r="Q26" i="61"/>
  <c r="J26" i="74"/>
  <c r="F91" i="61"/>
  <c r="H91" i="61"/>
  <c r="G20" i="36"/>
  <c r="E58" i="61"/>
  <c r="E91" i="61"/>
  <c r="G27" i="36"/>
  <c r="F21" i="36"/>
  <c r="F58" i="61"/>
  <c r="H58" i="61"/>
  <c r="D21" i="36"/>
  <c r="H92" i="74"/>
  <c r="D28" i="36"/>
  <c r="G28" i="36"/>
  <c r="F29" i="36"/>
  <c r="H58" i="74"/>
  <c r="I91" i="61"/>
  <c r="K91" i="61"/>
  <c r="G21" i="36"/>
  <c r="D22" i="36"/>
  <c r="I92" i="74"/>
  <c r="D29" i="36"/>
  <c r="F22" i="36"/>
  <c r="I58" i="61"/>
  <c r="K58" i="61"/>
  <c r="G29" i="36"/>
  <c r="F30" i="36"/>
  <c r="I58" i="74"/>
  <c r="L91" i="61"/>
  <c r="N91" i="61"/>
  <c r="G22" i="36"/>
  <c r="F23" i="36"/>
  <c r="L58" i="61"/>
  <c r="N58" i="61"/>
  <c r="D23" i="36"/>
  <c r="J92" i="74"/>
  <c r="D30" i="36"/>
  <c r="G30" i="36"/>
  <c r="O58" i="61"/>
  <c r="Q58" i="61"/>
  <c r="J58" i="74"/>
  <c r="F31" i="36"/>
  <c r="G23" i="36"/>
  <c r="O91" i="61"/>
  <c r="Q91" i="61"/>
  <c r="D31" i="36"/>
  <c r="G31" i="36"/>
  <c r="D6" i="61"/>
  <c r="B5" i="61"/>
  <c r="F6" i="61"/>
  <c r="I6" i="61"/>
  <c r="J6" i="61"/>
  <c r="L6" i="61"/>
  <c r="G6" i="61"/>
  <c r="M6" i="61"/>
  <c r="O6" i="61"/>
  <c r="P6" i="61"/>
  <c r="F10" i="7"/>
  <c r="F20" i="7"/>
  <c r="F21" i="7"/>
  <c r="F61" i="74"/>
  <c r="C61" i="61"/>
  <c r="S61" i="61"/>
  <c r="E61" i="61"/>
  <c r="D19" i="63"/>
  <c r="D20" i="63"/>
  <c r="D17" i="63"/>
  <c r="D18" i="63"/>
  <c r="B21" i="63"/>
  <c r="D16" i="63"/>
  <c r="D21" i="63"/>
  <c r="I54" i="74" l="1"/>
  <c r="I55" i="74" s="1"/>
  <c r="M12" i="21"/>
  <c r="L21" i="21"/>
  <c r="L13" i="21"/>
  <c r="L54" i="61"/>
  <c r="F54" i="61"/>
  <c r="J13" i="21"/>
  <c r="H54" i="74"/>
  <c r="G54" i="74"/>
  <c r="S55" i="61"/>
  <c r="H55" i="74"/>
  <c r="K22" i="21"/>
  <c r="L20" i="21"/>
  <c r="L22" i="21" s="1"/>
  <c r="J22" i="21"/>
  <c r="G55" i="74"/>
  <c r="F9" i="63"/>
  <c r="F14" i="63"/>
  <c r="F15" i="63"/>
  <c r="F18" i="63"/>
  <c r="F19" i="63"/>
  <c r="F16" i="63"/>
  <c r="F10" i="63"/>
  <c r="F12" i="63"/>
  <c r="F20" i="63"/>
  <c r="L50" i="63" s="1"/>
  <c r="M50" i="63" s="1"/>
  <c r="F17" i="63"/>
  <c r="F11" i="63"/>
  <c r="F13" i="63"/>
  <c r="E72" i="15"/>
  <c r="H56" i="15"/>
  <c r="G26" i="15" s="1"/>
  <c r="G28" i="15" s="1"/>
  <c r="G11" i="15" s="1"/>
  <c r="C75" i="15"/>
  <c r="E75" i="15" s="1"/>
  <c r="D32" i="15"/>
  <c r="E32" i="15" s="1"/>
  <c r="F32" i="15" s="1"/>
  <c r="G32" i="15" s="1"/>
  <c r="H32" i="15" s="1"/>
  <c r="G56" i="15"/>
  <c r="F26" i="15" s="1"/>
  <c r="F28" i="15" s="1"/>
  <c r="F16" i="15" s="1"/>
  <c r="I56" i="15"/>
  <c r="H26" i="15" s="1"/>
  <c r="H28" i="15" s="1"/>
  <c r="H13" i="15" s="1"/>
  <c r="C76" i="15"/>
  <c r="E76" i="15" s="1"/>
  <c r="C72" i="15"/>
  <c r="C71" i="15"/>
  <c r="F56" i="15"/>
  <c r="E26" i="15" s="1"/>
  <c r="E28" i="15" s="1"/>
  <c r="E13" i="15" s="1"/>
  <c r="F41" i="61" s="1"/>
  <c r="H41" i="61" s="1"/>
  <c r="C68" i="15"/>
  <c r="C74" i="15"/>
  <c r="C70" i="15"/>
  <c r="C77" i="15"/>
  <c r="E77" i="15" s="1"/>
  <c r="C73" i="15"/>
  <c r="E73" i="15" s="1"/>
  <c r="F12" i="15"/>
  <c r="H40" i="74" s="1"/>
  <c r="F9" i="15"/>
  <c r="G10" i="15"/>
  <c r="G9" i="15"/>
  <c r="I37" i="74" s="1"/>
  <c r="D73" i="15"/>
  <c r="D26" i="15"/>
  <c r="D28" i="15" s="1"/>
  <c r="D12" i="15" s="1"/>
  <c r="F40" i="74" s="1"/>
  <c r="D72" i="15"/>
  <c r="F72" i="15" s="1"/>
  <c r="D75" i="15"/>
  <c r="E70" i="15"/>
  <c r="D74" i="15"/>
  <c r="E69" i="15"/>
  <c r="F69" i="15" s="1"/>
  <c r="C40" i="61"/>
  <c r="F15" i="15"/>
  <c r="F10" i="15"/>
  <c r="F18" i="15"/>
  <c r="H17" i="15"/>
  <c r="H15" i="15"/>
  <c r="H9" i="15"/>
  <c r="H16" i="15"/>
  <c r="D15" i="15"/>
  <c r="E18" i="15"/>
  <c r="E11" i="15"/>
  <c r="D77" i="15"/>
  <c r="E71" i="15"/>
  <c r="D70" i="15"/>
  <c r="D76" i="15"/>
  <c r="E74" i="15"/>
  <c r="D71" i="15"/>
  <c r="F71" i="15" s="1"/>
  <c r="G16" i="63"/>
  <c r="G11" i="63"/>
  <c r="G13" i="63"/>
  <c r="G14" i="63"/>
  <c r="G15" i="63"/>
  <c r="G17" i="63"/>
  <c r="G19" i="63"/>
  <c r="G12" i="63"/>
  <c r="G10" i="63"/>
  <c r="G9" i="63"/>
  <c r="G18" i="63"/>
  <c r="G20" i="63"/>
  <c r="E90" i="61"/>
  <c r="S90" i="61"/>
  <c r="C21" i="61"/>
  <c r="E21" i="61" s="1"/>
  <c r="I9" i="74"/>
  <c r="F9" i="61"/>
  <c r="H9" i="61" s="1"/>
  <c r="F21" i="47"/>
  <c r="G34" i="74"/>
  <c r="J20" i="47"/>
  <c r="J34" i="74" s="1"/>
  <c r="I20" i="47"/>
  <c r="L34" i="61" s="1"/>
  <c r="I34" i="74"/>
  <c r="H34" i="74"/>
  <c r="I34" i="61"/>
  <c r="C34" i="61"/>
  <c r="E34" i="61" s="1"/>
  <c r="F34" i="61"/>
  <c r="F34" i="74"/>
  <c r="H54" i="61" l="1"/>
  <c r="F55" i="61"/>
  <c r="H55" i="61" s="1"/>
  <c r="O54" i="61"/>
  <c r="M13" i="21"/>
  <c r="M21" i="21"/>
  <c r="M22" i="21" s="1"/>
  <c r="J54" i="74"/>
  <c r="J55" i="74" s="1"/>
  <c r="N54" i="61"/>
  <c r="L55" i="61"/>
  <c r="N55" i="61" s="1"/>
  <c r="F21" i="63"/>
  <c r="L49" i="63" s="1"/>
  <c r="M49" i="63" s="1"/>
  <c r="C23" i="61"/>
  <c r="E23" i="61" s="1"/>
  <c r="E16" i="15"/>
  <c r="F44" i="61" s="1"/>
  <c r="H44" i="61" s="1"/>
  <c r="E10" i="15"/>
  <c r="G38" i="74" s="1"/>
  <c r="H10" i="15"/>
  <c r="O38" i="61" s="1"/>
  <c r="Q38" i="61" s="1"/>
  <c r="F14" i="15"/>
  <c r="G41" i="74"/>
  <c r="G14" i="15"/>
  <c r="L42" i="61" s="1"/>
  <c r="N42" i="61" s="1"/>
  <c r="F11" i="15"/>
  <c r="H39" i="74" s="1"/>
  <c r="E17" i="15"/>
  <c r="H18" i="15"/>
  <c r="O46" i="61" s="1"/>
  <c r="Q46" i="61" s="1"/>
  <c r="G17" i="15"/>
  <c r="L39" i="61"/>
  <c r="N39" i="61" s="1"/>
  <c r="I39" i="74"/>
  <c r="I44" i="61"/>
  <c r="K44" i="61" s="1"/>
  <c r="H44" i="74"/>
  <c r="C78" i="15"/>
  <c r="G15" i="15"/>
  <c r="E12" i="15"/>
  <c r="F40" i="61" s="1"/>
  <c r="H40" i="61" s="1"/>
  <c r="E14" i="15"/>
  <c r="F42" i="61" s="1"/>
  <c r="H42" i="61" s="1"/>
  <c r="H12" i="15"/>
  <c r="H19" i="15" s="1"/>
  <c r="F74" i="15"/>
  <c r="G13" i="15"/>
  <c r="I41" i="74" s="1"/>
  <c r="E15" i="15"/>
  <c r="E9" i="15"/>
  <c r="E19" i="15" s="1"/>
  <c r="L37" i="61"/>
  <c r="H14" i="15"/>
  <c r="J42" i="74" s="1"/>
  <c r="H11" i="15"/>
  <c r="J39" i="74" s="1"/>
  <c r="I40" i="61"/>
  <c r="K40" i="61" s="1"/>
  <c r="G16" i="15"/>
  <c r="G12" i="15"/>
  <c r="I40" i="74" s="1"/>
  <c r="D68" i="15"/>
  <c r="F76" i="15"/>
  <c r="E68" i="15"/>
  <c r="G18" i="15"/>
  <c r="I46" i="74" s="1"/>
  <c r="F17" i="15"/>
  <c r="F13" i="15"/>
  <c r="F77" i="15"/>
  <c r="F75" i="15"/>
  <c r="I37" i="61"/>
  <c r="K37" i="61" s="1"/>
  <c r="H37" i="74"/>
  <c r="D17" i="15"/>
  <c r="I39" i="61"/>
  <c r="K39" i="61" s="1"/>
  <c r="F70" i="15"/>
  <c r="G70" i="15" s="1"/>
  <c r="D14" i="15"/>
  <c r="F42" i="74" s="1"/>
  <c r="D10" i="15"/>
  <c r="G69" i="15" s="1"/>
  <c r="D13" i="15"/>
  <c r="G72" i="15" s="1"/>
  <c r="G71" i="15"/>
  <c r="D11" i="15"/>
  <c r="D16" i="15"/>
  <c r="G75" i="15" s="1"/>
  <c r="G74" i="15"/>
  <c r="F73" i="15"/>
  <c r="G73" i="15" s="1"/>
  <c r="D9" i="15"/>
  <c r="D18" i="15"/>
  <c r="F46" i="74" s="1"/>
  <c r="I44" i="74"/>
  <c r="L44" i="61"/>
  <c r="N44" i="61" s="1"/>
  <c r="I42" i="74"/>
  <c r="I38" i="74"/>
  <c r="L38" i="61"/>
  <c r="N38" i="61" s="1"/>
  <c r="G40" i="74"/>
  <c r="J44" i="74"/>
  <c r="O44" i="61"/>
  <c r="Q44" i="61" s="1"/>
  <c r="J43" i="74"/>
  <c r="O43" i="61"/>
  <c r="Q43" i="61" s="1"/>
  <c r="F43" i="61"/>
  <c r="H43" i="61" s="1"/>
  <c r="G43" i="74"/>
  <c r="C43" i="61"/>
  <c r="F43" i="74"/>
  <c r="O37" i="61"/>
  <c r="J37" i="74"/>
  <c r="O45" i="61"/>
  <c r="Q45" i="61" s="1"/>
  <c r="J45" i="74"/>
  <c r="I43" i="61"/>
  <c r="K43" i="61" s="1"/>
  <c r="H43" i="74"/>
  <c r="F46" i="61"/>
  <c r="H46" i="61" s="1"/>
  <c r="G46" i="74"/>
  <c r="F38" i="74"/>
  <c r="N37" i="61"/>
  <c r="J40" i="74"/>
  <c r="O40" i="61"/>
  <c r="Q40" i="61" s="1"/>
  <c r="I42" i="61"/>
  <c r="K42" i="61" s="1"/>
  <c r="H42" i="74"/>
  <c r="E78" i="15"/>
  <c r="G44" i="74"/>
  <c r="F39" i="61"/>
  <c r="H39" i="61" s="1"/>
  <c r="G39" i="74"/>
  <c r="F38" i="61"/>
  <c r="H38" i="61" s="1"/>
  <c r="C39" i="61"/>
  <c r="F39" i="74"/>
  <c r="F44" i="74"/>
  <c r="H46" i="74"/>
  <c r="I46" i="61"/>
  <c r="K46" i="61" s="1"/>
  <c r="I43" i="74"/>
  <c r="L43" i="61"/>
  <c r="N43" i="61" s="1"/>
  <c r="D78" i="15"/>
  <c r="G42" i="74"/>
  <c r="C37" i="61"/>
  <c r="F37" i="74"/>
  <c r="J38" i="74"/>
  <c r="H38" i="74"/>
  <c r="I38" i="61"/>
  <c r="F19" i="15"/>
  <c r="F37" i="61"/>
  <c r="J46" i="74"/>
  <c r="F45" i="61"/>
  <c r="H45" i="61" s="1"/>
  <c r="G45" i="74"/>
  <c r="O41" i="61"/>
  <c r="Q41" i="61" s="1"/>
  <c r="J41" i="74"/>
  <c r="S40" i="61"/>
  <c r="E40" i="61"/>
  <c r="H14" i="63"/>
  <c r="H16" i="63"/>
  <c r="H19" i="63"/>
  <c r="H15" i="63"/>
  <c r="H11" i="63"/>
  <c r="G21" i="63"/>
  <c r="H13" i="63"/>
  <c r="H17" i="63"/>
  <c r="H18" i="63"/>
  <c r="H9" i="63"/>
  <c r="H10" i="63"/>
  <c r="H12" i="63"/>
  <c r="H20" i="63"/>
  <c r="F30" i="74"/>
  <c r="F31" i="74" s="1"/>
  <c r="C30" i="61"/>
  <c r="F12" i="74"/>
  <c r="C19" i="2"/>
  <c r="C12" i="61"/>
  <c r="S21" i="61"/>
  <c r="S23" i="61" s="1"/>
  <c r="G12" i="74"/>
  <c r="F12" i="61"/>
  <c r="H12" i="61" s="1"/>
  <c r="D19" i="2"/>
  <c r="J21" i="47"/>
  <c r="I21" i="47"/>
  <c r="O34" i="61"/>
  <c r="Q34" i="61" s="1"/>
  <c r="K34" i="61"/>
  <c r="N34" i="61"/>
  <c r="H34" i="61"/>
  <c r="S34" i="61"/>
  <c r="Q54" i="61" l="1"/>
  <c r="O55" i="61"/>
  <c r="Q55" i="61" s="1"/>
  <c r="G37" i="74"/>
  <c r="O39" i="61"/>
  <c r="Q39" i="61" s="1"/>
  <c r="L41" i="61"/>
  <c r="N41" i="61" s="1"/>
  <c r="C38" i="61"/>
  <c r="G77" i="15"/>
  <c r="G19" i="15"/>
  <c r="G76" i="15"/>
  <c r="F68" i="15"/>
  <c r="G68" i="15" s="1"/>
  <c r="L45" i="61"/>
  <c r="N45" i="61" s="1"/>
  <c r="I45" i="74"/>
  <c r="I47" i="74" s="1"/>
  <c r="C41" i="61"/>
  <c r="E41" i="61" s="1"/>
  <c r="O42" i="61"/>
  <c r="Q42" i="61" s="1"/>
  <c r="H41" i="74"/>
  <c r="I41" i="61"/>
  <c r="K41" i="61" s="1"/>
  <c r="L40" i="61"/>
  <c r="N40" i="61" s="1"/>
  <c r="I45" i="61"/>
  <c r="K45" i="61" s="1"/>
  <c r="H45" i="74"/>
  <c r="H47" i="74"/>
  <c r="L46" i="61"/>
  <c r="N46" i="61" s="1"/>
  <c r="C45" i="61"/>
  <c r="S45" i="61" s="1"/>
  <c r="F45" i="74"/>
  <c r="C46" i="61"/>
  <c r="S46" i="61" s="1"/>
  <c r="C42" i="61"/>
  <c r="E42" i="61" s="1"/>
  <c r="D19" i="15"/>
  <c r="F41" i="74"/>
  <c r="F47" i="74" s="1"/>
  <c r="F89" i="74" s="1"/>
  <c r="F94" i="74" s="1"/>
  <c r="F100" i="74" s="1"/>
  <c r="C44" i="61"/>
  <c r="S44" i="61" s="1"/>
  <c r="F78" i="15"/>
  <c r="G78" i="15" s="1"/>
  <c r="H37" i="61"/>
  <c r="F47" i="61"/>
  <c r="H47" i="61" s="1"/>
  <c r="S37" i="61"/>
  <c r="E37" i="61"/>
  <c r="S39" i="61"/>
  <c r="E39" i="61"/>
  <c r="G47" i="74"/>
  <c r="J47" i="74"/>
  <c r="S43" i="61"/>
  <c r="E43" i="61"/>
  <c r="K38" i="61"/>
  <c r="S38" i="61"/>
  <c r="E38" i="61"/>
  <c r="Q37" i="61"/>
  <c r="S30" i="61"/>
  <c r="S31" i="61" s="1"/>
  <c r="C31" i="61"/>
  <c r="E31" i="61" s="1"/>
  <c r="E30" i="61"/>
  <c r="I10" i="63"/>
  <c r="I15" i="63"/>
  <c r="I9" i="63"/>
  <c r="I16" i="63"/>
  <c r="I13" i="63"/>
  <c r="I19" i="63"/>
  <c r="I14" i="63"/>
  <c r="I12" i="63"/>
  <c r="I11" i="63"/>
  <c r="I18" i="63"/>
  <c r="I20" i="63"/>
  <c r="H21" i="63"/>
  <c r="I17" i="63"/>
  <c r="G30" i="74"/>
  <c r="G31" i="74" s="1"/>
  <c r="F30" i="61"/>
  <c r="S12" i="61"/>
  <c r="E12" i="61"/>
  <c r="H12" i="74"/>
  <c r="E19" i="2"/>
  <c r="I12" i="61"/>
  <c r="O47" i="61" l="1"/>
  <c r="Q47" i="61" s="1"/>
  <c r="E44" i="61"/>
  <c r="S41" i="61"/>
  <c r="E46" i="61"/>
  <c r="L47" i="61"/>
  <c r="N47" i="61" s="1"/>
  <c r="I47" i="61"/>
  <c r="K47" i="61" s="1"/>
  <c r="E45" i="61"/>
  <c r="C47" i="61"/>
  <c r="E47" i="61" s="1"/>
  <c r="G89" i="74"/>
  <c r="G94" i="74" s="1"/>
  <c r="G100" i="74" s="1"/>
  <c r="S42" i="61"/>
  <c r="H30" i="74"/>
  <c r="H31" i="74" s="1"/>
  <c r="H89" i="74" s="1"/>
  <c r="H94" i="74" s="1"/>
  <c r="H100" i="74" s="1"/>
  <c r="I30" i="61"/>
  <c r="F31" i="61"/>
  <c r="H30" i="61"/>
  <c r="J12" i="63"/>
  <c r="J13" i="63"/>
  <c r="J16" i="63"/>
  <c r="J11" i="63"/>
  <c r="J20" i="63"/>
  <c r="J15" i="63"/>
  <c r="J18" i="63"/>
  <c r="J10" i="63"/>
  <c r="J9" i="63"/>
  <c r="I21" i="63"/>
  <c r="J17" i="63"/>
  <c r="J19" i="63"/>
  <c r="J14" i="63"/>
  <c r="K12" i="61"/>
  <c r="L12" i="61"/>
  <c r="I12" i="74"/>
  <c r="F19" i="2"/>
  <c r="O12" i="61"/>
  <c r="J12" i="74"/>
  <c r="G19" i="2"/>
  <c r="S47" i="61" l="1"/>
  <c r="S88" i="61" s="1"/>
  <c r="S93" i="61" s="1"/>
  <c r="C88" i="61"/>
  <c r="C93" i="61" s="1"/>
  <c r="T88" i="61"/>
  <c r="H31" i="61"/>
  <c r="F88" i="61"/>
  <c r="L30" i="61"/>
  <c r="I30" i="74"/>
  <c r="I31" i="74" s="1"/>
  <c r="I89" i="74" s="1"/>
  <c r="I94" i="74" s="1"/>
  <c r="I100" i="74" s="1"/>
  <c r="I31" i="61"/>
  <c r="K30" i="61"/>
  <c r="J21" i="63"/>
  <c r="N12" i="61"/>
  <c r="Q12" i="61"/>
  <c r="E88" i="61" l="1"/>
  <c r="J30" i="74"/>
  <c r="J31" i="74" s="1"/>
  <c r="J89" i="74" s="1"/>
  <c r="J94" i="74" s="1"/>
  <c r="J100" i="74" s="1"/>
  <c r="O30" i="61"/>
  <c r="N30" i="61"/>
  <c r="L31" i="61"/>
  <c r="K31" i="61"/>
  <c r="I88" i="61"/>
  <c r="C99" i="61"/>
  <c r="E93" i="61"/>
  <c r="F93" i="61"/>
  <c r="H88" i="61"/>
  <c r="I93" i="61" l="1"/>
  <c r="K88" i="61"/>
  <c r="Q30" i="61"/>
  <c r="O31" i="61"/>
  <c r="H93" i="61"/>
  <c r="F99" i="61"/>
  <c r="N31" i="61"/>
  <c r="L88" i="61"/>
  <c r="L93" i="61" l="1"/>
  <c r="N88" i="61"/>
  <c r="Q31" i="61"/>
  <c r="O88" i="61"/>
  <c r="I99" i="61"/>
  <c r="K93" i="61"/>
  <c r="Q88" i="61" l="1"/>
  <c r="O93" i="61"/>
  <c r="N93" i="61"/>
  <c r="L99" i="61"/>
  <c r="O99" i="61" l="1"/>
  <c r="Q93" i="61"/>
</calcChain>
</file>

<file path=xl/comments1.xml><?xml version="1.0" encoding="utf-8"?>
<comments xmlns="http://schemas.openxmlformats.org/spreadsheetml/2006/main">
  <authors>
    <author>johamric</author>
  </authors>
  <commentList>
    <comment ref="A28" authorId="0">
      <text>
        <r>
          <rPr>
            <b/>
            <sz val="9"/>
            <color indexed="81"/>
            <rFont val="Tahoma"/>
            <family val="2"/>
          </rPr>
          <t>johamric:</t>
        </r>
        <r>
          <rPr>
            <sz val="9"/>
            <color indexed="81"/>
            <rFont val="Tahoma"/>
            <family val="2"/>
          </rPr>
          <t xml:space="preserve">
Manual for Actuals
(Query Ferc Sub 92900010 by EWO)</t>
        </r>
      </text>
    </comment>
    <comment ref="A69" authorId="0">
      <text>
        <r>
          <rPr>
            <b/>
            <sz val="9"/>
            <color indexed="81"/>
            <rFont val="Tahoma"/>
            <family val="2"/>
          </rPr>
          <t>johamric:</t>
        </r>
        <r>
          <rPr>
            <sz val="9"/>
            <color indexed="81"/>
            <rFont val="Tahoma"/>
            <family val="2"/>
          </rPr>
          <t xml:space="preserve">
Manual for Actuals (Query Ferc 56700119 by EWO)
</t>
        </r>
      </text>
    </comment>
    <comment ref="B84" authorId="0">
      <text>
        <r>
          <rPr>
            <b/>
            <sz val="9"/>
            <color indexed="81"/>
            <rFont val="Tahoma"/>
            <family val="2"/>
          </rPr>
          <t>johamric:</t>
        </r>
        <r>
          <rPr>
            <sz val="9"/>
            <color indexed="81"/>
            <rFont val="Tahoma"/>
            <family val="2"/>
          </rPr>
          <t xml:space="preserve">
Rate Case SEA Awards Accruals $450k booked to 40990</t>
        </r>
      </text>
    </comment>
  </commentList>
</comments>
</file>

<file path=xl/comments2.xml><?xml version="1.0" encoding="utf-8"?>
<comments xmlns="http://schemas.openxmlformats.org/spreadsheetml/2006/main">
  <authors>
    <author>mcarmstr</author>
    <author>johamric</author>
  </authors>
  <commentList>
    <comment ref="P6" authorId="0">
      <text>
        <r>
          <rPr>
            <b/>
            <sz val="8"/>
            <color indexed="81"/>
            <rFont val="Tahoma"/>
            <family val="2"/>
          </rPr>
          <t>johamric:</t>
        </r>
        <r>
          <rPr>
            <sz val="8"/>
            <color indexed="81"/>
            <rFont val="Tahoma"/>
            <family val="2"/>
          </rPr>
          <t xml:space="preserve">
Forecast year escalated 2% since this year was not in the previous budget
</t>
        </r>
      </text>
    </comment>
    <comment ref="A28" authorId="1">
      <text>
        <r>
          <rPr>
            <b/>
            <sz val="9"/>
            <color indexed="81"/>
            <rFont val="Tahoma"/>
            <family val="2"/>
          </rPr>
          <t>johamric:</t>
        </r>
        <r>
          <rPr>
            <sz val="9"/>
            <color indexed="81"/>
            <rFont val="Tahoma"/>
            <family val="2"/>
          </rPr>
          <t xml:space="preserve">
Manual for Actuals
(Query Ferc Sub 92900010 by EWO)</t>
        </r>
      </text>
    </comment>
    <comment ref="A69" authorId="1">
      <text>
        <r>
          <rPr>
            <b/>
            <sz val="9"/>
            <color indexed="81"/>
            <rFont val="Tahoma"/>
            <family val="2"/>
          </rPr>
          <t>johamric:</t>
        </r>
        <r>
          <rPr>
            <sz val="9"/>
            <color indexed="81"/>
            <rFont val="Tahoma"/>
            <family val="2"/>
          </rPr>
          <t xml:space="preserve">
Manual for Actuals (Query Ferc 56700119 by EWO)
</t>
        </r>
      </text>
    </comment>
    <comment ref="B97" authorId="1">
      <text>
        <r>
          <rPr>
            <b/>
            <sz val="8"/>
            <color indexed="81"/>
            <rFont val="Tahoma"/>
            <family val="2"/>
          </rPr>
          <t>johamric:</t>
        </r>
        <r>
          <rPr>
            <sz val="8"/>
            <color indexed="81"/>
            <rFont val="Tahoma"/>
            <family val="2"/>
          </rPr>
          <t xml:space="preserve">
rounding
</t>
        </r>
      </text>
    </comment>
  </commentList>
</comments>
</file>

<file path=xl/comments3.xml><?xml version="1.0" encoding="utf-8"?>
<comments xmlns="http://schemas.openxmlformats.org/spreadsheetml/2006/main">
  <authors>
    <author>johamric</author>
  </authors>
  <commentList>
    <comment ref="G8" authorId="0">
      <text>
        <r>
          <rPr>
            <b/>
            <sz val="8"/>
            <color indexed="81"/>
            <rFont val="Tahoma"/>
            <family val="2"/>
          </rPr>
          <t>johamric:</t>
        </r>
        <r>
          <rPr>
            <sz val="8"/>
            <color indexed="81"/>
            <rFont val="Tahoma"/>
            <family val="2"/>
          </rPr>
          <t xml:space="preserve">
$4,690 Professional Liability included in SCS Budget File (excluded here to avoid double counting)
</t>
        </r>
      </text>
    </comment>
    <comment ref="O11" authorId="0">
      <text>
        <r>
          <rPr>
            <b/>
            <sz val="9"/>
            <color indexed="81"/>
            <rFont val="Tahoma"/>
            <family val="2"/>
          </rPr>
          <t>johamric:</t>
        </r>
        <r>
          <rPr>
            <sz val="9"/>
            <color indexed="81"/>
            <rFont val="Tahoma"/>
            <family val="2"/>
          </rPr>
          <t xml:space="preserve">
Be sure to pick up Travel Ins 925 on next tab to tie to Sofia 925 total</t>
        </r>
      </text>
    </comment>
  </commentList>
</comments>
</file>

<file path=xl/comments4.xml><?xml version="1.0" encoding="utf-8"?>
<comments xmlns="http://schemas.openxmlformats.org/spreadsheetml/2006/main">
  <authors>
    <author>johamric</author>
  </authors>
  <commentList>
    <comment ref="B7" authorId="0">
      <text>
        <r>
          <rPr>
            <b/>
            <sz val="8"/>
            <color indexed="81"/>
            <rFont val="Tahoma"/>
            <family val="2"/>
          </rPr>
          <t>johamric:</t>
        </r>
        <r>
          <rPr>
            <sz val="8"/>
            <color indexed="81"/>
            <rFont val="Tahoma"/>
            <family val="2"/>
          </rPr>
          <t xml:space="preserve">
Actuals booked in Jan of 2015</t>
        </r>
      </text>
    </comment>
  </commentList>
</comments>
</file>

<file path=xl/comments5.xml><?xml version="1.0" encoding="utf-8"?>
<comments xmlns="http://schemas.openxmlformats.org/spreadsheetml/2006/main">
  <authors>
    <author>johamric</author>
    <author>mccomell</author>
  </authors>
  <commentList>
    <comment ref="B8" authorId="0">
      <text>
        <r>
          <rPr>
            <b/>
            <sz val="8"/>
            <color indexed="81"/>
            <rFont val="Tahoma"/>
            <family val="2"/>
          </rPr>
          <t>johamric:</t>
        </r>
        <r>
          <rPr>
            <sz val="8"/>
            <color indexed="81"/>
            <rFont val="Tahoma"/>
            <family val="2"/>
          </rPr>
          <t xml:space="preserve">
Exclude GALLOC</t>
        </r>
      </text>
    </comment>
    <comment ref="D28" authorId="0">
      <text>
        <r>
          <rPr>
            <b/>
            <sz val="8"/>
            <color indexed="81"/>
            <rFont val="Tahoma"/>
            <family val="2"/>
          </rPr>
          <t>johamric:</t>
        </r>
        <r>
          <rPr>
            <sz val="8"/>
            <color indexed="81"/>
            <rFont val="Tahoma"/>
            <family val="2"/>
          </rPr>
          <t xml:space="preserve">
This line is for reference/informational purposes. No calculation necessary (straight from budworks) after allocation is run by ESS</t>
        </r>
      </text>
    </comment>
    <comment ref="E29" authorId="0">
      <text>
        <r>
          <rPr>
            <b/>
            <sz val="9"/>
            <color indexed="81"/>
            <rFont val="Tahoma"/>
            <family val="2"/>
          </rPr>
          <t xml:space="preserve">johamric:
</t>
        </r>
        <r>
          <rPr>
            <sz val="9"/>
            <color indexed="81"/>
            <rFont val="Tahoma"/>
            <family val="2"/>
          </rPr>
          <t>Additional Budget dollars needed to cover actuals in excess of allocated budget (based on historical analysis)
(EWO GALLOC - same account as allocation) See "Duplicate Charges Allocated Adjustment" workpapers in 40990 Budget folder</t>
        </r>
      </text>
    </comment>
    <comment ref="A40" authorId="1">
      <text>
        <r>
          <rPr>
            <b/>
            <sz val="8"/>
            <color indexed="81"/>
            <rFont val="Tahoma"/>
            <family val="2"/>
          </rPr>
          <t>mccomell:</t>
        </r>
        <r>
          <rPr>
            <sz val="8"/>
            <color indexed="81"/>
            <rFont val="Tahoma"/>
            <family val="2"/>
          </rPr>
          <t xml:space="preserve">
Sofia Query: 
40990 - CAG - 92900010</t>
        </r>
      </text>
    </comment>
  </commentList>
</comments>
</file>

<file path=xl/comments6.xml><?xml version="1.0" encoding="utf-8"?>
<comments xmlns="http://schemas.openxmlformats.org/spreadsheetml/2006/main">
  <authors>
    <author>mcarmstr</author>
    <author>Castleberry, Cody Lee</author>
    <author>johamric</author>
    <author>rggarcia</author>
  </authors>
  <commentList>
    <comment ref="B7" authorId="0">
      <text>
        <r>
          <rPr>
            <b/>
            <sz val="8"/>
            <color indexed="81"/>
            <rFont val="Tahoma"/>
            <family val="2"/>
          </rPr>
          <t>mcarmstr:</t>
        </r>
        <r>
          <rPr>
            <sz val="8"/>
            <color indexed="81"/>
            <rFont val="Tahoma"/>
            <family val="2"/>
          </rPr>
          <t xml:space="preserve">
exclude GALLOC and only inlcude RT MHS</t>
        </r>
      </text>
    </comment>
    <comment ref="D7" authorId="1">
      <text>
        <r>
          <rPr>
            <b/>
            <sz val="9"/>
            <color indexed="81"/>
            <rFont val="Tahoma"/>
            <family val="2"/>
          </rPr>
          <t>Castleberry, Cody Lee:</t>
        </r>
        <r>
          <rPr>
            <sz val="9"/>
            <color indexed="81"/>
            <rFont val="Tahoma"/>
            <family val="2"/>
          </rPr>
          <t xml:space="preserve">
A monthly calculation had to be added for 2016 based on the Smith employees moving in Apr of 2016</t>
        </r>
      </text>
    </comment>
    <comment ref="A25" authorId="1">
      <text>
        <r>
          <rPr>
            <b/>
            <sz val="9"/>
            <color indexed="81"/>
            <rFont val="Tahoma"/>
            <family val="2"/>
          </rPr>
          <t>Castleberry, Cody Lee:</t>
        </r>
        <r>
          <rPr>
            <sz val="9"/>
            <color indexed="81"/>
            <rFont val="Tahoma"/>
            <family val="2"/>
          </rPr>
          <t xml:space="preserve">
Dollars not billed after Nick left and do not need to be budgeted
Delete line for 2017's budget…not needed anymore.</t>
        </r>
      </text>
    </comment>
    <comment ref="A27" authorId="2">
      <text>
        <r>
          <rPr>
            <b/>
            <sz val="9"/>
            <color indexed="81"/>
            <rFont val="Tahoma"/>
            <family val="2"/>
          </rPr>
          <t xml:space="preserve">johamric:
</t>
        </r>
        <r>
          <rPr>
            <sz val="9"/>
            <color indexed="81"/>
            <rFont val="Tahoma"/>
            <family val="2"/>
          </rPr>
          <t>Cody-Calculated using a 4-year average</t>
        </r>
        <r>
          <rPr>
            <b/>
            <sz val="9"/>
            <color indexed="81"/>
            <rFont val="Tahoma"/>
            <family val="2"/>
          </rPr>
          <t xml:space="preserve">
</t>
        </r>
        <r>
          <rPr>
            <sz val="9"/>
            <color indexed="81"/>
            <rFont val="Tahoma"/>
            <family val="2"/>
          </rPr>
          <t xml:space="preserve">
This represent "Additional charges related to Inventory Balancing and Freight Costs not included in Generation budget"</t>
        </r>
      </text>
    </comment>
    <comment ref="C50" authorId="3">
      <text>
        <r>
          <rPr>
            <sz val="8"/>
            <color indexed="81"/>
            <rFont val="Tahoma"/>
            <family val="2"/>
          </rPr>
          <t xml:space="preserve">
Verified with Beverly Day</t>
        </r>
      </text>
    </comment>
    <comment ref="C61" authorId="3">
      <text>
        <r>
          <rPr>
            <sz val="8"/>
            <color indexed="81"/>
            <rFont val="Tahoma"/>
            <family val="2"/>
          </rPr>
          <t xml:space="preserve">
Verified with Beverly Day</t>
        </r>
      </text>
    </comment>
    <comment ref="B66" authorId="0">
      <text>
        <r>
          <rPr>
            <b/>
            <sz val="8"/>
            <color indexed="81"/>
            <rFont val="Tahoma"/>
            <family val="2"/>
          </rPr>
          <t>mcarmstr:</t>
        </r>
        <r>
          <rPr>
            <sz val="8"/>
            <color indexed="81"/>
            <rFont val="Tahoma"/>
            <family val="2"/>
          </rPr>
          <t xml:space="preserve">
exclude GALLOC and only inlcude RT MHS</t>
        </r>
      </text>
    </comment>
  </commentList>
</comments>
</file>

<file path=xl/comments7.xml><?xml version="1.0" encoding="utf-8"?>
<comments xmlns="http://schemas.openxmlformats.org/spreadsheetml/2006/main">
  <authors>
    <author>johamric</author>
  </authors>
  <commentList>
    <comment ref="B8" authorId="0">
      <text>
        <r>
          <rPr>
            <b/>
            <sz val="9"/>
            <color indexed="81"/>
            <rFont val="Tahoma"/>
            <family val="2"/>
          </rPr>
          <t>johamric:</t>
        </r>
        <r>
          <rPr>
            <sz val="9"/>
            <color indexed="81"/>
            <rFont val="Tahoma"/>
            <family val="2"/>
          </rPr>
          <t xml:space="preserve">
"Boiler Coal/Gas" on Easy Sheet </t>
        </r>
      </text>
    </comment>
    <comment ref="B9" authorId="0">
      <text>
        <r>
          <rPr>
            <b/>
            <sz val="9"/>
            <color indexed="81"/>
            <rFont val="Tahoma"/>
            <family val="2"/>
          </rPr>
          <t>johamric:</t>
        </r>
        <r>
          <rPr>
            <sz val="9"/>
            <color indexed="81"/>
            <rFont val="Tahoma"/>
            <family val="2"/>
          </rPr>
          <t xml:space="preserve">
"CT/CC Gas" PLUS "Other Gen." on Easy Sheet</t>
        </r>
      </text>
    </comment>
    <comment ref="B10" authorId="0">
      <text>
        <r>
          <rPr>
            <b/>
            <sz val="9"/>
            <color indexed="81"/>
            <rFont val="Tahoma"/>
            <family val="2"/>
          </rPr>
          <t>johamric:</t>
        </r>
        <r>
          <rPr>
            <sz val="9"/>
            <color indexed="81"/>
            <rFont val="Tahoma"/>
            <family val="2"/>
          </rPr>
          <t xml:space="preserve">
"Trans." on Easy Sheet</t>
        </r>
      </text>
    </comment>
    <comment ref="B11" authorId="0">
      <text>
        <r>
          <rPr>
            <b/>
            <sz val="9"/>
            <color indexed="81"/>
            <rFont val="Tahoma"/>
            <family val="2"/>
          </rPr>
          <t>johamric:</t>
        </r>
        <r>
          <rPr>
            <sz val="9"/>
            <color indexed="81"/>
            <rFont val="Tahoma"/>
            <family val="2"/>
          </rPr>
          <t xml:space="preserve">
"Dist." on Easy Sheet</t>
        </r>
      </text>
    </comment>
    <comment ref="B12" authorId="0">
      <text>
        <r>
          <rPr>
            <b/>
            <sz val="9"/>
            <color indexed="81"/>
            <rFont val="Tahoma"/>
            <family val="2"/>
          </rPr>
          <t>johamric:</t>
        </r>
        <r>
          <rPr>
            <sz val="9"/>
            <color indexed="81"/>
            <rFont val="Tahoma"/>
            <family val="2"/>
          </rPr>
          <t xml:space="preserve">
"Retail/Utiliz." on Easy Sheet</t>
        </r>
      </text>
    </comment>
  </commentList>
</comments>
</file>

<file path=xl/comments8.xml><?xml version="1.0" encoding="utf-8"?>
<comments xmlns="http://schemas.openxmlformats.org/spreadsheetml/2006/main">
  <authors>
    <author>mcarmstr</author>
    <author>johamric</author>
  </authors>
  <commentList>
    <comment ref="A10" authorId="0">
      <text>
        <r>
          <rPr>
            <b/>
            <sz val="8"/>
            <color indexed="81"/>
            <rFont val="Tahoma"/>
            <family val="2"/>
          </rPr>
          <t>mcarmstr:</t>
        </r>
        <r>
          <rPr>
            <sz val="8"/>
            <color indexed="81"/>
            <rFont val="Tahoma"/>
            <family val="2"/>
          </rPr>
          <t xml:space="preserve">
from most recent EEI Dues Schedule</t>
        </r>
      </text>
    </comment>
    <comment ref="C10" authorId="1">
      <text>
        <r>
          <rPr>
            <b/>
            <sz val="9"/>
            <color indexed="81"/>
            <rFont val="Tahoma"/>
            <family val="2"/>
          </rPr>
          <t>johamric:</t>
        </r>
        <r>
          <rPr>
            <sz val="9"/>
            <color indexed="81"/>
            <rFont val="Tahoma"/>
            <family val="2"/>
          </rPr>
          <t xml:space="preserve">
%s found in footnotes on EEI Invoice page</t>
        </r>
      </text>
    </comment>
  </commentList>
</comments>
</file>

<file path=xl/comments9.xml><?xml version="1.0" encoding="utf-8"?>
<comments xmlns="http://schemas.openxmlformats.org/spreadsheetml/2006/main">
  <authors>
    <author>johamric</author>
  </authors>
  <commentList>
    <comment ref="J3" authorId="0">
      <text>
        <r>
          <rPr>
            <b/>
            <sz val="8"/>
            <color indexed="81"/>
            <rFont val="Tahoma"/>
            <family val="2"/>
          </rPr>
          <t>johamric:</t>
        </r>
        <r>
          <rPr>
            <sz val="8"/>
            <color indexed="81"/>
            <rFont val="Tahoma"/>
            <family val="2"/>
          </rPr>
          <t xml:space="preserve">
Spreadsheet provided by Shardra Scott
Only 2014 Projects column required updating. (Updated 2014 Projects column from new estimates provided by Shardra). 
2012/2013 Project amounts were provided during 2014 Budget Process (File: "Central Alabama TFA…xlsx" in 2014 409990 Budget Folder</t>
        </r>
      </text>
    </comment>
    <comment ref="A7" authorId="0">
      <text>
        <r>
          <rPr>
            <b/>
            <sz val="9"/>
            <color indexed="81"/>
            <rFont val="Tahoma"/>
            <family val="2"/>
          </rPr>
          <t>johamric:</t>
        </r>
        <r>
          <rPr>
            <sz val="9"/>
            <color indexed="81"/>
            <rFont val="Tahoma"/>
            <family val="2"/>
          </rPr>
          <t xml:space="preserve">
2012,2013 &amp;2014 Projects updated 7/17/15. </t>
        </r>
      </text>
    </comment>
  </commentList>
</comments>
</file>

<file path=xl/sharedStrings.xml><?xml version="1.0" encoding="utf-8"?>
<sst xmlns="http://schemas.openxmlformats.org/spreadsheetml/2006/main" count="2221" uniqueCount="869">
  <si>
    <t>GULF POWER COMPANY</t>
  </si>
  <si>
    <t>Description</t>
  </si>
  <si>
    <t>Budget</t>
  </si>
  <si>
    <t>Residential &amp; Commercial Uncollectibles</t>
  </si>
  <si>
    <t>Administrative Expense - Transferred</t>
  </si>
  <si>
    <t>Total Corporate Insurance</t>
  </si>
  <si>
    <t>500-000</t>
  </si>
  <si>
    <t>502-000</t>
  </si>
  <si>
    <t>505-000</t>
  </si>
  <si>
    <t>506-000</t>
  </si>
  <si>
    <t>510-000</t>
  </si>
  <si>
    <t>511-000</t>
  </si>
  <si>
    <t>512-000</t>
  </si>
  <si>
    <t>513-000</t>
  </si>
  <si>
    <t>514-000</t>
  </si>
  <si>
    <t>553-000</t>
  </si>
  <si>
    <t>Deferred Director's Compensation</t>
  </si>
  <si>
    <t>Transmission Expenses</t>
  </si>
  <si>
    <t>1.  Salaries</t>
  </si>
  <si>
    <t>2.  General Office Supplies</t>
  </si>
  <si>
    <t>Total</t>
  </si>
  <si>
    <t>Monthly</t>
  </si>
  <si>
    <t>December</t>
  </si>
  <si>
    <t>January</t>
  </si>
  <si>
    <t>February</t>
  </si>
  <si>
    <t>March</t>
  </si>
  <si>
    <t>April</t>
  </si>
  <si>
    <t>May</t>
  </si>
  <si>
    <t>June</t>
  </si>
  <si>
    <t>July</t>
  </si>
  <si>
    <t>August</t>
  </si>
  <si>
    <t>September</t>
  </si>
  <si>
    <t>October</t>
  </si>
  <si>
    <t>November</t>
  </si>
  <si>
    <t>Tower Facility Lease</t>
  </si>
  <si>
    <t>EPRI Dues</t>
  </si>
  <si>
    <t>Duplicate Charges</t>
  </si>
  <si>
    <t>Stores Handling</t>
  </si>
  <si>
    <t>Actual</t>
  </si>
  <si>
    <t>Annual FERC fee</t>
  </si>
  <si>
    <r>
      <t>Injuries &amp; Damages Reserve Accrual</t>
    </r>
    <r>
      <rPr>
        <sz val="10"/>
        <rFont val="Arial"/>
        <family val="2"/>
      </rPr>
      <t/>
    </r>
  </si>
  <si>
    <t>Property Damage Reserve Accrual</t>
  </si>
  <si>
    <t>Corporate Insurance</t>
  </si>
  <si>
    <t>Labor Escalation</t>
  </si>
  <si>
    <t xml:space="preserve">Estimated office supplies to be capitalized </t>
  </si>
  <si>
    <t>Escalation Factor</t>
  </si>
  <si>
    <t xml:space="preserve"> Misc.</t>
  </si>
  <si>
    <t xml:space="preserve"> Labor *</t>
  </si>
  <si>
    <t>Total Stores Handling</t>
  </si>
  <si>
    <t>Variance</t>
  </si>
  <si>
    <t>EEI Dues</t>
  </si>
  <si>
    <t>Industry Structure Assessment</t>
  </si>
  <si>
    <t>Mutual Assistance Program</t>
  </si>
  <si>
    <t xml:space="preserve">EEI Dues </t>
  </si>
  <si>
    <t>FERC/SUB</t>
  </si>
  <si>
    <t xml:space="preserve"> </t>
  </si>
  <si>
    <t>931-00004</t>
  </si>
  <si>
    <t>922-00200</t>
  </si>
  <si>
    <t>928-00200</t>
  </si>
  <si>
    <t>426-40000</t>
  </si>
  <si>
    <t>930-20000</t>
  </si>
  <si>
    <t>930-20000 &amp; 426-40000</t>
  </si>
  <si>
    <t>737-00000</t>
  </si>
  <si>
    <t>930-20801</t>
  </si>
  <si>
    <t>TOTAL O&amp;M EXPENSES</t>
  </si>
  <si>
    <t>Contact: Alea Juull</t>
  </si>
  <si>
    <t>Transmission Clause</t>
  </si>
  <si>
    <t>Tower Facility Lease Expense</t>
  </si>
  <si>
    <t>Administrative Expenses Transferred - Credit</t>
  </si>
  <si>
    <t>904-00000</t>
  </si>
  <si>
    <t>Amount</t>
  </si>
  <si>
    <t>Escalation Factors from Budget Message</t>
  </si>
  <si>
    <t xml:space="preserve">Estimated A&amp;G salaries to be capitalized </t>
  </si>
  <si>
    <t>CS&amp;I Misc Customer Service &amp; Info Exp</t>
  </si>
  <si>
    <t>Misc Distribution Exp</t>
  </si>
  <si>
    <t>Misc Transmission Exp</t>
  </si>
  <si>
    <t>Misc Other Power Generation Exp</t>
  </si>
  <si>
    <t>Misc Steam Power - R&amp;D</t>
  </si>
  <si>
    <t>PJC Leasehold Improvements</t>
  </si>
  <si>
    <t>931-00000</t>
  </si>
  <si>
    <t>924-00020</t>
  </si>
  <si>
    <t>925-00010</t>
  </si>
  <si>
    <t>924-00010</t>
  </si>
  <si>
    <t>929-00010</t>
  </si>
  <si>
    <t>500-00000</t>
  </si>
  <si>
    <t>502-00000</t>
  </si>
  <si>
    <t>505-00000</t>
  </si>
  <si>
    <t>506-00000</t>
  </si>
  <si>
    <t>510-00000</t>
  </si>
  <si>
    <t>511-00000</t>
  </si>
  <si>
    <t>512-00000</t>
  </si>
  <si>
    <t>513-00000</t>
  </si>
  <si>
    <t>514-00000</t>
  </si>
  <si>
    <t>553-00000</t>
  </si>
  <si>
    <t>565-00200</t>
  </si>
  <si>
    <t>506-00001 Misc Steam Power - R&amp;D</t>
  </si>
  <si>
    <t>566-00000 Misc Transmission Exp</t>
  </si>
  <si>
    <t>588-00000 Misc Distribution Exp</t>
  </si>
  <si>
    <t>Remember that this should be a credit</t>
  </si>
  <si>
    <t>Total 40990 Budget</t>
  </si>
  <si>
    <t>Regular Dues</t>
  </si>
  <si>
    <t>Edison Foundation Contribution</t>
  </si>
  <si>
    <t>EEI Dues Components</t>
  </si>
  <si>
    <t>% A&amp;G</t>
  </si>
  <si>
    <t>% 426</t>
  </si>
  <si>
    <t>ALL-RISK</t>
  </si>
  <si>
    <t>481W01</t>
  </si>
  <si>
    <t>Type of Insurance</t>
  </si>
  <si>
    <t>BWO</t>
  </si>
  <si>
    <t>Jan</t>
  </si>
  <si>
    <t>Feb</t>
  </si>
  <si>
    <t>Mar</t>
  </si>
  <si>
    <t>Apr</t>
  </si>
  <si>
    <t>Jun</t>
  </si>
  <si>
    <t>Jul</t>
  </si>
  <si>
    <t>Aug</t>
  </si>
  <si>
    <t>Sep</t>
  </si>
  <si>
    <t>Oct</t>
  </si>
  <si>
    <t>Nov</t>
  </si>
  <si>
    <t>Dec</t>
  </si>
  <si>
    <t>DIRECT &amp; OFFICERS</t>
  </si>
  <si>
    <t>486Y01</t>
  </si>
  <si>
    <t>PUBLIC LIABILITY</t>
  </si>
  <si>
    <t>EXCESS WORK COMP</t>
  </si>
  <si>
    <t>481Z01</t>
  </si>
  <si>
    <t>481Y01</t>
  </si>
  <si>
    <t>I&amp;D</t>
  </si>
  <si>
    <t>I&amp;D Reserve Accrual</t>
  </si>
  <si>
    <t>Annually</t>
  </si>
  <si>
    <t>Property Damages Reserve</t>
  </si>
  <si>
    <t>Total EPRI Dues</t>
  </si>
  <si>
    <t>% of Total</t>
  </si>
  <si>
    <t>4608LE</t>
  </si>
  <si>
    <t>4608TC</t>
  </si>
  <si>
    <t>46COCI</t>
  </si>
  <si>
    <t>46COCS</t>
  </si>
  <si>
    <t>46DBDB</t>
  </si>
  <si>
    <t>46ITDN</t>
  </si>
  <si>
    <t>46ITIA</t>
  </si>
  <si>
    <t>46MU01</t>
  </si>
  <si>
    <t>46PM01</t>
  </si>
  <si>
    <t>46PM02</t>
  </si>
  <si>
    <t>46TXNT</t>
  </si>
  <si>
    <t>46TXTC</t>
  </si>
  <si>
    <t>47EOT1</t>
  </si>
  <si>
    <t>48LC01</t>
  </si>
  <si>
    <t>FERCSUB</t>
  </si>
  <si>
    <t>Contact: Shardra Scott</t>
  </si>
  <si>
    <t>Clearing - Corporate Insurance</t>
  </si>
  <si>
    <t>SCS Early Retirement Plans</t>
  </si>
  <si>
    <t>SCS Early Retirement</t>
  </si>
  <si>
    <t>PRCN</t>
  </si>
  <si>
    <t>RT</t>
  </si>
  <si>
    <t>SSO</t>
  </si>
  <si>
    <t>SSI</t>
  </si>
  <si>
    <t>47VSIM</t>
  </si>
  <si>
    <t>47VSTS</t>
  </si>
  <si>
    <t>47VSTZ</t>
  </si>
  <si>
    <t>47VSZ2</t>
  </si>
  <si>
    <t>47VSZ3</t>
  </si>
  <si>
    <t>SCM</t>
  </si>
  <si>
    <t>SCS 737 Charges (See Right)</t>
  </si>
  <si>
    <t>Partially allocated - A&amp;G Billing to Affiliates budget allocation</t>
  </si>
  <si>
    <t>Partially budgeted - after digging we determined that more goes to this Ferc Sub than just what is allocated so we budgeted dollars to take care of the manual journals</t>
  </si>
  <si>
    <t>Summary: a portion of duplicate charges was moved to 40993 Benefits but everything is being taken into account and the dollar amounts are just considerably lower than prior years.</t>
  </si>
  <si>
    <t>Comparison</t>
  </si>
  <si>
    <t>40061</t>
  </si>
  <si>
    <t>73700000</t>
  </si>
  <si>
    <t>478601</t>
  </si>
  <si>
    <t>40073</t>
  </si>
  <si>
    <t>40790</t>
  </si>
  <si>
    <t>40980</t>
  </si>
  <si>
    <t>Notes:</t>
  </si>
  <si>
    <t>Uncollectibles go through base rates; so we have to absorb it</t>
  </si>
  <si>
    <t>Normally there are large writeoffs in Nov, Dec, and Jan</t>
  </si>
  <si>
    <t>Aging goes into the calculation</t>
  </si>
  <si>
    <t>Labor escalation rates from Escalation Factors email (RG)</t>
  </si>
  <si>
    <t>Not "fully loaded"; benefits portion is in 40993-GTA Benefits</t>
  </si>
  <si>
    <t>Generation wanted to do this to limit fluctuation</t>
  </si>
  <si>
    <t>Based heavily on stock prices and is hard to predict</t>
  </si>
  <si>
    <t>Wheeling charge</t>
  </si>
  <si>
    <t>In fuel clause; recoverable</t>
  </si>
  <si>
    <t>Supply Chain Mgmt (See Below)</t>
  </si>
  <si>
    <t>RT-EDU</t>
  </si>
  <si>
    <t>2016 Monthly Provision</t>
  </si>
  <si>
    <t>Stores Handling Charge</t>
  </si>
  <si>
    <t>Actuals</t>
  </si>
  <si>
    <t>565-00940</t>
  </si>
  <si>
    <t>Difference</t>
  </si>
  <si>
    <t xml:space="preserve">Database: </t>
  </si>
  <si>
    <t xml:space="preserve">Gulf Power </t>
  </si>
  <si>
    <t xml:space="preserve">Information View: </t>
  </si>
  <si>
    <t xml:space="preserve">O&amp;M (100%) </t>
  </si>
  <si>
    <t xml:space="preserve">Loaded Query Name: </t>
  </si>
  <si>
    <t xml:space="preserve">Months: </t>
  </si>
  <si>
    <t xml:space="preserve">Jan 11-Jun 11 </t>
  </si>
  <si>
    <t xml:space="preserve"> Jan 11-Dec 11 </t>
  </si>
  <si>
    <t xml:space="preserve">PerForming RCN: </t>
  </si>
  <si>
    <t>Incl 40990 thru 40990</t>
  </si>
  <si>
    <t xml:space="preserve">Activity: </t>
  </si>
  <si>
    <t xml:space="preserve">Resource Type: </t>
  </si>
  <si>
    <t xml:space="preserve">Ferc Sub: </t>
  </si>
  <si>
    <t>Incl 92200200 thru 92200200</t>
  </si>
  <si>
    <t>Actual 2011</t>
  </si>
  <si>
    <t>Budget 2011</t>
  </si>
  <si>
    <t>Incl 92400020 thru 92400020</t>
  </si>
  <si>
    <t>Incl 92500010 thru 92500010</t>
  </si>
  <si>
    <t>Large insurance premiums (greater than 100,000) come through the SCS Bill and into a prepaid account (Ferc 165); they are amortized each month</t>
  </si>
  <si>
    <t>Small insurance premiums are charged directing from the SCS Bill</t>
  </si>
  <si>
    <t>506-00001</t>
  </si>
  <si>
    <t>549-00000</t>
  </si>
  <si>
    <t>566-00000</t>
  </si>
  <si>
    <t>588-00000</t>
  </si>
  <si>
    <t>910-00000</t>
  </si>
  <si>
    <t>929-00010 Allocated</t>
  </si>
  <si>
    <t xml:space="preserve">565-00200 </t>
  </si>
  <si>
    <t>Total Duplicate Charges</t>
  </si>
  <si>
    <t>923-00700</t>
  </si>
  <si>
    <t>FERCSUB Descr</t>
  </si>
  <si>
    <t>56500200</t>
  </si>
  <si>
    <t>TRNS-TRNS ELEC BY OTH-RECOV</t>
  </si>
  <si>
    <t xml:space="preserve">Financial View (100%) - All </t>
  </si>
  <si>
    <t>Incl 42640000 thru 42640000</t>
  </si>
  <si>
    <t>Incl 93020000 thru 93020000</t>
  </si>
  <si>
    <t>O&amp;M</t>
  </si>
  <si>
    <t>Misc:</t>
  </si>
  <si>
    <t>50000000</t>
  </si>
  <si>
    <t>STM-OPER ENG&amp;SUPV</t>
  </si>
  <si>
    <t>50200000</t>
  </si>
  <si>
    <t>STM-STEAM EXPENSES</t>
  </si>
  <si>
    <t>50500000</t>
  </si>
  <si>
    <t>STM-ELECTRIC EXPENSES</t>
  </si>
  <si>
    <t>50600000</t>
  </si>
  <si>
    <t>STM-MISC STEAM POWER EXPENSES</t>
  </si>
  <si>
    <t>50600001</t>
  </si>
  <si>
    <t>STM-MISC STM PWR-R&amp;D</t>
  </si>
  <si>
    <t>51000000</t>
  </si>
  <si>
    <t>STM-MAINT ENG &amp; SUPV</t>
  </si>
  <si>
    <t>51100000</t>
  </si>
  <si>
    <t>STM-MAINT OF STRUCTURES</t>
  </si>
  <si>
    <t>51200000</t>
  </si>
  <si>
    <t>STM-MAINT OF BOILER PLANT</t>
  </si>
  <si>
    <t>51300000</t>
  </si>
  <si>
    <t>STM-MAINT OF ELECTRIC PLANT</t>
  </si>
  <si>
    <t>51400000</t>
  </si>
  <si>
    <t>STM-MAINT OF MISC STEAM PLANT</t>
  </si>
  <si>
    <t>54900000</t>
  </si>
  <si>
    <t>OPG-MISC OTH PWR GEN EXP</t>
  </si>
  <si>
    <t>55300000</t>
  </si>
  <si>
    <t>OPG-MAINT OF GEN &amp; ELEC PLANT</t>
  </si>
  <si>
    <t>55700010</t>
  </si>
  <si>
    <t>OPS-PURCH PWR-OTHER</t>
  </si>
  <si>
    <t>56500940</t>
  </si>
  <si>
    <t>TRNS-ELEC BY OTH-SELF USE ADJ</t>
  </si>
  <si>
    <t>56600000</t>
  </si>
  <si>
    <t>TRNS-MISC TRNS EXP</t>
  </si>
  <si>
    <t>56700119</t>
  </si>
  <si>
    <t>TRNS-RENT-115KV LN &amp; ABOVE</t>
  </si>
  <si>
    <t>58800000</t>
  </si>
  <si>
    <t>DSTR-MISC DSTR EXP</t>
  </si>
  <si>
    <t>90300000</t>
  </si>
  <si>
    <t>CUST ACCTS-CUST RECORD/COLLECT</t>
  </si>
  <si>
    <t>90400000</t>
  </si>
  <si>
    <t>CUST ACCTS-UNCOLLECTIBLE ACCTS</t>
  </si>
  <si>
    <t>91000000</t>
  </si>
  <si>
    <t>CS&amp;I MISC CUST SVC &amp; INFO EXP</t>
  </si>
  <si>
    <t>92200200</t>
  </si>
  <si>
    <t>ADMIN EXPENSE TRANSFER CR</t>
  </si>
  <si>
    <t>92300700</t>
  </si>
  <si>
    <t>OUTSIDE SVC-SCS</t>
  </si>
  <si>
    <t>92400010</t>
  </si>
  <si>
    <t>PROPERTY INSURANCE-OTHER</t>
  </si>
  <si>
    <t>92400020</t>
  </si>
  <si>
    <t>PROP INS-SELF INS</t>
  </si>
  <si>
    <t>92500010</t>
  </si>
  <si>
    <t>I&amp;D ACCRUAL</t>
  </si>
  <si>
    <t>92800200</t>
  </si>
  <si>
    <t>REG COMMIS-FED</t>
  </si>
  <si>
    <t>92900010</t>
  </si>
  <si>
    <t>DUPLICATE CHARGES-CREDIT</t>
  </si>
  <si>
    <t>93020000</t>
  </si>
  <si>
    <t>MISC GENERAL EXPENSES</t>
  </si>
  <si>
    <t>93020801</t>
  </si>
  <si>
    <t>MISC GNRL-DRCTR</t>
  </si>
  <si>
    <t>93100004</t>
  </si>
  <si>
    <t>RENT-TWR LS</t>
  </si>
  <si>
    <t xml:space="preserve"> Beginning Balances: </t>
  </si>
  <si>
    <t>NO</t>
  </si>
  <si>
    <t xml:space="preserve"> Period 13: </t>
  </si>
  <si>
    <t xml:space="preserve"> Commitments: </t>
  </si>
  <si>
    <t xml:space="preserve">Data Types: </t>
  </si>
  <si>
    <t xml:space="preserve">Actual </t>
  </si>
  <si>
    <t xml:space="preserve"> Actual </t>
  </si>
  <si>
    <t xml:space="preserve">Project: </t>
  </si>
  <si>
    <t xml:space="preserve">Location: </t>
  </si>
  <si>
    <t xml:space="preserve">Receiving ORG: </t>
  </si>
  <si>
    <t xml:space="preserve">Allocation Indicator: </t>
  </si>
  <si>
    <t xml:space="preserve">Work Order: </t>
  </si>
  <si>
    <t xml:space="preserve">Billing Work Order: </t>
  </si>
  <si>
    <t xml:space="preserve">Company: </t>
  </si>
  <si>
    <t xml:space="preserve">Drill Drown: </t>
  </si>
  <si>
    <t xml:space="preserve"> PRCN </t>
  </si>
  <si>
    <t xml:space="preserve"> Activity </t>
  </si>
  <si>
    <t xml:space="preserve"> R/T </t>
  </si>
  <si>
    <t xml:space="preserve"> FercSub </t>
  </si>
  <si>
    <t xml:space="preserve"> Loc </t>
  </si>
  <si>
    <t xml:space="preserve"> Project </t>
  </si>
  <si>
    <t xml:space="preserve"> EWO </t>
  </si>
  <si>
    <t xml:space="preserve"> RRCN </t>
  </si>
  <si>
    <t xml:space="preserve"> AI </t>
  </si>
  <si>
    <t xml:space="preserve"> BWO </t>
  </si>
  <si>
    <t xml:space="preserve"> COMPANY </t>
  </si>
  <si>
    <t>Generation Stores Handling Charge</t>
  </si>
  <si>
    <t>46AP21</t>
  </si>
  <si>
    <t>MISC P&amp;M APPS PRODUCTION SUPPORT</t>
  </si>
  <si>
    <t>PURCHASING</t>
  </si>
  <si>
    <t>ESS INVENTORY MANAGEMENT</t>
  </si>
  <si>
    <t>SABRIX   SCM SUPPORT</t>
  </si>
  <si>
    <t>47VSTT</t>
  </si>
  <si>
    <t>ESS MAXIMO TOTAL SUPPORT - SCM</t>
  </si>
  <si>
    <t>BROWZ - SCM SUPPORT</t>
  </si>
  <si>
    <t>APPLICATION GOVERNANCE-SC</t>
  </si>
  <si>
    <t>3RD PARTY APPLICATIONS END USER SUPPORT-SC</t>
  </si>
  <si>
    <t>47VSZ5</t>
  </si>
  <si>
    <t>ESS PROCURE-TO-PAY</t>
  </si>
  <si>
    <t>SOCO T&amp;D</t>
  </si>
  <si>
    <t>EMPTORIS POST-IMPLEMENTATION SUPPORT</t>
  </si>
  <si>
    <t>WAREHOUSE OPERATIONS</t>
  </si>
  <si>
    <t>INTELLECTUAL PROPERTY</t>
  </si>
  <si>
    <t>TECHNOLOGY CONSULTING</t>
  </si>
  <si>
    <t>APPLICATION MONITORING</t>
  </si>
  <si>
    <t>IT CIO/BA</t>
  </si>
  <si>
    <t>GULF CLIENT SERVICES LABOR</t>
  </si>
  <si>
    <t>APPLICATION ENTERPRISE TOOLS</t>
  </si>
  <si>
    <t>DATABASE SERVER APPLICATIONS</t>
  </si>
  <si>
    <t>DELIVERY INFRASTRUCTURE</t>
  </si>
  <si>
    <t>MAINFRAME USAGE</t>
  </si>
  <si>
    <t>NON-TRANSPORT LEASED CIRCUITS</t>
  </si>
  <si>
    <t>GULF TRANSPORT CORPORATE</t>
  </si>
  <si>
    <t>SOUTHERN SYSTEM LINC CHARGES</t>
  </si>
  <si>
    <t>910-00000 CS&amp;I Misc Exp</t>
  </si>
  <si>
    <t>These dollars are still booked through allocations.  The benefits overheads on affiliate and SCS labor go to 92600420.  But, they are lumped in with the overheads charged on other jobbing accounts.  Then, everything from 92600420 is reallocated to 92600020, 92600191 and 92600322 for Insurance, Pensions and ESP.</t>
  </si>
  <si>
    <t>Bonnie's Explanation:</t>
  </si>
  <si>
    <t>A&amp;G Allocation</t>
  </si>
  <si>
    <t>Budgeted portion</t>
  </si>
  <si>
    <t>6 Mth Avg</t>
  </si>
  <si>
    <t>Reduction of expense not revenue</t>
  </si>
  <si>
    <t>Contact: CJ Patrick</t>
  </si>
  <si>
    <t>This is for Corporate costs assocated with warehouses (like Corp employee labor)</t>
  </si>
  <si>
    <t>FERC Annual Assessment Fee</t>
  </si>
  <si>
    <t>Contact: Paul Shimel</t>
  </si>
  <si>
    <t>Transmission Self Use</t>
  </si>
  <si>
    <t xml:space="preserve"> Original Budget BY FINAL </t>
  </si>
  <si>
    <t>ECRC Allocation</t>
  </si>
  <si>
    <t>Based on Company Sales (MWHs)</t>
  </si>
  <si>
    <t>Actuals/Proj</t>
  </si>
  <si>
    <t>Per Month</t>
  </si>
  <si>
    <t>Misc/Other/Errors/Etc</t>
  </si>
  <si>
    <t>549-00000 Misc Other Power Gen Exp</t>
  </si>
  <si>
    <t>ECRC</t>
  </si>
  <si>
    <t>EEI Dues 426-40000</t>
  </si>
  <si>
    <t>SCM-CORPORATE</t>
  </si>
  <si>
    <t>SCS-IT</t>
  </si>
  <si>
    <t>STORES EXPENSE</t>
  </si>
  <si>
    <t>SCS-OTHER PRODUCTS &amp; SVCS</t>
  </si>
  <si>
    <t>SCM-MATERIALS &amp; WAREHOUSE OPER</t>
  </si>
  <si>
    <t>SCS-IT &amp; TELECOM</t>
  </si>
  <si>
    <t>GENERAL TO ALL-SCS</t>
  </si>
  <si>
    <t>SCS-SOUTHERN LINC</t>
  </si>
  <si>
    <t>Escalated</t>
  </si>
  <si>
    <t>Average &amp;</t>
  </si>
  <si>
    <t>Annualized &amp;</t>
  </si>
  <si>
    <t>PUBLIC &amp; PROF LIABILITY</t>
  </si>
  <si>
    <t>Corporate Insurance Amortization</t>
  </si>
  <si>
    <t>Corp Insurance 737-00000</t>
  </si>
  <si>
    <t>CYBER SECURITY</t>
  </si>
  <si>
    <t>486YCL</t>
  </si>
  <si>
    <t>Res &amp; Com Uncollectibles</t>
  </si>
  <si>
    <t>Supply Chain - Gen Only: (B. Day)</t>
  </si>
  <si>
    <t>Crist</t>
  </si>
  <si>
    <t>Smith</t>
  </si>
  <si>
    <t>Non-Generation</t>
  </si>
  <si>
    <t>Generation</t>
  </si>
  <si>
    <t>Check with CJ to verify variances between his file and SCS bill are reasonable</t>
  </si>
  <si>
    <t>Travel Insurance</t>
  </si>
  <si>
    <t>Facilities Charge</t>
  </si>
  <si>
    <t>Alabama Power Facilities Charge</t>
  </si>
  <si>
    <t>Estimated costs</t>
  </si>
  <si>
    <t>567-00119 - TSREAL (APC)</t>
  </si>
  <si>
    <t>567-00119 - TSREGA (GPC)</t>
  </si>
  <si>
    <t>567-00119 - TSREAL</t>
  </si>
  <si>
    <t>Should tie to BW</t>
  </si>
  <si>
    <t>Rate Case Expense</t>
  </si>
  <si>
    <t>928-00101</t>
  </si>
  <si>
    <t>Rate Case Expense Amortization</t>
  </si>
  <si>
    <t>CS&amp;I Misc Cust Service &amp; Info Exp</t>
  </si>
  <si>
    <t>Uncollectibles</t>
  </si>
  <si>
    <t>Prop Damage Reserve</t>
  </si>
  <si>
    <t>I&amp;D Insurance</t>
  </si>
  <si>
    <t>Corp Insurance 924</t>
  </si>
  <si>
    <t>Corp Insurance 925</t>
  </si>
  <si>
    <t>Travel Ins 925</t>
  </si>
  <si>
    <t>FERC Fee</t>
  </si>
  <si>
    <t>Tower Lease</t>
  </si>
  <si>
    <t>Deferred Compensation</t>
  </si>
  <si>
    <t>Transmission Exp</t>
  </si>
  <si>
    <t>GPC Facility Charge</t>
  </si>
  <si>
    <t>APC Facility Charge</t>
  </si>
  <si>
    <t>PJC Lease Improvement</t>
  </si>
  <si>
    <t>SCS Early  Retirement</t>
  </si>
  <si>
    <t>Corp Insurance 737</t>
  </si>
  <si>
    <t>Susan Harris</t>
  </si>
  <si>
    <t>Alea Juull</t>
  </si>
  <si>
    <t>Paul Shimel</t>
  </si>
  <si>
    <t>Shardra Scott</t>
  </si>
  <si>
    <t>Admin Exp Transferred</t>
  </si>
  <si>
    <t>Allocation based on # of warehouse personnel</t>
  </si>
  <si>
    <t>92800101</t>
  </si>
  <si>
    <t>REG COMMIS-ST-DOCKET</t>
  </si>
  <si>
    <t>2017 Monthly Provision</t>
  </si>
  <si>
    <t>All influencing legislation percents are from the footnotes at the bottom of the bill (revision provided for 2012 dues)</t>
  </si>
  <si>
    <r>
      <t xml:space="preserve">1st 9 months of Base Year determined by accrual schedule calculation:  </t>
    </r>
    <r>
      <rPr>
        <b/>
        <sz val="11"/>
        <rFont val="Calibri"/>
        <family val="2"/>
        <scheme val="minor"/>
      </rPr>
      <t xml:space="preserve">Current year total bill </t>
    </r>
    <r>
      <rPr>
        <sz val="11"/>
        <rFont val="Calibri"/>
        <family val="2"/>
        <scheme val="minor"/>
      </rPr>
      <t xml:space="preserve">(including prior year debit/credit) multiplied by </t>
    </r>
    <r>
      <rPr>
        <b/>
        <sz val="11"/>
        <rFont val="Calibri"/>
        <family val="2"/>
        <scheme val="minor"/>
      </rPr>
      <t>average historical increase/(decrease)</t>
    </r>
    <r>
      <rPr>
        <sz val="11"/>
        <rFont val="Calibri"/>
        <family val="2"/>
        <scheme val="minor"/>
      </rPr>
      <t xml:space="preserve">, then divided by </t>
    </r>
    <r>
      <rPr>
        <b/>
        <sz val="11"/>
        <rFont val="Calibri"/>
        <family val="2"/>
        <scheme val="minor"/>
      </rPr>
      <t>12 months</t>
    </r>
  </si>
  <si>
    <r>
      <t xml:space="preserve">Last 3 months based on </t>
    </r>
    <r>
      <rPr>
        <b/>
        <sz val="11"/>
        <rFont val="Calibri"/>
        <family val="2"/>
        <scheme val="minor"/>
      </rPr>
      <t>projected future invoice for the following year</t>
    </r>
  </si>
  <si>
    <t>Projected future invoices (used for last 3 months of Base Year and all Forecast Years) calculated using prior year invoice amount escalated by historical average increase (decrease)</t>
  </si>
  <si>
    <t>47EO01</t>
  </si>
  <si>
    <t>EMPTORIS SUPPORT-ESS</t>
  </si>
  <si>
    <t xml:space="preserve">Original Budget BY PENDING </t>
  </si>
  <si>
    <t xml:space="preserve"> Original Budget F1 PENDING </t>
  </si>
  <si>
    <t xml:space="preserve"> Original Budget F2 PENDING </t>
  </si>
  <si>
    <t xml:space="preserve"> Original Budget F3 PENDING </t>
  </si>
  <si>
    <t>Incl SAF thru SAF</t>
  </si>
  <si>
    <t xml:space="preserve"> Incl SAS thru SAS</t>
  </si>
  <si>
    <t xml:space="preserve"> Incl SCM thru SCM</t>
  </si>
  <si>
    <t xml:space="preserve"> Incl SCO thru SCO</t>
  </si>
  <si>
    <t xml:space="preserve"> Incl SDM thru SDM</t>
  </si>
  <si>
    <t xml:space="preserve"> Incl SEM thru SEM</t>
  </si>
  <si>
    <t xml:space="preserve"> Incl SES thru SES</t>
  </si>
  <si>
    <t xml:space="preserve"> Incl SEV thru SEV</t>
  </si>
  <si>
    <t xml:space="preserve"> Incl SFH thru SFH</t>
  </si>
  <si>
    <t xml:space="preserve"> Incl SFS thru SFS</t>
  </si>
  <si>
    <t xml:space="preserve"> Incl SHR thru SHR</t>
  </si>
  <si>
    <t xml:space="preserve"> Incl SIA thru SIA</t>
  </si>
  <si>
    <t>Incl 73700000 thru 73700000</t>
  </si>
  <si>
    <t>Billing Month</t>
  </si>
  <si>
    <t>Invoice Date</t>
  </si>
  <si>
    <t>Total Billing</t>
  </si>
  <si>
    <t>2012 Projects</t>
  </si>
  <si>
    <t>2013 Projects</t>
  </si>
  <si>
    <t>2014 Projects</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</si>
  <si>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</si>
  <si>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</si>
  <si>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</si>
  <si>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</si>
  <si>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</si>
  <si>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</si>
  <si>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</si>
  <si>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</si>
  <si>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</si>
  <si>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</si>
  <si>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</si>
  <si>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</si>
  <si>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</si>
  <si>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</si>
  <si>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</si>
  <si>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</si>
  <si>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</si>
  <si>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</si>
  <si>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</si>
  <si>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</si>
  <si>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</si>
  <si>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</si>
  <si>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</si>
  <si>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</si>
  <si>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</si>
  <si>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</si>
  <si>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</si>
  <si>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</si>
  <si>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</si>
  <si>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</si>
  <si>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</si>
  <si>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</si>
  <si>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</si>
  <si>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</si>
  <si>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</si>
  <si>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</si>
  <si>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 xml:space="preserve">Project 2: Montgomery SS S Montgomery 230 (June 2013 - </t>
  </si>
  <si>
    <t>Project 1: Autaugaville 500-230 kV (July 2012 - May 2023)</t>
  </si>
  <si>
    <t xml:space="preserve">Project 3: S Montgomery Pinedale 115 kV (June 2013 - May 2023) </t>
  </si>
  <si>
    <t>Project 4: Webb TS 120 MVAR Capacitor Bank (June 2013 - May 2023)</t>
  </si>
  <si>
    <t>Project 5: Bynum Anniston 115 kV Line (June 2014 - May 2023)</t>
  </si>
  <si>
    <t>Project 6: County Line Road Autobank (June 2014 - May 2023)</t>
  </si>
  <si>
    <t>Project 7: Snowdoun - Pike County 230 kV (June 2014 - May 2023)</t>
  </si>
  <si>
    <t>"Total Billing" column represents total of 7 projects with beginning dates in 2012-2014</t>
  </si>
  <si>
    <t>One month lag between bill and invoice - use BILLING MONTH date for budget</t>
  </si>
  <si>
    <t>Budgeted amount is determined by averaging the previous 4 years of actuals</t>
  </si>
  <si>
    <t>Benefits overheads on labor billed to SCS and affiliates are no longer charged to 92900010 beginning with ESS implementation in May 2010 (they go to 926 Fercs).  The allocation JV names were 22007 for SCS and 22009 for affiliates in 2009 and prior.  Overheads were combined for SCS and affiliates in JV 22009 in Jan-Apr of 2010 (See below for more details).</t>
  </si>
  <si>
    <t>GALLOC budget is not a manual calculation. It is pulled straight from BW after the allocation is run by ESS</t>
  </si>
  <si>
    <t>Contact: Beverly Day, Caroline Longe, &amp; James Hamric</t>
  </si>
  <si>
    <t>YES</t>
  </si>
  <si>
    <t>Callaway Tower Lease</t>
  </si>
  <si>
    <t>Ponce De Leon Tower Lease</t>
  </si>
  <si>
    <t>RT: IFS</t>
  </si>
  <si>
    <t>Gerry Fleming</t>
  </si>
  <si>
    <t>(rounding difference due to PP allocation)</t>
  </si>
  <si>
    <t>Invoice paid in July (covers October - September)</t>
  </si>
  <si>
    <t>Additional Overhead Budget</t>
  </si>
  <si>
    <t>Additional Overhead Budget (Monthly)</t>
  </si>
  <si>
    <t>EFT</t>
  </si>
  <si>
    <t>BPB</t>
  </si>
  <si>
    <t>2014 Budget</t>
  </si>
  <si>
    <t>Sylvia McKinney</t>
  </si>
  <si>
    <t>2018 Monthly Provision</t>
  </si>
  <si>
    <t>Contact: Caroline Turner</t>
  </si>
  <si>
    <t>James Hamric (Johnny Murphine to update Allocation rates)</t>
  </si>
  <si>
    <t>S Montgomery-Pinedale</t>
  </si>
  <si>
    <t>check</t>
  </si>
  <si>
    <t>47VSTM</t>
  </si>
  <si>
    <t>MAXIMO SUPPLY CHAIN</t>
  </si>
  <si>
    <t>46ETAM</t>
  </si>
  <si>
    <t>46ETDA</t>
  </si>
  <si>
    <t>46TXLC</t>
  </si>
  <si>
    <t>GULF TRANSPORT CORPORATE- LINC</t>
  </si>
  <si>
    <t>SOUTHERN SYSTEM LINC CHARGES - LTE</t>
  </si>
  <si>
    <t>ACG Svcs Labor (N. Plombon)</t>
  </si>
  <si>
    <t>EWO: ARCDOC</t>
  </si>
  <si>
    <t>Check</t>
  </si>
  <si>
    <t>Non-SCS O&amp;M</t>
  </si>
  <si>
    <t xml:space="preserve">Resp Rptg No SCS - O&amp;M </t>
  </si>
  <si>
    <t>Additional Materials Budget</t>
  </si>
  <si>
    <t>Calculations found in separate "Ferc Fee20xx" Excel file</t>
  </si>
  <si>
    <t>Essentially this is an accrual to the reserve; about .23</t>
  </si>
  <si>
    <t>Paula Ferraro (Caroline provided 2014 Budget)</t>
  </si>
  <si>
    <t>Beverly Day/Nick Plombon</t>
  </si>
  <si>
    <t>Contact: Sylvia McKinney</t>
  </si>
  <si>
    <t>Lamar Larrimore/Brett Lessley (Michelle Stallworth)</t>
  </si>
  <si>
    <t>50600002</t>
  </si>
  <si>
    <t>STM-MISC STM PWR-AIR QLTY CTRL</t>
  </si>
  <si>
    <t>56120000</t>
  </si>
  <si>
    <t>TRNS-LOAD DISP-MONITOR&amp;OPER</t>
  </si>
  <si>
    <t>59400000</t>
  </si>
  <si>
    <t>DSTR-MAINT OF UNDERGROUND LINE</t>
  </si>
  <si>
    <t>90100000</t>
  </si>
  <si>
    <t>CUSTOMER ACCOUNTS-SUPERVISION</t>
  </si>
  <si>
    <t>90500000</t>
  </si>
  <si>
    <t>CUST ACCTS-MISCELLANEOUS</t>
  </si>
  <si>
    <t>90700000</t>
  </si>
  <si>
    <t>CUST SERVICE &amp; INFO EXP-SUPV</t>
  </si>
  <si>
    <t>92000000</t>
  </si>
  <si>
    <t>ADMIN &amp; GENERAL SALARIES</t>
  </si>
  <si>
    <t>92600300</t>
  </si>
  <si>
    <t>EMPL P&amp;B-BEN-OTH EMPL</t>
  </si>
  <si>
    <t>2019 Monthly Provision</t>
  </si>
  <si>
    <t>Will Need to Be Updated once New Information is Available Later in Year</t>
  </si>
  <si>
    <t>40302</t>
  </si>
  <si>
    <t>POWER DELIVERY-SOLINC SERVICES</t>
  </si>
  <si>
    <t>4LTE01</t>
  </si>
  <si>
    <t>SCO</t>
  </si>
  <si>
    <t>SCS-CORPORATE SERVICES</t>
  </si>
  <si>
    <t>42SW00</t>
  </si>
  <si>
    <t>SOCO CORPORATE SAFETY &amp; WELLNESS LEADERSHIP COUNCIL</t>
  </si>
  <si>
    <t>471900</t>
  </si>
  <si>
    <t>CORPORATE SERVICES-PUBLIC RELATIONS</t>
  </si>
  <si>
    <t>471Z00</t>
  </si>
  <si>
    <t>SOUTHERN AFT SYSTEMS-CORP SERV</t>
  </si>
  <si>
    <t>474200</t>
  </si>
  <si>
    <t>CORPORATE SERVICES-SUPPORT SERVICES-BIRMINGHAM</t>
  </si>
  <si>
    <t>475100</t>
  </si>
  <si>
    <t>CORPORATE SERVICES-INSURANCE (RISK MANAGEMENT) (8</t>
  </si>
  <si>
    <t>475400</t>
  </si>
  <si>
    <t>CORPORATE SERVICES-TAXES &amp; ACCTG RESEARCH</t>
  </si>
  <si>
    <t>476400</t>
  </si>
  <si>
    <t>CORPORATE SERVICES-BUDGET-ATLANTA</t>
  </si>
  <si>
    <t>477900</t>
  </si>
  <si>
    <t>CORP SVCS-CORPORATE PROGRAMS - GENERAL</t>
  </si>
  <si>
    <t>478S00</t>
  </si>
  <si>
    <t>ACCOUNTING</t>
  </si>
  <si>
    <t>47AS00</t>
  </si>
  <si>
    <t>SCS CORPORATE ACCOUNTING-CORP. SERV.</t>
  </si>
  <si>
    <t>47C200</t>
  </si>
  <si>
    <t>COOLCOMPLIANCE SUPPORT</t>
  </si>
  <si>
    <t>47CA00</t>
  </si>
  <si>
    <t>CORP. SERV.-ALLOCATION OF SOUTHERN ACCOUNTING</t>
  </si>
  <si>
    <t>47CB00</t>
  </si>
  <si>
    <t>CORPORATE SERVICES-SYSTEM COMPENSATION &amp; BENEFITS</t>
  </si>
  <si>
    <t>47CC00</t>
  </si>
  <si>
    <t>CORPORATE SERVICES-CORPORATE COMPLIANCE</t>
  </si>
  <si>
    <t>47CG00</t>
  </si>
  <si>
    <t>SOX SECTION 404 COORDINATION</t>
  </si>
  <si>
    <t>47DA00</t>
  </si>
  <si>
    <t>DRUG AND ALCOHOL TESTING</t>
  </si>
  <si>
    <t>47DB00</t>
  </si>
  <si>
    <t>47EF00</t>
  </si>
  <si>
    <t>CORPORATE SERVICES - ESP - INVESTMENT CHARGES - (</t>
  </si>
  <si>
    <t>47ET00</t>
  </si>
  <si>
    <t>47EX00</t>
  </si>
  <si>
    <t>EXECUTIVE EDUCATION</t>
  </si>
  <si>
    <t>47HH00</t>
  </si>
  <si>
    <t>SHIPS - HUMAN RESOURCES BUSINESS SYSTEMS SOLUTION</t>
  </si>
  <si>
    <t>47HS00</t>
  </si>
  <si>
    <t>SAFETY &amp; HEALTH</t>
  </si>
  <si>
    <t>47IT00</t>
  </si>
  <si>
    <t>IT CORPORATE BILLINGS</t>
  </si>
  <si>
    <t>47LC00</t>
  </si>
  <si>
    <t>47LT00</t>
  </si>
  <si>
    <t>SOUTHERN SYSTEM LINC CHARGES - LTE - CORP SRVS</t>
  </si>
  <si>
    <t>47PT00</t>
  </si>
  <si>
    <t>CORPORATE SERVICES-PENSION TRUSTS-(8741)</t>
  </si>
  <si>
    <t>47S100</t>
  </si>
  <si>
    <t>CORPORATE SERVICES - HR OPERATIONS</t>
  </si>
  <si>
    <t>47SY00</t>
  </si>
  <si>
    <t>CORP PROG - SYSTEM AIRCRAFT RESIDUAL</t>
  </si>
  <si>
    <t>47TM00</t>
  </si>
  <si>
    <t>AUDITING RELATED ACTIVITIES - BUD</t>
  </si>
  <si>
    <t>47TX00</t>
  </si>
  <si>
    <t>TRANSPORT NETWORK CHARGES</t>
  </si>
  <si>
    <t>47W100</t>
  </si>
  <si>
    <t>WALKER PROJECT CORP SVCS-W SNC</t>
  </si>
  <si>
    <t>47ZD00</t>
  </si>
  <si>
    <t>CORPORATE PROGRAM - MISC</t>
  </si>
  <si>
    <t>47ZE00</t>
  </si>
  <si>
    <t>SMART RIDE/NOZONER PROGRAMS</t>
  </si>
  <si>
    <t>48AH00</t>
  </si>
  <si>
    <t>A&amp;G INTEREST</t>
  </si>
  <si>
    <t>48BG00</t>
  </si>
  <si>
    <t>GLSCAPE TECHNOLOGY SUPPORT</t>
  </si>
  <si>
    <t>48CE00</t>
  </si>
  <si>
    <t>COMMUNITY AFFAIRS-CORPORATE PROGRAMS</t>
  </si>
  <si>
    <t>48CL00</t>
  </si>
  <si>
    <t>CONTRACTING &amp; LEGAL SERVICES - SCS</t>
  </si>
  <si>
    <t>48CT00</t>
  </si>
  <si>
    <t>CONFERENCE SERVICES - CORPORATE SERVICES</t>
  </si>
  <si>
    <t>48DM00</t>
  </si>
  <si>
    <t>DOCUMENTUM SYSTEM</t>
  </si>
  <si>
    <t>48EO00</t>
  </si>
  <si>
    <t>48ER00</t>
  </si>
  <si>
    <t>CORP. SERV. - SYSTEM EMPLOYEE RELATIONS</t>
  </si>
  <si>
    <t>48HC00</t>
  </si>
  <si>
    <t>HEALTH CARE DESIGN &amp; MONITORING</t>
  </si>
  <si>
    <t>48MU00</t>
  </si>
  <si>
    <t>SCS CORP SVC ALLOCATED PART OF MAINFRAME CAP-N-STORE</t>
  </si>
  <si>
    <t>48PN00</t>
  </si>
  <si>
    <t>PENSIONS</t>
  </si>
  <si>
    <t>48PY00</t>
  </si>
  <si>
    <t>SOUTHERN COMPANY PAYROLL</t>
  </si>
  <si>
    <t>48R000</t>
  </si>
  <si>
    <t>HUMAN RESOURCES - EAST REGION</t>
  </si>
  <si>
    <t>48R100</t>
  </si>
  <si>
    <t>HUMAN RESOURCES - WEST REGION</t>
  </si>
  <si>
    <t>48SV00</t>
  </si>
  <si>
    <t>EMPLOYEE SERVICE CENTER</t>
  </si>
  <si>
    <t>48TM00</t>
  </si>
  <si>
    <t>CORP. TRAVEL AND MEETING SERVICES</t>
  </si>
  <si>
    <t>48VS00</t>
  </si>
  <si>
    <t>ES TRANSITION</t>
  </si>
  <si>
    <t>49AP00</t>
  </si>
  <si>
    <t>CORPORATE SERVICES-SCS ACCOUNTS PAYABLE</t>
  </si>
  <si>
    <t>49BS00</t>
  </si>
  <si>
    <t>BUSINESS ASSURANCE</t>
  </si>
  <si>
    <t>49C100</t>
  </si>
  <si>
    <t>CORPORATE SERVICES-CORP SECRETARY SERVICES</t>
  </si>
  <si>
    <t>49C400</t>
  </si>
  <si>
    <t>CORPORATE SERVICES-SUPPORT SERVICES-ATLANTA</t>
  </si>
  <si>
    <t>49C500</t>
  </si>
  <si>
    <t>CORPORATE SERVICES-PROC. &amp; CONTR.-ATLANTA/BIRMING</t>
  </si>
  <si>
    <t>49CN00</t>
  </si>
  <si>
    <t>COMPENSATION</t>
  </si>
  <si>
    <t>49DB00</t>
  </si>
  <si>
    <t>ENTERPRISE ACCESS CONTROL</t>
  </si>
  <si>
    <t>49ER00</t>
  </si>
  <si>
    <t>E-PROCUREMENT</t>
  </si>
  <si>
    <t>49ES00</t>
  </si>
  <si>
    <t>CORPORATE SERVICES-EMPLOYEE SAVINGS PLAN-(8747)</t>
  </si>
  <si>
    <t>49GN00</t>
  </si>
  <si>
    <t>GENERATION- HR GEM</t>
  </si>
  <si>
    <t>49HR00</t>
  </si>
  <si>
    <t>SHIPS - HUMAN RESOURCES BUSINESS SYSTEMS</t>
  </si>
  <si>
    <t>49HS00</t>
  </si>
  <si>
    <t>HR SUPPORT TO GENERATION - STAFFING</t>
  </si>
  <si>
    <t>49LD00</t>
  </si>
  <si>
    <t>CORPORATE SERVICES-ORGANIZATION &amp; WORKFORCE CAPAB</t>
  </si>
  <si>
    <t>49LW00</t>
  </si>
  <si>
    <t>GENERAL COUNSEL</t>
  </si>
  <si>
    <t>49SS00</t>
  </si>
  <si>
    <t>STAFFING SERVICES (87SS)</t>
  </si>
  <si>
    <t>49TA00</t>
  </si>
  <si>
    <t>CORPORATE SERVICES-TREASURY-ATLANTA</t>
  </si>
  <si>
    <t>49WI00</t>
  </si>
  <si>
    <t>HUMAN RESOURCES WORKFORCE INTELLIGENCE</t>
  </si>
  <si>
    <t xml:space="preserve">Jan 15-Dec 15 </t>
  </si>
  <si>
    <t xml:space="preserve"> Jan 15-Dec 15 </t>
  </si>
  <si>
    <t>Contact: Alea Juull/Paula Ferraro</t>
  </si>
  <si>
    <t>Rate Case Amortization amount revised in 2014 to increase monthly amount to $135,842</t>
  </si>
  <si>
    <t>2011 RC Original Amortization Method: $2.8M amortized over 4 years; $700,000 per year ($58,333 per month) ending March 2016</t>
  </si>
  <si>
    <t>2013 RC Original Amortization Method: Remaining amounts after March 2016 are related to 2013 Case</t>
  </si>
  <si>
    <t>2011 RC Updated: Revised amortization amount will result in 2011 RC to be full amortized by 12/31/14 (per Sara/Paula)</t>
  </si>
  <si>
    <t>2013 RC Updated: Amortization begins Dec. 2014 and expected to continue through June 2017 (per Sara/Paula)</t>
  </si>
  <si>
    <t>Contact: Paula Ferraro/Patience Constance</t>
  </si>
  <si>
    <t>Check with Patience to verify variances between her file and SCS bill are reasonable</t>
  </si>
  <si>
    <t>December, 2019</t>
  </si>
  <si>
    <t>January, 2019</t>
  </si>
  <si>
    <t>February, 2019</t>
  </si>
  <si>
    <t>March, 2019</t>
  </si>
  <si>
    <t>April, 2019</t>
  </si>
  <si>
    <t>May, 2019</t>
  </si>
  <si>
    <t>June, 2019</t>
  </si>
  <si>
    <t>July, 2019</t>
  </si>
  <si>
    <t>August, 2019</t>
  </si>
  <si>
    <t>September, 2019</t>
  </si>
  <si>
    <t>October, 2019</t>
  </si>
  <si>
    <t>November, 2019</t>
  </si>
  <si>
    <t>Estimated Costs</t>
  </si>
  <si>
    <t>2015 B. vs</t>
  </si>
  <si>
    <t>2015 Guideline</t>
  </si>
  <si>
    <t>Non-Clause O&amp;M</t>
  </si>
  <si>
    <t>11/1/15 – 11/1/16</t>
  </si>
  <si>
    <t>11/1/16 – 11/1/17</t>
  </si>
  <si>
    <t>11/1/17 – 11/1/18</t>
  </si>
  <si>
    <t>11/1/18 – 11/1/19</t>
  </si>
  <si>
    <t>11/1/19 – 11/1/20</t>
  </si>
  <si>
    <t>47VSE1</t>
  </si>
  <si>
    <t>UPGRADE STRATEGY- INVENTORY MANAGEMENT(SCM)</t>
  </si>
  <si>
    <t>49CO00</t>
  </si>
  <si>
    <t>GENERAL EXECUTIVE &amp; ADVISORY - CS</t>
  </si>
  <si>
    <t xml:space="preserve">S:\Workgroups\FPC AFT\Critical\Corporate Planning\SOFIA\Sofia DR Queries\SOFIA DR QUERIES\Other\SCS Total BIll.txt </t>
  </si>
  <si>
    <t>2016 Budget - 40990 Corporate</t>
  </si>
  <si>
    <t>July YTD 2015</t>
  </si>
  <si>
    <t>2016 Budget</t>
  </si>
  <si>
    <t>2020 Monthly Provision</t>
  </si>
  <si>
    <t>2015 Actual</t>
  </si>
  <si>
    <t>2015A</t>
  </si>
  <si>
    <t>2015B</t>
  </si>
  <si>
    <t>Jul 2015 YTD</t>
  </si>
  <si>
    <t>Contact</t>
  </si>
  <si>
    <t>Date Sent</t>
  </si>
  <si>
    <t>Date Received</t>
  </si>
  <si>
    <t>6/25/2015 (Bev's not Nick's)</t>
  </si>
  <si>
    <t>Notes</t>
  </si>
  <si>
    <t>CJ Patrick ( Previously Ron Walker)</t>
  </si>
  <si>
    <t>CJ Patrick (Previously Ron Walker)</t>
  </si>
  <si>
    <t>Ron (now CJ) provides current invoice and we come up with the spread for the budget</t>
  </si>
  <si>
    <t>`</t>
  </si>
  <si>
    <t>Actual ...Jan 15-Dec 15...</t>
  </si>
  <si>
    <t>Original Budget BY FINAL ...Jan 15-Dec 15...</t>
  </si>
  <si>
    <t>Jan 15-Dec 15</t>
  </si>
  <si>
    <t>Updated: 07/17/2015</t>
  </si>
  <si>
    <t>Autaugaville</t>
  </si>
  <si>
    <t>Montgomery SS &amp; Webb</t>
  </si>
  <si>
    <t>Bynum</t>
  </si>
  <si>
    <t>Snowdoun &amp; County Line Autobank</t>
  </si>
  <si>
    <t>January, 2020</t>
  </si>
  <si>
    <t>February, 2020</t>
  </si>
  <si>
    <t>March, 2020</t>
  </si>
  <si>
    <t>April, 2020</t>
  </si>
  <si>
    <t>May, 2020</t>
  </si>
  <si>
    <t>June, 2020</t>
  </si>
  <si>
    <t>July, 2020</t>
  </si>
  <si>
    <t>August, 2020</t>
  </si>
  <si>
    <t>September, 2020</t>
  </si>
  <si>
    <t>October, 2020</t>
  </si>
  <si>
    <t>November, 2020</t>
  </si>
  <si>
    <t>December, 2020</t>
  </si>
  <si>
    <t>Updated: 7/17/15 CLC</t>
  </si>
  <si>
    <t>Updated: 07/31/15 CLC</t>
  </si>
  <si>
    <t>Updated: 07/31/15 CLC (no change from 2015)</t>
  </si>
  <si>
    <t>Contact: Bart Siders</t>
  </si>
  <si>
    <t>Updated 07/31/15 CLC</t>
  </si>
  <si>
    <t>Contact: Thomas Blythe</t>
  </si>
  <si>
    <t>Updated: 08/03/15 CLC</t>
  </si>
  <si>
    <t>Annualized 2015</t>
  </si>
  <si>
    <t>Allocation GALLOC (Rate: 0.4417)</t>
  </si>
  <si>
    <t>PRCN Descr</t>
  </si>
  <si>
    <t>RT Descr</t>
  </si>
  <si>
    <t>BWO Descr</t>
  </si>
  <si>
    <t>Original Budget BY PENDING ...Jan 16-Dec 16...</t>
  </si>
  <si>
    <t>Original Budget F1 PENDING ...Jan 16-Dec 16...</t>
  </si>
  <si>
    <t>Original Budget F2 PENDING ...Jan 16-Dec 16...</t>
  </si>
  <si>
    <t>Original Budget F3 PENDING ...Jan 16-Dec 16...</t>
  </si>
  <si>
    <t>Original Budget F4 PENDING ...Jan 16-Dec 16...</t>
  </si>
  <si>
    <t>4608AS</t>
  </si>
  <si>
    <t>ADVISORY SERVICES</t>
  </si>
  <si>
    <t>46AW01</t>
  </si>
  <si>
    <t>AIRWATCH</t>
  </si>
  <si>
    <t>48LCTL</t>
  </si>
  <si>
    <t>GULF IDEN OPCO TOWER LEASES</t>
  </si>
  <si>
    <t>4LTETL</t>
  </si>
  <si>
    <t>GULF LTE TOWER LEASES</t>
  </si>
  <si>
    <t>4LTXSN</t>
  </si>
  <si>
    <t>GULF SMARTNET FOR LTE</t>
  </si>
  <si>
    <t>47A800</t>
  </si>
  <si>
    <t>489G00</t>
  </si>
  <si>
    <t>SUPPLIER DIVERSITY</t>
  </si>
  <si>
    <t>49IV00</t>
  </si>
  <si>
    <t>INNOVATION CENTER  CORPORATE SERVICES</t>
  </si>
  <si>
    <t xml:space="preserve">Jan 16-Dec 16 </t>
  </si>
  <si>
    <t xml:space="preserve"> Jan 16-Dec 16 </t>
  </si>
  <si>
    <t>Actual ...Jan 14-Dec 14...</t>
  </si>
  <si>
    <t>Actual ...Jan 15-Jul 15...</t>
  </si>
  <si>
    <t>Original Budget BY FINAL ...Jan 15-Jul 15...</t>
  </si>
  <si>
    <t>59300000</t>
  </si>
  <si>
    <t>DSTR-MAINT OF OVERHEAD LINES</t>
  </si>
  <si>
    <t>92600015</t>
  </si>
  <si>
    <t>EMPL P&amp;B-BEN-SUPP BEN PLAN</t>
  </si>
  <si>
    <t>92600390</t>
  </si>
  <si>
    <t>EMPL P&amp;B-BEN-CAPTLZD-INSURANCE</t>
  </si>
  <si>
    <t>92600420</t>
  </si>
  <si>
    <t>EMPL P&amp;B-PEN,INS,ESP-TRNSFR CR</t>
  </si>
  <si>
    <t xml:space="preserve">Jan 14-Dec 14 </t>
  </si>
  <si>
    <t xml:space="preserve"> Jan 15-Jul 15 </t>
  </si>
  <si>
    <t>Old Amort</t>
  </si>
  <si>
    <t>New Amort</t>
  </si>
  <si>
    <t>Diff</t>
  </si>
  <si>
    <t>2015-2017 (June)</t>
  </si>
  <si>
    <t>2013 RC Updated: Amortization began in Dec. 2014 and expected to continue through June 2017 but was increased from $135,842 per month to $136,967 per month in 2015 (per Sara/Paula)</t>
  </si>
  <si>
    <t>Ask ESS (Sandra Fitzpatrick) to update budget rates (new rates provided by Accounting) and run allocations in PowerPlant</t>
  </si>
  <si>
    <t>Occupance Portion</t>
  </si>
  <si>
    <t>Labor Portion</t>
  </si>
  <si>
    <t>Escalation (from Budget Message)</t>
  </si>
  <si>
    <t>Escalation Factor (Budget Message)</t>
  </si>
  <si>
    <t>RGG - research to see if 426 sub needs to change.  Need to change 2015 projections for both O&amp;M and 426.</t>
  </si>
  <si>
    <t>Our Transmission has no control over so in Corp PRCN</t>
  </si>
  <si>
    <t>RGG:  Looks like they find out the accrual for the next year in December's close…check with them for an update the first week of January.</t>
  </si>
  <si>
    <t xml:space="preserve">Updated: 09/17/15 CLC - Provided by  Thomas Blythe as a part of the benefits file provided on 8/27/15 </t>
  </si>
  <si>
    <t>Total to be Amort</t>
  </si>
  <si>
    <t>New Amort for 2016</t>
  </si>
  <si>
    <t>2013 RC Updated: Amortization began in Dec. 2014 and expected to continue through Dec 2016 and was increase to $202,638 per month for 2016 (per Rebecca)</t>
  </si>
  <si>
    <t>Updated 09/17/15 CLC</t>
  </si>
  <si>
    <t>BW:  Verified on 9/17/15 CLC</t>
  </si>
  <si>
    <t>Updated: 09/01/15 CLC</t>
  </si>
  <si>
    <t>BW: 9/17/15 CLC</t>
  </si>
  <si>
    <t>After April 1st 2016</t>
  </si>
  <si>
    <t>Apr - Dec</t>
  </si>
  <si>
    <t>Jan - Mar</t>
  </si>
  <si>
    <t>January - March 2016</t>
  </si>
  <si>
    <t>Contact: Janet Self</t>
  </si>
  <si>
    <t>Use the forecast for the budget year (escalated forecast for the out years) and request an updated budget from Janet in early January</t>
  </si>
  <si>
    <t>Callaway &amp; Ponce leases are being billed and budgeted through the SCS bill (began in 2015)</t>
  </si>
  <si>
    <t>BW:  9/29/15 CLC</t>
  </si>
  <si>
    <t>Updated: 09/29/15 CLC</t>
  </si>
  <si>
    <t>For 2016, Bart and I decided that based on the actuals being booked for the Tower Facility Lease (about $1,951 a month) we needed to increase the 2016 budget (from $1,800 a month in 2015)</t>
  </si>
  <si>
    <t>Through research, we were able to determine that the Callaway and Ponce leases are currently being budgeted and billed through the SCS bill and should be removed</t>
  </si>
  <si>
    <t>Updated: 11/04/15 CLC - Chris Stadler provided new file and methodology</t>
  </si>
  <si>
    <t>Contact: Patience Constance</t>
  </si>
  <si>
    <t>Miscellaneous Expense</t>
  </si>
  <si>
    <t>Used to cover increases in PPP and other expenses</t>
  </si>
  <si>
    <t>EAL</t>
  </si>
  <si>
    <t>Activity</t>
  </si>
  <si>
    <t>GEXEC</t>
  </si>
  <si>
    <t>EWO</t>
  </si>
  <si>
    <t>GMSEXP</t>
  </si>
  <si>
    <t>Updated: 12/18/15 CLC</t>
  </si>
  <si>
    <t>BW:  12/18/15 CLC</t>
  </si>
  <si>
    <t>448D01</t>
  </si>
  <si>
    <t>MOBILE MAXIMO</t>
  </si>
  <si>
    <t>47AG00</t>
  </si>
  <si>
    <t>AMPS MAINTENANCE / PRODUCTION SUPPORT</t>
  </si>
  <si>
    <t>Reprents FINAL SCS run</t>
  </si>
  <si>
    <t>Updated: 1/6/16 CLC</t>
  </si>
  <si>
    <r>
      <t xml:space="preserve">2016 SCS Budget as of 1/6/16 (Cody Castleberry) - </t>
    </r>
    <r>
      <rPr>
        <sz val="11"/>
        <rFont val="Calibri"/>
        <family val="2"/>
        <scheme val="minor"/>
      </rPr>
      <t>query below</t>
    </r>
  </si>
  <si>
    <t>BW:  1/6/16 CLC</t>
  </si>
  <si>
    <t>Updated: 1/7/16 CLC (All-Risk NOT Cyber)</t>
  </si>
  <si>
    <t>Check with Edith to see what new All-Risk premium will be for 2015 (usually received in Oct/Nov). This will be the amount actually booked, so update budget if able to make changes</t>
  </si>
  <si>
    <t>Contact: Paula Ferraro/Edith</t>
  </si>
  <si>
    <t>Updated: 1/7/16 CLC</t>
  </si>
  <si>
    <t>BW:  1/7/16 CLC</t>
  </si>
  <si>
    <t>Updated: 01/07/16 CLC - Update with 2015 Actuals</t>
  </si>
  <si>
    <t>BW:  11/4/15 CLC</t>
  </si>
  <si>
    <t>Updated: 1/11/16 CLC</t>
  </si>
  <si>
    <t>Dec 2015 YTD</t>
  </si>
  <si>
    <t>BW:  1/11/16 CLC</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</si>
</sst>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6" formatCode="&quot;$&quot;#,##0_);[Red]\(&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0.0000"/>
    <numFmt numFmtId="167" formatCode="#,##0.0_)\x;\(#,##0.0\)\x"/>
    <numFmt numFmtId="168" formatCode="#,##0.0_)_x;\(#,##0.0\)_x"/>
    <numFmt numFmtId="169" formatCode="#,##0.0000000_);\(#,##0.0000000\)"/>
    <numFmt numFmtId="170" formatCode="#,##0.00;[Red]\(#,##0.00\)"/>
    <numFmt numFmtId="171" formatCode="&quot;$&quot;#,##0"/>
  </numFmts>
  <fonts count="6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sz val="8"/>
      <color indexed="81"/>
      <name val="Tahoma"/>
      <family val="2"/>
    </font>
    <font>
      <b/>
      <sz val="8"/>
      <color indexed="81"/>
      <name val="Tahoma"/>
      <family val="2"/>
    </font>
    <font>
      <sz val="10"/>
      <name val="Arial"/>
      <family val="2"/>
    </font>
    <font>
      <sz val="10"/>
      <name val="Arial"/>
      <family val="2"/>
    </font>
    <font>
      <sz val="11"/>
      <color indexed="56"/>
      <name val="Calibri"/>
      <family val="2"/>
    </font>
    <font>
      <sz val="11"/>
      <color rgb="FFFF0000"/>
      <name val="Calibri"/>
      <family val="2"/>
      <scheme val="minor"/>
    </font>
    <font>
      <b/>
      <sz val="11"/>
      <name val="Calibri"/>
      <family val="2"/>
      <scheme val="minor"/>
    </font>
    <font>
      <sz val="11"/>
      <name val="Calibri"/>
      <family val="2"/>
      <scheme val="minor"/>
    </font>
    <font>
      <b/>
      <sz val="11"/>
      <color rgb="FFFF0000"/>
      <name val="Calibri"/>
      <family val="2"/>
      <scheme val="minor"/>
    </font>
    <font>
      <sz val="11"/>
      <color theme="4"/>
      <name val="Calibri"/>
      <family val="2"/>
      <scheme val="minor"/>
    </font>
    <font>
      <sz val="11"/>
      <color rgb="FF1F497D"/>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1"/>
      <name val="Calibri"/>
      <family val="2"/>
    </font>
    <font>
      <sz val="10"/>
      <color indexed="24"/>
      <name val="Arial"/>
      <family val="2"/>
    </font>
    <font>
      <sz val="12"/>
      <name val="Times New Roman"/>
      <family val="1"/>
    </font>
    <font>
      <b/>
      <sz val="18"/>
      <color indexed="24"/>
      <name val="Arial"/>
      <family val="2"/>
    </font>
    <font>
      <b/>
      <sz val="12"/>
      <color indexed="24"/>
      <name val="Arial"/>
      <family val="2"/>
    </font>
    <font>
      <sz val="12"/>
      <color indexed="12"/>
      <name val="Arial MT"/>
      <family val="2"/>
    </font>
    <font>
      <sz val="10"/>
      <color indexed="8"/>
      <name val="Arial"/>
      <family val="2"/>
    </font>
    <font>
      <b/>
      <i/>
      <sz val="10"/>
      <color indexed="8"/>
      <name val="Arial"/>
      <family val="2"/>
    </font>
    <font>
      <b/>
      <sz val="10"/>
      <color indexed="9"/>
      <name val="Arial"/>
      <family val="2"/>
    </font>
    <font>
      <b/>
      <sz val="10"/>
      <color indexed="17"/>
      <name val="Arial"/>
      <family val="2"/>
    </font>
    <font>
      <b/>
      <sz val="16"/>
      <color indexed="13"/>
      <name val="Arial"/>
      <family val="2"/>
    </font>
    <font>
      <sz val="18"/>
      <name val="Times New Roman"/>
      <family val="1"/>
    </font>
    <font>
      <sz val="12"/>
      <color indexed="9"/>
      <name val="Arial MT"/>
    </font>
    <font>
      <sz val="9"/>
      <color indexed="81"/>
      <name val="Tahoma"/>
      <family val="2"/>
    </font>
    <font>
      <b/>
      <sz val="9"/>
      <color indexed="81"/>
      <name val="Tahoma"/>
      <family val="2"/>
    </font>
    <font>
      <b/>
      <u/>
      <sz val="10"/>
      <name val="Arial"/>
      <family val="2"/>
    </font>
    <font>
      <b/>
      <sz val="14"/>
      <name val="Calibri"/>
      <family val="2"/>
      <scheme val="minor"/>
    </font>
    <font>
      <b/>
      <sz val="12"/>
      <name val="Arial"/>
      <family val="2"/>
    </font>
    <font>
      <i/>
      <sz val="10"/>
      <name val="Arial"/>
      <family val="2"/>
    </font>
    <font>
      <sz val="10"/>
      <name val="Arial"/>
      <family val="2"/>
    </font>
  </fonts>
  <fills count="49">
    <fill>
      <patternFill patternType="none"/>
    </fill>
    <fill>
      <patternFill patternType="gray125"/>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indexed="9"/>
      </patternFill>
    </fill>
    <fill>
      <patternFill patternType="solid">
        <fgColor indexed="13"/>
      </patternFill>
    </fill>
    <fill>
      <patternFill patternType="solid">
        <fgColor indexed="17"/>
      </patternFill>
    </fill>
    <fill>
      <patternFill patternType="solid">
        <fgColor indexed="9"/>
        <bgColor indexed="64"/>
      </patternFill>
    </fill>
    <fill>
      <patternFill patternType="solid">
        <fgColor indexed="13"/>
        <bgColor indexed="64"/>
      </patternFill>
    </fill>
    <fill>
      <patternFill patternType="solid">
        <fgColor indexed="17"/>
        <bgColor indexed="64"/>
      </patternFill>
    </fill>
    <fill>
      <patternFill patternType="solid">
        <fgColor rgb="FFFFFF0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9" tint="0.59999389629810485"/>
        <bgColor indexed="64"/>
      </patternFill>
    </fill>
  </fills>
  <borders count="45">
    <border>
      <left/>
      <right/>
      <top/>
      <bottom/>
      <diagonal/>
    </border>
    <border>
      <left/>
      <right/>
      <top/>
      <bottom style="thin">
        <color indexed="64"/>
      </bottom>
      <diagonal/>
    </border>
    <border>
      <left/>
      <right/>
      <top style="thin">
        <color indexed="64"/>
      </top>
      <bottom style="double">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indexed="64"/>
      </top>
      <bottom/>
      <diagonal/>
    </border>
    <border>
      <left/>
      <right style="thin">
        <color indexed="64"/>
      </right>
      <top style="double">
        <color indexed="64"/>
      </top>
      <bottom/>
      <diagonal/>
    </border>
    <border>
      <left/>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uble">
        <color indexed="64"/>
      </top>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23">
    <xf numFmtId="0" fontId="0" fillId="0" borderId="0"/>
    <xf numFmtId="0" fontId="19" fillId="0" borderId="0"/>
    <xf numFmtId="0" fontId="16" fillId="0" borderId="0"/>
    <xf numFmtId="41" fontId="14" fillId="0" borderId="0" applyFont="0" applyFill="0" applyBorder="0" applyAlignment="0" applyProtection="0"/>
    <xf numFmtId="41" fontId="20" fillId="0" borderId="0" applyFont="0" applyFill="0" applyBorder="0" applyAlignment="0" applyProtection="0"/>
    <xf numFmtId="9" fontId="14" fillId="0" borderId="0" applyFont="0" applyFill="0" applyBorder="0" applyAlignment="0" applyProtection="0"/>
    <xf numFmtId="0" fontId="28" fillId="0" borderId="0" applyNumberFormat="0" applyFill="0" applyBorder="0" applyAlignment="0" applyProtection="0"/>
    <xf numFmtId="0" fontId="29" fillId="0" borderId="15" applyNumberFormat="0" applyFill="0" applyAlignment="0" applyProtection="0"/>
    <xf numFmtId="0" fontId="30" fillId="0" borderId="16" applyNumberFormat="0" applyFill="0" applyAlignment="0" applyProtection="0"/>
    <xf numFmtId="0" fontId="31" fillId="0" borderId="17" applyNumberFormat="0" applyFill="0" applyAlignment="0" applyProtection="0"/>
    <xf numFmtId="0" fontId="31" fillId="0" borderId="0" applyNumberFormat="0" applyFill="0" applyBorder="0" applyAlignment="0" applyProtection="0"/>
    <xf numFmtId="0" fontId="32" fillId="3" borderId="0" applyNumberFormat="0" applyBorder="0" applyAlignment="0" applyProtection="0"/>
    <xf numFmtId="0" fontId="33" fillId="4" borderId="0" applyNumberFormat="0" applyBorder="0" applyAlignment="0" applyProtection="0"/>
    <xf numFmtId="0" fontId="34" fillId="5" borderId="0" applyNumberFormat="0" applyBorder="0" applyAlignment="0" applyProtection="0"/>
    <xf numFmtId="0" fontId="35" fillId="6" borderId="18" applyNumberFormat="0" applyAlignment="0" applyProtection="0"/>
    <xf numFmtId="0" fontId="36" fillId="7" borderId="19" applyNumberFormat="0" applyAlignment="0" applyProtection="0"/>
    <xf numFmtId="0" fontId="37" fillId="7" borderId="18" applyNumberFormat="0" applyAlignment="0" applyProtection="0"/>
    <xf numFmtId="0" fontId="38" fillId="0" borderId="20" applyNumberFormat="0" applyFill="0" applyAlignment="0" applyProtection="0"/>
    <xf numFmtId="0" fontId="39" fillId="8" borderId="21" applyNumberFormat="0" applyAlignment="0" applyProtection="0"/>
    <xf numFmtId="0" fontId="22" fillId="0" borderId="0" applyNumberFormat="0" applyFill="0" applyBorder="0" applyAlignment="0" applyProtection="0"/>
    <xf numFmtId="0" fontId="40" fillId="0" borderId="0" applyNumberFormat="0" applyFill="0" applyBorder="0" applyAlignment="0" applyProtection="0"/>
    <xf numFmtId="0" fontId="41" fillId="0" borderId="23" applyNumberFormat="0" applyFill="0" applyAlignment="0" applyProtection="0"/>
    <xf numFmtId="0" fontId="42"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42" fillId="33" borderId="0" applyNumberFormat="0" applyBorder="0" applyAlignment="0" applyProtection="0"/>
    <xf numFmtId="0" fontId="13" fillId="0" borderId="0"/>
    <xf numFmtId="43" fontId="13" fillId="0" borderId="0" applyFont="0" applyFill="0" applyBorder="0" applyAlignment="0" applyProtection="0"/>
    <xf numFmtId="0" fontId="13" fillId="9" borderId="22" applyNumberFormat="0" applyFont="0" applyAlignment="0" applyProtection="0"/>
    <xf numFmtId="0" fontId="14" fillId="0" borderId="0"/>
    <xf numFmtId="0" fontId="14" fillId="0" borderId="0"/>
    <xf numFmtId="0" fontId="14" fillId="0" borderId="0"/>
    <xf numFmtId="41" fontId="14" fillId="0" borderId="0" applyFont="0" applyFill="0" applyBorder="0" applyAlignment="0" applyProtection="0"/>
    <xf numFmtId="0" fontId="12" fillId="0" borderId="0"/>
    <xf numFmtId="0" fontId="14" fillId="0" borderId="0">
      <alignment horizontal="left" wrapText="1"/>
    </xf>
    <xf numFmtId="0" fontId="14" fillId="0" borderId="0" applyNumberFormat="0" applyFill="0" applyBorder="0" applyAlignment="0" applyProtection="0"/>
    <xf numFmtId="167" fontId="14" fillId="0" borderId="0" applyFont="0" applyFill="0" applyBorder="0" applyAlignment="0" applyProtection="0"/>
    <xf numFmtId="168" fontId="14" fillId="0" borderId="0" applyFont="0" applyFill="0" applyBorder="0" applyAlignment="0" applyProtection="0"/>
    <xf numFmtId="0" fontId="14" fillId="0" borderId="0">
      <alignment horizontal="left" wrapText="1"/>
    </xf>
    <xf numFmtId="0" fontId="14" fillId="0" borderId="0" applyNumberFormat="0" applyFill="0" applyBorder="0" applyAlignment="0" applyProtection="0"/>
    <xf numFmtId="43" fontId="14" fillId="0" borderId="0" applyFont="0" applyFill="0" applyBorder="0" applyAlignment="0" applyProtection="0"/>
    <xf numFmtId="3" fontId="45" fillId="0" borderId="0" applyFont="0" applyFill="0" applyBorder="0" applyAlignment="0" applyProtection="0"/>
    <xf numFmtId="44" fontId="14" fillId="0" borderId="0" applyFont="0" applyFill="0" applyBorder="0" applyAlignment="0" applyProtection="0"/>
    <xf numFmtId="7" fontId="14" fillId="0" borderId="0" applyFont="0" applyFill="0" applyBorder="0" applyAlignment="0" applyProtection="0"/>
    <xf numFmtId="169" fontId="14" fillId="0" borderId="0" applyFont="0" applyFill="0" applyBorder="0" applyAlignment="0" applyProtection="0"/>
    <xf numFmtId="0" fontId="45" fillId="0" borderId="0" applyFont="0" applyFill="0" applyBorder="0" applyAlignment="0" applyProtection="0"/>
    <xf numFmtId="0" fontId="46" fillId="0" borderId="0" applyNumberFormat="0" applyFill="0" applyBorder="0" applyAlignment="0" applyProtection="0"/>
    <xf numFmtId="2" fontId="45"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0" borderId="0"/>
    <xf numFmtId="170" fontId="50" fillId="36" borderId="0">
      <alignment horizontal="right"/>
    </xf>
    <xf numFmtId="0" fontId="51" fillId="37" borderId="0">
      <alignment horizontal="center"/>
    </xf>
    <xf numFmtId="0" fontId="52" fillId="38" borderId="3"/>
    <xf numFmtId="0" fontId="53" fillId="36" borderId="0" applyBorder="0">
      <alignment horizontal="centerContinuous"/>
    </xf>
    <xf numFmtId="0" fontId="54" fillId="38" borderId="0" applyBorder="0">
      <alignment horizontal="centerContinuous"/>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6" fillId="0" borderId="0"/>
    <xf numFmtId="0" fontId="45" fillId="0" borderId="24" applyNumberFormat="0" applyFont="0" applyFill="0" applyAlignment="0" applyProtection="0"/>
    <xf numFmtId="3" fontId="14" fillId="0" borderId="0"/>
    <xf numFmtId="0" fontId="52" fillId="41" borderId="3"/>
    <xf numFmtId="0" fontId="48" fillId="0" borderId="0" applyNumberFormat="0" applyFill="0" applyBorder="0" applyAlignment="0" applyProtection="0"/>
    <xf numFmtId="0" fontId="49" fillId="0" borderId="0"/>
    <xf numFmtId="0" fontId="53" fillId="39" borderId="0" applyBorder="0">
      <alignment horizontal="centerContinuous"/>
    </xf>
    <xf numFmtId="0" fontId="47" fillId="0" borderId="0" applyNumberFormat="0" applyFill="0" applyBorder="0" applyAlignment="0" applyProtection="0"/>
    <xf numFmtId="170" fontId="50" fillId="39" borderId="0">
      <alignment horizontal="right"/>
    </xf>
    <xf numFmtId="0" fontId="51" fillId="40" borderId="0">
      <alignment horizontal="center"/>
    </xf>
    <xf numFmtId="0" fontId="54" fillId="41" borderId="0" applyBorder="0">
      <alignment horizontal="centerContinuous"/>
    </xf>
    <xf numFmtId="0" fontId="11" fillId="0" borderId="0"/>
    <xf numFmtId="0" fontId="11" fillId="9" borderId="22" applyNumberFormat="0" applyFont="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0" fillId="0" borderId="0"/>
    <xf numFmtId="0" fontId="10" fillId="9" borderId="22" applyNumberFormat="0" applyFont="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9" fillId="0" borderId="0"/>
    <xf numFmtId="0" fontId="9" fillId="9" borderId="22" applyNumberFormat="0" applyFont="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8" fillId="0" borderId="0"/>
    <xf numFmtId="0" fontId="8" fillId="9" borderId="22" applyNumberFormat="0" applyFont="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7" fillId="0" borderId="0"/>
    <xf numFmtId="0" fontId="7" fillId="9" borderId="22" applyNumberFormat="0" applyFont="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6" fillId="0" borderId="0"/>
    <xf numFmtId="0" fontId="6" fillId="9" borderId="22"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5" fillId="0" borderId="0"/>
    <xf numFmtId="0" fontId="5" fillId="9" borderId="22" applyNumberFormat="0" applyFont="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4" fillId="0" borderId="0"/>
    <xf numFmtId="0" fontId="4" fillId="9" borderId="22"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3" fillId="0" borderId="0"/>
    <xf numFmtId="0" fontId="3" fillId="9" borderId="22"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1" fillId="0" borderId="0"/>
    <xf numFmtId="43" fontId="63" fillId="0" borderId="0" applyFont="0" applyFill="0" applyBorder="0" applyAlignment="0" applyProtection="0"/>
  </cellStyleXfs>
  <cellXfs count="549">
    <xf numFmtId="0" fontId="0" fillId="0" borderId="0" xfId="0"/>
    <xf numFmtId="0" fontId="23" fillId="0" borderId="0" xfId="1" applyFont="1"/>
    <xf numFmtId="0" fontId="24" fillId="0" borderId="0" xfId="0" applyFont="1"/>
    <xf numFmtId="0" fontId="24" fillId="0" borderId="0" xfId="1" applyFont="1"/>
    <xf numFmtId="0" fontId="23" fillId="0" borderId="0" xfId="0" applyFont="1" applyFill="1"/>
    <xf numFmtId="0" fontId="23" fillId="0" borderId="1" xfId="0" applyFont="1" applyFill="1" applyBorder="1" applyAlignment="1">
      <alignment horizontal="center" wrapText="1"/>
    </xf>
    <xf numFmtId="0" fontId="23" fillId="0" borderId="0" xfId="1" applyFont="1" applyFill="1"/>
    <xf numFmtId="41" fontId="24" fillId="0" borderId="0" xfId="3" applyFont="1" applyFill="1"/>
    <xf numFmtId="41" fontId="24" fillId="0" borderId="0" xfId="3" applyFont="1" applyFill="1" applyAlignment="1">
      <alignment wrapText="1"/>
    </xf>
    <xf numFmtId="0" fontId="23" fillId="0" borderId="0" xfId="1" quotePrefix="1" applyFont="1" applyFill="1" applyAlignment="1">
      <alignment horizontal="left"/>
    </xf>
    <xf numFmtId="41" fontId="23" fillId="0" borderId="2" xfId="3" applyFont="1" applyFill="1" applyBorder="1"/>
    <xf numFmtId="0" fontId="24" fillId="0" borderId="0" xfId="0" applyFont="1" applyFill="1"/>
    <xf numFmtId="0" fontId="25" fillId="0" borderId="0" xfId="1" applyFont="1" applyFill="1"/>
    <xf numFmtId="0" fontId="26" fillId="0" borderId="0" xfId="0" applyFont="1"/>
    <xf numFmtId="0" fontId="23" fillId="0" borderId="1" xfId="1" applyFont="1" applyFill="1" applyBorder="1" applyAlignment="1">
      <alignment horizontal="center"/>
    </xf>
    <xf numFmtId="0" fontId="24" fillId="0" borderId="0" xfId="0" applyFont="1" applyFill="1" applyAlignment="1">
      <alignment horizontal="center"/>
    </xf>
    <xf numFmtId="164" fontId="24" fillId="0" borderId="0" xfId="1" applyNumberFormat="1" applyFont="1" applyFill="1"/>
    <xf numFmtId="37" fontId="24" fillId="0" borderId="0" xfId="1" applyNumberFormat="1" applyFont="1" applyFill="1"/>
    <xf numFmtId="0" fontId="24" fillId="0" borderId="0" xfId="1" quotePrefix="1" applyFont="1" applyFill="1" applyAlignment="1">
      <alignment horizontal="left"/>
    </xf>
    <xf numFmtId="0" fontId="23" fillId="0" borderId="0" xfId="0" applyFont="1" applyFill="1" applyAlignment="1">
      <alignment horizontal="center"/>
    </xf>
    <xf numFmtId="37" fontId="23" fillId="0" borderId="2" xfId="0" applyNumberFormat="1" applyFont="1" applyFill="1" applyBorder="1"/>
    <xf numFmtId="0" fontId="23" fillId="0" borderId="0" xfId="1" applyFont="1" applyFill="1" applyAlignment="1">
      <alignment horizontal="center"/>
    </xf>
    <xf numFmtId="0" fontId="25" fillId="0" borderId="0" xfId="0" applyFont="1" applyFill="1"/>
    <xf numFmtId="41" fontId="24" fillId="0" borderId="3" xfId="3" applyNumberFormat="1" applyFont="1" applyFill="1" applyBorder="1"/>
    <xf numFmtId="0" fontId="23" fillId="0" borderId="0" xfId="0" applyFont="1"/>
    <xf numFmtId="0" fontId="23" fillId="0" borderId="1" xfId="1" applyFont="1" applyBorder="1" applyAlignment="1">
      <alignment horizontal="center"/>
    </xf>
    <xf numFmtId="0" fontId="24" fillId="0" borderId="0" xfId="0" applyFont="1" applyBorder="1"/>
    <xf numFmtId="41" fontId="24" fillId="0" borderId="0" xfId="3" applyFont="1" applyBorder="1"/>
    <xf numFmtId="41" fontId="24" fillId="0" borderId="1" xfId="3" applyFont="1" applyFill="1" applyBorder="1"/>
    <xf numFmtId="41" fontId="24" fillId="0" borderId="0" xfId="3" applyFont="1" applyFill="1" applyBorder="1"/>
    <xf numFmtId="41" fontId="24" fillId="0" borderId="3" xfId="3" applyFont="1" applyFill="1" applyBorder="1"/>
    <xf numFmtId="41" fontId="24" fillId="0" borderId="9" xfId="3" applyFont="1" applyFill="1" applyBorder="1"/>
    <xf numFmtId="41" fontId="24" fillId="0" borderId="10" xfId="3" applyFont="1" applyFill="1" applyBorder="1"/>
    <xf numFmtId="0" fontId="24" fillId="0" borderId="0" xfId="0" applyFont="1" applyFill="1" applyBorder="1"/>
    <xf numFmtId="0" fontId="24" fillId="0" borderId="3" xfId="0" applyFont="1" applyFill="1" applyBorder="1"/>
    <xf numFmtId="41" fontId="23" fillId="0" borderId="0" xfId="3" applyFont="1" applyFill="1" applyBorder="1"/>
    <xf numFmtId="41" fontId="23" fillId="0" borderId="1" xfId="1" applyNumberFormat="1" applyFont="1" applyFill="1" applyBorder="1"/>
    <xf numFmtId="41" fontId="23" fillId="0" borderId="8" xfId="1" applyNumberFormat="1" applyFont="1" applyFill="1" applyBorder="1"/>
    <xf numFmtId="41" fontId="23" fillId="0" borderId="0" xfId="1" applyNumberFormat="1" applyFont="1" applyFill="1" applyBorder="1"/>
    <xf numFmtId="0" fontId="24" fillId="0" borderId="0" xfId="1" applyFont="1" applyFill="1" applyBorder="1"/>
    <xf numFmtId="0" fontId="24" fillId="0" borderId="0" xfId="1" applyFont="1" applyFill="1"/>
    <xf numFmtId="41" fontId="24" fillId="0" borderId="0" xfId="0" applyNumberFormat="1" applyFont="1" applyFill="1"/>
    <xf numFmtId="22" fontId="24" fillId="0" borderId="0" xfId="1" quotePrefix="1" applyNumberFormat="1" applyFont="1" applyFill="1" applyBorder="1" applyAlignment="1">
      <alignment horizontal="center"/>
    </xf>
    <xf numFmtId="0" fontId="23" fillId="0" borderId="0" xfId="1" applyFont="1" applyFill="1" applyBorder="1"/>
    <xf numFmtId="41" fontId="24" fillId="0" borderId="0" xfId="3" applyFont="1"/>
    <xf numFmtId="0" fontId="24" fillId="0" borderId="14" xfId="1" applyFont="1" applyFill="1" applyBorder="1"/>
    <xf numFmtId="0" fontId="24" fillId="0" borderId="14" xfId="1" applyFont="1" applyFill="1" applyBorder="1" applyAlignment="1">
      <alignment horizontal="left"/>
    </xf>
    <xf numFmtId="0" fontId="23" fillId="0" borderId="14" xfId="1" applyFont="1" applyFill="1" applyBorder="1"/>
    <xf numFmtId="41" fontId="24" fillId="0" borderId="0" xfId="0" applyNumberFormat="1" applyFont="1"/>
    <xf numFmtId="41" fontId="23" fillId="0" borderId="0" xfId="3" applyFont="1"/>
    <xf numFmtId="0" fontId="24" fillId="0" borderId="0" xfId="0" applyFont="1" applyFill="1" applyAlignment="1">
      <alignment horizontal="right"/>
    </xf>
    <xf numFmtId="37" fontId="23" fillId="0" borderId="0" xfId="0" applyNumberFormat="1" applyFont="1" applyFill="1" applyBorder="1"/>
    <xf numFmtId="14" fontId="23" fillId="0" borderId="0" xfId="1" applyNumberFormat="1" applyFont="1" applyFill="1"/>
    <xf numFmtId="0" fontId="23" fillId="0" borderId="1" xfId="0" applyFont="1" applyBorder="1" applyAlignment="1">
      <alignment horizontal="center"/>
    </xf>
    <xf numFmtId="0" fontId="23" fillId="0" borderId="0" xfId="0" applyFont="1" applyAlignment="1">
      <alignment horizontal="left"/>
    </xf>
    <xf numFmtId="37" fontId="23" fillId="0" borderId="0" xfId="0" applyNumberFormat="1" applyFont="1"/>
    <xf numFmtId="41" fontId="23" fillId="0" borderId="1" xfId="3" applyFont="1" applyBorder="1" applyAlignment="1">
      <alignment horizontal="center"/>
    </xf>
    <xf numFmtId="0" fontId="23" fillId="0" borderId="1" xfId="0" applyFont="1" applyFill="1" applyBorder="1" applyAlignment="1">
      <alignment horizontal="center"/>
    </xf>
    <xf numFmtId="41" fontId="23" fillId="0" borderId="0" xfId="3" applyFont="1" applyFill="1"/>
    <xf numFmtId="0" fontId="23" fillId="0" borderId="0" xfId="0" applyFont="1" applyFill="1" applyBorder="1" applyAlignment="1">
      <alignment horizontal="center"/>
    </xf>
    <xf numFmtId="0" fontId="23" fillId="0" borderId="0" xfId="0" applyFont="1" applyFill="1" applyBorder="1" applyAlignment="1">
      <alignment horizontal="center" wrapText="1"/>
    </xf>
    <xf numFmtId="0" fontId="23" fillId="0" borderId="0" xfId="0" applyFont="1" applyFill="1" applyBorder="1" applyAlignment="1">
      <alignment horizontal="left"/>
    </xf>
    <xf numFmtId="41" fontId="24" fillId="0" borderId="0" xfId="3" applyFont="1" applyFill="1" applyBorder="1" applyAlignment="1">
      <alignment horizontal="center"/>
    </xf>
    <xf numFmtId="41" fontId="24" fillId="0" borderId="9" xfId="3" applyFont="1" applyFill="1" applyBorder="1" applyAlignment="1">
      <alignment horizontal="center"/>
    </xf>
    <xf numFmtId="0" fontId="24" fillId="0" borderId="0" xfId="0" applyFont="1" applyFill="1" applyBorder="1" applyAlignment="1">
      <alignment horizontal="center"/>
    </xf>
    <xf numFmtId="0" fontId="24" fillId="0" borderId="0" xfId="0" applyFont="1" applyFill="1" applyBorder="1" applyAlignment="1">
      <alignment horizontal="center" wrapText="1"/>
    </xf>
    <xf numFmtId="41" fontId="23" fillId="0" borderId="0" xfId="3" applyFont="1" applyFill="1" applyAlignment="1">
      <alignment horizontal="center"/>
    </xf>
    <xf numFmtId="41" fontId="23" fillId="0" borderId="9" xfId="3" applyFont="1" applyFill="1" applyBorder="1" applyAlignment="1">
      <alignment wrapText="1"/>
    </xf>
    <xf numFmtId="41" fontId="23" fillId="0" borderId="0" xfId="1" applyNumberFormat="1" applyFont="1" applyFill="1" applyAlignment="1">
      <alignment horizontal="center"/>
    </xf>
    <xf numFmtId="41" fontId="23" fillId="0" borderId="9" xfId="3" applyFont="1" applyFill="1" applyBorder="1"/>
    <xf numFmtId="6" fontId="25" fillId="0" borderId="0" xfId="0" applyNumberFormat="1" applyFont="1" applyFill="1"/>
    <xf numFmtId="6" fontId="24" fillId="0" borderId="0" xfId="0" applyNumberFormat="1" applyFont="1" applyFill="1"/>
    <xf numFmtId="0" fontId="23" fillId="0" borderId="0" xfId="1" quotePrefix="1" applyFont="1" applyAlignment="1">
      <alignment horizontal="left"/>
    </xf>
    <xf numFmtId="41" fontId="23" fillId="0" borderId="9" xfId="1" applyNumberFormat="1" applyFont="1" applyFill="1" applyBorder="1"/>
    <xf numFmtId="0" fontId="24" fillId="0" borderId="0" xfId="1" applyFont="1" applyFill="1" applyAlignment="1">
      <alignment horizontal="center"/>
    </xf>
    <xf numFmtId="165" fontId="24" fillId="0" borderId="0" xfId="1" applyNumberFormat="1" applyFont="1" applyFill="1"/>
    <xf numFmtId="166" fontId="24" fillId="0" borderId="0" xfId="0" applyNumberFormat="1" applyFont="1" applyFill="1"/>
    <xf numFmtId="166" fontId="24" fillId="0" borderId="2" xfId="1" applyNumberFormat="1" applyFont="1" applyFill="1" applyBorder="1"/>
    <xf numFmtId="37" fontId="23" fillId="0" borderId="2" xfId="1" applyNumberFormat="1" applyFont="1" applyFill="1" applyBorder="1"/>
    <xf numFmtId="41" fontId="24" fillId="0" borderId="0" xfId="1" applyNumberFormat="1" applyFont="1" applyFill="1"/>
    <xf numFmtId="41" fontId="24" fillId="0" borderId="0" xfId="3" applyFont="1" applyFill="1" applyAlignment="1">
      <alignment horizontal="left"/>
    </xf>
    <xf numFmtId="165" fontId="24" fillId="0" borderId="0" xfId="0" applyNumberFormat="1" applyFont="1" applyFill="1"/>
    <xf numFmtId="0" fontId="24" fillId="0" borderId="0" xfId="1" quotePrefix="1" applyFont="1" applyFill="1" applyAlignment="1">
      <alignment horizontal="center"/>
    </xf>
    <xf numFmtId="0" fontId="24" fillId="0" borderId="0" xfId="1" applyFont="1" applyFill="1" applyAlignment="1">
      <alignment horizontal="left"/>
    </xf>
    <xf numFmtId="37" fontId="24" fillId="0" borderId="0" xfId="1" applyNumberFormat="1" applyFont="1" applyFill="1" applyBorder="1"/>
    <xf numFmtId="37" fontId="23" fillId="0" borderId="0" xfId="1" applyNumberFormat="1" applyFont="1" applyFill="1" applyBorder="1"/>
    <xf numFmtId="0" fontId="22" fillId="0" borderId="0" xfId="1" applyFont="1" applyFill="1" applyAlignment="1">
      <alignment horizontal="left"/>
    </xf>
    <xf numFmtId="0" fontId="23" fillId="0" borderId="0" xfId="1" applyFont="1" applyFill="1" applyAlignment="1"/>
    <xf numFmtId="0" fontId="23" fillId="0" borderId="0" xfId="1" applyFont="1" applyFill="1" applyBorder="1" applyAlignment="1">
      <alignment horizontal="center"/>
    </xf>
    <xf numFmtId="0" fontId="24" fillId="0" borderId="0" xfId="1" quotePrefix="1" applyFont="1" applyFill="1" applyBorder="1" applyAlignment="1">
      <alignment horizontal="left"/>
    </xf>
    <xf numFmtId="0" fontId="23" fillId="0" borderId="0" xfId="1" quotePrefix="1" applyFont="1" applyFill="1" applyAlignment="1">
      <alignment horizontal="center"/>
    </xf>
    <xf numFmtId="9" fontId="23" fillId="0" borderId="1" xfId="0" quotePrefix="1" applyNumberFormat="1" applyFont="1" applyFill="1" applyBorder="1" applyAlignment="1">
      <alignment horizontal="center"/>
    </xf>
    <xf numFmtId="9" fontId="24" fillId="0" borderId="0" xfId="3" applyNumberFormat="1" applyFont="1" applyFill="1" applyBorder="1" applyAlignment="1">
      <alignment horizontal="center"/>
    </xf>
    <xf numFmtId="165" fontId="24" fillId="0" borderId="0" xfId="1" applyNumberFormat="1" applyFont="1" applyFill="1" applyBorder="1"/>
    <xf numFmtId="165" fontId="24" fillId="0" borderId="1" xfId="1" applyNumberFormat="1" applyFont="1" applyFill="1" applyBorder="1"/>
    <xf numFmtId="0" fontId="24" fillId="0" borderId="0" xfId="1" applyFont="1" applyFill="1" applyAlignment="1">
      <alignment horizontal="right"/>
    </xf>
    <xf numFmtId="0" fontId="23" fillId="0" borderId="0" xfId="0" applyFont="1" applyFill="1" applyAlignment="1">
      <alignment horizontal="right"/>
    </xf>
    <xf numFmtId="165" fontId="24" fillId="0" borderId="0" xfId="3" applyNumberFormat="1" applyFont="1" applyFill="1"/>
    <xf numFmtId="0" fontId="24" fillId="0" borderId="0" xfId="1" quotePrefix="1" applyFont="1" applyAlignment="1">
      <alignment horizontal="left"/>
    </xf>
    <xf numFmtId="0" fontId="24" fillId="0" borderId="0" xfId="1" applyFont="1" applyAlignment="1">
      <alignment horizontal="center"/>
    </xf>
    <xf numFmtId="0" fontId="23" fillId="0" borderId="0" xfId="1" applyFont="1" applyAlignment="1">
      <alignment horizontal="left"/>
    </xf>
    <xf numFmtId="0" fontId="24" fillId="0" borderId="0" xfId="1" applyFont="1" applyAlignment="1">
      <alignment horizontal="left"/>
    </xf>
    <xf numFmtId="0" fontId="23" fillId="0" borderId="1" xfId="0" applyFont="1" applyBorder="1" applyAlignment="1">
      <alignment horizontal="center" wrapText="1"/>
    </xf>
    <xf numFmtId="41" fontId="23" fillId="0" borderId="2" xfId="1" applyNumberFormat="1" applyFont="1" applyFill="1" applyBorder="1"/>
    <xf numFmtId="0" fontId="25" fillId="0" borderId="0" xfId="0" applyFont="1" applyAlignment="1"/>
    <xf numFmtId="0" fontId="22" fillId="0" borderId="0" xfId="0" applyFont="1"/>
    <xf numFmtId="0" fontId="23" fillId="0" borderId="0" xfId="0" applyFont="1" applyAlignment="1">
      <alignment horizontal="center"/>
    </xf>
    <xf numFmtId="0" fontId="25" fillId="0" borderId="0" xfId="1" applyFont="1" applyAlignment="1"/>
    <xf numFmtId="0" fontId="25" fillId="0" borderId="0" xfId="1" applyFont="1" applyFill="1" applyAlignment="1"/>
    <xf numFmtId="0" fontId="23" fillId="0" borderId="0" xfId="0" applyFont="1" applyBorder="1" applyAlignment="1">
      <alignment horizontal="center"/>
    </xf>
    <xf numFmtId="0" fontId="25" fillId="0" borderId="0" xfId="1" applyFont="1" applyBorder="1" applyAlignment="1"/>
    <xf numFmtId="3" fontId="24" fillId="0" borderId="0" xfId="3" applyNumberFormat="1" applyFont="1" applyFill="1" applyBorder="1"/>
    <xf numFmtId="0" fontId="24" fillId="0" borderId="0" xfId="1" applyFont="1" applyAlignment="1">
      <alignment horizontal="right"/>
    </xf>
    <xf numFmtId="0" fontId="24" fillId="0" borderId="0" xfId="1" quotePrefix="1" applyFont="1" applyAlignment="1">
      <alignment horizontal="right"/>
    </xf>
    <xf numFmtId="0" fontId="23" fillId="0" borderId="0" xfId="1" applyFont="1" applyBorder="1" applyAlignment="1">
      <alignment horizontal="center"/>
    </xf>
    <xf numFmtId="0" fontId="25" fillId="0" borderId="0" xfId="0" applyFont="1" applyBorder="1" applyAlignment="1"/>
    <xf numFmtId="0" fontId="23" fillId="0" borderId="0" xfId="0" applyFont="1" applyBorder="1" applyAlignment="1">
      <alignment horizontal="center" wrapText="1"/>
    </xf>
    <xf numFmtId="41" fontId="24" fillId="0" borderId="2" xfId="3" applyFont="1" applyBorder="1"/>
    <xf numFmtId="1" fontId="23" fillId="0" borderId="5" xfId="1" applyNumberFormat="1" applyFont="1" applyFill="1" applyBorder="1" applyAlignment="1">
      <alignment horizontal="center"/>
    </xf>
    <xf numFmtId="1" fontId="23" fillId="0" borderId="6" xfId="1" applyNumberFormat="1" applyFont="1" applyFill="1" applyBorder="1" applyAlignment="1">
      <alignment horizontal="center"/>
    </xf>
    <xf numFmtId="0" fontId="23" fillId="0" borderId="7" xfId="1" applyFont="1" applyFill="1" applyBorder="1" applyAlignment="1">
      <alignment horizontal="center"/>
    </xf>
    <xf numFmtId="0" fontId="23" fillId="0" borderId="8" xfId="1" applyFont="1" applyFill="1" applyBorder="1" applyAlignment="1">
      <alignment horizontal="center"/>
    </xf>
    <xf numFmtId="41" fontId="24" fillId="0" borderId="0" xfId="3" applyNumberFormat="1" applyFont="1" applyFill="1"/>
    <xf numFmtId="14" fontId="23" fillId="0" borderId="0" xfId="1" applyNumberFormat="1" applyFont="1" applyFill="1" applyBorder="1" applyAlignment="1">
      <alignment horizontal="left"/>
    </xf>
    <xf numFmtId="0" fontId="23" fillId="0" borderId="4" xfId="1" applyFont="1" applyFill="1" applyBorder="1"/>
    <xf numFmtId="41" fontId="23" fillId="0" borderId="11" xfId="1" applyNumberFormat="1" applyFont="1" applyFill="1" applyBorder="1"/>
    <xf numFmtId="41" fontId="23" fillId="0" borderId="11" xfId="3" applyFont="1" applyFill="1" applyBorder="1"/>
    <xf numFmtId="0" fontId="23" fillId="0" borderId="0" xfId="0" applyFont="1" applyFill="1" applyBorder="1"/>
    <xf numFmtId="14" fontId="24" fillId="0" borderId="0" xfId="1" applyNumberFormat="1" applyFont="1" applyFill="1" applyBorder="1" applyAlignment="1">
      <alignment horizontal="left"/>
    </xf>
    <xf numFmtId="41" fontId="24" fillId="0" borderId="0" xfId="3" applyFont="1" applyAlignment="1">
      <alignment horizontal="center"/>
    </xf>
    <xf numFmtId="41" fontId="23" fillId="0" borderId="0" xfId="0" applyNumberFormat="1" applyFont="1"/>
    <xf numFmtId="41" fontId="24" fillId="0" borderId="0" xfId="1" applyNumberFormat="1" applyFont="1" applyFill="1" applyBorder="1"/>
    <xf numFmtId="0" fontId="24" fillId="0" borderId="13" xfId="1" applyFont="1" applyFill="1" applyBorder="1"/>
    <xf numFmtId="0" fontId="24" fillId="0" borderId="14" xfId="0" applyFont="1" applyFill="1" applyBorder="1"/>
    <xf numFmtId="0" fontId="24" fillId="0" borderId="6" xfId="0" applyFont="1" applyFill="1" applyBorder="1"/>
    <xf numFmtId="14" fontId="24" fillId="0" borderId="14" xfId="1" applyNumberFormat="1" applyFont="1" applyFill="1" applyBorder="1" applyAlignment="1">
      <alignment horizontal="left"/>
    </xf>
    <xf numFmtId="14" fontId="23" fillId="0" borderId="12" xfId="1" applyNumberFormat="1" applyFont="1" applyFill="1" applyBorder="1" applyAlignment="1">
      <alignment horizontal="left"/>
    </xf>
    <xf numFmtId="41" fontId="23" fillId="0" borderId="25" xfId="1" applyNumberFormat="1" applyFont="1" applyFill="1" applyBorder="1"/>
    <xf numFmtId="0" fontId="25" fillId="0" borderId="0" xfId="1" applyFont="1" applyFill="1" applyAlignment="1">
      <alignment horizontal="center"/>
    </xf>
    <xf numFmtId="41" fontId="24" fillId="0" borderId="0" xfId="3" applyFont="1" applyFill="1"/>
    <xf numFmtId="41" fontId="24" fillId="0" borderId="0" xfId="3" applyFont="1" applyFill="1" applyBorder="1"/>
    <xf numFmtId="41" fontId="24" fillId="0" borderId="3" xfId="3" applyFont="1" applyFill="1" applyBorder="1"/>
    <xf numFmtId="41" fontId="24" fillId="0" borderId="0" xfId="3" applyFont="1"/>
    <xf numFmtId="164" fontId="24" fillId="0" borderId="0" xfId="5" applyNumberFormat="1" applyFont="1" applyFill="1" applyAlignment="1">
      <alignment horizontal="center"/>
    </xf>
    <xf numFmtId="41" fontId="24" fillId="0" borderId="0" xfId="3" applyFont="1" applyFill="1" applyBorder="1" applyAlignment="1">
      <alignment horizontal="center"/>
    </xf>
    <xf numFmtId="41" fontId="24" fillId="0" borderId="0" xfId="3" applyFont="1" applyFill="1" applyBorder="1" applyAlignment="1">
      <alignment horizontal="center" wrapText="1"/>
    </xf>
    <xf numFmtId="41" fontId="24" fillId="0" borderId="9" xfId="3" applyFont="1" applyFill="1" applyBorder="1" applyAlignment="1">
      <alignment horizontal="center"/>
    </xf>
    <xf numFmtId="0" fontId="23" fillId="0" borderId="0" xfId="0" applyFont="1" applyFill="1" applyBorder="1" applyAlignment="1">
      <alignment horizontal="right"/>
    </xf>
    <xf numFmtId="0" fontId="23" fillId="0" borderId="0" xfId="1" applyFont="1" applyFill="1" applyAlignment="1">
      <alignment horizontal="right"/>
    </xf>
    <xf numFmtId="41" fontId="24" fillId="0" borderId="0" xfId="3" quotePrefix="1" applyFont="1"/>
    <xf numFmtId="0" fontId="23" fillId="0" borderId="0" xfId="1" applyFont="1" applyFill="1" applyAlignment="1">
      <alignment horizontal="left"/>
    </xf>
    <xf numFmtId="41" fontId="25" fillId="0" borderId="0" xfId="3" applyFont="1"/>
    <xf numFmtId="41" fontId="23" fillId="0" borderId="0" xfId="3" applyFont="1" applyFill="1" applyBorder="1" applyAlignment="1">
      <alignment horizontal="center" wrapText="1"/>
    </xf>
    <xf numFmtId="41" fontId="23" fillId="0" borderId="0" xfId="3" applyFont="1" applyFill="1" applyBorder="1" applyAlignment="1">
      <alignment wrapText="1"/>
    </xf>
    <xf numFmtId="164" fontId="24" fillId="0" borderId="0" xfId="5" applyNumberFormat="1" applyFont="1" applyFill="1" applyBorder="1" applyAlignment="1">
      <alignment horizontal="center"/>
    </xf>
    <xf numFmtId="41" fontId="24" fillId="0" borderId="0" xfId="3" applyFont="1" applyFill="1" applyBorder="1" applyAlignment="1">
      <alignment wrapText="1"/>
    </xf>
    <xf numFmtId="41" fontId="23" fillId="0" borderId="3" xfId="1" applyNumberFormat="1" applyFont="1" applyFill="1" applyBorder="1"/>
    <xf numFmtId="22" fontId="24" fillId="0" borderId="14" xfId="1" applyNumberFormat="1" applyFont="1" applyFill="1" applyBorder="1" applyAlignment="1">
      <alignment horizontal="left"/>
    </xf>
    <xf numFmtId="0" fontId="25" fillId="0" borderId="0" xfId="0" applyFont="1" applyBorder="1" applyAlignment="1">
      <alignment horizontal="center"/>
    </xf>
    <xf numFmtId="37" fontId="24" fillId="0" borderId="0" xfId="0" applyNumberFormat="1" applyFont="1" applyFill="1" applyBorder="1"/>
    <xf numFmtId="9" fontId="24" fillId="0" borderId="0" xfId="3" applyNumberFormat="1" applyFont="1" applyFill="1" applyAlignment="1">
      <alignment horizontal="center"/>
    </xf>
    <xf numFmtId="0" fontId="23" fillId="0" borderId="0" xfId="1" applyFont="1" applyFill="1" applyBorder="1" applyAlignment="1">
      <alignment horizontal="left"/>
    </xf>
    <xf numFmtId="0" fontId="24" fillId="0" borderId="0" xfId="0" applyFont="1" applyFill="1" applyBorder="1" applyAlignment="1">
      <alignment horizontal="left"/>
    </xf>
    <xf numFmtId="0" fontId="24" fillId="0" borderId="0" xfId="0" applyFont="1" applyAlignment="1">
      <alignment wrapText="1"/>
    </xf>
    <xf numFmtId="17" fontId="23" fillId="0" borderId="1" xfId="0" applyNumberFormat="1" applyFont="1" applyFill="1" applyBorder="1" applyAlignment="1">
      <alignment horizontal="center"/>
    </xf>
    <xf numFmtId="17" fontId="23" fillId="0" borderId="0" xfId="0" applyNumberFormat="1" applyFont="1" applyFill="1" applyBorder="1" applyAlignment="1">
      <alignment horizontal="center"/>
    </xf>
    <xf numFmtId="0" fontId="24" fillId="0" borderId="0" xfId="0" applyFont="1" applyFill="1" applyBorder="1" applyAlignment="1"/>
    <xf numFmtId="0" fontId="24" fillId="0" borderId="0" xfId="0" applyFont="1" applyAlignment="1"/>
    <xf numFmtId="0" fontId="21" fillId="0" borderId="0" xfId="0" applyFont="1" applyAlignment="1">
      <alignment wrapText="1"/>
    </xf>
    <xf numFmtId="0" fontId="27" fillId="0" borderId="0" xfId="0" applyFont="1" applyAlignment="1">
      <alignment wrapText="1"/>
    </xf>
    <xf numFmtId="6" fontId="23" fillId="0" borderId="0" xfId="0" applyNumberFormat="1" applyFont="1" applyFill="1" applyBorder="1"/>
    <xf numFmtId="0" fontId="24" fillId="0" borderId="0" xfId="0" applyFont="1" applyAlignment="1">
      <alignment horizontal="right"/>
    </xf>
    <xf numFmtId="37" fontId="24" fillId="0" borderId="3" xfId="1" applyNumberFormat="1" applyFont="1" applyFill="1" applyBorder="1"/>
    <xf numFmtId="37" fontId="23" fillId="0" borderId="11" xfId="1" applyNumberFormat="1" applyFont="1" applyFill="1" applyBorder="1"/>
    <xf numFmtId="37" fontId="24" fillId="0" borderId="5" xfId="1" applyNumberFormat="1" applyFont="1" applyFill="1" applyBorder="1"/>
    <xf numFmtId="37" fontId="24" fillId="0" borderId="6" xfId="1" applyNumberFormat="1" applyFont="1" applyFill="1" applyBorder="1"/>
    <xf numFmtId="43" fontId="0" fillId="0" borderId="0" xfId="0" applyNumberFormat="1"/>
    <xf numFmtId="41" fontId="23" fillId="0" borderId="2" xfId="3" applyFont="1" applyBorder="1"/>
    <xf numFmtId="0" fontId="23" fillId="0" borderId="0" xfId="0" applyFont="1" applyBorder="1" applyAlignment="1">
      <alignment horizontal="right"/>
    </xf>
    <xf numFmtId="0" fontId="23" fillId="2" borderId="0" xfId="0" applyFont="1" applyFill="1" applyAlignment="1">
      <alignment horizontal="center"/>
    </xf>
    <xf numFmtId="41" fontId="23" fillId="2" borderId="0" xfId="3" applyFont="1" applyFill="1" applyBorder="1" applyAlignment="1">
      <alignment horizontal="center"/>
    </xf>
    <xf numFmtId="0" fontId="23" fillId="2" borderId="1" xfId="0" applyFont="1" applyFill="1" applyBorder="1" applyAlignment="1">
      <alignment horizontal="center"/>
    </xf>
    <xf numFmtId="41" fontId="23" fillId="2" borderId="1" xfId="3" applyFont="1" applyFill="1" applyBorder="1" applyAlignment="1">
      <alignment horizontal="center"/>
    </xf>
    <xf numFmtId="41" fontId="24" fillId="2" borderId="0" xfId="0" applyNumberFormat="1" applyFont="1" applyFill="1"/>
    <xf numFmtId="41" fontId="24" fillId="2" borderId="0" xfId="3" applyFont="1" applyFill="1"/>
    <xf numFmtId="0" fontId="23" fillId="0" borderId="0" xfId="0" applyFont="1" applyBorder="1"/>
    <xf numFmtId="0" fontId="23" fillId="0" borderId="0" xfId="1" applyFont="1" applyBorder="1"/>
    <xf numFmtId="164" fontId="23" fillId="0" borderId="0" xfId="5" applyNumberFormat="1" applyFont="1" applyFill="1" applyBorder="1" applyAlignment="1">
      <alignment horizontal="center"/>
    </xf>
    <xf numFmtId="0" fontId="24" fillId="0" borderId="0" xfId="1" applyFont="1" applyFill="1" applyBorder="1" applyAlignment="1">
      <alignment horizontal="left"/>
    </xf>
    <xf numFmtId="37" fontId="23" fillId="0" borderId="9" xfId="1" applyNumberFormat="1" applyFont="1" applyFill="1" applyBorder="1"/>
    <xf numFmtId="41" fontId="23" fillId="0" borderId="5" xfId="3" applyFont="1" applyBorder="1"/>
    <xf numFmtId="0" fontId="24" fillId="0" borderId="0" xfId="0" applyFont="1" applyAlignment="1">
      <alignment horizontal="center"/>
    </xf>
    <xf numFmtId="41" fontId="24" fillId="0" borderId="8" xfId="3" applyFont="1" applyFill="1" applyBorder="1"/>
    <xf numFmtId="0" fontId="23" fillId="0" borderId="14" xfId="1" quotePrefix="1" applyFont="1" applyFill="1" applyBorder="1" applyAlignment="1">
      <alignment horizontal="left"/>
    </xf>
    <xf numFmtId="0" fontId="23" fillId="0" borderId="14" xfId="1" applyFont="1" applyFill="1" applyBorder="1" applyAlignment="1">
      <alignment horizontal="left"/>
    </xf>
    <xf numFmtId="41" fontId="23" fillId="0" borderId="3" xfId="3" applyFont="1" applyFill="1" applyBorder="1"/>
    <xf numFmtId="14" fontId="23" fillId="0" borderId="0" xfId="0" applyNumberFormat="1" applyFont="1" applyFill="1" applyBorder="1"/>
    <xf numFmtId="14" fontId="23" fillId="0" borderId="0" xfId="0" applyNumberFormat="1" applyFont="1" applyFill="1"/>
    <xf numFmtId="0" fontId="23" fillId="0" borderId="0" xfId="1" applyFont="1" applyAlignment="1"/>
    <xf numFmtId="1" fontId="24" fillId="0" borderId="0" xfId="0" applyNumberFormat="1" applyFont="1"/>
    <xf numFmtId="1" fontId="24" fillId="0" borderId="1" xfId="0" applyNumberFormat="1" applyFont="1" applyBorder="1"/>
    <xf numFmtId="0" fontId="24" fillId="0" borderId="0" xfId="1" applyFont="1" applyAlignment="1"/>
    <xf numFmtId="164" fontId="25" fillId="0" borderId="0" xfId="0" applyNumberFormat="1" applyFont="1" applyFill="1" applyBorder="1" applyAlignment="1">
      <alignment horizontal="center"/>
    </xf>
    <xf numFmtId="0" fontId="24" fillId="0" borderId="0" xfId="0" applyFont="1" applyAlignment="1">
      <alignment horizontal="left"/>
    </xf>
    <xf numFmtId="0" fontId="24" fillId="0" borderId="0" xfId="0" applyFont="1" applyFill="1" applyAlignment="1">
      <alignment horizontal="left"/>
    </xf>
    <xf numFmtId="6" fontId="24" fillId="0" borderId="0" xfId="0" applyNumberFormat="1" applyFont="1"/>
    <xf numFmtId="6" fontId="24" fillId="0" borderId="1" xfId="0" applyNumberFormat="1" applyFont="1" applyBorder="1"/>
    <xf numFmtId="0" fontId="23" fillId="0" borderId="1" xfId="1" applyFont="1" applyBorder="1" applyAlignment="1">
      <alignment horizontal="center"/>
    </xf>
    <xf numFmtId="37" fontId="23" fillId="0" borderId="0" xfId="1" applyNumberFormat="1" applyFont="1" applyFill="1"/>
    <xf numFmtId="38" fontId="23" fillId="0" borderId="2" xfId="3" applyNumberFormat="1" applyFont="1" applyFill="1" applyBorder="1"/>
    <xf numFmtId="0" fontId="23" fillId="0" borderId="1" xfId="1" applyFont="1" applyBorder="1" applyAlignment="1">
      <alignment horizontal="center"/>
    </xf>
    <xf numFmtId="41" fontId="25" fillId="0" borderId="0" xfId="3" applyFont="1" applyFill="1" applyBorder="1"/>
    <xf numFmtId="0" fontId="0" fillId="0" borderId="0" xfId="0" applyFill="1"/>
    <xf numFmtId="0" fontId="43" fillId="0" borderId="0" xfId="0" applyFont="1" applyAlignment="1">
      <alignment horizontal="center"/>
    </xf>
    <xf numFmtId="0" fontId="43" fillId="2" borderId="0" xfId="0" applyFont="1" applyFill="1" applyAlignment="1">
      <alignment horizontal="center"/>
    </xf>
    <xf numFmtId="0" fontId="0" fillId="2" borderId="0" xfId="0" applyFill="1"/>
    <xf numFmtId="8" fontId="14" fillId="2" borderId="0" xfId="0" applyNumberFormat="1" applyFont="1" applyFill="1"/>
    <xf numFmtId="37" fontId="24" fillId="0" borderId="0" xfId="0" applyNumberFormat="1" applyFont="1" applyFill="1"/>
    <xf numFmtId="37" fontId="23" fillId="0" borderId="0" xfId="0" applyNumberFormat="1" applyFont="1" applyFill="1"/>
    <xf numFmtId="0" fontId="24" fillId="0" borderId="0" xfId="0" applyFont="1" applyAlignment="1">
      <alignment horizontal="left" wrapText="1"/>
    </xf>
    <xf numFmtId="37" fontId="24" fillId="0" borderId="0" xfId="3" applyNumberFormat="1" applyFont="1" applyFill="1" applyBorder="1"/>
    <xf numFmtId="165" fontId="23" fillId="0" borderId="0" xfId="3" applyNumberFormat="1" applyFont="1" applyFill="1" applyBorder="1"/>
    <xf numFmtId="37" fontId="24" fillId="0" borderId="0" xfId="3" applyNumberFormat="1" applyFont="1" applyFill="1"/>
    <xf numFmtId="41" fontId="24" fillId="0" borderId="0" xfId="0" applyNumberFormat="1" applyFont="1" applyFill="1" applyBorder="1"/>
    <xf numFmtId="0" fontId="25" fillId="0" borderId="0" xfId="0" applyFont="1" applyFill="1" applyAlignment="1">
      <alignment horizontal="center"/>
    </xf>
    <xf numFmtId="10" fontId="24" fillId="0" borderId="0" xfId="1" applyNumberFormat="1" applyFont="1" applyFill="1"/>
    <xf numFmtId="10" fontId="24" fillId="0" borderId="0" xfId="1" applyNumberFormat="1" applyFont="1" applyFill="1" applyAlignment="1">
      <alignment horizontal="center"/>
    </xf>
    <xf numFmtId="0" fontId="24" fillId="0" borderId="14" xfId="1" quotePrefix="1" applyFont="1" applyFill="1" applyBorder="1" applyAlignment="1">
      <alignment horizontal="left"/>
    </xf>
    <xf numFmtId="14" fontId="24" fillId="0" borderId="14" xfId="1" quotePrefix="1" applyNumberFormat="1" applyFont="1" applyFill="1" applyBorder="1" applyAlignment="1">
      <alignment horizontal="left"/>
    </xf>
    <xf numFmtId="0" fontId="23" fillId="0" borderId="1" xfId="1" applyFont="1" applyBorder="1" applyAlignment="1">
      <alignment horizontal="center"/>
    </xf>
    <xf numFmtId="14" fontId="24" fillId="0" borderId="0" xfId="1" applyNumberFormat="1" applyFont="1" applyFill="1" applyAlignment="1">
      <alignment horizontal="right"/>
    </xf>
    <xf numFmtId="0" fontId="24" fillId="0" borderId="0" xfId="0" applyFont="1" applyFill="1" applyBorder="1" applyAlignment="1">
      <alignment horizontal="right"/>
    </xf>
    <xf numFmtId="41" fontId="24" fillId="0" borderId="2" xfId="0" applyNumberFormat="1" applyFont="1" applyFill="1" applyBorder="1"/>
    <xf numFmtId="0" fontId="11" fillId="0" borderId="0" xfId="95"/>
    <xf numFmtId="0" fontId="23" fillId="43" borderId="1" xfId="1" applyFont="1" applyFill="1" applyBorder="1" applyAlignment="1">
      <alignment horizontal="center"/>
    </xf>
    <xf numFmtId="37" fontId="24" fillId="0" borderId="0" xfId="0" applyNumberFormat="1" applyFont="1"/>
    <xf numFmtId="41" fontId="23" fillId="0" borderId="1" xfId="3" applyFont="1" applyFill="1" applyBorder="1" applyAlignment="1">
      <alignment horizontal="center"/>
    </xf>
    <xf numFmtId="37" fontId="23" fillId="43" borderId="2" xfId="1" applyNumberFormat="1" applyFont="1" applyFill="1" applyBorder="1"/>
    <xf numFmtId="37" fontId="24" fillId="43" borderId="0" xfId="1" applyNumberFormat="1" applyFont="1" applyFill="1" applyBorder="1"/>
    <xf numFmtId="164" fontId="23" fillId="43" borderId="0" xfId="0" applyNumberFormat="1" applyFont="1" applyFill="1" applyBorder="1" applyAlignment="1">
      <alignment horizontal="center" wrapText="1"/>
    </xf>
    <xf numFmtId="164" fontId="24" fillId="43" borderId="0" xfId="5" applyNumberFormat="1" applyFont="1" applyFill="1" applyAlignment="1">
      <alignment horizontal="center"/>
    </xf>
    <xf numFmtId="0" fontId="10" fillId="0" borderId="0" xfId="109"/>
    <xf numFmtId="41" fontId="24" fillId="35" borderId="0" xfId="3" applyFont="1" applyFill="1" applyBorder="1"/>
    <xf numFmtId="14" fontId="14" fillId="0" borderId="0" xfId="0" applyNumberFormat="1" applyFont="1" applyFill="1"/>
    <xf numFmtId="8" fontId="14" fillId="0" borderId="0" xfId="0" applyNumberFormat="1" applyFont="1" applyFill="1"/>
    <xf numFmtId="8" fontId="0" fillId="0" borderId="0" xfId="0" applyNumberFormat="1" applyFill="1"/>
    <xf numFmtId="41" fontId="22" fillId="0" borderId="0" xfId="3" applyNumberFormat="1" applyFont="1"/>
    <xf numFmtId="0" fontId="22" fillId="0" borderId="0" xfId="0" applyFont="1" applyAlignment="1">
      <alignment horizontal="right"/>
    </xf>
    <xf numFmtId="41" fontId="22" fillId="0" borderId="0" xfId="0" applyNumberFormat="1" applyFont="1"/>
    <xf numFmtId="41" fontId="22" fillId="0" borderId="0" xfId="0" applyNumberFormat="1" applyFont="1" applyBorder="1"/>
    <xf numFmtId="0" fontId="24" fillId="0" borderId="0" xfId="0" applyFont="1" applyAlignment="1">
      <alignment horizontal="left" indent="1"/>
    </xf>
    <xf numFmtId="0" fontId="23" fillId="0" borderId="0" xfId="0" applyFont="1" applyAlignment="1">
      <alignment horizontal="left" indent="1"/>
    </xf>
    <xf numFmtId="6" fontId="24" fillId="0" borderId="0" xfId="0" applyNumberFormat="1" applyFont="1" applyBorder="1"/>
    <xf numFmtId="0" fontId="43" fillId="35" borderId="0" xfId="0" applyFont="1" applyFill="1" applyAlignment="1">
      <alignment horizontal="center"/>
    </xf>
    <xf numFmtId="0" fontId="0" fillId="35" borderId="0" xfId="0" applyFill="1"/>
    <xf numFmtId="14" fontId="14" fillId="35" borderId="0" xfId="0" applyNumberFormat="1" applyFont="1" applyFill="1"/>
    <xf numFmtId="0" fontId="0" fillId="35" borderId="0" xfId="0" applyFill="1" applyAlignment="1">
      <alignment horizontal="center"/>
    </xf>
    <xf numFmtId="0" fontId="24" fillId="35" borderId="0" xfId="0" applyFont="1" applyFill="1"/>
    <xf numFmtId="8" fontId="0" fillId="35" borderId="0" xfId="0" applyNumberFormat="1" applyFill="1"/>
    <xf numFmtId="0" fontId="9" fillId="0" borderId="0" xfId="123"/>
    <xf numFmtId="49" fontId="9" fillId="0" borderId="0" xfId="123" applyNumberFormat="1"/>
    <xf numFmtId="0" fontId="9" fillId="0" borderId="0" xfId="123"/>
    <xf numFmtId="0" fontId="23" fillId="35" borderId="0" xfId="0" applyFont="1" applyFill="1" applyAlignment="1">
      <alignment horizontal="center"/>
    </xf>
    <xf numFmtId="0" fontId="41" fillId="0" borderId="0" xfId="137" applyFont="1"/>
    <xf numFmtId="0" fontId="22" fillId="0" borderId="0" xfId="0" applyFont="1" applyFill="1" applyBorder="1"/>
    <xf numFmtId="0" fontId="22" fillId="0" borderId="0" xfId="0" applyFont="1" applyFill="1"/>
    <xf numFmtId="0" fontId="41" fillId="0" borderId="1" xfId="137" applyFont="1" applyBorder="1" applyAlignment="1">
      <alignment horizontal="center" wrapText="1"/>
    </xf>
    <xf numFmtId="0" fontId="25" fillId="0" borderId="0" xfId="0" applyFont="1" applyFill="1" applyBorder="1" applyAlignment="1">
      <alignment horizontal="center"/>
    </xf>
    <xf numFmtId="41" fontId="41" fillId="0" borderId="2" xfId="3" applyFont="1" applyBorder="1"/>
    <xf numFmtId="0" fontId="41" fillId="0" borderId="1" xfId="137" applyFont="1" applyBorder="1"/>
    <xf numFmtId="49" fontId="41" fillId="0" borderId="1" xfId="137" applyNumberFormat="1" applyFont="1" applyBorder="1"/>
    <xf numFmtId="41" fontId="8" fillId="0" borderId="0" xfId="3" applyFont="1"/>
    <xf numFmtId="49" fontId="41" fillId="0" borderId="0" xfId="137" applyNumberFormat="1" applyFont="1"/>
    <xf numFmtId="1" fontId="23" fillId="35" borderId="1" xfId="1" applyNumberFormat="1" applyFont="1" applyFill="1" applyBorder="1" applyAlignment="1">
      <alignment horizontal="center"/>
    </xf>
    <xf numFmtId="41" fontId="23" fillId="35" borderId="0" xfId="1" applyNumberFormat="1" applyFont="1" applyFill="1" applyBorder="1"/>
    <xf numFmtId="1" fontId="23" fillId="35" borderId="5" xfId="1" applyNumberFormat="1" applyFont="1" applyFill="1" applyBorder="1" applyAlignment="1">
      <alignment horizontal="center"/>
    </xf>
    <xf numFmtId="41" fontId="24" fillId="35" borderId="0" xfId="1" applyNumberFormat="1" applyFont="1" applyFill="1" applyBorder="1"/>
    <xf numFmtId="41" fontId="23" fillId="35" borderId="0" xfId="3" applyFont="1" applyFill="1" applyBorder="1"/>
    <xf numFmtId="41" fontId="24" fillId="35" borderId="0" xfId="0" applyNumberFormat="1" applyFont="1" applyFill="1" applyBorder="1"/>
    <xf numFmtId="41" fontId="24" fillId="35" borderId="9" xfId="3" applyFont="1" applyFill="1" applyBorder="1"/>
    <xf numFmtId="0" fontId="24" fillId="35" borderId="0" xfId="0" applyFont="1" applyFill="1" applyBorder="1"/>
    <xf numFmtId="0" fontId="24" fillId="35" borderId="5" xfId="0" applyFont="1" applyFill="1" applyBorder="1"/>
    <xf numFmtId="0" fontId="8" fillId="0" borderId="0" xfId="137"/>
    <xf numFmtId="49" fontId="8" fillId="0" borderId="0" xfId="137" applyNumberFormat="1"/>
    <xf numFmtId="41" fontId="23" fillId="35" borderId="1" xfId="1" applyNumberFormat="1" applyFont="1" applyFill="1" applyBorder="1"/>
    <xf numFmtId="41" fontId="23" fillId="35" borderId="2" xfId="1" applyNumberFormat="1" applyFont="1" applyFill="1" applyBorder="1"/>
    <xf numFmtId="41" fontId="23" fillId="35" borderId="2" xfId="3" applyFont="1" applyFill="1" applyBorder="1"/>
    <xf numFmtId="41" fontId="24" fillId="0" borderId="0" xfId="3" applyNumberFormat="1" applyFont="1" applyFill="1" applyBorder="1"/>
    <xf numFmtId="41" fontId="23" fillId="0" borderId="24" xfId="1" applyNumberFormat="1" applyFont="1" applyFill="1" applyBorder="1"/>
    <xf numFmtId="41" fontId="23" fillId="0" borderId="0" xfId="3" applyNumberFormat="1" applyFont="1" applyFill="1" applyBorder="1"/>
    <xf numFmtId="41" fontId="22" fillId="0" borderId="0" xfId="3" applyFont="1" applyFill="1"/>
    <xf numFmtId="41" fontId="22" fillId="0" borderId="0" xfId="3" applyFont="1" applyFill="1" applyBorder="1"/>
    <xf numFmtId="49" fontId="8" fillId="0" borderId="0" xfId="137" applyNumberFormat="1" applyFill="1"/>
    <xf numFmtId="41" fontId="24" fillId="35" borderId="1" xfId="3" applyFont="1" applyFill="1" applyBorder="1"/>
    <xf numFmtId="41" fontId="23" fillId="35" borderId="24" xfId="1" applyNumberFormat="1" applyFont="1" applyFill="1" applyBorder="1"/>
    <xf numFmtId="1" fontId="23" fillId="44" borderId="1" xfId="1" applyNumberFormat="1" applyFont="1" applyFill="1" applyBorder="1" applyAlignment="1">
      <alignment horizontal="center"/>
    </xf>
    <xf numFmtId="41" fontId="23" fillId="35" borderId="0" xfId="3" applyNumberFormat="1" applyFont="1" applyFill="1" applyBorder="1"/>
    <xf numFmtId="1" fontId="23" fillId="44" borderId="5" xfId="1" applyNumberFormat="1" applyFont="1" applyFill="1" applyBorder="1" applyAlignment="1">
      <alignment horizontal="center"/>
    </xf>
    <xf numFmtId="0" fontId="24" fillId="44" borderId="5" xfId="0" applyFont="1" applyFill="1" applyBorder="1"/>
    <xf numFmtId="0" fontId="8" fillId="0" borderId="0" xfId="137"/>
    <xf numFmtId="49" fontId="8" fillId="0" borderId="0" xfId="137" applyNumberFormat="1"/>
    <xf numFmtId="0" fontId="8" fillId="0" borderId="0" xfId="137"/>
    <xf numFmtId="49" fontId="8" fillId="0" borderId="0" xfId="137" applyNumberFormat="1"/>
    <xf numFmtId="0" fontId="24" fillId="44" borderId="0" xfId="0" applyFont="1" applyFill="1" applyBorder="1"/>
    <xf numFmtId="41" fontId="24" fillId="44" borderId="0" xfId="3" applyFont="1" applyFill="1" applyBorder="1"/>
    <xf numFmtId="41" fontId="24" fillId="44" borderId="9" xfId="3" applyFont="1" applyFill="1" applyBorder="1"/>
    <xf numFmtId="41" fontId="23" fillId="44" borderId="0" xfId="3" applyFont="1" applyFill="1" applyBorder="1"/>
    <xf numFmtId="41" fontId="24" fillId="44" borderId="0" xfId="1" applyNumberFormat="1" applyFont="1" applyFill="1" applyBorder="1"/>
    <xf numFmtId="41" fontId="23" fillId="44" borderId="0" xfId="1" applyNumberFormat="1" applyFont="1" applyFill="1" applyBorder="1"/>
    <xf numFmtId="41" fontId="23" fillId="44" borderId="1" xfId="1" applyNumberFormat="1" applyFont="1" applyFill="1" applyBorder="1"/>
    <xf numFmtId="41" fontId="23" fillId="44" borderId="2" xfId="1" applyNumberFormat="1" applyFont="1" applyFill="1" applyBorder="1"/>
    <xf numFmtId="41" fontId="23" fillId="44" borderId="2" xfId="3" applyFont="1" applyFill="1" applyBorder="1"/>
    <xf numFmtId="1" fontId="23" fillId="0" borderId="34" xfId="1" applyNumberFormat="1" applyFont="1" applyFill="1" applyBorder="1" applyAlignment="1">
      <alignment horizontal="center"/>
    </xf>
    <xf numFmtId="0" fontId="23" fillId="0" borderId="35" xfId="1" applyFont="1" applyFill="1" applyBorder="1" applyAlignment="1">
      <alignment horizontal="center"/>
    </xf>
    <xf numFmtId="0" fontId="24" fillId="0" borderId="36" xfId="0" applyFont="1" applyFill="1" applyBorder="1"/>
    <xf numFmtId="41" fontId="24" fillId="0" borderId="36" xfId="3" applyFont="1" applyFill="1" applyBorder="1"/>
    <xf numFmtId="41" fontId="24" fillId="0" borderId="37" xfId="3" applyFont="1" applyFill="1" applyBorder="1"/>
    <xf numFmtId="41" fontId="24" fillId="0" borderId="35" xfId="3" applyFont="1" applyFill="1" applyBorder="1"/>
    <xf numFmtId="41" fontId="23" fillId="0" borderId="36" xfId="3" applyFont="1" applyFill="1" applyBorder="1"/>
    <xf numFmtId="41" fontId="23" fillId="0" borderId="33" xfId="1" applyNumberFormat="1" applyFont="1" applyFill="1" applyBorder="1"/>
    <xf numFmtId="41" fontId="23" fillId="0" borderId="33" xfId="3" applyFont="1" applyFill="1" applyBorder="1"/>
    <xf numFmtId="1" fontId="23" fillId="0" borderId="1" xfId="1" applyNumberFormat="1" applyFont="1" applyFill="1" applyBorder="1" applyAlignment="1">
      <alignment horizontal="center"/>
    </xf>
    <xf numFmtId="0" fontId="24" fillId="0" borderId="5" xfId="0" applyFont="1" applyFill="1" applyBorder="1"/>
    <xf numFmtId="0" fontId="24" fillId="0" borderId="34" xfId="0" applyFont="1" applyFill="1" applyBorder="1"/>
    <xf numFmtId="41" fontId="23" fillId="0" borderId="35" xfId="1" applyNumberFormat="1" applyFont="1" applyFill="1" applyBorder="1"/>
    <xf numFmtId="41" fontId="23" fillId="0" borderId="38" xfId="1" applyNumberFormat="1" applyFont="1" applyFill="1" applyBorder="1"/>
    <xf numFmtId="41" fontId="24" fillId="0" borderId="36" xfId="3" applyNumberFormat="1" applyFont="1" applyFill="1" applyBorder="1"/>
    <xf numFmtId="1" fontId="23" fillId="35" borderId="28" xfId="1" applyNumberFormat="1" applyFont="1" applyFill="1" applyBorder="1" applyAlignment="1">
      <alignment horizontal="center"/>
    </xf>
    <xf numFmtId="0" fontId="23" fillId="35" borderId="29" xfId="1" applyFont="1" applyFill="1" applyBorder="1" applyAlignment="1">
      <alignment horizontal="center"/>
    </xf>
    <xf numFmtId="0" fontId="24" fillId="35" borderId="28" xfId="0" applyFont="1" applyFill="1" applyBorder="1"/>
    <xf numFmtId="0" fontId="24" fillId="35" borderId="30" xfId="0" applyFont="1" applyFill="1" applyBorder="1"/>
    <xf numFmtId="41" fontId="24" fillId="35" borderId="30" xfId="3" applyFont="1" applyFill="1" applyBorder="1"/>
    <xf numFmtId="41" fontId="24" fillId="35" borderId="29" xfId="3" applyFont="1" applyFill="1" applyBorder="1"/>
    <xf numFmtId="41" fontId="24" fillId="35" borderId="31" xfId="3" applyFont="1" applyFill="1" applyBorder="1"/>
    <xf numFmtId="41" fontId="23" fillId="35" borderId="30" xfId="3" applyFont="1" applyFill="1" applyBorder="1"/>
    <xf numFmtId="41" fontId="24" fillId="35" borderId="30" xfId="1" applyNumberFormat="1" applyFont="1" applyFill="1" applyBorder="1"/>
    <xf numFmtId="41" fontId="23" fillId="35" borderId="29" xfId="1" applyNumberFormat="1" applyFont="1" applyFill="1" applyBorder="1"/>
    <xf numFmtId="41" fontId="23" fillId="35" borderId="27" xfId="1" applyNumberFormat="1" applyFont="1" applyFill="1" applyBorder="1"/>
    <xf numFmtId="41" fontId="23" fillId="35" borderId="32" xfId="1" applyNumberFormat="1" applyFont="1" applyFill="1" applyBorder="1"/>
    <xf numFmtId="41" fontId="23" fillId="35" borderId="27" xfId="3" applyFont="1" applyFill="1" applyBorder="1"/>
    <xf numFmtId="0" fontId="14" fillId="0" borderId="0" xfId="0" applyFont="1" applyFill="1" applyAlignment="1">
      <alignment vertical="top" wrapText="1"/>
    </xf>
    <xf numFmtId="0" fontId="0" fillId="0" borderId="0" xfId="0" applyFill="1" applyAlignment="1">
      <alignment vertical="top" wrapText="1"/>
    </xf>
    <xf numFmtId="0" fontId="0" fillId="0" borderId="0" xfId="0" applyFill="1" applyAlignment="1">
      <alignment vertical="top"/>
    </xf>
    <xf numFmtId="0" fontId="7" fillId="0" borderId="0" xfId="151"/>
    <xf numFmtId="0" fontId="14" fillId="0" borderId="0" xfId="0" applyFont="1" applyFill="1"/>
    <xf numFmtId="0" fontId="7" fillId="0" borderId="0" xfId="151"/>
    <xf numFmtId="0" fontId="7" fillId="0" borderId="0" xfId="151"/>
    <xf numFmtId="0" fontId="7" fillId="0" borderId="0" xfId="151"/>
    <xf numFmtId="165" fontId="24" fillId="0" borderId="0" xfId="51" applyNumberFormat="1" applyFont="1" applyFill="1"/>
    <xf numFmtId="37" fontId="24" fillId="0" borderId="2" xfId="1" applyNumberFormat="1" applyFont="1" applyFill="1" applyBorder="1"/>
    <xf numFmtId="0" fontId="6" fillId="0" borderId="0" xfId="165"/>
    <xf numFmtId="41" fontId="24" fillId="0" borderId="5" xfId="3" applyFont="1" applyFill="1" applyBorder="1"/>
    <xf numFmtId="1" fontId="23" fillId="0" borderId="8" xfId="1" applyNumberFormat="1" applyFont="1" applyFill="1" applyBorder="1" applyAlignment="1">
      <alignment horizontal="center"/>
    </xf>
    <xf numFmtId="41" fontId="24" fillId="0" borderId="3" xfId="1" applyNumberFormat="1" applyFont="1" applyFill="1" applyBorder="1"/>
    <xf numFmtId="0" fontId="23" fillId="35" borderId="0" xfId="0" applyFont="1" applyFill="1" applyAlignment="1">
      <alignment horizontal="center"/>
    </xf>
    <xf numFmtId="0" fontId="23" fillId="35" borderId="1" xfId="1" applyFont="1" applyFill="1" applyBorder="1" applyAlignment="1">
      <alignment horizontal="center"/>
    </xf>
    <xf numFmtId="165" fontId="24" fillId="35" borderId="0" xfId="3" applyNumberFormat="1" applyFont="1" applyFill="1" applyBorder="1"/>
    <xf numFmtId="41" fontId="24" fillId="35" borderId="7" xfId="3" applyFont="1" applyFill="1" applyBorder="1"/>
    <xf numFmtId="41" fontId="24" fillId="35" borderId="0" xfId="3" applyFont="1" applyFill="1"/>
    <xf numFmtId="1" fontId="23" fillId="35" borderId="34" xfId="1" applyNumberFormat="1" applyFont="1" applyFill="1" applyBorder="1" applyAlignment="1">
      <alignment horizontal="center"/>
    </xf>
    <xf numFmtId="0" fontId="23" fillId="35" borderId="35" xfId="1" applyFont="1" applyFill="1" applyBorder="1" applyAlignment="1">
      <alignment horizontal="center"/>
    </xf>
    <xf numFmtId="0" fontId="24" fillId="35" borderId="36" xfId="0" applyFont="1" applyFill="1" applyBorder="1"/>
    <xf numFmtId="41" fontId="24" fillId="35" borderId="36" xfId="3" applyFont="1" applyFill="1" applyBorder="1"/>
    <xf numFmtId="41" fontId="24" fillId="35" borderId="37" xfId="3" applyFont="1" applyFill="1" applyBorder="1"/>
    <xf numFmtId="41" fontId="24" fillId="35" borderId="35" xfId="3" applyFont="1" applyFill="1" applyBorder="1"/>
    <xf numFmtId="41" fontId="23" fillId="35" borderId="36" xfId="3" applyFont="1" applyFill="1" applyBorder="1"/>
    <xf numFmtId="41" fontId="24" fillId="35" borderId="36" xfId="1" applyNumberFormat="1" applyFont="1" applyFill="1" applyBorder="1"/>
    <xf numFmtId="41" fontId="23" fillId="35" borderId="36" xfId="1" applyNumberFormat="1" applyFont="1" applyFill="1" applyBorder="1"/>
    <xf numFmtId="41" fontId="23" fillId="35" borderId="33" xfId="1" applyNumberFormat="1" applyFont="1" applyFill="1" applyBorder="1"/>
    <xf numFmtId="41" fontId="23" fillId="35" borderId="36" xfId="3" applyNumberFormat="1" applyFont="1" applyFill="1" applyBorder="1"/>
    <xf numFmtId="41" fontId="23" fillId="35" borderId="33" xfId="3" applyFont="1" applyFill="1" applyBorder="1"/>
    <xf numFmtId="0" fontId="8" fillId="0" borderId="0" xfId="137" applyFill="1"/>
    <xf numFmtId="41" fontId="8" fillId="0" borderId="0" xfId="3" applyFont="1" applyFill="1"/>
    <xf numFmtId="0" fontId="24" fillId="34" borderId="30" xfId="0" applyFont="1" applyFill="1" applyBorder="1"/>
    <xf numFmtId="41" fontId="23" fillId="34" borderId="30" xfId="1" applyNumberFormat="1" applyFont="1" applyFill="1" applyBorder="1"/>
    <xf numFmtId="0" fontId="24" fillId="34" borderId="28" xfId="0" applyFont="1" applyFill="1" applyBorder="1"/>
    <xf numFmtId="41" fontId="24" fillId="34" borderId="30" xfId="1" applyNumberFormat="1" applyFont="1" applyFill="1" applyBorder="1"/>
    <xf numFmtId="0" fontId="23" fillId="34" borderId="29" xfId="1" applyFont="1" applyFill="1" applyBorder="1" applyAlignment="1">
      <alignment horizontal="center"/>
    </xf>
    <xf numFmtId="41" fontId="23" fillId="34" borderId="30" xfId="3" applyFont="1" applyFill="1" applyBorder="1"/>
    <xf numFmtId="1" fontId="23" fillId="34" borderId="28" xfId="1" applyNumberFormat="1" applyFont="1" applyFill="1" applyBorder="1" applyAlignment="1">
      <alignment horizontal="center"/>
    </xf>
    <xf numFmtId="41" fontId="24" fillId="34" borderId="29" xfId="3" applyFont="1" applyFill="1" applyBorder="1"/>
    <xf numFmtId="41" fontId="24" fillId="34" borderId="31" xfId="3" applyFont="1" applyFill="1" applyBorder="1"/>
    <xf numFmtId="41" fontId="24" fillId="34" borderId="30" xfId="3" applyFont="1" applyFill="1" applyBorder="1"/>
    <xf numFmtId="41" fontId="23" fillId="34" borderId="29" xfId="1" applyNumberFormat="1" applyFont="1" applyFill="1" applyBorder="1"/>
    <xf numFmtId="41" fontId="23" fillId="34" borderId="27" xfId="1" applyNumberFormat="1" applyFont="1" applyFill="1" applyBorder="1"/>
    <xf numFmtId="41" fontId="23" fillId="34" borderId="32" xfId="1" applyNumberFormat="1" applyFont="1" applyFill="1" applyBorder="1"/>
    <xf numFmtId="41" fontId="23" fillId="34" borderId="30" xfId="3" applyNumberFormat="1" applyFont="1" applyFill="1" applyBorder="1"/>
    <xf numFmtId="41" fontId="23" fillId="34" borderId="27" xfId="3" applyFont="1" applyFill="1" applyBorder="1"/>
    <xf numFmtId="0" fontId="24" fillId="42" borderId="14" xfId="1" applyFont="1" applyFill="1" applyBorder="1" applyAlignment="1">
      <alignment horizontal="left"/>
    </xf>
    <xf numFmtId="0" fontId="24" fillId="42" borderId="14" xfId="1" applyFont="1" applyFill="1" applyBorder="1"/>
    <xf numFmtId="0" fontId="23" fillId="42" borderId="0" xfId="0" applyFont="1" applyFill="1"/>
    <xf numFmtId="0" fontId="24" fillId="42" borderId="14" xfId="1" quotePrefix="1" applyFont="1" applyFill="1" applyBorder="1" applyAlignment="1">
      <alignment horizontal="left"/>
    </xf>
    <xf numFmtId="0" fontId="23" fillId="42" borderId="14" xfId="1" applyFont="1" applyFill="1" applyBorder="1"/>
    <xf numFmtId="0" fontId="24" fillId="2" borderId="0" xfId="0" applyFont="1" applyFill="1"/>
    <xf numFmtId="0" fontId="14" fillId="35" borderId="0" xfId="0" applyFont="1" applyFill="1"/>
    <xf numFmtId="10" fontId="24" fillId="0" borderId="0" xfId="5" applyNumberFormat="1" applyFont="1" applyFill="1"/>
    <xf numFmtId="0" fontId="3" fillId="0" borderId="0" xfId="207"/>
    <xf numFmtId="0" fontId="3" fillId="0" borderId="0" xfId="207"/>
    <xf numFmtId="0" fontId="24" fillId="0" borderId="0" xfId="0" applyFont="1" applyFill="1" applyAlignment="1">
      <alignment horizontal="left" wrapText="1"/>
    </xf>
    <xf numFmtId="0" fontId="3" fillId="0" borderId="0" xfId="207"/>
    <xf numFmtId="49" fontId="3" fillId="0" borderId="0" xfId="207" applyNumberFormat="1"/>
    <xf numFmtId="0" fontId="3" fillId="0" borderId="0" xfId="207"/>
    <xf numFmtId="0" fontId="3" fillId="0" borderId="0" xfId="207"/>
    <xf numFmtId="0" fontId="3" fillId="0" borderId="0" xfId="207"/>
    <xf numFmtId="0" fontId="3" fillId="0" borderId="0" xfId="207"/>
    <xf numFmtId="0" fontId="3" fillId="0" borderId="0" xfId="207"/>
    <xf numFmtId="0" fontId="3" fillId="0" borderId="0" xfId="207"/>
    <xf numFmtId="41" fontId="23" fillId="35" borderId="2" xfId="0" applyNumberFormat="1" applyFont="1" applyFill="1" applyBorder="1"/>
    <xf numFmtId="41" fontId="24" fillId="35" borderId="9" xfId="0" applyNumberFormat="1" applyFont="1" applyFill="1" applyBorder="1"/>
    <xf numFmtId="0" fontId="23" fillId="45" borderId="0" xfId="1" applyFont="1" applyFill="1"/>
    <xf numFmtId="0" fontId="24" fillId="45" borderId="0" xfId="0" applyFont="1" applyFill="1"/>
    <xf numFmtId="49" fontId="23" fillId="45" borderId="1" xfId="1" applyNumberFormat="1" applyFont="1" applyFill="1" applyBorder="1" applyAlignment="1">
      <alignment horizontal="center"/>
    </xf>
    <xf numFmtId="49" fontId="23" fillId="45" borderId="1" xfId="0" applyNumberFormat="1" applyFont="1" applyFill="1" applyBorder="1" applyAlignment="1">
      <alignment horizontal="center"/>
    </xf>
    <xf numFmtId="0" fontId="23" fillId="45" borderId="1" xfId="1" applyNumberFormat="1" applyFont="1" applyFill="1" applyBorder="1" applyAlignment="1">
      <alignment horizontal="center"/>
    </xf>
    <xf numFmtId="49" fontId="0" fillId="45" borderId="0" xfId="0" applyNumberFormat="1" applyFill="1"/>
    <xf numFmtId="0" fontId="0" fillId="45" borderId="0" xfId="0" applyFill="1"/>
    <xf numFmtId="41" fontId="0" fillId="45" borderId="0" xfId="3" applyFont="1" applyFill="1"/>
    <xf numFmtId="41" fontId="23" fillId="45" borderId="2" xfId="3" applyFont="1" applyFill="1" applyBorder="1"/>
    <xf numFmtId="6" fontId="44" fillId="0" borderId="0" xfId="0" applyNumberFormat="1" applyFont="1"/>
    <xf numFmtId="0" fontId="43" fillId="0" borderId="1" xfId="0" applyFont="1" applyBorder="1"/>
    <xf numFmtId="14" fontId="0" fillId="0" borderId="0" xfId="0" applyNumberFormat="1" applyFill="1"/>
    <xf numFmtId="0" fontId="0" fillId="42" borderId="0" xfId="0" applyFill="1"/>
    <xf numFmtId="0" fontId="14" fillId="42" borderId="0" xfId="0" applyFont="1" applyFill="1"/>
    <xf numFmtId="14" fontId="14" fillId="42" borderId="0" xfId="0" applyNumberFormat="1" applyFont="1" applyFill="1"/>
    <xf numFmtId="0" fontId="59" fillId="0" borderId="0" xfId="0" applyFont="1" applyFill="1" applyBorder="1"/>
    <xf numFmtId="0" fontId="14" fillId="0" borderId="0" xfId="0" applyFont="1"/>
    <xf numFmtId="0" fontId="0" fillId="34" borderId="0" xfId="0" applyFill="1"/>
    <xf numFmtId="0" fontId="14" fillId="34" borderId="0" xfId="0" applyFont="1" applyFill="1"/>
    <xf numFmtId="0" fontId="0" fillId="42" borderId="0" xfId="0" applyFill="1" applyAlignment="1">
      <alignment vertical="top"/>
    </xf>
    <xf numFmtId="0" fontId="0" fillId="42" borderId="0" xfId="0" applyFill="1" applyAlignment="1">
      <alignment wrapText="1"/>
    </xf>
    <xf numFmtId="0" fontId="2" fillId="0" borderId="0" xfId="151" applyFont="1"/>
    <xf numFmtId="14" fontId="0" fillId="0" borderId="0" xfId="0" applyNumberFormat="1"/>
    <xf numFmtId="164" fontId="24" fillId="0" borderId="0" xfId="1" applyNumberFormat="1" applyFont="1" applyFill="1" applyAlignment="1">
      <alignment horizontal="center"/>
    </xf>
    <xf numFmtId="3" fontId="24" fillId="0" borderId="0" xfId="0" applyNumberFormat="1" applyFont="1"/>
    <xf numFmtId="43" fontId="24" fillId="0" borderId="0" xfId="0" applyNumberFormat="1" applyFont="1"/>
    <xf numFmtId="6" fontId="24" fillId="0" borderId="0" xfId="3" applyNumberFormat="1" applyFont="1" applyFill="1"/>
    <xf numFmtId="0" fontId="23" fillId="0" borderId="0" xfId="51" applyFont="1"/>
    <xf numFmtId="0" fontId="24" fillId="43" borderId="39" xfId="0" applyFont="1" applyFill="1" applyBorder="1"/>
    <xf numFmtId="0" fontId="24" fillId="43" borderId="40" xfId="0" applyFont="1" applyFill="1" applyBorder="1"/>
    <xf numFmtId="0" fontId="24" fillId="43" borderId="41" xfId="0" applyFont="1" applyFill="1" applyBorder="1"/>
    <xf numFmtId="0" fontId="24" fillId="43" borderId="42" xfId="1" quotePrefix="1" applyFont="1" applyFill="1" applyBorder="1" applyAlignment="1">
      <alignment horizontal="left"/>
    </xf>
    <xf numFmtId="41" fontId="24" fillId="43" borderId="0" xfId="3" applyFont="1" applyFill="1" applyBorder="1"/>
    <xf numFmtId="0" fontId="23" fillId="43" borderId="0" xfId="1" applyFont="1" applyFill="1" applyBorder="1" applyAlignment="1">
      <alignment horizontal="center"/>
    </xf>
    <xf numFmtId="0" fontId="24" fillId="43" borderId="36" xfId="0" applyFont="1" applyFill="1" applyBorder="1"/>
    <xf numFmtId="0" fontId="24" fillId="43" borderId="42" xfId="0" applyFont="1" applyFill="1" applyBorder="1"/>
    <xf numFmtId="0" fontId="24" fillId="43" borderId="0" xfId="0" applyFont="1" applyFill="1"/>
    <xf numFmtId="171" fontId="1" fillId="43" borderId="0" xfId="221" applyNumberFormat="1" applyFill="1" applyBorder="1"/>
    <xf numFmtId="171" fontId="1" fillId="43" borderId="1" xfId="221" applyNumberFormat="1" applyFill="1" applyBorder="1"/>
    <xf numFmtId="41" fontId="23" fillId="43" borderId="1" xfId="3" applyFont="1" applyFill="1" applyBorder="1"/>
    <xf numFmtId="41" fontId="23" fillId="43" borderId="1" xfId="1" applyNumberFormat="1" applyFont="1" applyFill="1" applyBorder="1"/>
    <xf numFmtId="0" fontId="24" fillId="47" borderId="14" xfId="1" applyFont="1" applyFill="1" applyBorder="1" applyAlignment="1">
      <alignment horizontal="left"/>
    </xf>
    <xf numFmtId="41" fontId="8" fillId="42" borderId="0" xfId="3" applyFont="1" applyFill="1"/>
    <xf numFmtId="0" fontId="24" fillId="43" borderId="0" xfId="0" applyFont="1" applyFill="1" applyBorder="1"/>
    <xf numFmtId="0" fontId="23" fillId="43" borderId="0" xfId="2" applyFont="1" applyFill="1" applyBorder="1" applyAlignment="1">
      <alignment horizontal="right"/>
    </xf>
    <xf numFmtId="41" fontId="23" fillId="43" borderId="2" xfId="3" applyFont="1" applyFill="1" applyBorder="1"/>
    <xf numFmtId="41" fontId="23" fillId="43" borderId="33" xfId="3" applyFont="1" applyFill="1" applyBorder="1"/>
    <xf numFmtId="0" fontId="24" fillId="43" borderId="0" xfId="0" applyFont="1" applyFill="1" applyBorder="1" applyAlignment="1">
      <alignment horizontal="right"/>
    </xf>
    <xf numFmtId="164" fontId="24" fillId="43" borderId="0" xfId="5" applyNumberFormat="1" applyFont="1" applyFill="1" applyBorder="1"/>
    <xf numFmtId="0" fontId="24" fillId="43" borderId="2" xfId="0" applyFont="1" applyFill="1" applyBorder="1"/>
    <xf numFmtId="0" fontId="43" fillId="43" borderId="42" xfId="46" applyFont="1" applyFill="1" applyBorder="1"/>
    <xf numFmtId="0" fontId="24" fillId="43" borderId="42" xfId="0" applyFont="1" applyFill="1" applyBorder="1" applyAlignment="1">
      <alignment horizontal="left" vertical="top" indent="1"/>
    </xf>
    <xf numFmtId="0" fontId="24" fillId="43" borderId="0" xfId="0" applyFont="1" applyFill="1" applyBorder="1" applyAlignment="1">
      <alignment horizontal="left" vertical="top" wrapText="1" indent="1"/>
    </xf>
    <xf numFmtId="0" fontId="24" fillId="43" borderId="42" xfId="0" applyFont="1" applyFill="1" applyBorder="1" applyAlignment="1">
      <alignment horizontal="left" vertical="top" wrapText="1" indent="1"/>
    </xf>
    <xf numFmtId="0" fontId="24" fillId="43" borderId="43" xfId="0" applyFont="1" applyFill="1" applyBorder="1"/>
    <xf numFmtId="0" fontId="24" fillId="43" borderId="26" xfId="0" applyFont="1" applyFill="1" applyBorder="1"/>
    <xf numFmtId="0" fontId="24" fillId="43" borderId="44" xfId="0" applyFont="1" applyFill="1" applyBorder="1"/>
    <xf numFmtId="41" fontId="24" fillId="43" borderId="0" xfId="1" applyNumberFormat="1" applyFont="1" applyFill="1"/>
    <xf numFmtId="0" fontId="22" fillId="42" borderId="0" xfId="0" applyFont="1" applyFill="1"/>
    <xf numFmtId="8" fontId="24" fillId="0" borderId="0" xfId="0" applyNumberFormat="1" applyFont="1"/>
    <xf numFmtId="0" fontId="23" fillId="0" borderId="40" xfId="0" applyFont="1" applyFill="1" applyBorder="1" applyAlignment="1">
      <alignment horizontal="center"/>
    </xf>
    <xf numFmtId="0" fontId="23" fillId="0" borderId="40" xfId="0" applyFont="1" applyFill="1" applyBorder="1" applyAlignment="1">
      <alignment horizontal="right"/>
    </xf>
    <xf numFmtId="164" fontId="24" fillId="0" borderId="40" xfId="5" applyNumberFormat="1" applyFont="1" applyFill="1" applyBorder="1" applyAlignment="1">
      <alignment horizontal="center"/>
    </xf>
    <xf numFmtId="164" fontId="24" fillId="0" borderId="41" xfId="5" applyNumberFormat="1" applyFont="1" applyFill="1" applyBorder="1" applyAlignment="1">
      <alignment horizontal="center"/>
    </xf>
    <xf numFmtId="0" fontId="23" fillId="0" borderId="42" xfId="0" applyFont="1" applyFill="1" applyBorder="1" applyAlignment="1">
      <alignment horizontal="center"/>
    </xf>
    <xf numFmtId="164" fontId="24" fillId="0" borderId="36" xfId="5" applyNumberFormat="1" applyFont="1" applyFill="1" applyBorder="1" applyAlignment="1">
      <alignment horizontal="center"/>
    </xf>
    <xf numFmtId="0" fontId="24" fillId="0" borderId="42" xfId="0" applyFont="1" applyBorder="1" applyAlignment="1"/>
    <xf numFmtId="0" fontId="23" fillId="0" borderId="35" xfId="0" applyFont="1" applyFill="1" applyBorder="1" applyAlignment="1">
      <alignment horizontal="center" wrapText="1"/>
    </xf>
    <xf numFmtId="0" fontId="23" fillId="0" borderId="42" xfId="1" applyFont="1" applyFill="1" applyBorder="1"/>
    <xf numFmtId="41" fontId="24" fillId="46" borderId="0" xfId="3" applyFont="1" applyFill="1" applyBorder="1"/>
    <xf numFmtId="41" fontId="24" fillId="0" borderId="36" xfId="3" applyFont="1" applyFill="1" applyBorder="1" applyAlignment="1">
      <alignment horizontal="center"/>
    </xf>
    <xf numFmtId="0" fontId="23" fillId="0" borderId="42" xfId="1" quotePrefix="1" applyFont="1" applyFill="1" applyBorder="1" applyAlignment="1">
      <alignment horizontal="left"/>
    </xf>
    <xf numFmtId="41" fontId="23" fillId="0" borderId="37" xfId="3" applyFont="1" applyFill="1" applyBorder="1"/>
    <xf numFmtId="0" fontId="24" fillId="0" borderId="42" xfId="0" applyFont="1" applyFill="1" applyBorder="1"/>
    <xf numFmtId="0" fontId="23" fillId="0" borderId="36" xfId="0" applyFont="1" applyFill="1" applyBorder="1" applyAlignment="1">
      <alignment horizontal="center" wrapText="1"/>
    </xf>
    <xf numFmtId="0" fontId="24" fillId="0" borderId="42" xfId="0" applyFont="1" applyBorder="1" applyAlignment="1">
      <alignment horizontal="right"/>
    </xf>
    <xf numFmtId="41" fontId="23" fillId="0" borderId="36" xfId="3" applyFont="1" applyFill="1" applyBorder="1" applyAlignment="1">
      <alignment horizontal="center" wrapText="1"/>
    </xf>
    <xf numFmtId="0" fontId="24" fillId="0" borderId="43" xfId="0" applyFont="1" applyBorder="1" applyAlignment="1">
      <alignment horizontal="right"/>
    </xf>
    <xf numFmtId="165" fontId="24" fillId="0" borderId="26" xfId="3" applyNumberFormat="1" applyFont="1" applyBorder="1"/>
    <xf numFmtId="0" fontId="24" fillId="0" borderId="26" xfId="0" applyFont="1" applyFill="1" applyBorder="1"/>
    <xf numFmtId="0" fontId="23" fillId="0" borderId="26" xfId="0" applyFont="1" applyFill="1" applyBorder="1" applyAlignment="1">
      <alignment horizontal="center"/>
    </xf>
    <xf numFmtId="0" fontId="23" fillId="0" borderId="26" xfId="0" applyFont="1" applyFill="1" applyBorder="1" applyAlignment="1">
      <alignment horizontal="center" wrapText="1"/>
    </xf>
    <xf numFmtId="0" fontId="23" fillId="0" borderId="44" xfId="0" applyFont="1" applyFill="1" applyBorder="1" applyAlignment="1">
      <alignment horizontal="center" wrapText="1"/>
    </xf>
    <xf numFmtId="0" fontId="24" fillId="0" borderId="40" xfId="0" applyFont="1" applyFill="1" applyBorder="1"/>
    <xf numFmtId="0" fontId="23" fillId="0" borderId="40" xfId="0" applyFont="1" applyFill="1" applyBorder="1" applyAlignment="1">
      <alignment horizontal="center" wrapText="1"/>
    </xf>
    <xf numFmtId="0" fontId="23" fillId="0" borderId="41" xfId="0" applyFont="1" applyFill="1" applyBorder="1" applyAlignment="1">
      <alignment horizontal="center" wrapText="1"/>
    </xf>
    <xf numFmtId="41" fontId="24" fillId="0" borderId="33" xfId="0" applyNumberFormat="1" applyFont="1" applyFill="1" applyBorder="1"/>
    <xf numFmtId="0" fontId="24" fillId="0" borderId="43" xfId="0" applyFont="1" applyFill="1" applyBorder="1"/>
    <xf numFmtId="0" fontId="24" fillId="0" borderId="26" xfId="0" applyFont="1" applyFill="1" applyBorder="1" applyAlignment="1">
      <alignment horizontal="right"/>
    </xf>
    <xf numFmtId="165" fontId="24" fillId="0" borderId="26" xfId="0" applyNumberFormat="1" applyFont="1" applyFill="1" applyBorder="1"/>
    <xf numFmtId="165" fontId="24" fillId="0" borderId="44" xfId="0" applyNumberFormat="1" applyFont="1" applyFill="1" applyBorder="1"/>
    <xf numFmtId="0" fontId="25" fillId="0" borderId="39" xfId="0" applyFont="1" applyFill="1" applyBorder="1" applyAlignment="1">
      <alignment horizontal="left"/>
    </xf>
    <xf numFmtId="0" fontId="25" fillId="0" borderId="39" xfId="0" applyFont="1" applyFill="1" applyBorder="1"/>
    <xf numFmtId="171" fontId="23" fillId="43" borderId="1" xfId="3" applyNumberFormat="1" applyFont="1" applyFill="1" applyBorder="1"/>
    <xf numFmtId="0" fontId="22" fillId="43" borderId="40" xfId="0" applyFont="1" applyFill="1" applyBorder="1"/>
    <xf numFmtId="0" fontId="44" fillId="0" borderId="0" xfId="0" applyFont="1" applyFill="1" applyBorder="1" applyAlignment="1">
      <alignment horizontal="left" wrapText="1"/>
    </xf>
    <xf numFmtId="0" fontId="43" fillId="0" borderId="0" xfId="46" applyFont="1" applyFill="1" applyBorder="1" applyAlignment="1">
      <alignment horizontal="center" vertical="center" wrapText="1"/>
    </xf>
    <xf numFmtId="0" fontId="43" fillId="0" borderId="0" xfId="46" applyFont="1" applyFill="1" applyBorder="1" applyAlignment="1">
      <alignment horizontal="center" vertical="center"/>
    </xf>
    <xf numFmtId="0" fontId="24" fillId="0" borderId="0" xfId="0" applyFont="1" applyFill="1" applyBorder="1" applyAlignment="1">
      <alignment vertical="center"/>
    </xf>
    <xf numFmtId="6" fontId="24" fillId="0" borderId="0" xfId="0" applyNumberFormat="1" applyFont="1" applyFill="1" applyBorder="1"/>
    <xf numFmtId="0" fontId="22" fillId="42" borderId="0" xfId="0" applyFont="1" applyFill="1" applyBorder="1"/>
    <xf numFmtId="165" fontId="24" fillId="42" borderId="0" xfId="3" applyNumberFormat="1" applyFont="1" applyFill="1"/>
    <xf numFmtId="165" fontId="22" fillId="42" borderId="0" xfId="3" applyNumberFormat="1" applyFont="1" applyFill="1"/>
    <xf numFmtId="165" fontId="24" fillId="0" borderId="0" xfId="0" applyNumberFormat="1" applyFont="1"/>
    <xf numFmtId="6" fontId="23" fillId="0" borderId="0" xfId="0" applyNumberFormat="1" applyFont="1" applyFill="1"/>
    <xf numFmtId="41" fontId="24" fillId="0" borderId="0" xfId="3" applyFont="1" applyFill="1" applyBorder="1" applyAlignment="1">
      <alignment horizontal="left"/>
    </xf>
    <xf numFmtId="41" fontId="24" fillId="0" borderId="36" xfId="3" applyFont="1" applyFill="1" applyBorder="1" applyAlignment="1">
      <alignment horizontal="left"/>
    </xf>
    <xf numFmtId="0" fontId="22" fillId="0" borderId="0" xfId="151" applyFont="1" applyFill="1"/>
    <xf numFmtId="0" fontId="25" fillId="0" borderId="0" xfId="0" applyFont="1"/>
    <xf numFmtId="0" fontId="60" fillId="0" borderId="0" xfId="0" applyFont="1" applyFill="1"/>
    <xf numFmtId="0" fontId="23" fillId="48" borderId="1" xfId="1" applyFont="1" applyFill="1" applyBorder="1" applyAlignment="1">
      <alignment horizontal="center"/>
    </xf>
    <xf numFmtId="0" fontId="24" fillId="48" borderId="0" xfId="0" applyFont="1" applyFill="1"/>
    <xf numFmtId="37" fontId="24" fillId="48" borderId="0" xfId="1" applyNumberFormat="1" applyFont="1" applyFill="1"/>
    <xf numFmtId="37" fontId="23" fillId="48" borderId="2" xfId="1" applyNumberFormat="1" applyFont="1" applyFill="1" applyBorder="1"/>
    <xf numFmtId="0" fontId="25" fillId="0" borderId="0" xfId="151" applyFont="1" applyFill="1"/>
    <xf numFmtId="0" fontId="25" fillId="0" borderId="0" xfId="0" applyFont="1" applyFill="1" applyBorder="1"/>
    <xf numFmtId="38" fontId="24" fillId="0" borderId="0" xfId="0" applyNumberFormat="1" applyFont="1" applyFill="1"/>
    <xf numFmtId="41" fontId="0" fillId="0" borderId="0" xfId="3" applyFont="1"/>
    <xf numFmtId="0" fontId="59" fillId="0" borderId="0" xfId="0" applyFont="1"/>
    <xf numFmtId="0" fontId="61" fillId="0" borderId="0" xfId="0" applyFont="1"/>
    <xf numFmtId="0" fontId="62" fillId="0" borderId="0" xfId="0" applyFont="1"/>
    <xf numFmtId="1" fontId="24" fillId="0" borderId="0" xfId="0" applyNumberFormat="1" applyFont="1" applyFill="1"/>
    <xf numFmtId="0" fontId="24" fillId="0" borderId="0" xfId="0" applyFont="1" applyFill="1"/>
    <xf numFmtId="0" fontId="24" fillId="0" borderId="0" xfId="0" applyFont="1" applyFill="1" applyBorder="1"/>
    <xf numFmtId="0" fontId="5" fillId="0" borderId="0" xfId="179" applyFill="1" applyBorder="1"/>
    <xf numFmtId="41" fontId="5" fillId="0" borderId="0" xfId="3" applyNumberFormat="1" applyFont="1" applyFill="1" applyBorder="1"/>
    <xf numFmtId="0" fontId="3" fillId="0" borderId="0" xfId="207" applyFill="1" applyBorder="1"/>
    <xf numFmtId="38" fontId="24" fillId="0" borderId="0" xfId="0" applyNumberFormat="1" applyFont="1" applyFill="1" applyBorder="1"/>
    <xf numFmtId="0" fontId="23" fillId="0" borderId="0" xfId="1" quotePrefix="1" applyFont="1" applyFill="1" applyBorder="1" applyAlignment="1">
      <alignment horizontal="center"/>
    </xf>
    <xf numFmtId="0" fontId="41" fillId="0" borderId="1" xfId="1" applyFont="1" applyFill="1" applyBorder="1" applyAlignment="1">
      <alignment horizontal="center"/>
    </xf>
    <xf numFmtId="0" fontId="23" fillId="0" borderId="0" xfId="0" applyFont="1" applyFill="1" applyBorder="1" applyAlignment="1">
      <alignment horizontal="center"/>
    </xf>
    <xf numFmtId="0" fontId="25" fillId="0" borderId="0" xfId="1" applyFont="1" applyFill="1" applyAlignment="1">
      <alignment horizontal="center"/>
    </xf>
    <xf numFmtId="0" fontId="25" fillId="0" borderId="0" xfId="1" applyFont="1" applyAlignment="1">
      <alignment horizontal="center"/>
    </xf>
    <xf numFmtId="0" fontId="24" fillId="0" borderId="0" xfId="0" applyFont="1" applyAlignment="1">
      <alignment horizontal="left" wrapText="1"/>
    </xf>
    <xf numFmtId="0" fontId="21" fillId="0" borderId="0" xfId="0" applyFont="1" applyAlignment="1">
      <alignment horizontal="left" wrapText="1"/>
    </xf>
    <xf numFmtId="0" fontId="27" fillId="0" borderId="0" xfId="0" applyFont="1" applyAlignment="1">
      <alignment horizontal="left" wrapText="1"/>
    </xf>
    <xf numFmtId="0" fontId="23" fillId="35" borderId="1" xfId="0" applyFont="1" applyFill="1" applyBorder="1" applyAlignment="1">
      <alignment horizontal="center"/>
    </xf>
    <xf numFmtId="164" fontId="23" fillId="0" borderId="0" xfId="5" applyNumberFormat="1" applyFont="1" applyFill="1" applyAlignment="1">
      <alignment horizontal="center"/>
    </xf>
    <xf numFmtId="0" fontId="23" fillId="35" borderId="0" xfId="0" applyFont="1" applyFill="1" applyAlignment="1">
      <alignment horizontal="center"/>
    </xf>
    <xf numFmtId="0" fontId="23" fillId="0" borderId="1" xfId="1" applyFont="1" applyBorder="1" applyAlignment="1">
      <alignment horizontal="center"/>
    </xf>
  </cellXfs>
  <cellStyles count="223">
    <cellStyle name="_x0013_" xfId="1"/>
    <cellStyle name="_x0013_ 2" xfId="2"/>
    <cellStyle name="_x0013_ 2 2" xfId="51"/>
    <cellStyle name="_x0013_ 3" xfId="50"/>
    <cellStyle name="_Fundamental Predicate" xfId="55"/>
    <cellStyle name="_Multiple" xfId="56"/>
    <cellStyle name="_MultipleSpace" xfId="57"/>
    <cellStyle name="_Rate Selection - INPUT" xfId="58"/>
    <cellStyle name="_Revenue Credits" xfId="59"/>
    <cellStyle name="20% - Accent1" xfId="23" builtinId="30" customBuiltin="1"/>
    <cellStyle name="20% - Accent1 10" xfId="209"/>
    <cellStyle name="20% - Accent1 2" xfId="97"/>
    <cellStyle name="20% - Accent1 3" xfId="111"/>
    <cellStyle name="20% - Accent1 4" xfId="125"/>
    <cellStyle name="20% - Accent1 5" xfId="139"/>
    <cellStyle name="20% - Accent1 6" xfId="153"/>
    <cellStyle name="20% - Accent1 7" xfId="167"/>
    <cellStyle name="20% - Accent1 8" xfId="181"/>
    <cellStyle name="20% - Accent1 9" xfId="195"/>
    <cellStyle name="20% - Accent2" xfId="27" builtinId="34" customBuiltin="1"/>
    <cellStyle name="20% - Accent2 10" xfId="211"/>
    <cellStyle name="20% - Accent2 2" xfId="99"/>
    <cellStyle name="20% - Accent2 3" xfId="113"/>
    <cellStyle name="20% - Accent2 4" xfId="127"/>
    <cellStyle name="20% - Accent2 5" xfId="141"/>
    <cellStyle name="20% - Accent2 6" xfId="155"/>
    <cellStyle name="20% - Accent2 7" xfId="169"/>
    <cellStyle name="20% - Accent2 8" xfId="183"/>
    <cellStyle name="20% - Accent2 9" xfId="197"/>
    <cellStyle name="20% - Accent3" xfId="31" builtinId="38" customBuiltin="1"/>
    <cellStyle name="20% - Accent3 10" xfId="213"/>
    <cellStyle name="20% - Accent3 2" xfId="101"/>
    <cellStyle name="20% - Accent3 3" xfId="115"/>
    <cellStyle name="20% - Accent3 4" xfId="129"/>
    <cellStyle name="20% - Accent3 5" xfId="143"/>
    <cellStyle name="20% - Accent3 6" xfId="157"/>
    <cellStyle name="20% - Accent3 7" xfId="171"/>
    <cellStyle name="20% - Accent3 8" xfId="185"/>
    <cellStyle name="20% - Accent3 9" xfId="199"/>
    <cellStyle name="20% - Accent4" xfId="35" builtinId="42" customBuiltin="1"/>
    <cellStyle name="20% - Accent4 10" xfId="215"/>
    <cellStyle name="20% - Accent4 2" xfId="103"/>
    <cellStyle name="20% - Accent4 3" xfId="117"/>
    <cellStyle name="20% - Accent4 4" xfId="131"/>
    <cellStyle name="20% - Accent4 5" xfId="145"/>
    <cellStyle name="20% - Accent4 6" xfId="159"/>
    <cellStyle name="20% - Accent4 7" xfId="173"/>
    <cellStyle name="20% - Accent4 8" xfId="187"/>
    <cellStyle name="20% - Accent4 9" xfId="201"/>
    <cellStyle name="20% - Accent5" xfId="39" builtinId="46" customBuiltin="1"/>
    <cellStyle name="20% - Accent5 10" xfId="217"/>
    <cellStyle name="20% - Accent5 2" xfId="105"/>
    <cellStyle name="20% - Accent5 3" xfId="119"/>
    <cellStyle name="20% - Accent5 4" xfId="133"/>
    <cellStyle name="20% - Accent5 5" xfId="147"/>
    <cellStyle name="20% - Accent5 6" xfId="161"/>
    <cellStyle name="20% - Accent5 7" xfId="175"/>
    <cellStyle name="20% - Accent5 8" xfId="189"/>
    <cellStyle name="20% - Accent5 9" xfId="203"/>
    <cellStyle name="20% - Accent6" xfId="43" builtinId="50" customBuiltin="1"/>
    <cellStyle name="20% - Accent6 10" xfId="219"/>
    <cellStyle name="20% - Accent6 2" xfId="107"/>
    <cellStyle name="20% - Accent6 3" xfId="121"/>
    <cellStyle name="20% - Accent6 4" xfId="135"/>
    <cellStyle name="20% - Accent6 5" xfId="149"/>
    <cellStyle name="20% - Accent6 6" xfId="163"/>
    <cellStyle name="20% - Accent6 7" xfId="177"/>
    <cellStyle name="20% - Accent6 8" xfId="191"/>
    <cellStyle name="20% - Accent6 9" xfId="205"/>
    <cellStyle name="40% - Accent1" xfId="24" builtinId="31" customBuiltin="1"/>
    <cellStyle name="40% - Accent1 10" xfId="210"/>
    <cellStyle name="40% - Accent1 2" xfId="98"/>
    <cellStyle name="40% - Accent1 3" xfId="112"/>
    <cellStyle name="40% - Accent1 4" xfId="126"/>
    <cellStyle name="40% - Accent1 5" xfId="140"/>
    <cellStyle name="40% - Accent1 6" xfId="154"/>
    <cellStyle name="40% - Accent1 7" xfId="168"/>
    <cellStyle name="40% - Accent1 8" xfId="182"/>
    <cellStyle name="40% - Accent1 9" xfId="196"/>
    <cellStyle name="40% - Accent2" xfId="28" builtinId="35" customBuiltin="1"/>
    <cellStyle name="40% - Accent2 10" xfId="212"/>
    <cellStyle name="40% - Accent2 2" xfId="100"/>
    <cellStyle name="40% - Accent2 3" xfId="114"/>
    <cellStyle name="40% - Accent2 4" xfId="128"/>
    <cellStyle name="40% - Accent2 5" xfId="142"/>
    <cellStyle name="40% - Accent2 6" xfId="156"/>
    <cellStyle name="40% - Accent2 7" xfId="170"/>
    <cellStyle name="40% - Accent2 8" xfId="184"/>
    <cellStyle name="40% - Accent2 9" xfId="198"/>
    <cellStyle name="40% - Accent3" xfId="32" builtinId="39" customBuiltin="1"/>
    <cellStyle name="40% - Accent3 10" xfId="214"/>
    <cellStyle name="40% - Accent3 2" xfId="102"/>
    <cellStyle name="40% - Accent3 3" xfId="116"/>
    <cellStyle name="40% - Accent3 4" xfId="130"/>
    <cellStyle name="40% - Accent3 5" xfId="144"/>
    <cellStyle name="40% - Accent3 6" xfId="158"/>
    <cellStyle name="40% - Accent3 7" xfId="172"/>
    <cellStyle name="40% - Accent3 8" xfId="186"/>
    <cellStyle name="40% - Accent3 9" xfId="200"/>
    <cellStyle name="40% - Accent4" xfId="36" builtinId="43" customBuiltin="1"/>
    <cellStyle name="40% - Accent4 10" xfId="216"/>
    <cellStyle name="40% - Accent4 2" xfId="104"/>
    <cellStyle name="40% - Accent4 3" xfId="118"/>
    <cellStyle name="40% - Accent4 4" xfId="132"/>
    <cellStyle name="40% - Accent4 5" xfId="146"/>
    <cellStyle name="40% - Accent4 6" xfId="160"/>
    <cellStyle name="40% - Accent4 7" xfId="174"/>
    <cellStyle name="40% - Accent4 8" xfId="188"/>
    <cellStyle name="40% - Accent4 9" xfId="202"/>
    <cellStyle name="40% - Accent5" xfId="40" builtinId="47" customBuiltin="1"/>
    <cellStyle name="40% - Accent5 10" xfId="218"/>
    <cellStyle name="40% - Accent5 2" xfId="106"/>
    <cellStyle name="40% - Accent5 3" xfId="120"/>
    <cellStyle name="40% - Accent5 4" xfId="134"/>
    <cellStyle name="40% - Accent5 5" xfId="148"/>
    <cellStyle name="40% - Accent5 6" xfId="162"/>
    <cellStyle name="40% - Accent5 7" xfId="176"/>
    <cellStyle name="40% - Accent5 8" xfId="190"/>
    <cellStyle name="40% - Accent5 9" xfId="204"/>
    <cellStyle name="40% - Accent6" xfId="44" builtinId="51" customBuiltin="1"/>
    <cellStyle name="40% - Accent6 10" xfId="220"/>
    <cellStyle name="40% - Accent6 2" xfId="108"/>
    <cellStyle name="40% - Accent6 3" xfId="122"/>
    <cellStyle name="40% - Accent6 4" xfId="136"/>
    <cellStyle name="40% - Accent6 5" xfId="150"/>
    <cellStyle name="40% - Accent6 6" xfId="164"/>
    <cellStyle name="40% - Accent6 7" xfId="178"/>
    <cellStyle name="40% - Accent6 8" xfId="192"/>
    <cellStyle name="40% - Accent6 9" xfId="206"/>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Comma" xfId="3" builtinId="3"/>
    <cellStyle name="Comma 2" xfId="4"/>
    <cellStyle name="Comma 2 2" xfId="52"/>
    <cellStyle name="Comma 3" xfId="47"/>
    <cellStyle name="Comma 4" xfId="60"/>
    <cellStyle name="Comma 5" xfId="222"/>
    <cellStyle name="Comma0" xfId="61"/>
    <cellStyle name="Currency [2]" xfId="63"/>
    <cellStyle name="Currency 2" xfId="62"/>
    <cellStyle name="Currency0" xfId="64"/>
    <cellStyle name="Date" xfId="65"/>
    <cellStyle name="Explanatory Text" xfId="20" builtinId="53" customBuiltin="1"/>
    <cellStyle name="EY House" xfId="66"/>
    <cellStyle name="Fixed" xfId="67"/>
    <cellStyle name="Good" xfId="11" builtinId="26" customBuiltin="1"/>
    <cellStyle name="Heading 1" xfId="7" builtinId="16" customBuiltin="1"/>
    <cellStyle name="Heading 1 2" xfId="91"/>
    <cellStyle name="Heading 1 3" xfId="68"/>
    <cellStyle name="Heading 2" xfId="8" builtinId="17" customBuiltin="1"/>
    <cellStyle name="Heading 2 2" xfId="88"/>
    <cellStyle name="Heading 2 3" xfId="69"/>
    <cellStyle name="Heading 3" xfId="9" builtinId="18" customBuiltin="1"/>
    <cellStyle name="Heading 4" xfId="10" builtinId="19" customBuiltin="1"/>
    <cellStyle name="Input" xfId="14" builtinId="20" customBuiltin="1"/>
    <cellStyle name="Input 2" xfId="89"/>
    <cellStyle name="Input 3" xfId="70"/>
    <cellStyle name="Linked Cell" xfId="17" builtinId="24" customBuiltin="1"/>
    <cellStyle name="Neutral" xfId="13" builtinId="28" customBuiltin="1"/>
    <cellStyle name="Normal" xfId="0" builtinId="0"/>
    <cellStyle name="Normal 10" xfId="165"/>
    <cellStyle name="Normal 11" xfId="179"/>
    <cellStyle name="Normal 12" xfId="193"/>
    <cellStyle name="Normal 13" xfId="207"/>
    <cellStyle name="Normal 14" xfId="221"/>
    <cellStyle name="Normal 2" xfId="46"/>
    <cellStyle name="Normal 2 2" xfId="86"/>
    <cellStyle name="Normal 3" xfId="49"/>
    <cellStyle name="Normal 4" xfId="53"/>
    <cellStyle name="Normal 5" xfId="95"/>
    <cellStyle name="Normal 6" xfId="109"/>
    <cellStyle name="Normal 7" xfId="123"/>
    <cellStyle name="Normal 8" xfId="137"/>
    <cellStyle name="Normal 9" xfId="151"/>
    <cellStyle name="Note 10" xfId="194"/>
    <cellStyle name="Note 11" xfId="208"/>
    <cellStyle name="Note 2" xfId="48"/>
    <cellStyle name="Note 3" xfId="96"/>
    <cellStyle name="Note 4" xfId="110"/>
    <cellStyle name="Note 5" xfId="124"/>
    <cellStyle name="Note 6" xfId="138"/>
    <cellStyle name="Note 7" xfId="152"/>
    <cellStyle name="Note 8" xfId="166"/>
    <cellStyle name="Note 9" xfId="180"/>
    <cellStyle name="Output" xfId="15" builtinId="21" customBuiltin="1"/>
    <cellStyle name="OUTPUT AMOUNTS" xfId="71"/>
    <cellStyle name="OUTPUT AMOUNTS 2" xfId="92"/>
    <cellStyle name="OUTPUT COLUMN HEADINGS" xfId="72"/>
    <cellStyle name="OUTPUT COLUMN HEADINGS 2" xfId="93"/>
    <cellStyle name="OUTPUT LINE ITEMS" xfId="73"/>
    <cellStyle name="OUTPUT LINE ITEMS 2" xfId="87"/>
    <cellStyle name="OUTPUT REPORT HEADING" xfId="74"/>
    <cellStyle name="OUTPUT REPORT HEADING 2" xfId="90"/>
    <cellStyle name="OUTPUT REPORT TITLE" xfId="75"/>
    <cellStyle name="OUTPUT REPORT TITLE 2" xfId="94"/>
    <cellStyle name="Percent" xfId="5" builtinId="5"/>
    <cellStyle name="STYL0 - Style1" xfId="76"/>
    <cellStyle name="STYL1 - Style2" xfId="77"/>
    <cellStyle name="STYL2 - Style3" xfId="78"/>
    <cellStyle name="STYL3 - Style4" xfId="79"/>
    <cellStyle name="STYL4 - Style5" xfId="80"/>
    <cellStyle name="STYL5 - Style6" xfId="81"/>
    <cellStyle name="STYL6 - Style7" xfId="82"/>
    <cellStyle name="STYL7 - Style8" xfId="83"/>
    <cellStyle name="Style 1" xfId="54"/>
    <cellStyle name="Tim" xfId="84"/>
    <cellStyle name="Title" xfId="6" builtinId="15" customBuiltin="1"/>
    <cellStyle name="Total" xfId="21" builtinId="25" customBuiltin="1"/>
    <cellStyle name="Total 2" xfId="85"/>
    <cellStyle name="Warning Text" xfId="19"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
  <sheetViews>
    <sheetView workbookViewId="0">
      <selection activeCell="A13" sqref="A13"/>
    </sheetView>
  </sheetViews>
  <sheetFormatPr defaultRowHeight="12.75"/>
  <cols>
    <col min="1" max="1" width="23.5703125" customWidth="1"/>
    <col min="2" max="2" width="51.7109375" bestFit="1" customWidth="1"/>
    <col min="3" max="3" width="24.28515625" bestFit="1" customWidth="1"/>
    <col min="4" max="4" width="13.5703125" customWidth="1"/>
  </cols>
  <sheetData>
    <row r="1" spans="1:6">
      <c r="A1" s="419" t="s">
        <v>2</v>
      </c>
      <c r="B1" s="419" t="s">
        <v>732</v>
      </c>
      <c r="C1" s="419" t="s">
        <v>733</v>
      </c>
      <c r="D1" s="419" t="s">
        <v>734</v>
      </c>
      <c r="F1" s="424" t="s">
        <v>736</v>
      </c>
    </row>
    <row r="2" spans="1:6">
      <c r="A2" s="212" t="s">
        <v>396</v>
      </c>
      <c r="B2" s="212" t="s">
        <v>502</v>
      </c>
      <c r="C2" s="420">
        <v>42180</v>
      </c>
    </row>
    <row r="3" spans="1:6">
      <c r="A3" s="212" t="s">
        <v>415</v>
      </c>
      <c r="B3" s="212" t="s">
        <v>510</v>
      </c>
      <c r="C3" s="420">
        <v>42180</v>
      </c>
      <c r="D3" s="431">
        <v>42181</v>
      </c>
    </row>
    <row r="4" spans="1:6">
      <c r="A4" s="421" t="s">
        <v>397</v>
      </c>
      <c r="B4" s="422" t="s">
        <v>531</v>
      </c>
      <c r="C4" s="421"/>
    </row>
    <row r="5" spans="1:6">
      <c r="A5" s="421" t="s">
        <v>398</v>
      </c>
      <c r="B5" s="422" t="s">
        <v>531</v>
      </c>
      <c r="C5" s="421"/>
    </row>
    <row r="6" spans="1:6">
      <c r="A6" s="421" t="s">
        <v>399</v>
      </c>
      <c r="B6" s="422" t="s">
        <v>531</v>
      </c>
      <c r="C6" s="421"/>
    </row>
    <row r="7" spans="1:6">
      <c r="A7" s="421" t="s">
        <v>400</v>
      </c>
      <c r="B7" s="422" t="s">
        <v>531</v>
      </c>
      <c r="C7" s="421"/>
    </row>
    <row r="8" spans="1:6">
      <c r="A8" s="421" t="s">
        <v>401</v>
      </c>
      <c r="B8" s="422" t="s">
        <v>531</v>
      </c>
      <c r="C8" s="421"/>
    </row>
    <row r="9" spans="1:6">
      <c r="A9" s="212" t="s">
        <v>402</v>
      </c>
      <c r="B9" s="344" t="s">
        <v>737</v>
      </c>
      <c r="C9" s="420">
        <v>42180</v>
      </c>
      <c r="D9" s="420">
        <v>42180</v>
      </c>
      <c r="F9" s="425" t="s">
        <v>739</v>
      </c>
    </row>
    <row r="10" spans="1:6">
      <c r="A10" s="212" t="s">
        <v>36</v>
      </c>
      <c r="B10" s="344" t="s">
        <v>513</v>
      </c>
      <c r="C10" s="344"/>
    </row>
    <row r="11" spans="1:6">
      <c r="A11" s="212" t="s">
        <v>403</v>
      </c>
      <c r="B11" s="212" t="s">
        <v>411</v>
      </c>
      <c r="C11" s="420">
        <v>42180</v>
      </c>
    </row>
    <row r="12" spans="1:6">
      <c r="A12" s="421" t="s">
        <v>37</v>
      </c>
      <c r="B12" s="422" t="s">
        <v>532</v>
      </c>
      <c r="C12" s="423" t="s">
        <v>735</v>
      </c>
    </row>
    <row r="13" spans="1:6">
      <c r="A13" s="342" t="s">
        <v>35</v>
      </c>
      <c r="B13" s="340" t="s">
        <v>534</v>
      </c>
      <c r="C13" s="341"/>
    </row>
    <row r="14" spans="1:6">
      <c r="A14" s="212" t="s">
        <v>50</v>
      </c>
      <c r="B14" s="344" t="s">
        <v>738</v>
      </c>
      <c r="C14" s="420">
        <v>42180</v>
      </c>
      <c r="D14" s="420">
        <v>42180</v>
      </c>
      <c r="F14" s="425" t="s">
        <v>739</v>
      </c>
    </row>
    <row r="15" spans="1:6">
      <c r="A15" s="212" t="s">
        <v>404</v>
      </c>
      <c r="B15" s="212" t="s">
        <v>412</v>
      </c>
      <c r="C15" s="420">
        <v>42180</v>
      </c>
    </row>
    <row r="16" spans="1:6">
      <c r="A16" s="212" t="s">
        <v>405</v>
      </c>
      <c r="B16" s="212" t="s">
        <v>413</v>
      </c>
      <c r="C16" s="420">
        <v>42180</v>
      </c>
    </row>
    <row r="17" spans="1:4">
      <c r="A17" s="212" t="s">
        <v>66</v>
      </c>
      <c r="B17" s="212" t="s">
        <v>413</v>
      </c>
      <c r="C17" s="420">
        <v>42180</v>
      </c>
    </row>
    <row r="18" spans="1:4">
      <c r="A18" s="426" t="s">
        <v>406</v>
      </c>
      <c r="B18" s="426" t="s">
        <v>414</v>
      </c>
      <c r="C18" s="426"/>
    </row>
    <row r="19" spans="1:4">
      <c r="A19" s="212" t="s">
        <v>407</v>
      </c>
      <c r="B19" s="212" t="s">
        <v>414</v>
      </c>
      <c r="C19" s="420">
        <v>42180</v>
      </c>
    </row>
    <row r="20" spans="1:4">
      <c r="A20" s="426" t="s">
        <v>408</v>
      </c>
      <c r="B20" s="427" t="s">
        <v>738</v>
      </c>
      <c r="C20" s="426"/>
    </row>
    <row r="21" spans="1:4">
      <c r="A21" s="212" t="s">
        <v>409</v>
      </c>
      <c r="B21" s="344" t="s">
        <v>738</v>
      </c>
      <c r="C21" s="420">
        <v>42180</v>
      </c>
      <c r="D21" s="431">
        <v>42184</v>
      </c>
    </row>
    <row r="22" spans="1:4">
      <c r="A22" s="428" t="s">
        <v>392</v>
      </c>
      <c r="B22" s="428" t="s">
        <v>412</v>
      </c>
      <c r="C22" s="429"/>
    </row>
    <row r="23" spans="1:4">
      <c r="A23" s="421" t="s">
        <v>410</v>
      </c>
      <c r="B23" s="422" t="s">
        <v>531</v>
      </c>
      <c r="C23" s="421"/>
    </row>
  </sheetData>
  <pageMargins left="0.7" right="0.7" top="0.75" bottom="0.75" header="0.3" footer="0.3"/>
  <pageSetup scale="66"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Q44"/>
  <sheetViews>
    <sheetView zoomScale="90" zoomScaleNormal="90" workbookViewId="0">
      <pane xSplit="2" ySplit="6" topLeftCell="C7" activePane="bottomRight" state="frozen"/>
      <selection activeCell="G26" sqref="G26"/>
      <selection pane="topRight" activeCell="G26" sqref="G26"/>
      <selection pane="bottomLeft" activeCell="G26" sqref="G26"/>
      <selection pane="bottomRight" activeCell="N41" sqref="N41"/>
    </sheetView>
  </sheetViews>
  <sheetFormatPr defaultRowHeight="15"/>
  <cols>
    <col min="1" max="1" width="24.7109375" style="2" customWidth="1"/>
    <col min="2" max="2" width="7.85546875" style="2" bestFit="1" customWidth="1"/>
    <col min="3" max="14" width="9.85546875" style="44" customWidth="1"/>
    <col min="15" max="15" width="12.28515625" style="49" bestFit="1" customWidth="1"/>
    <col min="16" max="16" width="10.5703125" style="2" bestFit="1" customWidth="1"/>
    <col min="17" max="16384" width="9.140625" style="2"/>
  </cols>
  <sheetData>
    <row r="1" spans="1:17">
      <c r="A1" s="1" t="s">
        <v>0</v>
      </c>
    </row>
    <row r="2" spans="1:17">
      <c r="A2" s="1" t="str">
        <f>Comparison!A2</f>
        <v>2016 Budget - 40990 Corporate</v>
      </c>
    </row>
    <row r="3" spans="1:17">
      <c r="A3" s="1" t="s">
        <v>373</v>
      </c>
    </row>
    <row r="4" spans="1:17">
      <c r="A4" s="1" t="s">
        <v>81</v>
      </c>
    </row>
    <row r="6" spans="1:17">
      <c r="A6" s="14" t="s">
        <v>107</v>
      </c>
      <c r="B6" s="53" t="s">
        <v>108</v>
      </c>
      <c r="C6" s="56" t="s">
        <v>109</v>
      </c>
      <c r="D6" s="56" t="s">
        <v>110</v>
      </c>
      <c r="E6" s="56" t="s">
        <v>111</v>
      </c>
      <c r="F6" s="56" t="s">
        <v>112</v>
      </c>
      <c r="G6" s="56" t="s">
        <v>27</v>
      </c>
      <c r="H6" s="56" t="s">
        <v>113</v>
      </c>
      <c r="I6" s="56" t="s">
        <v>114</v>
      </c>
      <c r="J6" s="56" t="s">
        <v>115</v>
      </c>
      <c r="K6" s="56" t="s">
        <v>116</v>
      </c>
      <c r="L6" s="56" t="s">
        <v>117</v>
      </c>
      <c r="M6" s="56" t="s">
        <v>118</v>
      </c>
      <c r="N6" s="56" t="s">
        <v>119</v>
      </c>
      <c r="O6" s="56" t="s">
        <v>20</v>
      </c>
    </row>
    <row r="7" spans="1:17">
      <c r="A7" s="54">
        <v>2016</v>
      </c>
    </row>
    <row r="8" spans="1:17">
      <c r="A8" s="2" t="s">
        <v>372</v>
      </c>
      <c r="B8" s="2" t="s">
        <v>121</v>
      </c>
      <c r="C8" s="139">
        <v>82213.89</v>
      </c>
      <c r="D8" s="139">
        <v>82213.89</v>
      </c>
      <c r="E8" s="139">
        <v>82213.89</v>
      </c>
      <c r="F8" s="139">
        <v>82213.84</v>
      </c>
      <c r="G8" s="139">
        <v>85958.33</v>
      </c>
      <c r="H8" s="139">
        <v>85958.33</v>
      </c>
      <c r="I8" s="139">
        <v>85958.33</v>
      </c>
      <c r="J8" s="139">
        <v>85958.33</v>
      </c>
      <c r="K8" s="139">
        <v>85958.33</v>
      </c>
      <c r="L8" s="139">
        <v>85958.33</v>
      </c>
      <c r="M8" s="139">
        <v>85958.33</v>
      </c>
      <c r="N8" s="139">
        <v>85958.33</v>
      </c>
      <c r="O8" s="58">
        <f>SUM(C8:N8)</f>
        <v>1016522.1499999998</v>
      </c>
      <c r="Q8" s="48"/>
    </row>
    <row r="9" spans="1:17">
      <c r="A9" s="2" t="s">
        <v>123</v>
      </c>
      <c r="B9" s="2" t="s">
        <v>124</v>
      </c>
      <c r="C9" s="220">
        <v>14870.56</v>
      </c>
      <c r="D9" s="220">
        <v>14870.56</v>
      </c>
      <c r="E9" s="220">
        <v>14870.56</v>
      </c>
      <c r="F9" s="220">
        <v>14870.59</v>
      </c>
      <c r="G9" s="220">
        <v>16916.669999999998</v>
      </c>
      <c r="H9" s="220">
        <v>16916.669999999998</v>
      </c>
      <c r="I9" s="220">
        <v>16916.669999999998</v>
      </c>
      <c r="J9" s="220">
        <v>16916.669999999998</v>
      </c>
      <c r="K9" s="220">
        <v>16916.669999999998</v>
      </c>
      <c r="L9" s="220">
        <v>16916.669999999998</v>
      </c>
      <c r="M9" s="220">
        <v>16916.669999999998</v>
      </c>
      <c r="N9" s="220">
        <v>16916.669999999998</v>
      </c>
      <c r="O9" s="35">
        <f>SUM(C9:N9)</f>
        <v>194815.62999999995</v>
      </c>
      <c r="Q9" s="48"/>
    </row>
    <row r="10" spans="1:17">
      <c r="A10" s="2" t="s">
        <v>120</v>
      </c>
      <c r="B10" s="26" t="s">
        <v>125</v>
      </c>
      <c r="C10" s="220">
        <v>8916.67</v>
      </c>
      <c r="D10" s="220">
        <v>8916.67</v>
      </c>
      <c r="E10" s="220">
        <v>8916.67</v>
      </c>
      <c r="F10" s="220">
        <v>8916.67</v>
      </c>
      <c r="G10" s="220">
        <v>8916.67</v>
      </c>
      <c r="H10" s="220">
        <v>8916.67</v>
      </c>
      <c r="I10" s="220">
        <v>8916.64</v>
      </c>
      <c r="J10" s="220">
        <v>9008.33</v>
      </c>
      <c r="K10" s="220">
        <v>9008.33</v>
      </c>
      <c r="L10" s="220">
        <v>9008.33</v>
      </c>
      <c r="M10" s="220">
        <v>9008.33</v>
      </c>
      <c r="N10" s="220">
        <v>9008.33</v>
      </c>
      <c r="O10" s="221">
        <f>SUM(C10:N10)</f>
        <v>107458.31</v>
      </c>
      <c r="Q10" s="48"/>
    </row>
    <row r="11" spans="1:17">
      <c r="C11" s="69">
        <f t="shared" ref="C11:O11" si="0">SUM(C8:C10)</f>
        <v>106001.12</v>
      </c>
      <c r="D11" s="69">
        <f t="shared" si="0"/>
        <v>106001.12</v>
      </c>
      <c r="E11" s="69">
        <f t="shared" si="0"/>
        <v>106001.12</v>
      </c>
      <c r="F11" s="69">
        <f t="shared" si="0"/>
        <v>106001.09999999999</v>
      </c>
      <c r="G11" s="69">
        <f t="shared" si="0"/>
        <v>111791.67</v>
      </c>
      <c r="H11" s="69">
        <f t="shared" si="0"/>
        <v>111791.67</v>
      </c>
      <c r="I11" s="69">
        <f t="shared" si="0"/>
        <v>111791.64</v>
      </c>
      <c r="J11" s="69">
        <f t="shared" si="0"/>
        <v>111883.33</v>
      </c>
      <c r="K11" s="69">
        <f t="shared" si="0"/>
        <v>111883.33</v>
      </c>
      <c r="L11" s="69">
        <f t="shared" si="0"/>
        <v>111883.33</v>
      </c>
      <c r="M11" s="69">
        <f t="shared" si="0"/>
        <v>111883.33</v>
      </c>
      <c r="N11" s="69">
        <f t="shared" si="0"/>
        <v>111883.33</v>
      </c>
      <c r="O11" s="69">
        <f t="shared" si="0"/>
        <v>1318796.0899999999</v>
      </c>
    </row>
    <row r="12" spans="1:17">
      <c r="C12" s="139"/>
      <c r="D12" s="139"/>
      <c r="E12" s="139"/>
      <c r="F12" s="139"/>
      <c r="G12" s="139"/>
      <c r="H12" s="139"/>
      <c r="I12" s="139"/>
      <c r="J12" s="139"/>
      <c r="K12" s="139"/>
      <c r="L12" s="139"/>
      <c r="M12" s="139"/>
      <c r="N12" s="139"/>
      <c r="O12" s="58"/>
    </row>
    <row r="13" spans="1:17">
      <c r="A13" s="54">
        <f>A7+1</f>
        <v>2017</v>
      </c>
      <c r="C13" s="139"/>
      <c r="D13" s="139"/>
      <c r="E13" s="139"/>
      <c r="F13" s="139"/>
      <c r="G13" s="139"/>
      <c r="H13" s="139"/>
      <c r="I13" s="139"/>
      <c r="J13" s="139"/>
      <c r="K13" s="139"/>
      <c r="L13" s="139"/>
      <c r="M13" s="139"/>
      <c r="N13" s="139"/>
      <c r="O13" s="58"/>
    </row>
    <row r="14" spans="1:17">
      <c r="A14" s="2" t="s">
        <v>122</v>
      </c>
      <c r="B14" s="2" t="s">
        <v>121</v>
      </c>
      <c r="C14" s="139">
        <v>85958.33</v>
      </c>
      <c r="D14" s="139">
        <v>85958.33</v>
      </c>
      <c r="E14" s="139">
        <v>85958.33</v>
      </c>
      <c r="F14" s="139">
        <v>85958.33</v>
      </c>
      <c r="G14" s="139">
        <v>88491.67</v>
      </c>
      <c r="H14" s="139">
        <v>88491.67</v>
      </c>
      <c r="I14" s="139">
        <v>88491.67</v>
      </c>
      <c r="J14" s="139">
        <v>88491.67</v>
      </c>
      <c r="K14" s="139">
        <v>88491.67</v>
      </c>
      <c r="L14" s="139">
        <v>88491.67</v>
      </c>
      <c r="M14" s="139">
        <v>88491.67</v>
      </c>
      <c r="N14" s="139">
        <v>88491.67</v>
      </c>
      <c r="O14" s="58">
        <f>SUM(C14:N14)</f>
        <v>1051766.6800000002</v>
      </c>
    </row>
    <row r="15" spans="1:17">
      <c r="A15" s="2" t="s">
        <v>123</v>
      </c>
      <c r="B15" s="2" t="s">
        <v>124</v>
      </c>
      <c r="C15" s="140">
        <v>16916.669999999998</v>
      </c>
      <c r="D15" s="140">
        <v>16916.669999999998</v>
      </c>
      <c r="E15" s="140">
        <v>16916.669999999998</v>
      </c>
      <c r="F15" s="140">
        <v>16916.669999999998</v>
      </c>
      <c r="G15" s="140">
        <v>17416.669999999998</v>
      </c>
      <c r="H15" s="140">
        <v>17416.669999999998</v>
      </c>
      <c r="I15" s="140">
        <v>17416.669999999998</v>
      </c>
      <c r="J15" s="140">
        <v>17416.669999999998</v>
      </c>
      <c r="K15" s="140">
        <v>17416.669999999998</v>
      </c>
      <c r="L15" s="140">
        <v>17416.669999999998</v>
      </c>
      <c r="M15" s="140">
        <v>17416.669999999998</v>
      </c>
      <c r="N15" s="140">
        <v>17416.669999999998</v>
      </c>
      <c r="O15" s="35">
        <f>SUM(C15:N15)</f>
        <v>207000.03999999992</v>
      </c>
      <c r="P15" s="44"/>
    </row>
    <row r="16" spans="1:17" s="26" customFormat="1">
      <c r="A16" s="26" t="s">
        <v>120</v>
      </c>
      <c r="B16" s="26" t="s">
        <v>125</v>
      </c>
      <c r="C16" s="140">
        <v>9008.33</v>
      </c>
      <c r="D16" s="140">
        <v>9008.33</v>
      </c>
      <c r="E16" s="140">
        <v>9008.33</v>
      </c>
      <c r="F16" s="140">
        <v>9008.33</v>
      </c>
      <c r="G16" s="140">
        <v>9008.33</v>
      </c>
      <c r="H16" s="140">
        <v>9008.33</v>
      </c>
      <c r="I16" s="140">
        <v>9008.33</v>
      </c>
      <c r="J16" s="140">
        <v>9908.33</v>
      </c>
      <c r="K16" s="140">
        <v>9908.33</v>
      </c>
      <c r="L16" s="140">
        <v>9908.33</v>
      </c>
      <c r="M16" s="140">
        <v>9908.33</v>
      </c>
      <c r="N16" s="140">
        <v>9908.33</v>
      </c>
      <c r="O16" s="35">
        <f>SUM(C16:N16)</f>
        <v>112599.96</v>
      </c>
      <c r="P16" s="27"/>
    </row>
    <row r="17" spans="1:16">
      <c r="C17" s="69">
        <f t="shared" ref="C17:O17" si="1">SUM(C14:C16)</f>
        <v>111883.33</v>
      </c>
      <c r="D17" s="69">
        <f t="shared" si="1"/>
        <v>111883.33</v>
      </c>
      <c r="E17" s="69">
        <f t="shared" si="1"/>
        <v>111883.33</v>
      </c>
      <c r="F17" s="69">
        <f t="shared" si="1"/>
        <v>111883.33</v>
      </c>
      <c r="G17" s="69">
        <f t="shared" si="1"/>
        <v>114916.67</v>
      </c>
      <c r="H17" s="69">
        <f t="shared" si="1"/>
        <v>114916.67</v>
      </c>
      <c r="I17" s="69">
        <f t="shared" si="1"/>
        <v>114916.67</v>
      </c>
      <c r="J17" s="69">
        <f t="shared" si="1"/>
        <v>115816.67</v>
      </c>
      <c r="K17" s="69">
        <f t="shared" si="1"/>
        <v>115816.67</v>
      </c>
      <c r="L17" s="69">
        <f t="shared" si="1"/>
        <v>115816.67</v>
      </c>
      <c r="M17" s="69">
        <f t="shared" si="1"/>
        <v>115816.67</v>
      </c>
      <c r="N17" s="69">
        <f t="shared" si="1"/>
        <v>115816.67</v>
      </c>
      <c r="O17" s="69">
        <f t="shared" si="1"/>
        <v>1371366.6800000002</v>
      </c>
      <c r="P17" s="44"/>
    </row>
    <row r="18" spans="1:16">
      <c r="C18" s="139"/>
      <c r="D18" s="139"/>
      <c r="E18" s="139"/>
      <c r="F18" s="139"/>
      <c r="G18" s="139"/>
      <c r="H18" s="139"/>
      <c r="I18" s="139"/>
      <c r="J18" s="139"/>
      <c r="K18" s="139"/>
      <c r="L18" s="139"/>
      <c r="M18" s="139"/>
      <c r="N18" s="139"/>
      <c r="O18" s="58"/>
      <c r="P18" s="44"/>
    </row>
    <row r="19" spans="1:16">
      <c r="A19" s="54">
        <f>A13+1</f>
        <v>2018</v>
      </c>
      <c r="C19" s="139"/>
      <c r="D19" s="139"/>
      <c r="E19" s="139"/>
      <c r="F19" s="139"/>
      <c r="G19" s="139"/>
      <c r="H19" s="139"/>
      <c r="I19" s="139"/>
      <c r="J19" s="139"/>
      <c r="K19" s="139"/>
      <c r="L19" s="139"/>
      <c r="M19" s="139"/>
      <c r="N19" s="139"/>
      <c r="O19" s="58"/>
      <c r="P19" s="44"/>
    </row>
    <row r="20" spans="1:16">
      <c r="A20" s="2" t="s">
        <v>122</v>
      </c>
      <c r="B20" s="2" t="s">
        <v>121</v>
      </c>
      <c r="C20" s="139">
        <v>88491.67</v>
      </c>
      <c r="D20" s="139">
        <v>88491.67</v>
      </c>
      <c r="E20" s="139">
        <v>88491.67</v>
      </c>
      <c r="F20" s="139">
        <v>88491.67</v>
      </c>
      <c r="G20" s="139">
        <v>91175</v>
      </c>
      <c r="H20" s="139">
        <v>91175</v>
      </c>
      <c r="I20" s="139">
        <v>91175</v>
      </c>
      <c r="J20" s="139">
        <v>91175</v>
      </c>
      <c r="K20" s="139">
        <v>91175</v>
      </c>
      <c r="L20" s="139">
        <v>91175</v>
      </c>
      <c r="M20" s="139">
        <v>91175</v>
      </c>
      <c r="N20" s="139">
        <v>91175</v>
      </c>
      <c r="O20" s="58">
        <f>SUM(C20:N20)</f>
        <v>1083366.68</v>
      </c>
      <c r="P20" s="44"/>
    </row>
    <row r="21" spans="1:16">
      <c r="A21" s="2" t="s">
        <v>123</v>
      </c>
      <c r="B21" s="2" t="s">
        <v>124</v>
      </c>
      <c r="C21" s="140">
        <v>17416.669999999998</v>
      </c>
      <c r="D21" s="140">
        <v>17416.669999999998</v>
      </c>
      <c r="E21" s="140">
        <v>17416.669999999998</v>
      </c>
      <c r="F21" s="140">
        <v>17416.669999999998</v>
      </c>
      <c r="G21" s="140">
        <v>17916.669999999998</v>
      </c>
      <c r="H21" s="140">
        <v>17916.669999999998</v>
      </c>
      <c r="I21" s="140">
        <v>17916.669999999998</v>
      </c>
      <c r="J21" s="140">
        <v>17916.669999999998</v>
      </c>
      <c r="K21" s="140">
        <v>17916.669999999998</v>
      </c>
      <c r="L21" s="140">
        <v>17916.669999999998</v>
      </c>
      <c r="M21" s="140">
        <v>17916.669999999998</v>
      </c>
      <c r="N21" s="140">
        <v>17916.669999999998</v>
      </c>
      <c r="O21" s="35">
        <f>SUM(C21:N21)</f>
        <v>213000.03999999992</v>
      </c>
      <c r="P21" s="44"/>
    </row>
    <row r="22" spans="1:16" s="26" customFormat="1">
      <c r="A22" s="26" t="s">
        <v>120</v>
      </c>
      <c r="B22" s="26" t="s">
        <v>125</v>
      </c>
      <c r="C22" s="140">
        <v>9908.33</v>
      </c>
      <c r="D22" s="140">
        <v>9908.33</v>
      </c>
      <c r="E22" s="140">
        <v>9908.33</v>
      </c>
      <c r="F22" s="140">
        <v>9908.33</v>
      </c>
      <c r="G22" s="140">
        <v>9908.33</v>
      </c>
      <c r="H22" s="140">
        <v>9908.33</v>
      </c>
      <c r="I22" s="140">
        <v>9908.33</v>
      </c>
      <c r="J22" s="140">
        <v>10400</v>
      </c>
      <c r="K22" s="140">
        <v>10400</v>
      </c>
      <c r="L22" s="140">
        <v>10400</v>
      </c>
      <c r="M22" s="140">
        <v>10400</v>
      </c>
      <c r="N22" s="140">
        <v>10400</v>
      </c>
      <c r="O22" s="35">
        <f>SUM(C22:N22)</f>
        <v>121358.31</v>
      </c>
      <c r="P22" s="27"/>
    </row>
    <row r="23" spans="1:16">
      <c r="C23" s="69">
        <f t="shared" ref="C23:O23" si="2">SUM(C20:C22)</f>
        <v>115816.67</v>
      </c>
      <c r="D23" s="69">
        <f t="shared" si="2"/>
        <v>115816.67</v>
      </c>
      <c r="E23" s="69">
        <f t="shared" si="2"/>
        <v>115816.67</v>
      </c>
      <c r="F23" s="69">
        <f t="shared" si="2"/>
        <v>115816.67</v>
      </c>
      <c r="G23" s="69">
        <f t="shared" si="2"/>
        <v>119000</v>
      </c>
      <c r="H23" s="69">
        <f t="shared" si="2"/>
        <v>119000</v>
      </c>
      <c r="I23" s="69">
        <f t="shared" si="2"/>
        <v>119000</v>
      </c>
      <c r="J23" s="69">
        <f t="shared" si="2"/>
        <v>119491.67</v>
      </c>
      <c r="K23" s="69">
        <f t="shared" si="2"/>
        <v>119491.67</v>
      </c>
      <c r="L23" s="69">
        <f t="shared" si="2"/>
        <v>119491.67</v>
      </c>
      <c r="M23" s="69">
        <f t="shared" si="2"/>
        <v>119491.67</v>
      </c>
      <c r="N23" s="69">
        <f t="shared" si="2"/>
        <v>119491.67</v>
      </c>
      <c r="O23" s="69">
        <f t="shared" si="2"/>
        <v>1417725.0299999998</v>
      </c>
    </row>
    <row r="24" spans="1:16">
      <c r="C24" s="139"/>
      <c r="D24" s="139"/>
      <c r="E24" s="139"/>
      <c r="F24" s="139"/>
      <c r="G24" s="139"/>
      <c r="H24" s="139"/>
      <c r="I24" s="139"/>
      <c r="J24" s="139"/>
      <c r="K24" s="139"/>
      <c r="L24" s="139"/>
      <c r="M24" s="139"/>
      <c r="N24" s="139"/>
      <c r="O24" s="58"/>
    </row>
    <row r="25" spans="1:16">
      <c r="A25" s="54">
        <f>A19+1</f>
        <v>2019</v>
      </c>
      <c r="C25" s="139"/>
      <c r="D25" s="139"/>
      <c r="E25" s="139"/>
      <c r="F25" s="139"/>
      <c r="G25" s="139"/>
      <c r="H25" s="139"/>
      <c r="I25" s="139"/>
      <c r="J25" s="139"/>
      <c r="K25" s="139"/>
      <c r="L25" s="139"/>
      <c r="M25" s="139"/>
      <c r="N25" s="139"/>
      <c r="O25" s="58"/>
    </row>
    <row r="26" spans="1:16">
      <c r="A26" s="2" t="s">
        <v>122</v>
      </c>
      <c r="B26" s="2" t="s">
        <v>121</v>
      </c>
      <c r="C26" s="222">
        <v>91175</v>
      </c>
      <c r="D26" s="222">
        <v>91175</v>
      </c>
      <c r="E26" s="222">
        <v>91175</v>
      </c>
      <c r="F26" s="222">
        <v>91175</v>
      </c>
      <c r="G26" s="222">
        <v>91191.67</v>
      </c>
      <c r="H26" s="222">
        <v>91191.67</v>
      </c>
      <c r="I26" s="222">
        <v>91191.67</v>
      </c>
      <c r="J26" s="222">
        <v>91191.67</v>
      </c>
      <c r="K26" s="222">
        <v>91191.67</v>
      </c>
      <c r="L26" s="222">
        <v>91191.67</v>
      </c>
      <c r="M26" s="222">
        <v>91191.67</v>
      </c>
      <c r="N26" s="222">
        <v>91191.67</v>
      </c>
      <c r="O26" s="58">
        <f>SUM(C26:N26)</f>
        <v>1094233.3600000001</v>
      </c>
    </row>
    <row r="27" spans="1:16">
      <c r="A27" s="2" t="s">
        <v>123</v>
      </c>
      <c r="B27" s="2" t="s">
        <v>124</v>
      </c>
      <c r="C27" s="220">
        <v>17916.669999999998</v>
      </c>
      <c r="D27" s="220">
        <v>17916.669999999998</v>
      </c>
      <c r="E27" s="220">
        <v>17916.669999999998</v>
      </c>
      <c r="F27" s="220">
        <v>17916.669999999998</v>
      </c>
      <c r="G27" s="220">
        <v>18500</v>
      </c>
      <c r="H27" s="220">
        <v>18500</v>
      </c>
      <c r="I27" s="220">
        <v>18500</v>
      </c>
      <c r="J27" s="220">
        <v>18500</v>
      </c>
      <c r="K27" s="220">
        <v>18500</v>
      </c>
      <c r="L27" s="220">
        <v>18500</v>
      </c>
      <c r="M27" s="220">
        <v>18500</v>
      </c>
      <c r="N27" s="220">
        <v>18500</v>
      </c>
      <c r="O27" s="35">
        <f>SUM(C27:N27)</f>
        <v>219666.68</v>
      </c>
    </row>
    <row r="28" spans="1:16" s="26" customFormat="1">
      <c r="A28" s="26" t="s">
        <v>120</v>
      </c>
      <c r="B28" s="26" t="s">
        <v>125</v>
      </c>
      <c r="C28" s="220">
        <v>10400</v>
      </c>
      <c r="D28" s="220">
        <v>10400</v>
      </c>
      <c r="E28" s="220">
        <v>10400</v>
      </c>
      <c r="F28" s="220">
        <v>10400</v>
      </c>
      <c r="G28" s="220">
        <v>10400</v>
      </c>
      <c r="H28" s="220">
        <v>10400</v>
      </c>
      <c r="I28" s="220">
        <v>10400</v>
      </c>
      <c r="J28" s="220">
        <v>10916.67</v>
      </c>
      <c r="K28" s="220">
        <v>10916.67</v>
      </c>
      <c r="L28" s="220">
        <v>10916.67</v>
      </c>
      <c r="M28" s="220">
        <v>10916.67</v>
      </c>
      <c r="N28" s="220">
        <v>10916.67</v>
      </c>
      <c r="O28" s="35">
        <f>SUM(C28:N28)</f>
        <v>127383.34999999999</v>
      </c>
    </row>
    <row r="29" spans="1:16">
      <c r="C29" s="69">
        <f t="shared" ref="C29:O29" si="3">SUM(C26:C28)</f>
        <v>119491.67</v>
      </c>
      <c r="D29" s="69">
        <f t="shared" si="3"/>
        <v>119491.67</v>
      </c>
      <c r="E29" s="69">
        <f t="shared" si="3"/>
        <v>119491.67</v>
      </c>
      <c r="F29" s="69">
        <f t="shared" si="3"/>
        <v>119491.67</v>
      </c>
      <c r="G29" s="69">
        <f t="shared" si="3"/>
        <v>120091.67</v>
      </c>
      <c r="H29" s="69">
        <f t="shared" si="3"/>
        <v>120091.67</v>
      </c>
      <c r="I29" s="69">
        <f t="shared" si="3"/>
        <v>120091.67</v>
      </c>
      <c r="J29" s="69">
        <f t="shared" si="3"/>
        <v>120608.34</v>
      </c>
      <c r="K29" s="69">
        <f t="shared" si="3"/>
        <v>120608.34</v>
      </c>
      <c r="L29" s="69">
        <f t="shared" si="3"/>
        <v>120608.34</v>
      </c>
      <c r="M29" s="69">
        <f t="shared" si="3"/>
        <v>120608.34</v>
      </c>
      <c r="N29" s="69">
        <f t="shared" si="3"/>
        <v>120608.34</v>
      </c>
      <c r="O29" s="69">
        <f t="shared" si="3"/>
        <v>1441283.3900000001</v>
      </c>
    </row>
    <row r="30" spans="1:16">
      <c r="C30" s="139"/>
      <c r="D30" s="139"/>
      <c r="E30" s="139"/>
      <c r="F30" s="139"/>
      <c r="G30" s="139"/>
      <c r="H30" s="139"/>
      <c r="I30" s="139"/>
      <c r="J30" s="139"/>
      <c r="K30" s="139"/>
      <c r="L30" s="139"/>
      <c r="M30" s="139"/>
      <c r="N30" s="139"/>
      <c r="O30" s="58"/>
    </row>
    <row r="31" spans="1:16">
      <c r="A31" s="54">
        <f>A25+1</f>
        <v>2020</v>
      </c>
      <c r="C31" s="139"/>
      <c r="D31" s="139"/>
      <c r="E31" s="139"/>
      <c r="F31" s="139"/>
      <c r="G31" s="139"/>
      <c r="H31" s="139"/>
      <c r="I31" s="139"/>
      <c r="J31" s="139"/>
      <c r="K31" s="139"/>
      <c r="L31" s="139"/>
      <c r="M31" s="139"/>
      <c r="N31" s="139"/>
      <c r="O31" s="58"/>
    </row>
    <row r="32" spans="1:16">
      <c r="A32" s="2" t="s">
        <v>122</v>
      </c>
      <c r="B32" s="2" t="s">
        <v>121</v>
      </c>
      <c r="C32" s="222">
        <v>91191.67</v>
      </c>
      <c r="D32" s="222">
        <v>91191.67</v>
      </c>
      <c r="E32" s="222">
        <v>91191.67</v>
      </c>
      <c r="F32" s="222">
        <v>91191.67</v>
      </c>
      <c r="G32" s="222">
        <v>91216.67</v>
      </c>
      <c r="H32" s="222">
        <v>91216.67</v>
      </c>
      <c r="I32" s="222">
        <v>91216.67</v>
      </c>
      <c r="J32" s="222">
        <v>91216.67</v>
      </c>
      <c r="K32" s="222">
        <v>91216.67</v>
      </c>
      <c r="L32" s="222">
        <v>91216.67</v>
      </c>
      <c r="M32" s="222">
        <v>91216.67</v>
      </c>
      <c r="N32" s="222">
        <v>91216.67</v>
      </c>
      <c r="O32" s="58">
        <f>SUM(C32:N32)</f>
        <v>1094500.0400000003</v>
      </c>
    </row>
    <row r="33" spans="1:15">
      <c r="A33" s="2" t="s">
        <v>123</v>
      </c>
      <c r="B33" s="2" t="s">
        <v>124</v>
      </c>
      <c r="C33" s="220">
        <v>18500</v>
      </c>
      <c r="D33" s="220">
        <v>18500</v>
      </c>
      <c r="E33" s="220">
        <v>18500</v>
      </c>
      <c r="F33" s="220">
        <v>18500</v>
      </c>
      <c r="G33" s="220">
        <v>19000</v>
      </c>
      <c r="H33" s="220">
        <v>19000</v>
      </c>
      <c r="I33" s="220">
        <v>19000</v>
      </c>
      <c r="J33" s="220">
        <v>19000</v>
      </c>
      <c r="K33" s="220">
        <v>19000</v>
      </c>
      <c r="L33" s="220">
        <v>19000</v>
      </c>
      <c r="M33" s="220">
        <v>19000</v>
      </c>
      <c r="N33" s="220">
        <v>19000</v>
      </c>
      <c r="O33" s="35">
        <f>SUM(C33:N33)</f>
        <v>226000</v>
      </c>
    </row>
    <row r="34" spans="1:15" s="26" customFormat="1">
      <c r="A34" s="26" t="s">
        <v>120</v>
      </c>
      <c r="B34" s="26" t="s">
        <v>125</v>
      </c>
      <c r="C34" s="220">
        <v>10916.67</v>
      </c>
      <c r="D34" s="220">
        <v>10916.67</v>
      </c>
      <c r="E34" s="220">
        <v>10916.67</v>
      </c>
      <c r="F34" s="220">
        <v>10916.67</v>
      </c>
      <c r="G34" s="220">
        <v>10916.67</v>
      </c>
      <c r="H34" s="220">
        <v>10916.67</v>
      </c>
      <c r="I34" s="220">
        <v>10916.67</v>
      </c>
      <c r="J34" s="220">
        <v>11466.67</v>
      </c>
      <c r="K34" s="220">
        <v>11466.67</v>
      </c>
      <c r="L34" s="220">
        <v>11466.67</v>
      </c>
      <c r="M34" s="220">
        <v>11466.67</v>
      </c>
      <c r="N34" s="220">
        <v>11466.67</v>
      </c>
      <c r="O34" s="35">
        <f>SUM(C34:N34)</f>
        <v>133750.04</v>
      </c>
    </row>
    <row r="35" spans="1:15">
      <c r="C35" s="69">
        <f t="shared" ref="C35:O35" si="4">SUM(C32:C34)</f>
        <v>120608.34</v>
      </c>
      <c r="D35" s="69">
        <f t="shared" si="4"/>
        <v>120608.34</v>
      </c>
      <c r="E35" s="69">
        <f t="shared" si="4"/>
        <v>120608.34</v>
      </c>
      <c r="F35" s="69">
        <f t="shared" si="4"/>
        <v>120608.34</v>
      </c>
      <c r="G35" s="69">
        <f t="shared" si="4"/>
        <v>121133.34</v>
      </c>
      <c r="H35" s="69">
        <f t="shared" si="4"/>
        <v>121133.34</v>
      </c>
      <c r="I35" s="69">
        <f t="shared" si="4"/>
        <v>121133.34</v>
      </c>
      <c r="J35" s="69">
        <f t="shared" si="4"/>
        <v>121683.34</v>
      </c>
      <c r="K35" s="69">
        <f t="shared" si="4"/>
        <v>121683.34</v>
      </c>
      <c r="L35" s="69">
        <f t="shared" si="4"/>
        <v>121683.34</v>
      </c>
      <c r="M35" s="69">
        <f t="shared" si="4"/>
        <v>121683.34</v>
      </c>
      <c r="N35" s="69">
        <f t="shared" si="4"/>
        <v>121683.34</v>
      </c>
      <c r="O35" s="69">
        <f t="shared" si="4"/>
        <v>1454250.0800000003</v>
      </c>
    </row>
    <row r="37" spans="1:15">
      <c r="A37" s="4" t="s">
        <v>696</v>
      </c>
    </row>
    <row r="38" spans="1:15">
      <c r="A38" s="4" t="s">
        <v>762</v>
      </c>
      <c r="E38" s="265"/>
      <c r="F38" s="139"/>
      <c r="G38" s="139"/>
      <c r="H38" s="139"/>
      <c r="I38" s="139"/>
      <c r="J38" s="139"/>
      <c r="K38" s="139"/>
      <c r="L38" s="139"/>
    </row>
    <row r="39" spans="1:15">
      <c r="A39" s="4" t="s">
        <v>826</v>
      </c>
    </row>
    <row r="40" spans="1:15">
      <c r="A40" s="11"/>
    </row>
    <row r="41" spans="1:15">
      <c r="A41" s="52" t="s">
        <v>172</v>
      </c>
    </row>
    <row r="42" spans="1:15">
      <c r="A42" s="2" t="s">
        <v>207</v>
      </c>
    </row>
    <row r="43" spans="1:15">
      <c r="A43" s="2" t="s">
        <v>208</v>
      </c>
    </row>
    <row r="44" spans="1:15">
      <c r="A44" s="11" t="s">
        <v>697</v>
      </c>
    </row>
  </sheetData>
  <pageMargins left="0.54" right="0.25" top="0.75" bottom="0.5" header="0.5" footer="0.5"/>
  <pageSetup scale="79"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M20"/>
  <sheetViews>
    <sheetView zoomScaleNormal="100" workbookViewId="0">
      <selection activeCell="A16" sqref="A16"/>
    </sheetView>
  </sheetViews>
  <sheetFormatPr defaultRowHeight="15"/>
  <cols>
    <col min="1" max="1" width="26.85546875" style="2" customWidth="1"/>
    <col min="2" max="2" width="11.42578125" style="2" customWidth="1"/>
    <col min="3" max="3" width="3.42578125" style="2" customWidth="1"/>
    <col min="4" max="8" width="10.28515625" style="2" customWidth="1"/>
    <col min="9" max="16384" width="9.140625" style="2"/>
  </cols>
  <sheetData>
    <row r="1" spans="1:13">
      <c r="A1" s="1" t="s">
        <v>0</v>
      </c>
      <c r="B1" s="1"/>
      <c r="C1" s="1"/>
    </row>
    <row r="2" spans="1:13">
      <c r="A2" s="1" t="str">
        <f>Comparison!A2</f>
        <v>2016 Budget - 40990 Corporate</v>
      </c>
      <c r="B2" s="1"/>
      <c r="C2" s="1"/>
    </row>
    <row r="3" spans="1:13">
      <c r="A3" s="1" t="s">
        <v>384</v>
      </c>
      <c r="B3" s="1"/>
      <c r="C3" s="1"/>
    </row>
    <row r="4" spans="1:13">
      <c r="A4" s="1" t="s">
        <v>81</v>
      </c>
      <c r="B4" s="1"/>
      <c r="C4" s="1"/>
    </row>
    <row r="6" spans="1:13">
      <c r="B6" s="57" t="s">
        <v>728</v>
      </c>
      <c r="C6" s="11"/>
      <c r="D6" s="57">
        <v>2016</v>
      </c>
      <c r="E6" s="57">
        <f>D6+1</f>
        <v>2017</v>
      </c>
      <c r="F6" s="57">
        <f>E6+1</f>
        <v>2018</v>
      </c>
      <c r="G6" s="57">
        <f>F6+1</f>
        <v>2019</v>
      </c>
      <c r="H6" s="57">
        <f>G6+1</f>
        <v>2020</v>
      </c>
    </row>
    <row r="7" spans="1:13">
      <c r="A7" s="2" t="s">
        <v>384</v>
      </c>
      <c r="B7" s="139">
        <f>2610+4035.32</f>
        <v>6645.32</v>
      </c>
      <c r="C7" s="11"/>
      <c r="D7" s="435">
        <v>6955</v>
      </c>
      <c r="E7" s="435">
        <v>6954</v>
      </c>
      <c r="F7" s="435">
        <v>6900</v>
      </c>
      <c r="G7" s="435">
        <v>6908</v>
      </c>
      <c r="H7" s="435">
        <v>6908</v>
      </c>
    </row>
    <row r="14" spans="1:13">
      <c r="A14" s="4" t="s">
        <v>766</v>
      </c>
      <c r="B14" s="4"/>
      <c r="C14" s="4"/>
    </row>
    <row r="15" spans="1:13">
      <c r="A15" s="4" t="s">
        <v>821</v>
      </c>
      <c r="B15" s="4"/>
      <c r="C15" s="4"/>
      <c r="D15" s="11"/>
      <c r="E15" s="11"/>
      <c r="F15" s="11"/>
      <c r="G15" s="11"/>
      <c r="H15" s="11"/>
      <c r="I15" s="11"/>
      <c r="J15" s="11"/>
      <c r="K15" s="11"/>
      <c r="L15" s="11"/>
      <c r="M15" s="11"/>
    </row>
    <row r="16" spans="1:13">
      <c r="A16" s="4" t="s">
        <v>826</v>
      </c>
      <c r="B16" s="4"/>
      <c r="C16" s="4"/>
    </row>
    <row r="18" spans="1:3">
      <c r="A18" s="52" t="s">
        <v>172</v>
      </c>
      <c r="B18" s="52"/>
      <c r="C18" s="52"/>
    </row>
    <row r="20" spans="1:3">
      <c r="A20" s="11"/>
      <c r="B20" s="11"/>
      <c r="C20" s="11"/>
    </row>
  </sheetData>
  <pageMargins left="0.54" right="0.25" top="0.75" bottom="0.5" header="0.5" footer="0.5"/>
  <pageSetup orientation="portrait"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82"/>
  <sheetViews>
    <sheetView workbookViewId="0">
      <selection activeCell="A26" sqref="A26"/>
    </sheetView>
  </sheetViews>
  <sheetFormatPr defaultRowHeight="15"/>
  <cols>
    <col min="1" max="1" width="17.5703125" style="2" customWidth="1"/>
    <col min="2" max="5" width="9.85546875" style="2" customWidth="1"/>
    <col min="6" max="6" width="9.85546875" style="44" customWidth="1"/>
    <col min="7" max="7" width="12.5703125" style="44" customWidth="1"/>
    <col min="8" max="8" width="10.7109375" style="44" customWidth="1"/>
    <col min="9" max="16384" width="9.140625" style="2"/>
  </cols>
  <sheetData>
    <row r="1" spans="1:8">
      <c r="A1" s="1" t="s">
        <v>0</v>
      </c>
    </row>
    <row r="2" spans="1:8">
      <c r="A2" s="24" t="str">
        <f>Comparison!A2</f>
        <v>2016 Budget - 40990 Corporate</v>
      </c>
      <c r="B2" s="11"/>
      <c r="C2" s="11"/>
    </row>
    <row r="3" spans="1:8">
      <c r="A3" s="24" t="s">
        <v>349</v>
      </c>
      <c r="B3" s="19"/>
      <c r="C3" s="58"/>
    </row>
    <row r="4" spans="1:8">
      <c r="A4" s="24" t="s">
        <v>58</v>
      </c>
      <c r="B4" s="19"/>
      <c r="C4" s="58"/>
    </row>
    <row r="5" spans="1:8">
      <c r="A5" s="104"/>
      <c r="C5" s="143"/>
      <c r="D5" s="143"/>
      <c r="E5" s="143"/>
      <c r="F5" s="143"/>
    </row>
    <row r="6" spans="1:8">
      <c r="A6" s="104"/>
      <c r="C6" s="143"/>
      <c r="D6" s="143"/>
      <c r="E6" s="143"/>
      <c r="F6" s="143"/>
      <c r="G6" s="142"/>
      <c r="H6" s="142"/>
    </row>
    <row r="7" spans="1:8">
      <c r="B7" s="14">
        <v>2016</v>
      </c>
      <c r="C7" s="14">
        <f>B7+1</f>
        <v>2017</v>
      </c>
      <c r="D7" s="14">
        <f>C7+1</f>
        <v>2018</v>
      </c>
      <c r="E7" s="14">
        <f>D7+1</f>
        <v>2019</v>
      </c>
      <c r="F7" s="14">
        <f>E7+1</f>
        <v>2020</v>
      </c>
      <c r="G7" s="142"/>
      <c r="H7" s="142"/>
    </row>
    <row r="8" spans="1:8">
      <c r="A8" s="6" t="s">
        <v>23</v>
      </c>
      <c r="B8" s="139">
        <v>34799</v>
      </c>
      <c r="C8" s="139">
        <v>36969</v>
      </c>
      <c r="D8" s="139">
        <v>39274</v>
      </c>
      <c r="E8" s="139">
        <v>41722</v>
      </c>
      <c r="F8" s="139">
        <v>44324</v>
      </c>
      <c r="G8" s="142"/>
      <c r="H8" s="142"/>
    </row>
    <row r="9" spans="1:8">
      <c r="A9" s="6" t="s">
        <v>24</v>
      </c>
      <c r="B9" s="139">
        <v>34799</v>
      </c>
      <c r="C9" s="139">
        <v>36969</v>
      </c>
      <c r="D9" s="139">
        <v>39274</v>
      </c>
      <c r="E9" s="139">
        <v>41722</v>
      </c>
      <c r="F9" s="139">
        <v>44324</v>
      </c>
      <c r="G9" s="142"/>
      <c r="H9" s="142"/>
    </row>
    <row r="10" spans="1:8">
      <c r="A10" s="6" t="s">
        <v>25</v>
      </c>
      <c r="B10" s="139">
        <v>34799</v>
      </c>
      <c r="C10" s="139">
        <v>36969</v>
      </c>
      <c r="D10" s="139">
        <v>39274</v>
      </c>
      <c r="E10" s="139">
        <v>41722</v>
      </c>
      <c r="F10" s="139">
        <v>44324</v>
      </c>
      <c r="G10" s="142"/>
      <c r="H10" s="142"/>
    </row>
    <row r="11" spans="1:8">
      <c r="A11" s="6" t="s">
        <v>26</v>
      </c>
      <c r="B11" s="139">
        <v>34799</v>
      </c>
      <c r="C11" s="139">
        <v>36969</v>
      </c>
      <c r="D11" s="139">
        <v>39274</v>
      </c>
      <c r="E11" s="139">
        <v>41722</v>
      </c>
      <c r="F11" s="139">
        <v>44324</v>
      </c>
      <c r="G11" s="142"/>
      <c r="H11" s="142"/>
    </row>
    <row r="12" spans="1:8">
      <c r="A12" s="6" t="s">
        <v>27</v>
      </c>
      <c r="B12" s="139">
        <v>34799</v>
      </c>
      <c r="C12" s="139">
        <v>36969</v>
      </c>
      <c r="D12" s="139">
        <v>39274</v>
      </c>
      <c r="E12" s="139">
        <v>41722</v>
      </c>
      <c r="F12" s="139">
        <v>44324</v>
      </c>
      <c r="G12" s="142"/>
      <c r="H12" s="142"/>
    </row>
    <row r="13" spans="1:8">
      <c r="A13" s="6" t="s">
        <v>28</v>
      </c>
      <c r="B13" s="139">
        <v>34799</v>
      </c>
      <c r="C13" s="139">
        <v>36969</v>
      </c>
      <c r="D13" s="139">
        <v>39274</v>
      </c>
      <c r="E13" s="139">
        <v>41722</v>
      </c>
      <c r="F13" s="139">
        <v>44324</v>
      </c>
      <c r="G13" s="142"/>
      <c r="H13" s="142"/>
    </row>
    <row r="14" spans="1:8">
      <c r="A14" s="6" t="s">
        <v>29</v>
      </c>
      <c r="B14" s="139">
        <v>34799</v>
      </c>
      <c r="C14" s="139">
        <v>36969</v>
      </c>
      <c r="D14" s="139">
        <v>39274</v>
      </c>
      <c r="E14" s="139">
        <v>41722</v>
      </c>
      <c r="F14" s="139">
        <v>44324</v>
      </c>
      <c r="G14" s="142"/>
      <c r="H14" s="142"/>
    </row>
    <row r="15" spans="1:8">
      <c r="A15" s="6" t="s">
        <v>30</v>
      </c>
      <c r="B15" s="139">
        <v>34799</v>
      </c>
      <c r="C15" s="139">
        <v>36969</v>
      </c>
      <c r="D15" s="139">
        <v>39274</v>
      </c>
      <c r="E15" s="139">
        <v>41722</v>
      </c>
      <c r="F15" s="139">
        <v>44324</v>
      </c>
      <c r="G15" s="142"/>
      <c r="H15" s="142" t="s">
        <v>740</v>
      </c>
    </row>
    <row r="16" spans="1:8">
      <c r="A16" s="6" t="s">
        <v>31</v>
      </c>
      <c r="B16" s="139">
        <v>34799</v>
      </c>
      <c r="C16" s="139">
        <v>36969</v>
      </c>
      <c r="D16" s="139">
        <v>39274</v>
      </c>
      <c r="E16" s="139">
        <v>41722</v>
      </c>
      <c r="F16" s="139">
        <v>44324</v>
      </c>
      <c r="G16" s="142"/>
      <c r="H16" s="142"/>
    </row>
    <row r="17" spans="1:9">
      <c r="A17" s="9" t="s">
        <v>32</v>
      </c>
      <c r="B17" s="139">
        <v>36969</v>
      </c>
      <c r="C17" s="139">
        <v>39274</v>
      </c>
      <c r="D17" s="139">
        <v>41722</v>
      </c>
      <c r="E17" s="139">
        <v>44324</v>
      </c>
      <c r="F17" s="139">
        <v>47087</v>
      </c>
      <c r="G17" s="142"/>
      <c r="H17" s="142"/>
    </row>
    <row r="18" spans="1:9">
      <c r="A18" s="6" t="s">
        <v>33</v>
      </c>
      <c r="B18" s="139">
        <v>36969</v>
      </c>
      <c r="C18" s="139">
        <v>39274</v>
      </c>
      <c r="D18" s="139">
        <v>41722</v>
      </c>
      <c r="E18" s="139">
        <v>44324</v>
      </c>
      <c r="F18" s="139">
        <v>47087</v>
      </c>
      <c r="G18" s="142"/>
      <c r="H18" s="142"/>
    </row>
    <row r="19" spans="1:9">
      <c r="A19" s="6" t="s">
        <v>22</v>
      </c>
      <c r="B19" s="139">
        <v>36969</v>
      </c>
      <c r="C19" s="139">
        <v>39274</v>
      </c>
      <c r="D19" s="139">
        <v>41722</v>
      </c>
      <c r="E19" s="139">
        <v>44324</v>
      </c>
      <c r="F19" s="139">
        <v>47087</v>
      </c>
      <c r="G19" s="142"/>
      <c r="H19" s="142"/>
    </row>
    <row r="20" spans="1:9" ht="15.75" thickBot="1">
      <c r="A20" s="6" t="s">
        <v>20</v>
      </c>
      <c r="B20" s="177">
        <f>SUM(B8:B19)</f>
        <v>424098</v>
      </c>
      <c r="C20" s="177">
        <f>SUM(C8:C19)</f>
        <v>450543</v>
      </c>
      <c r="D20" s="177">
        <f>SUM(D8:D19)</f>
        <v>478632</v>
      </c>
      <c r="E20" s="177">
        <f>SUM(E8:E19)</f>
        <v>508470</v>
      </c>
      <c r="F20" s="177">
        <f>SUM(F8:F19)</f>
        <v>540177</v>
      </c>
      <c r="G20" s="142"/>
      <c r="H20" s="142"/>
    </row>
    <row r="21" spans="1:9" ht="15.75" thickTop="1">
      <c r="A21" s="104"/>
      <c r="B21" s="104"/>
      <c r="F21" s="142"/>
      <c r="G21" s="142"/>
      <c r="H21" s="142"/>
    </row>
    <row r="22" spans="1:9">
      <c r="A22" s="104"/>
      <c r="B22" s="104"/>
      <c r="F22" s="142"/>
      <c r="G22" s="142"/>
      <c r="H22" s="142"/>
    </row>
    <row r="23" spans="1:9">
      <c r="B23" s="158"/>
      <c r="C23" s="26"/>
      <c r="E23" s="6"/>
      <c r="F23" s="49"/>
      <c r="G23" s="49"/>
      <c r="H23" s="49"/>
      <c r="I23" s="11"/>
    </row>
    <row r="24" spans="1:9">
      <c r="A24" s="4" t="s">
        <v>347</v>
      </c>
      <c r="B24" s="26"/>
      <c r="C24" s="26"/>
      <c r="I24" s="11"/>
    </row>
    <row r="25" spans="1:9" s="11" customFormat="1">
      <c r="A25" s="4" t="s">
        <v>827</v>
      </c>
      <c r="B25" s="59"/>
      <c r="C25" s="33"/>
      <c r="E25" s="2"/>
      <c r="F25" s="44"/>
      <c r="G25" s="44"/>
      <c r="H25" s="44"/>
    </row>
    <row r="26" spans="1:9" s="11" customFormat="1">
      <c r="A26" s="4" t="s">
        <v>826</v>
      </c>
      <c r="B26" s="33"/>
      <c r="C26" s="33"/>
      <c r="E26" s="2"/>
      <c r="F26" s="44"/>
      <c r="G26" s="44"/>
      <c r="H26" s="44"/>
    </row>
    <row r="27" spans="1:9" s="11" customFormat="1">
      <c r="A27" s="88"/>
      <c r="B27" s="33"/>
      <c r="C27" s="33"/>
      <c r="E27" s="2"/>
      <c r="F27" s="44"/>
      <c r="G27" s="44"/>
      <c r="H27" s="44"/>
    </row>
    <row r="28" spans="1:9" s="11" customFormat="1">
      <c r="A28" s="88"/>
      <c r="B28" s="33"/>
      <c r="C28" s="33"/>
      <c r="E28" s="2"/>
      <c r="F28" s="44"/>
      <c r="G28" s="44"/>
      <c r="H28" s="44"/>
    </row>
    <row r="29" spans="1:9" s="11" customFormat="1">
      <c r="A29" s="161" t="s">
        <v>172</v>
      </c>
      <c r="B29" s="33"/>
      <c r="C29" s="33"/>
      <c r="F29" s="139"/>
      <c r="G29" s="139"/>
      <c r="H29" s="44"/>
    </row>
    <row r="30" spans="1:9" s="11" customFormat="1">
      <c r="A30" s="188" t="s">
        <v>529</v>
      </c>
      <c r="B30" s="33"/>
      <c r="C30" s="33"/>
      <c r="F30" s="139"/>
      <c r="G30" s="139"/>
      <c r="H30" s="142"/>
    </row>
    <row r="31" spans="1:9" s="11" customFormat="1">
      <c r="A31" s="162" t="s">
        <v>354</v>
      </c>
      <c r="B31" s="33"/>
      <c r="C31" s="33"/>
      <c r="F31" s="139"/>
      <c r="G31" s="139"/>
      <c r="H31" s="142"/>
    </row>
    <row r="32" spans="1:9" s="11" customFormat="1">
      <c r="A32" s="162" t="s">
        <v>504</v>
      </c>
      <c r="B32" s="33"/>
      <c r="C32" s="33"/>
      <c r="F32" s="139"/>
      <c r="G32" s="139"/>
      <c r="H32" s="142"/>
    </row>
    <row r="33" spans="1:8" s="11" customFormat="1">
      <c r="A33" s="162" t="s">
        <v>421</v>
      </c>
      <c r="B33" s="33"/>
      <c r="C33" s="33"/>
      <c r="F33" s="139"/>
      <c r="G33" s="139"/>
      <c r="H33" s="142"/>
    </row>
    <row r="34" spans="1:8" s="11" customFormat="1">
      <c r="A34" s="162" t="s">
        <v>422</v>
      </c>
      <c r="B34" s="33"/>
      <c r="C34" s="33"/>
      <c r="F34" s="139"/>
      <c r="G34" s="139"/>
      <c r="H34" s="142"/>
    </row>
    <row r="35" spans="1:8" s="11" customFormat="1">
      <c r="A35" s="162" t="s">
        <v>423</v>
      </c>
      <c r="B35" s="33"/>
      <c r="C35" s="33"/>
      <c r="F35" s="139"/>
      <c r="G35" s="139"/>
      <c r="H35" s="142"/>
    </row>
    <row r="36" spans="1:8" s="11" customFormat="1">
      <c r="B36" s="33"/>
      <c r="C36" s="33"/>
      <c r="F36" s="139"/>
      <c r="G36" s="139"/>
      <c r="H36" s="142"/>
    </row>
    <row r="37" spans="1:8" s="11" customFormat="1">
      <c r="B37" s="33"/>
      <c r="C37" s="33"/>
      <c r="F37" s="139"/>
      <c r="G37" s="139"/>
      <c r="H37" s="142"/>
    </row>
    <row r="38" spans="1:8" s="11" customFormat="1">
      <c r="B38" s="33"/>
      <c r="C38" s="33"/>
      <c r="E38" s="2"/>
      <c r="F38" s="142"/>
      <c r="G38" s="142"/>
      <c r="H38" s="142"/>
    </row>
    <row r="39" spans="1:8" s="11" customFormat="1">
      <c r="B39" s="33"/>
      <c r="C39" s="33"/>
      <c r="E39" s="2"/>
      <c r="F39" s="142"/>
      <c r="G39" s="142"/>
      <c r="H39" s="142"/>
    </row>
    <row r="40" spans="1:8" s="11" customFormat="1">
      <c r="B40" s="33"/>
      <c r="C40" s="33"/>
    </row>
    <row r="41" spans="1:8" s="11" customFormat="1">
      <c r="B41" s="33"/>
      <c r="C41" s="33"/>
    </row>
    <row r="42" spans="1:8" s="11" customFormat="1">
      <c r="B42" s="33"/>
      <c r="C42" s="33"/>
    </row>
    <row r="43" spans="1:8" s="11" customFormat="1">
      <c r="B43" s="33"/>
      <c r="C43" s="33"/>
    </row>
    <row r="44" spans="1:8" s="11" customFormat="1">
      <c r="B44" s="140"/>
      <c r="C44" s="33"/>
    </row>
    <row r="45" spans="1:8" s="11" customFormat="1">
      <c r="B45" s="140"/>
      <c r="C45" s="33"/>
    </row>
    <row r="46" spans="1:8" s="11" customFormat="1">
      <c r="B46" s="33"/>
      <c r="C46" s="33"/>
    </row>
    <row r="47" spans="1:8" s="11" customFormat="1">
      <c r="B47" s="33"/>
      <c r="C47" s="33"/>
      <c r="F47" s="7"/>
      <c r="G47" s="7"/>
      <c r="H47" s="7"/>
    </row>
    <row r="48" spans="1:8" s="11" customFormat="1">
      <c r="A48" s="88"/>
      <c r="B48" s="35"/>
      <c r="C48" s="33"/>
    </row>
    <row r="49" spans="1:8" s="11" customFormat="1">
      <c r="A49" s="33"/>
      <c r="B49" s="35"/>
      <c r="C49" s="33"/>
    </row>
    <row r="50" spans="1:8" s="11" customFormat="1">
      <c r="A50" s="33"/>
      <c r="B50" s="35"/>
      <c r="C50" s="33"/>
    </row>
    <row r="51" spans="1:8" s="11" customFormat="1">
      <c r="A51" s="33"/>
      <c r="B51" s="35"/>
      <c r="C51" s="33"/>
    </row>
    <row r="52" spans="1:8" s="11" customFormat="1">
      <c r="A52" s="33"/>
      <c r="B52" s="35"/>
      <c r="C52" s="33"/>
    </row>
    <row r="53" spans="1:8" s="11" customFormat="1">
      <c r="A53" s="33"/>
      <c r="B53" s="35"/>
      <c r="C53" s="33"/>
    </row>
    <row r="54" spans="1:8" s="11" customFormat="1">
      <c r="B54" s="58"/>
    </row>
    <row r="55" spans="1:8" s="11" customFormat="1">
      <c r="B55" s="41"/>
    </row>
    <row r="56" spans="1:8" s="11" customFormat="1"/>
    <row r="57" spans="1:8" s="11" customFormat="1"/>
    <row r="58" spans="1:8" s="11" customFormat="1">
      <c r="A58" s="22"/>
    </row>
    <row r="59" spans="1:8" s="11" customFormat="1"/>
    <row r="60" spans="1:8" s="11" customFormat="1"/>
    <row r="61" spans="1:8" s="11" customFormat="1">
      <c r="A61" s="18"/>
    </row>
    <row r="62" spans="1:8" s="11" customFormat="1">
      <c r="F62" s="7"/>
      <c r="G62" s="7"/>
      <c r="H62" s="7"/>
    </row>
    <row r="63" spans="1:8" s="11" customFormat="1">
      <c r="F63" s="7"/>
      <c r="G63" s="7"/>
      <c r="H63" s="7"/>
    </row>
    <row r="64" spans="1:8" s="11" customFormat="1">
      <c r="F64" s="7"/>
      <c r="G64" s="7"/>
      <c r="H64" s="7"/>
    </row>
    <row r="65" spans="6:8" s="11" customFormat="1">
      <c r="F65" s="7"/>
      <c r="G65" s="7"/>
      <c r="H65" s="7"/>
    </row>
    <row r="66" spans="6:8" s="11" customFormat="1">
      <c r="F66" s="7"/>
      <c r="G66" s="7"/>
      <c r="H66" s="7"/>
    </row>
    <row r="67" spans="6:8" s="11" customFormat="1">
      <c r="F67" s="7"/>
      <c r="G67" s="7"/>
      <c r="H67" s="7"/>
    </row>
    <row r="68" spans="6:8" s="11" customFormat="1">
      <c r="F68" s="7"/>
      <c r="G68" s="7"/>
      <c r="H68" s="7"/>
    </row>
    <row r="69" spans="6:8" s="11" customFormat="1">
      <c r="F69" s="7"/>
      <c r="G69" s="7"/>
      <c r="H69" s="7"/>
    </row>
    <row r="70" spans="6:8" s="11" customFormat="1">
      <c r="F70" s="7"/>
      <c r="G70" s="7"/>
      <c r="H70" s="7"/>
    </row>
    <row r="71" spans="6:8" s="11" customFormat="1">
      <c r="F71" s="7"/>
      <c r="G71" s="7"/>
      <c r="H71" s="7"/>
    </row>
    <row r="72" spans="6:8" s="11" customFormat="1">
      <c r="F72" s="7"/>
      <c r="G72" s="7"/>
      <c r="H72" s="7"/>
    </row>
    <row r="73" spans="6:8" s="11" customFormat="1">
      <c r="F73" s="7"/>
      <c r="G73" s="7"/>
      <c r="H73" s="7"/>
    </row>
    <row r="74" spans="6:8" s="11" customFormat="1">
      <c r="F74" s="7"/>
      <c r="G74" s="7"/>
      <c r="H74" s="7"/>
    </row>
    <row r="75" spans="6:8" s="11" customFormat="1">
      <c r="F75" s="7"/>
      <c r="G75" s="7"/>
      <c r="H75" s="7"/>
    </row>
    <row r="76" spans="6:8" s="11" customFormat="1">
      <c r="F76" s="7"/>
      <c r="G76" s="7"/>
      <c r="H76" s="7"/>
    </row>
    <row r="77" spans="6:8" s="11" customFormat="1">
      <c r="F77" s="7"/>
      <c r="G77" s="7"/>
      <c r="H77" s="7"/>
    </row>
    <row r="78" spans="6:8" s="11" customFormat="1">
      <c r="F78" s="7"/>
      <c r="G78" s="7"/>
      <c r="H78" s="7"/>
    </row>
    <row r="79" spans="6:8" s="11" customFormat="1">
      <c r="F79" s="7"/>
      <c r="G79" s="7"/>
      <c r="H79" s="7"/>
    </row>
    <row r="80" spans="6:8" s="11" customFormat="1">
      <c r="F80" s="7"/>
      <c r="G80" s="7"/>
      <c r="H80" s="7"/>
    </row>
    <row r="81" spans="2:8" s="11" customFormat="1">
      <c r="B81" s="2"/>
      <c r="F81" s="7"/>
      <c r="G81" s="7"/>
      <c r="H81" s="7"/>
    </row>
    <row r="82" spans="2:8" s="11" customFormat="1">
      <c r="B82" s="2"/>
      <c r="F82" s="7"/>
      <c r="G82" s="7"/>
      <c r="H82" s="7"/>
    </row>
  </sheetData>
  <phoneticPr fontId="15" type="noConversion"/>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P86"/>
  <sheetViews>
    <sheetView tabSelected="1" zoomScaleNormal="100" workbookViewId="0">
      <pane ySplit="4" topLeftCell="A11" activePane="bottomLeft" state="frozen"/>
      <selection activeCell="G26" sqref="G26"/>
      <selection pane="bottomLeft"/>
    </sheetView>
  </sheetViews>
  <sheetFormatPr defaultRowHeight="15"/>
  <cols>
    <col min="1" max="1" width="20.42578125" style="2" customWidth="1"/>
    <col min="2" max="4" width="11.28515625" style="2" customWidth="1"/>
    <col min="5" max="5" width="1.7109375" style="2" customWidth="1"/>
    <col min="6" max="10" width="12.28515625" style="2" customWidth="1"/>
    <col min="11" max="11" width="10.85546875" style="2" customWidth="1"/>
    <col min="12" max="12" width="13.85546875" style="44" customWidth="1"/>
    <col min="13" max="13" width="10.28515625" style="44" customWidth="1"/>
    <col min="14" max="14" width="11.28515625" style="44" customWidth="1"/>
    <col min="15" max="16384" width="9.140625" style="2"/>
  </cols>
  <sheetData>
    <row r="1" spans="1:16">
      <c r="A1" s="1" t="s">
        <v>0</v>
      </c>
      <c r="B1" s="1"/>
      <c r="C1" s="1"/>
      <c r="D1" s="1"/>
      <c r="E1" s="1"/>
      <c r="F1" s="1"/>
    </row>
    <row r="2" spans="1:16">
      <c r="A2" s="1" t="str">
        <f>Comparison!A2</f>
        <v>2016 Budget - 40990 Corporate</v>
      </c>
      <c r="B2" s="1"/>
      <c r="C2" s="1"/>
      <c r="D2" s="1"/>
      <c r="E2" s="1"/>
      <c r="F2" s="1"/>
    </row>
    <row r="3" spans="1:16">
      <c r="A3" s="1" t="s">
        <v>36</v>
      </c>
      <c r="B3" s="1"/>
      <c r="C3" s="1"/>
      <c r="D3" s="1"/>
      <c r="E3" s="1"/>
      <c r="F3" s="1"/>
    </row>
    <row r="4" spans="1:16">
      <c r="A4" s="1" t="s">
        <v>83</v>
      </c>
      <c r="B4" s="1"/>
      <c r="C4" s="1"/>
      <c r="D4" s="1"/>
      <c r="E4" s="1"/>
      <c r="F4" s="1"/>
    </row>
    <row r="5" spans="1:16" s="33" customFormat="1" ht="15.75" thickBot="1">
      <c r="A5" s="59"/>
      <c r="B5" s="59"/>
      <c r="C5" s="59"/>
      <c r="D5" s="59"/>
      <c r="E5" s="59"/>
      <c r="F5" s="59"/>
      <c r="G5" s="60"/>
      <c r="H5" s="60"/>
      <c r="I5" s="60"/>
      <c r="J5" s="60"/>
      <c r="L5" s="29"/>
      <c r="M5" s="29"/>
      <c r="N5" s="29"/>
    </row>
    <row r="6" spans="1:16" s="33" customFormat="1">
      <c r="A6" s="500" t="s">
        <v>814</v>
      </c>
      <c r="B6" s="469"/>
      <c r="C6" s="469"/>
      <c r="D6" s="470" t="s">
        <v>45</v>
      </c>
      <c r="E6" s="469"/>
      <c r="F6" s="471">
        <v>3.2000000000000001E-2</v>
      </c>
      <c r="G6" s="471">
        <v>3.6999999999999998E-2</v>
      </c>
      <c r="H6" s="471">
        <v>3.5999999999999997E-2</v>
      </c>
      <c r="I6" s="471">
        <v>3.1E-2</v>
      </c>
      <c r="J6" s="472">
        <v>2.8000000000000001E-2</v>
      </c>
      <c r="L6" s="140"/>
      <c r="M6" s="140"/>
      <c r="N6" s="140"/>
    </row>
    <row r="7" spans="1:16" s="33" customFormat="1">
      <c r="A7" s="473"/>
      <c r="B7" s="59"/>
      <c r="C7" s="59"/>
      <c r="D7" s="147"/>
      <c r="E7" s="59"/>
      <c r="F7" s="154"/>
      <c r="G7" s="154"/>
      <c r="H7" s="154"/>
      <c r="I7" s="154"/>
      <c r="J7" s="474"/>
      <c r="L7" s="140"/>
      <c r="M7" s="140"/>
      <c r="N7" s="140"/>
    </row>
    <row r="8" spans="1:16" s="33" customFormat="1">
      <c r="A8" s="475"/>
      <c r="B8" s="236" t="s">
        <v>729</v>
      </c>
      <c r="C8" s="236" t="s">
        <v>730</v>
      </c>
      <c r="D8" s="236" t="s">
        <v>188</v>
      </c>
      <c r="E8" s="59"/>
      <c r="F8" s="5">
        <v>2016</v>
      </c>
      <c r="G8" s="5">
        <f>F8+1</f>
        <v>2017</v>
      </c>
      <c r="H8" s="5">
        <f>G8+1</f>
        <v>2018</v>
      </c>
      <c r="I8" s="5">
        <f>H8+1</f>
        <v>2019</v>
      </c>
      <c r="J8" s="476">
        <f>I8+1</f>
        <v>2020</v>
      </c>
      <c r="L8" s="140"/>
      <c r="M8" s="140"/>
      <c r="N8" s="140"/>
      <c r="O8" s="241"/>
      <c r="P8" s="241"/>
    </row>
    <row r="9" spans="1:16" s="33" customFormat="1">
      <c r="A9" s="477" t="s">
        <v>23</v>
      </c>
      <c r="B9" s="478">
        <v>-41041.129999999997</v>
      </c>
      <c r="C9" s="140">
        <v>-44381</v>
      </c>
      <c r="D9" s="140">
        <f>B9-C9</f>
        <v>3339.8700000000026</v>
      </c>
      <c r="E9" s="59"/>
      <c r="F9" s="144">
        <f>$B$24*(1+$F$6)</f>
        <v>-45118.417359999999</v>
      </c>
      <c r="G9" s="144">
        <f>$F$9*(1+$G$6)</f>
        <v>-46787.798802319994</v>
      </c>
      <c r="H9" s="144">
        <f>$G$9*(1+$H$6)</f>
        <v>-48472.159559203516</v>
      </c>
      <c r="I9" s="144">
        <f>$H$9*(1+$I$6)</f>
        <v>-49974.796505538819</v>
      </c>
      <c r="J9" s="479">
        <f>$I$9*(1+$J$6)</f>
        <v>-51374.090807693909</v>
      </c>
      <c r="L9" s="140"/>
      <c r="M9" s="396"/>
      <c r="N9" s="396"/>
      <c r="O9" s="241"/>
      <c r="P9" s="241"/>
    </row>
    <row r="10" spans="1:16" s="33" customFormat="1">
      <c r="A10" s="477" t="s">
        <v>24</v>
      </c>
      <c r="B10" s="478">
        <v>-39154.870000000003</v>
      </c>
      <c r="C10" s="140">
        <v>-44381</v>
      </c>
      <c r="D10" s="140">
        <f t="shared" ref="D10:D20" si="0">B10-C10</f>
        <v>5226.1299999999974</v>
      </c>
      <c r="E10" s="59"/>
      <c r="F10" s="144">
        <f t="shared" ref="F10:F20" si="1">$B$24*(1+$F$6)</f>
        <v>-45118.417359999999</v>
      </c>
      <c r="G10" s="144">
        <f t="shared" ref="G10:G20" si="2">$F$9*(1+$G$6)</f>
        <v>-46787.798802319994</v>
      </c>
      <c r="H10" s="144">
        <f t="shared" ref="H10:H20" si="3">$G$9*(1+$H$6)</f>
        <v>-48472.159559203516</v>
      </c>
      <c r="I10" s="144">
        <f t="shared" ref="I10:I20" si="4">$H$9*(1+$I$6)</f>
        <v>-49974.796505538819</v>
      </c>
      <c r="J10" s="479">
        <f t="shared" ref="J10:J20" si="5">$I$9*(1+$J$6)</f>
        <v>-51374.090807693909</v>
      </c>
      <c r="L10" s="140"/>
      <c r="M10" s="396"/>
      <c r="N10" s="396"/>
      <c r="O10" s="241"/>
      <c r="P10" s="241"/>
    </row>
    <row r="11" spans="1:16" s="33" customFormat="1">
      <c r="A11" s="477" t="s">
        <v>25</v>
      </c>
      <c r="B11" s="478">
        <v>-42646.31</v>
      </c>
      <c r="C11" s="140">
        <v>-44381</v>
      </c>
      <c r="D11" s="140">
        <f t="shared" si="0"/>
        <v>1734.6900000000023</v>
      </c>
      <c r="E11" s="59"/>
      <c r="F11" s="144">
        <f t="shared" si="1"/>
        <v>-45118.417359999999</v>
      </c>
      <c r="G11" s="144">
        <f t="shared" si="2"/>
        <v>-46787.798802319994</v>
      </c>
      <c r="H11" s="144">
        <f t="shared" si="3"/>
        <v>-48472.159559203516</v>
      </c>
      <c r="I11" s="144">
        <f t="shared" si="4"/>
        <v>-49974.796505538819</v>
      </c>
      <c r="J11" s="479">
        <f t="shared" si="5"/>
        <v>-51374.090807693909</v>
      </c>
      <c r="L11" s="140"/>
      <c r="M11" s="396"/>
      <c r="N11" s="396"/>
      <c r="O11" s="241"/>
      <c r="P11" s="241"/>
    </row>
    <row r="12" spans="1:16" s="33" customFormat="1">
      <c r="A12" s="477" t="s">
        <v>26</v>
      </c>
      <c r="B12" s="478">
        <v>-40241.360000000001</v>
      </c>
      <c r="C12" s="140">
        <v>-44381</v>
      </c>
      <c r="D12" s="140">
        <f t="shared" si="0"/>
        <v>4139.6399999999994</v>
      </c>
      <c r="E12" s="59"/>
      <c r="F12" s="144">
        <f t="shared" si="1"/>
        <v>-45118.417359999999</v>
      </c>
      <c r="G12" s="144">
        <f t="shared" si="2"/>
        <v>-46787.798802319994</v>
      </c>
      <c r="H12" s="144">
        <f t="shared" si="3"/>
        <v>-48472.159559203516</v>
      </c>
      <c r="I12" s="144">
        <f t="shared" si="4"/>
        <v>-49974.796505538819</v>
      </c>
      <c r="J12" s="479">
        <f t="shared" si="5"/>
        <v>-51374.090807693909</v>
      </c>
      <c r="L12" s="140"/>
      <c r="M12" s="396"/>
      <c r="N12" s="396"/>
      <c r="O12" s="241"/>
      <c r="P12" s="241"/>
    </row>
    <row r="13" spans="1:16" s="33" customFormat="1">
      <c r="A13" s="477" t="s">
        <v>27</v>
      </c>
      <c r="B13" s="478">
        <v>-41833.97</v>
      </c>
      <c r="C13" s="140">
        <v>-44381</v>
      </c>
      <c r="D13" s="140">
        <f t="shared" si="0"/>
        <v>2547.0299999999988</v>
      </c>
      <c r="E13" s="59"/>
      <c r="F13" s="144">
        <f t="shared" si="1"/>
        <v>-45118.417359999999</v>
      </c>
      <c r="G13" s="144">
        <f t="shared" si="2"/>
        <v>-46787.798802319994</v>
      </c>
      <c r="H13" s="144">
        <f t="shared" si="3"/>
        <v>-48472.159559203516</v>
      </c>
      <c r="I13" s="144">
        <f t="shared" si="4"/>
        <v>-49974.796505538819</v>
      </c>
      <c r="J13" s="479">
        <f t="shared" si="5"/>
        <v>-51374.090807693909</v>
      </c>
      <c r="L13" s="140"/>
      <c r="M13" s="396"/>
      <c r="N13" s="396"/>
      <c r="O13" s="241"/>
      <c r="P13" s="241"/>
    </row>
    <row r="14" spans="1:16" s="33" customFormat="1">
      <c r="A14" s="477" t="s">
        <v>28</v>
      </c>
      <c r="B14" s="478">
        <v>-45811.31</v>
      </c>
      <c r="C14" s="140">
        <v>-44381</v>
      </c>
      <c r="D14" s="140">
        <f t="shared" si="0"/>
        <v>-1430.3099999999977</v>
      </c>
      <c r="E14" s="59"/>
      <c r="F14" s="144">
        <f t="shared" si="1"/>
        <v>-45118.417359999999</v>
      </c>
      <c r="G14" s="144">
        <f t="shared" si="2"/>
        <v>-46787.798802319994</v>
      </c>
      <c r="H14" s="144">
        <f t="shared" si="3"/>
        <v>-48472.159559203516</v>
      </c>
      <c r="I14" s="144">
        <f t="shared" si="4"/>
        <v>-49974.796505538819</v>
      </c>
      <c r="J14" s="479">
        <f t="shared" si="5"/>
        <v>-51374.090807693909</v>
      </c>
      <c r="L14" s="140"/>
      <c r="M14" s="396"/>
      <c r="N14" s="396"/>
      <c r="O14" s="241"/>
      <c r="P14" s="241"/>
    </row>
    <row r="15" spans="1:16" s="33" customFormat="1">
      <c r="A15" s="477" t="s">
        <v>29</v>
      </c>
      <c r="B15" s="478">
        <v>-45085.37</v>
      </c>
      <c r="C15" s="140">
        <v>-44381</v>
      </c>
      <c r="D15" s="140">
        <f t="shared" si="0"/>
        <v>-704.37000000000262</v>
      </c>
      <c r="E15" s="59"/>
      <c r="F15" s="144">
        <f t="shared" si="1"/>
        <v>-45118.417359999999</v>
      </c>
      <c r="G15" s="144">
        <f t="shared" si="2"/>
        <v>-46787.798802319994</v>
      </c>
      <c r="H15" s="144">
        <f t="shared" si="3"/>
        <v>-48472.159559203516</v>
      </c>
      <c r="I15" s="144">
        <f t="shared" si="4"/>
        <v>-49974.796505538819</v>
      </c>
      <c r="J15" s="479">
        <f t="shared" si="5"/>
        <v>-51374.090807693909</v>
      </c>
      <c r="L15" s="140"/>
      <c r="M15" s="396"/>
      <c r="N15" s="396"/>
    </row>
    <row r="16" spans="1:16" s="33" customFormat="1">
      <c r="A16" s="477" t="s">
        <v>30</v>
      </c>
      <c r="B16" s="478">
        <v>-43393.51</v>
      </c>
      <c r="C16" s="140">
        <v>-44381</v>
      </c>
      <c r="D16" s="140">
        <f t="shared" si="0"/>
        <v>987.48999999999796</v>
      </c>
      <c r="E16" s="59"/>
      <c r="F16" s="144">
        <f t="shared" si="1"/>
        <v>-45118.417359999999</v>
      </c>
      <c r="G16" s="144">
        <f t="shared" si="2"/>
        <v>-46787.798802319994</v>
      </c>
      <c r="H16" s="144">
        <f t="shared" si="3"/>
        <v>-48472.159559203516</v>
      </c>
      <c r="I16" s="144">
        <f t="shared" si="4"/>
        <v>-49974.796505538819</v>
      </c>
      <c r="J16" s="479">
        <f t="shared" si="5"/>
        <v>-51374.090807693909</v>
      </c>
      <c r="L16" s="140"/>
      <c r="M16" s="396"/>
      <c r="N16" s="396"/>
    </row>
    <row r="17" spans="1:15" s="33" customFormat="1">
      <c r="A17" s="477" t="s">
        <v>31</v>
      </c>
      <c r="B17" s="478">
        <v>-44939.75</v>
      </c>
      <c r="C17" s="140">
        <v>-44381</v>
      </c>
      <c r="D17" s="140">
        <f t="shared" si="0"/>
        <v>-558.75</v>
      </c>
      <c r="E17" s="59"/>
      <c r="F17" s="144">
        <f t="shared" si="1"/>
        <v>-45118.417359999999</v>
      </c>
      <c r="G17" s="144">
        <f t="shared" si="2"/>
        <v>-46787.798802319994</v>
      </c>
      <c r="H17" s="144">
        <f t="shared" si="3"/>
        <v>-48472.159559203516</v>
      </c>
      <c r="I17" s="144">
        <f t="shared" si="4"/>
        <v>-49974.796505538819</v>
      </c>
      <c r="J17" s="479">
        <f t="shared" si="5"/>
        <v>-51374.090807693909</v>
      </c>
      <c r="L17" s="140"/>
      <c r="M17" s="396"/>
      <c r="N17" s="396"/>
    </row>
    <row r="18" spans="1:15" s="33" customFormat="1">
      <c r="A18" s="480" t="s">
        <v>32</v>
      </c>
      <c r="B18" s="478">
        <v>-47055.11</v>
      </c>
      <c r="C18" s="140">
        <v>-44381</v>
      </c>
      <c r="D18" s="140">
        <f t="shared" si="0"/>
        <v>-2674.1100000000006</v>
      </c>
      <c r="E18" s="59"/>
      <c r="F18" s="144">
        <f t="shared" si="1"/>
        <v>-45118.417359999999</v>
      </c>
      <c r="G18" s="144">
        <f t="shared" si="2"/>
        <v>-46787.798802319994</v>
      </c>
      <c r="H18" s="144">
        <f t="shared" si="3"/>
        <v>-48472.159559203516</v>
      </c>
      <c r="I18" s="144">
        <f t="shared" si="4"/>
        <v>-49974.796505538819</v>
      </c>
      <c r="J18" s="479">
        <f t="shared" si="5"/>
        <v>-51374.090807693909</v>
      </c>
      <c r="L18" s="140"/>
      <c r="M18" s="396"/>
      <c r="N18" s="396"/>
    </row>
    <row r="19" spans="1:15" s="33" customFormat="1">
      <c r="A19" s="477" t="s">
        <v>33</v>
      </c>
      <c r="B19" s="478">
        <v>-53420.84</v>
      </c>
      <c r="C19" s="140">
        <v>-44381</v>
      </c>
      <c r="D19" s="140">
        <f t="shared" si="0"/>
        <v>-9039.8399999999965</v>
      </c>
      <c r="E19" s="59"/>
      <c r="F19" s="144">
        <f t="shared" si="1"/>
        <v>-45118.417359999999</v>
      </c>
      <c r="G19" s="144">
        <f t="shared" si="2"/>
        <v>-46787.798802319994</v>
      </c>
      <c r="H19" s="144">
        <f t="shared" si="3"/>
        <v>-48472.159559203516</v>
      </c>
      <c r="I19" s="144">
        <f t="shared" si="4"/>
        <v>-49974.796505538819</v>
      </c>
      <c r="J19" s="479">
        <f t="shared" si="5"/>
        <v>-51374.090807693909</v>
      </c>
      <c r="L19" s="140"/>
      <c r="M19" s="396"/>
      <c r="N19" s="396"/>
    </row>
    <row r="20" spans="1:15" s="33" customFormat="1">
      <c r="A20" s="477" t="s">
        <v>22</v>
      </c>
      <c r="B20" s="478">
        <v>-40009.230000000003</v>
      </c>
      <c r="C20" s="140">
        <v>-44384</v>
      </c>
      <c r="D20" s="140">
        <f t="shared" si="0"/>
        <v>4374.7699999999968</v>
      </c>
      <c r="E20" s="59"/>
      <c r="F20" s="144">
        <f t="shared" si="1"/>
        <v>-45118.417359999999</v>
      </c>
      <c r="G20" s="144">
        <f t="shared" si="2"/>
        <v>-46787.798802319994</v>
      </c>
      <c r="H20" s="144">
        <f t="shared" si="3"/>
        <v>-48472.159559203516</v>
      </c>
      <c r="I20" s="144">
        <f t="shared" si="4"/>
        <v>-49974.796505538819</v>
      </c>
      <c r="J20" s="479">
        <f t="shared" si="5"/>
        <v>-51374.090807693909</v>
      </c>
      <c r="L20" s="140"/>
      <c r="M20" s="396"/>
      <c r="N20" s="396"/>
    </row>
    <row r="21" spans="1:15" s="33" customFormat="1">
      <c r="A21" s="477" t="s">
        <v>20</v>
      </c>
      <c r="B21" s="190">
        <f>SUM(B9:B20)</f>
        <v>-524632.76</v>
      </c>
      <c r="C21" s="190">
        <f>SUM(C9:C20)</f>
        <v>-532575</v>
      </c>
      <c r="D21" s="190">
        <f>SUM(D9:D20)</f>
        <v>7942.239999999998</v>
      </c>
      <c r="E21" s="59"/>
      <c r="F21" s="69">
        <f>SUM(F9:F20)</f>
        <v>-541421.00832000014</v>
      </c>
      <c r="G21" s="69">
        <f>SUM(G9:G20)</f>
        <v>-561453.58562783978</v>
      </c>
      <c r="H21" s="69">
        <f>SUM(H9:H20)</f>
        <v>-581665.9147104423</v>
      </c>
      <c r="I21" s="69">
        <f>SUM(I9:I20)</f>
        <v>-599697.55806646578</v>
      </c>
      <c r="J21" s="481">
        <f>SUM(J9:J20)</f>
        <v>-616489.08969232684</v>
      </c>
      <c r="L21" s="140"/>
      <c r="M21" s="396"/>
      <c r="N21" s="396"/>
    </row>
    <row r="22" spans="1:15" s="33" customFormat="1">
      <c r="A22" s="482"/>
      <c r="E22" s="59"/>
      <c r="F22" s="59"/>
      <c r="G22" s="60"/>
      <c r="H22" s="60"/>
      <c r="I22" s="60"/>
      <c r="J22" s="483"/>
      <c r="L22" s="140"/>
      <c r="M22" s="140" t="s">
        <v>55</v>
      </c>
      <c r="N22" s="140"/>
    </row>
    <row r="23" spans="1:15" s="33" customFormat="1">
      <c r="A23" s="484" t="s">
        <v>768</v>
      </c>
      <c r="B23" s="27">
        <f>SUM(B9:B20)</f>
        <v>-524632.76</v>
      </c>
      <c r="E23" s="59"/>
      <c r="F23" s="59"/>
      <c r="G23" s="152"/>
      <c r="H23" s="152"/>
      <c r="I23" s="152"/>
      <c r="J23" s="485"/>
      <c r="L23" s="140"/>
      <c r="M23" s="140"/>
      <c r="N23" s="140"/>
    </row>
    <row r="24" spans="1:15" s="33" customFormat="1" ht="15.75" thickBot="1">
      <c r="A24" s="486" t="s">
        <v>356</v>
      </c>
      <c r="B24" s="487">
        <f>B23/12</f>
        <v>-43719.396666666667</v>
      </c>
      <c r="C24" s="488" t="s">
        <v>501</v>
      </c>
      <c r="D24" s="488"/>
      <c r="E24" s="489"/>
      <c r="F24" s="489"/>
      <c r="G24" s="490"/>
      <c r="H24" s="490"/>
      <c r="I24" s="490"/>
      <c r="J24" s="491"/>
      <c r="L24" s="140"/>
      <c r="M24" s="140"/>
      <c r="N24" s="140"/>
    </row>
    <row r="25" spans="1:15" s="33" customFormat="1" ht="15.75" thickBot="1">
      <c r="E25" s="59"/>
      <c r="F25" s="59"/>
      <c r="G25" s="60"/>
      <c r="H25" s="60"/>
      <c r="I25" s="60"/>
      <c r="J25" s="60"/>
      <c r="L25" s="140"/>
      <c r="M25" s="140"/>
      <c r="N25" s="140"/>
    </row>
    <row r="26" spans="1:15" s="33" customFormat="1">
      <c r="A26" s="501" t="s">
        <v>815</v>
      </c>
      <c r="B26" s="492"/>
      <c r="C26" s="492"/>
      <c r="D26" s="492"/>
      <c r="E26" s="469"/>
      <c r="F26" s="469"/>
      <c r="G26" s="493"/>
      <c r="H26" s="493"/>
      <c r="I26" s="493"/>
      <c r="J26" s="494"/>
      <c r="L26" s="140"/>
      <c r="M26" s="140"/>
      <c r="N26" s="140"/>
    </row>
    <row r="27" spans="1:15" s="33" customFormat="1">
      <c r="A27" s="482"/>
      <c r="F27" s="5">
        <f>F8</f>
        <v>2016</v>
      </c>
      <c r="G27" s="5">
        <f>F27+1</f>
        <v>2017</v>
      </c>
      <c r="H27" s="5">
        <f>G27+1</f>
        <v>2018</v>
      </c>
      <c r="I27" s="5">
        <f>H27+1</f>
        <v>2019</v>
      </c>
      <c r="J27" s="476">
        <f>I27+1</f>
        <v>2020</v>
      </c>
      <c r="L27" s="140"/>
      <c r="M27" s="140"/>
      <c r="N27" s="140"/>
    </row>
    <row r="28" spans="1:15" s="33" customFormat="1">
      <c r="A28" s="482"/>
      <c r="E28" s="231" t="s">
        <v>769</v>
      </c>
      <c r="F28" s="514">
        <v>-226800.06</v>
      </c>
      <c r="G28" s="514">
        <v>-267808.43</v>
      </c>
      <c r="H28" s="514">
        <v>-275844.46999999997</v>
      </c>
      <c r="I28" s="514">
        <v>-284126.21999999997</v>
      </c>
      <c r="J28" s="515">
        <v>-292637.78999999998</v>
      </c>
      <c r="K28" s="196">
        <v>42382</v>
      </c>
      <c r="L28" s="264"/>
      <c r="M28" s="140"/>
      <c r="N28" s="140"/>
      <c r="O28" s="532"/>
    </row>
    <row r="29" spans="1:15" s="33" customFormat="1">
      <c r="A29" s="482"/>
      <c r="E29" s="231" t="s">
        <v>505</v>
      </c>
      <c r="F29" s="514">
        <v>-102643.494861592</v>
      </c>
      <c r="G29" s="514">
        <v>-105722.79970744</v>
      </c>
      <c r="H29" s="514">
        <v>-108894.483698663</v>
      </c>
      <c r="I29" s="514">
        <v>-112161.318209623</v>
      </c>
      <c r="J29" s="515">
        <v>-115526.15775591201</v>
      </c>
      <c r="K29" s="196">
        <v>42269</v>
      </c>
      <c r="L29" s="140"/>
      <c r="M29" s="140"/>
      <c r="N29" s="140"/>
    </row>
    <row r="30" spans="1:15" s="33" customFormat="1" ht="15.75" thickBot="1">
      <c r="A30" s="482"/>
      <c r="E30" s="147" t="s">
        <v>20</v>
      </c>
      <c r="F30" s="232">
        <f>F28+F29</f>
        <v>-329443.55486159201</v>
      </c>
      <c r="G30" s="232">
        <f>G28+G29</f>
        <v>-373531.22970744001</v>
      </c>
      <c r="H30" s="232">
        <f>H28+H29</f>
        <v>-384738.95369866298</v>
      </c>
      <c r="I30" s="232">
        <f>I28+I29</f>
        <v>-396287.53820962296</v>
      </c>
      <c r="J30" s="495">
        <f>J28+J29</f>
        <v>-408163.94775591197</v>
      </c>
      <c r="L30" s="140"/>
      <c r="M30" s="140"/>
      <c r="N30" s="140"/>
    </row>
    <row r="31" spans="1:15" s="33" customFormat="1" ht="15.75" thickTop="1">
      <c r="A31" s="482"/>
      <c r="J31" s="483"/>
      <c r="L31" s="140"/>
      <c r="M31" s="140"/>
      <c r="N31" s="140"/>
    </row>
    <row r="32" spans="1:15" s="33" customFormat="1" ht="15.75" thickBot="1">
      <c r="A32" s="496"/>
      <c r="B32" s="488"/>
      <c r="C32" s="488"/>
      <c r="D32" s="488"/>
      <c r="E32" s="497" t="s">
        <v>506</v>
      </c>
      <c r="F32" s="498">
        <f>F29/12</f>
        <v>-8553.6245717993334</v>
      </c>
      <c r="G32" s="498">
        <f>G29/12</f>
        <v>-8810.2333089533331</v>
      </c>
      <c r="H32" s="498">
        <f>H29/12</f>
        <v>-9074.5403082219163</v>
      </c>
      <c r="I32" s="498">
        <f>I29/12</f>
        <v>-9346.7765174685828</v>
      </c>
      <c r="J32" s="499">
        <f>J29/12</f>
        <v>-9627.1798129926665</v>
      </c>
      <c r="L32" s="140"/>
      <c r="M32" s="140"/>
      <c r="N32" s="140"/>
    </row>
    <row r="33" spans="1:14" s="33" customFormat="1" hidden="1">
      <c r="E33" s="59"/>
      <c r="F33" s="59"/>
      <c r="G33" s="60"/>
      <c r="H33" s="60"/>
      <c r="I33" s="60"/>
      <c r="J33" s="60"/>
      <c r="L33" s="140"/>
      <c r="M33" s="140"/>
      <c r="N33" s="140"/>
    </row>
    <row r="34" spans="1:14" s="33" customFormat="1" hidden="1">
      <c r="A34" s="59"/>
      <c r="B34" s="59"/>
      <c r="C34" s="59"/>
      <c r="D34" s="59"/>
      <c r="E34" s="59"/>
      <c r="F34" s="59"/>
      <c r="G34" s="60"/>
      <c r="H34" s="60"/>
      <c r="I34" s="60"/>
      <c r="J34" s="60"/>
      <c r="L34" s="140"/>
      <c r="M34" s="140"/>
      <c r="N34" s="140"/>
    </row>
    <row r="35" spans="1:14" s="33" customFormat="1" hidden="1">
      <c r="A35" s="59"/>
      <c r="B35" s="59"/>
      <c r="C35" s="59"/>
      <c r="D35" s="59"/>
      <c r="E35" s="59"/>
      <c r="F35" s="59"/>
      <c r="G35" s="60"/>
      <c r="H35" s="60"/>
      <c r="I35" s="60"/>
      <c r="J35" s="60"/>
      <c r="L35" s="140"/>
      <c r="M35" s="140"/>
      <c r="N35" s="140"/>
    </row>
    <row r="36" spans="1:14" s="33" customFormat="1" hidden="1">
      <c r="A36" s="59"/>
      <c r="B36" s="59"/>
      <c r="C36" s="59"/>
      <c r="D36" s="59"/>
      <c r="E36" s="59"/>
      <c r="F36" s="59"/>
      <c r="G36" s="60"/>
      <c r="H36" s="60"/>
      <c r="I36" s="60"/>
      <c r="J36" s="60"/>
      <c r="L36" s="140"/>
      <c r="M36" s="140"/>
      <c r="N36" s="140"/>
    </row>
    <row r="37" spans="1:14" s="33" customFormat="1" hidden="1">
      <c r="A37" s="59"/>
      <c r="B37" s="59"/>
      <c r="C37" s="59"/>
      <c r="D37" s="59"/>
      <c r="E37" s="59"/>
      <c r="F37" s="59"/>
      <c r="G37" s="60"/>
      <c r="H37" s="60"/>
      <c r="I37" s="60"/>
      <c r="J37" s="60"/>
      <c r="L37" s="140"/>
      <c r="M37" s="140"/>
      <c r="N37" s="140"/>
    </row>
    <row r="38" spans="1:14" s="166" customFormat="1" hidden="1">
      <c r="A38" s="59"/>
      <c r="B38" s="164">
        <v>40585</v>
      </c>
      <c r="C38" s="164">
        <v>40613</v>
      </c>
      <c r="D38" s="164">
        <v>40644</v>
      </c>
      <c r="E38" s="164">
        <v>40674</v>
      </c>
      <c r="F38" s="164">
        <v>40705</v>
      </c>
      <c r="G38" s="164">
        <v>40735</v>
      </c>
      <c r="H38" s="165"/>
      <c r="I38" s="57" t="s">
        <v>345</v>
      </c>
    </row>
    <row r="39" spans="1:14" s="33" customFormat="1" hidden="1">
      <c r="A39" s="61" t="s">
        <v>83</v>
      </c>
      <c r="B39" s="62">
        <v>-80623.92</v>
      </c>
      <c r="C39" s="144">
        <v>-83710.850000000006</v>
      </c>
      <c r="D39" s="145">
        <v>-97369.2</v>
      </c>
      <c r="E39" s="145">
        <v>-177188.7</v>
      </c>
      <c r="F39" s="145">
        <v>-87345.86</v>
      </c>
      <c r="G39" s="145">
        <v>-97130.92</v>
      </c>
      <c r="H39" s="145"/>
      <c r="I39" s="145"/>
    </row>
    <row r="40" spans="1:14" s="33" customFormat="1" hidden="1">
      <c r="A40" s="61" t="s">
        <v>343</v>
      </c>
      <c r="B40" s="62">
        <v>-29756.639999999999</v>
      </c>
      <c r="C40" s="144">
        <v>-29371.919999999998</v>
      </c>
      <c r="D40" s="145">
        <v>-41700.18</v>
      </c>
      <c r="E40" s="145">
        <v>-124988.45</v>
      </c>
      <c r="F40" s="145">
        <v>-29740.04</v>
      </c>
      <c r="G40" s="145">
        <v>-45848.41</v>
      </c>
      <c r="H40" s="145"/>
      <c r="I40" s="145"/>
    </row>
    <row r="41" spans="1:14" s="33" customFormat="1" hidden="1">
      <c r="A41" s="61" t="s">
        <v>344</v>
      </c>
      <c r="B41" s="63">
        <f t="shared" ref="B41:G41" si="6">B39-B40</f>
        <v>-50867.28</v>
      </c>
      <c r="C41" s="146">
        <f t="shared" si="6"/>
        <v>-54338.930000000008</v>
      </c>
      <c r="D41" s="146">
        <f t="shared" si="6"/>
        <v>-55669.02</v>
      </c>
      <c r="E41" s="146">
        <f t="shared" si="6"/>
        <v>-52200.250000000015</v>
      </c>
      <c r="F41" s="146">
        <f t="shared" si="6"/>
        <v>-57605.82</v>
      </c>
      <c r="G41" s="146">
        <f t="shared" si="6"/>
        <v>-51282.509999999995</v>
      </c>
      <c r="H41" s="144"/>
      <c r="I41" s="152">
        <f>(B41+C41+D41+E41+F41+G41)/6</f>
        <v>-53660.635000000009</v>
      </c>
    </row>
    <row r="42" spans="1:14" s="33" customFormat="1" hidden="1">
      <c r="A42" s="59"/>
      <c r="B42" s="59"/>
      <c r="C42" s="64"/>
      <c r="D42" s="65"/>
      <c r="E42" s="65"/>
      <c r="F42" s="60"/>
      <c r="G42" s="60"/>
      <c r="J42" s="60"/>
    </row>
    <row r="43" spans="1:14" s="33" customFormat="1" hidden="1">
      <c r="A43" s="59"/>
      <c r="B43" s="59"/>
      <c r="C43" s="59"/>
      <c r="D43" s="60"/>
      <c r="E43" s="60"/>
      <c r="F43" s="60"/>
      <c r="G43" s="60"/>
      <c r="H43" s="60"/>
      <c r="I43" s="60"/>
    </row>
    <row r="44" spans="1:14" s="33" customFormat="1" hidden="1">
      <c r="A44" s="59"/>
      <c r="B44" s="59"/>
      <c r="C44" s="5">
        <v>2011</v>
      </c>
      <c r="D44" s="5">
        <f>C44+1</f>
        <v>2012</v>
      </c>
      <c r="E44" s="5">
        <f>D44+1</f>
        <v>2013</v>
      </c>
      <c r="F44" s="5">
        <f>E44+1</f>
        <v>2014</v>
      </c>
      <c r="G44" s="5">
        <f>F44+1</f>
        <v>2015</v>
      </c>
      <c r="H44" s="5">
        <f>G44+1</f>
        <v>2016</v>
      </c>
      <c r="I44" s="60"/>
    </row>
    <row r="45" spans="1:14" s="33" customFormat="1" hidden="1">
      <c r="A45" s="59"/>
      <c r="B45" s="59"/>
      <c r="C45" s="59"/>
      <c r="D45" s="60"/>
      <c r="E45" s="60"/>
      <c r="F45" s="60"/>
      <c r="G45" s="60"/>
      <c r="H45" s="60"/>
      <c r="I45" s="60"/>
    </row>
    <row r="46" spans="1:14" s="33" customFormat="1" hidden="1">
      <c r="B46" s="147" t="s">
        <v>45</v>
      </c>
      <c r="C46" s="59"/>
      <c r="D46" s="143">
        <v>1.9E-2</v>
      </c>
      <c r="E46" s="143">
        <v>2.5000000000000001E-2</v>
      </c>
      <c r="F46" s="143">
        <v>2.7E-2</v>
      </c>
      <c r="G46" s="143">
        <v>2.4E-2</v>
      </c>
      <c r="H46" s="143">
        <v>2.4E-2</v>
      </c>
      <c r="I46" s="154"/>
    </row>
    <row r="47" spans="1:14" s="33" customFormat="1" hidden="1">
      <c r="B47" s="147"/>
      <c r="C47" s="59"/>
      <c r="D47" s="60"/>
      <c r="E47" s="60"/>
      <c r="F47" s="60"/>
      <c r="G47" s="60"/>
      <c r="H47" s="60"/>
      <c r="I47" s="60"/>
      <c r="K47" s="179" t="s">
        <v>370</v>
      </c>
      <c r="L47" s="180" t="s">
        <v>371</v>
      </c>
    </row>
    <row r="48" spans="1:14" s="33" customFormat="1" hidden="1">
      <c r="A48" s="11"/>
      <c r="B48" s="148" t="s">
        <v>21</v>
      </c>
      <c r="C48" s="66">
        <f>I41</f>
        <v>-53660.635000000009</v>
      </c>
      <c r="D48" s="67">
        <f>C48*(1+$D$46)</f>
        <v>-54680.187065000006</v>
      </c>
      <c r="E48" s="67">
        <f>D48*(1+$E$46)</f>
        <v>-56047.191741625</v>
      </c>
      <c r="F48" s="67">
        <f>E48*(1+$F$46)</f>
        <v>-57560.465918648872</v>
      </c>
      <c r="G48" s="67">
        <f>F48*(1+$G$46)</f>
        <v>-58941.917100696446</v>
      </c>
      <c r="H48" s="67">
        <f>G48*(1+$H$46)</f>
        <v>-60356.523111113165</v>
      </c>
      <c r="I48" s="153"/>
      <c r="K48" s="181" t="s">
        <v>369</v>
      </c>
      <c r="L48" s="182" t="s">
        <v>369</v>
      </c>
    </row>
    <row r="49" spans="1:14" s="11" customFormat="1" hidden="1">
      <c r="B49" s="148"/>
      <c r="C49" s="21"/>
      <c r="D49" s="139"/>
      <c r="E49" s="8"/>
      <c r="F49" s="8"/>
      <c r="G49" s="8"/>
      <c r="H49" s="8"/>
      <c r="I49" s="155"/>
      <c r="K49" s="183">
        <f>D50</f>
        <v>-656162.24478000007</v>
      </c>
      <c r="L49" s="184">
        <f>F21</f>
        <v>-541421.00832000014</v>
      </c>
      <c r="M49" s="41">
        <f>L49-K49</f>
        <v>114741.23645999993</v>
      </c>
    </row>
    <row r="50" spans="1:14" s="11" customFormat="1" hidden="1">
      <c r="B50" s="148" t="s">
        <v>128</v>
      </c>
      <c r="C50" s="68">
        <f t="shared" ref="C50:H50" si="7">C48*12</f>
        <v>-643927.62000000011</v>
      </c>
      <c r="D50" s="67">
        <f t="shared" si="7"/>
        <v>-656162.24478000007</v>
      </c>
      <c r="E50" s="67">
        <f t="shared" si="7"/>
        <v>-672566.30089950003</v>
      </c>
      <c r="F50" s="67">
        <f t="shared" si="7"/>
        <v>-690725.59102378646</v>
      </c>
      <c r="G50" s="67">
        <f t="shared" si="7"/>
        <v>-707303.00520835735</v>
      </c>
      <c r="H50" s="67">
        <f t="shared" si="7"/>
        <v>-724278.27733335795</v>
      </c>
      <c r="I50" s="35"/>
      <c r="K50" s="183">
        <f>D48</f>
        <v>-54680.187065000006</v>
      </c>
      <c r="L50" s="184">
        <f>F20</f>
        <v>-45118.417359999999</v>
      </c>
      <c r="M50" s="41">
        <f>L50-K50</f>
        <v>9561.7697050000061</v>
      </c>
    </row>
    <row r="51" spans="1:14" s="11" customFormat="1" hidden="1"/>
    <row r="52" spans="1:14" s="11" customFormat="1" hidden="1">
      <c r="K52" s="6"/>
      <c r="L52" s="49"/>
      <c r="M52" s="49"/>
      <c r="N52" s="49"/>
    </row>
    <row r="53" spans="1:14" s="11" customFormat="1" hidden="1">
      <c r="M53" s="44"/>
      <c r="N53" s="44"/>
    </row>
    <row r="54" spans="1:14" s="11" customFormat="1" hidden="1">
      <c r="M54" s="44"/>
      <c r="N54" s="142"/>
    </row>
    <row r="55" spans="1:14" s="11" customFormat="1" hidden="1">
      <c r="M55" s="44"/>
      <c r="N55" s="142"/>
    </row>
    <row r="56" spans="1:14" s="11" customFormat="1" hidden="1">
      <c r="M56" s="149"/>
      <c r="N56" s="142"/>
    </row>
    <row r="57" spans="1:14" s="11" customFormat="1" hidden="1">
      <c r="M57" s="149"/>
      <c r="N57" s="142"/>
    </row>
    <row r="58" spans="1:14" s="11" customFormat="1" hidden="1">
      <c r="K58" s="2"/>
      <c r="L58" s="142"/>
      <c r="M58" s="142"/>
      <c r="N58" s="142"/>
    </row>
    <row r="59" spans="1:14" s="11" customFormat="1" hidden="1">
      <c r="K59" s="2"/>
      <c r="L59" s="142"/>
      <c r="M59" s="142"/>
      <c r="N59" s="142"/>
    </row>
    <row r="60" spans="1:14" s="11" customFormat="1" hidden="1">
      <c r="K60" s="2"/>
      <c r="L60" s="142"/>
      <c r="M60" s="142"/>
      <c r="N60" s="142"/>
    </row>
    <row r="61" spans="1:14" s="11" customFormat="1" hidden="1">
      <c r="K61" s="2"/>
      <c r="L61" s="142"/>
      <c r="M61" s="142"/>
      <c r="N61" s="142"/>
    </row>
    <row r="62" spans="1:14" s="11" customFormat="1">
      <c r="K62" s="223"/>
      <c r="L62" s="142"/>
      <c r="M62" s="142"/>
      <c r="N62" s="142"/>
    </row>
    <row r="63" spans="1:14" s="11" customFormat="1">
      <c r="A63" s="513" t="s">
        <v>864</v>
      </c>
      <c r="B63" s="70"/>
      <c r="C63" s="70"/>
      <c r="D63" s="70"/>
      <c r="E63" s="70"/>
      <c r="F63" s="142"/>
      <c r="G63" s="142"/>
      <c r="H63" s="142"/>
      <c r="I63" s="142"/>
      <c r="J63" s="142"/>
      <c r="N63" s="44"/>
    </row>
    <row r="64" spans="1:14" s="11" customFormat="1">
      <c r="A64" s="4" t="s">
        <v>863</v>
      </c>
      <c r="B64" s="2"/>
      <c r="C64" s="2"/>
      <c r="D64" s="2"/>
      <c r="E64" s="2"/>
      <c r="F64" s="2"/>
      <c r="G64" s="2"/>
      <c r="H64" s="2"/>
      <c r="I64" s="2"/>
      <c r="J64" s="2"/>
      <c r="N64" s="44"/>
    </row>
    <row r="65" spans="1:14" s="11" customFormat="1">
      <c r="A65" s="2"/>
      <c r="B65" s="2"/>
      <c r="C65" s="2"/>
      <c r="D65" s="2"/>
      <c r="E65" s="2"/>
      <c r="F65" s="2"/>
      <c r="G65" s="2"/>
      <c r="H65" s="2"/>
      <c r="I65" s="2"/>
      <c r="J65" s="2"/>
      <c r="N65" s="142"/>
    </row>
    <row r="66" spans="1:14">
      <c r="A66" s="24" t="s">
        <v>172</v>
      </c>
      <c r="B66" s="24"/>
      <c r="C66" s="24"/>
      <c r="D66" s="24"/>
      <c r="E66" s="24"/>
      <c r="L66" s="2"/>
      <c r="M66" s="2"/>
    </row>
    <row r="67" spans="1:14">
      <c r="A67" s="71" t="s">
        <v>162</v>
      </c>
      <c r="B67" s="71"/>
      <c r="C67" s="71"/>
      <c r="D67" s="71"/>
      <c r="E67" s="71"/>
      <c r="L67" s="2"/>
      <c r="M67" s="2"/>
    </row>
    <row r="68" spans="1:14" ht="30.75" customHeight="1">
      <c r="A68" s="542" t="s">
        <v>163</v>
      </c>
      <c r="B68" s="542"/>
      <c r="C68" s="542"/>
      <c r="D68" s="542"/>
      <c r="E68" s="542"/>
      <c r="F68" s="542"/>
      <c r="G68" s="542"/>
      <c r="H68" s="542"/>
      <c r="I68" s="542"/>
      <c r="J68" s="167"/>
    </row>
    <row r="69" spans="1:14">
      <c r="A69" s="203" t="s">
        <v>496</v>
      </c>
      <c r="B69" s="219"/>
      <c r="C69" s="219"/>
      <c r="D69" s="219"/>
      <c r="E69" s="219"/>
      <c r="F69" s="219"/>
      <c r="G69" s="219"/>
      <c r="H69" s="219"/>
      <c r="I69" s="219"/>
      <c r="J69" s="167"/>
      <c r="L69" s="142"/>
      <c r="M69" s="142"/>
      <c r="N69" s="142"/>
    </row>
    <row r="70" spans="1:14">
      <c r="A70" s="204" t="s">
        <v>813</v>
      </c>
      <c r="B70" s="398"/>
      <c r="C70" s="398"/>
      <c r="D70" s="398"/>
      <c r="E70" s="398"/>
      <c r="F70" s="398"/>
      <c r="G70" s="398"/>
      <c r="H70" s="398"/>
      <c r="I70" s="398"/>
      <c r="J70" s="167"/>
      <c r="L70" s="142"/>
      <c r="M70" s="142"/>
      <c r="N70" s="142"/>
    </row>
    <row r="71" spans="1:14">
      <c r="A71" s="71" t="s">
        <v>346</v>
      </c>
      <c r="B71" s="71"/>
      <c r="C71" s="71"/>
      <c r="D71" s="71"/>
      <c r="E71" s="71"/>
      <c r="K71" s="2" t="s">
        <v>55</v>
      </c>
    </row>
    <row r="72" spans="1:14" ht="15" customHeight="1"/>
    <row r="73" spans="1:14">
      <c r="A73" s="170" t="s">
        <v>342</v>
      </c>
      <c r="B73" s="71"/>
      <c r="C73" s="71"/>
      <c r="D73" s="71"/>
      <c r="E73" s="71"/>
    </row>
    <row r="74" spans="1:14" ht="60" customHeight="1">
      <c r="A74" s="543" t="s">
        <v>495</v>
      </c>
      <c r="B74" s="543"/>
      <c r="C74" s="543"/>
      <c r="D74" s="543"/>
      <c r="E74" s="543"/>
      <c r="F74" s="543"/>
      <c r="G74" s="543"/>
      <c r="H74" s="543"/>
      <c r="I74" s="543"/>
      <c r="J74" s="168"/>
    </row>
    <row r="75" spans="1:14" ht="45.75" customHeight="1">
      <c r="A75" s="544" t="s">
        <v>341</v>
      </c>
      <c r="B75" s="544"/>
      <c r="C75" s="544"/>
      <c r="D75" s="544"/>
      <c r="E75" s="544"/>
      <c r="F75" s="544"/>
      <c r="G75" s="544"/>
      <c r="H75" s="544"/>
      <c r="I75" s="544"/>
      <c r="J75" s="169"/>
    </row>
    <row r="76" spans="1:14">
      <c r="L76" s="142"/>
      <c r="M76" s="142"/>
      <c r="N76" s="142"/>
    </row>
    <row r="77" spans="1:14" ht="28.5" customHeight="1">
      <c r="A77" s="542" t="s">
        <v>164</v>
      </c>
      <c r="B77" s="542"/>
      <c r="C77" s="542"/>
      <c r="D77" s="542"/>
      <c r="E77" s="542"/>
      <c r="F77" s="542"/>
      <c r="G77" s="542"/>
      <c r="H77" s="542"/>
      <c r="I77" s="542"/>
      <c r="J77" s="163"/>
      <c r="L77" s="142"/>
      <c r="M77" s="142"/>
      <c r="N77" s="142"/>
    </row>
    <row r="78" spans="1:14">
      <c r="L78" s="142"/>
      <c r="M78" s="142"/>
      <c r="N78" s="142"/>
    </row>
    <row r="79" spans="1:14" ht="15" customHeight="1"/>
    <row r="80" spans="1:14">
      <c r="L80" s="142"/>
      <c r="M80" s="142"/>
      <c r="N80" s="142"/>
    </row>
    <row r="81" spans="12:14">
      <c r="L81" s="142"/>
      <c r="M81" s="142"/>
      <c r="N81" s="142"/>
    </row>
    <row r="82" spans="12:14">
      <c r="L82" s="142"/>
      <c r="M82" s="142"/>
      <c r="N82" s="142"/>
    </row>
    <row r="83" spans="12:14">
      <c r="L83" s="142"/>
      <c r="M83" s="142"/>
      <c r="N83" s="142"/>
    </row>
    <row r="85" spans="12:14">
      <c r="L85" s="142"/>
      <c r="M85" s="142"/>
      <c r="N85" s="142"/>
    </row>
    <row r="86" spans="12:14">
      <c r="L86" s="142"/>
      <c r="M86" s="142"/>
      <c r="N86" s="142"/>
    </row>
  </sheetData>
  <mergeCells count="4">
    <mergeCell ref="A68:I68"/>
    <mergeCell ref="A74:I74"/>
    <mergeCell ref="A75:I75"/>
    <mergeCell ref="A77:I77"/>
  </mergeCells>
  <pageMargins left="0.79" right="0" top="0.5" bottom="0.5" header="0.5" footer="0.5"/>
  <pageSetup scale="82"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41"/>
  <sheetViews>
    <sheetView workbookViewId="0"/>
  </sheetViews>
  <sheetFormatPr defaultRowHeight="15"/>
  <cols>
    <col min="1" max="1" width="14.28515625" style="2" customWidth="1"/>
    <col min="2" max="4" width="10.28515625" style="2" customWidth="1"/>
    <col min="5" max="5" width="5.7109375" style="26" customWidth="1"/>
    <col min="6" max="10" width="10.28515625" style="2" customWidth="1"/>
    <col min="11" max="11" width="4.85546875" style="2" customWidth="1"/>
    <col min="12" max="12" width="5.140625" style="2" customWidth="1"/>
    <col min="13" max="13" width="14" style="2" customWidth="1"/>
    <col min="14" max="15" width="9.140625" style="2"/>
    <col min="16" max="16" width="10.5703125" style="2" bestFit="1" customWidth="1"/>
    <col min="17" max="18" width="9.140625" style="2"/>
    <col min="19" max="19" width="6.140625" style="2" customWidth="1"/>
    <col min="20" max="20" width="13.5703125" style="2" customWidth="1"/>
    <col min="21" max="22" width="9.140625" style="2"/>
    <col min="23" max="23" width="10.5703125" style="2" bestFit="1" customWidth="1"/>
    <col min="24" max="16384" width="9.140625" style="2"/>
  </cols>
  <sheetData>
    <row r="1" spans="1:25">
      <c r="A1" s="1" t="s">
        <v>0</v>
      </c>
    </row>
    <row r="2" spans="1:25">
      <c r="A2" s="1" t="str">
        <f>Comparison!A2</f>
        <v>2016 Budget - 40990 Corporate</v>
      </c>
    </row>
    <row r="3" spans="1:25">
      <c r="A3" s="1" t="s">
        <v>67</v>
      </c>
      <c r="H3" s="1"/>
    </row>
    <row r="4" spans="1:25">
      <c r="A4" s="1" t="s">
        <v>56</v>
      </c>
      <c r="T4" s="517" t="s">
        <v>835</v>
      </c>
    </row>
    <row r="5" spans="1:25">
      <c r="A5" s="107"/>
      <c r="B5" s="107"/>
      <c r="C5" s="107"/>
      <c r="D5" s="107"/>
      <c r="E5" s="110"/>
      <c r="F5" s="107"/>
      <c r="G5" s="107"/>
      <c r="H5" s="107"/>
      <c r="I5" s="107"/>
      <c r="J5" s="107"/>
    </row>
    <row r="6" spans="1:25">
      <c r="B6" s="19">
        <v>2015</v>
      </c>
      <c r="C6" s="19">
        <v>2015</v>
      </c>
      <c r="D6" s="106"/>
      <c r="E6" s="109"/>
      <c r="M6" s="545" t="s">
        <v>34</v>
      </c>
      <c r="N6" s="545"/>
      <c r="O6" s="545"/>
      <c r="P6" s="545"/>
      <c r="Q6" s="545"/>
      <c r="R6" s="545"/>
      <c r="T6" s="545" t="s">
        <v>499</v>
      </c>
      <c r="U6" s="545"/>
      <c r="V6" s="545"/>
      <c r="W6" s="545"/>
      <c r="X6" s="545"/>
      <c r="Y6" s="545"/>
    </row>
    <row r="7" spans="1:25">
      <c r="B7" s="14" t="s">
        <v>186</v>
      </c>
      <c r="C7" s="14" t="s">
        <v>2</v>
      </c>
      <c r="D7" s="25" t="s">
        <v>49</v>
      </c>
      <c r="E7" s="114"/>
      <c r="F7" s="25">
        <v>2016</v>
      </c>
      <c r="G7" s="25">
        <f>F7+1</f>
        <v>2017</v>
      </c>
      <c r="H7" s="25">
        <f>G7+1</f>
        <v>2018</v>
      </c>
      <c r="I7" s="25">
        <f>H7+1</f>
        <v>2019</v>
      </c>
      <c r="J7" s="25">
        <f>I7+1</f>
        <v>2020</v>
      </c>
      <c r="N7" s="229">
        <f>F7</f>
        <v>2016</v>
      </c>
      <c r="O7" s="229">
        <f>N7+1</f>
        <v>2017</v>
      </c>
      <c r="P7" s="229">
        <f>O7+1</f>
        <v>2018</v>
      </c>
      <c r="Q7" s="229">
        <f>P7+1</f>
        <v>2019</v>
      </c>
      <c r="R7" s="229">
        <f>Q7+1</f>
        <v>2020</v>
      </c>
      <c r="U7" s="229">
        <f>F7</f>
        <v>2016</v>
      </c>
      <c r="V7" s="229">
        <f>U7+1</f>
        <v>2017</v>
      </c>
      <c r="W7" s="229">
        <f>V7+1</f>
        <v>2018</v>
      </c>
      <c r="X7" s="229">
        <f>W7+1</f>
        <v>2019</v>
      </c>
      <c r="Y7" s="229">
        <f>X7+1</f>
        <v>2020</v>
      </c>
    </row>
    <row r="8" spans="1:25">
      <c r="A8" s="6" t="s">
        <v>23</v>
      </c>
      <c r="B8" s="139">
        <v>0</v>
      </c>
      <c r="C8" s="139">
        <v>5461</v>
      </c>
      <c r="D8" s="44">
        <f t="shared" ref="D8:D20" si="0">B8-C8</f>
        <v>-5461</v>
      </c>
      <c r="E8" s="29"/>
      <c r="F8" s="7">
        <f>N8+U8+U25</f>
        <v>1951</v>
      </c>
      <c r="G8" s="139">
        <f>O8+V8+V25</f>
        <v>1951</v>
      </c>
      <c r="H8" s="139">
        <f>P8+W8+W25</f>
        <v>1951</v>
      </c>
      <c r="I8" s="139">
        <f>Q8+X8+X25</f>
        <v>1951</v>
      </c>
      <c r="J8" s="139">
        <f>R8+Y8+Y25</f>
        <v>1951</v>
      </c>
      <c r="M8" s="6" t="s">
        <v>23</v>
      </c>
      <c r="N8" s="139">
        <v>1951</v>
      </c>
      <c r="O8" s="139">
        <v>1951</v>
      </c>
      <c r="P8" s="139">
        <v>1951</v>
      </c>
      <c r="Q8" s="139">
        <v>1951</v>
      </c>
      <c r="R8" s="139">
        <v>1951</v>
      </c>
      <c r="T8" s="6" t="s">
        <v>23</v>
      </c>
      <c r="U8" s="139">
        <v>0</v>
      </c>
      <c r="V8" s="139">
        <v>0</v>
      </c>
      <c r="W8" s="139">
        <v>0</v>
      </c>
      <c r="X8" s="139">
        <v>0</v>
      </c>
      <c r="Y8" s="139">
        <v>0</v>
      </c>
    </row>
    <row r="9" spans="1:25">
      <c r="A9" s="6" t="s">
        <v>24</v>
      </c>
      <c r="B9" s="139">
        <v>1705</v>
      </c>
      <c r="C9" s="139">
        <v>5461</v>
      </c>
      <c r="D9" s="44">
        <f t="shared" si="0"/>
        <v>-3756</v>
      </c>
      <c r="E9" s="29"/>
      <c r="F9" s="139">
        <f t="shared" ref="F9:F19" si="1">N9+U9+U26</f>
        <v>1951</v>
      </c>
      <c r="G9" s="139">
        <f t="shared" ref="G9:G19" si="2">O9+V9+V26</f>
        <v>1951</v>
      </c>
      <c r="H9" s="139">
        <f t="shared" ref="H9:H19" si="3">P9+W9+W26</f>
        <v>1951</v>
      </c>
      <c r="I9" s="139">
        <f t="shared" ref="I9:I19" si="4">Q9+X9+X26</f>
        <v>1951</v>
      </c>
      <c r="J9" s="139">
        <f t="shared" ref="J9:J19" si="5">R9+Y9+Y26</f>
        <v>1951</v>
      </c>
      <c r="M9" s="6" t="s">
        <v>24</v>
      </c>
      <c r="N9" s="139">
        <v>1951</v>
      </c>
      <c r="O9" s="139">
        <v>1951</v>
      </c>
      <c r="P9" s="139">
        <v>1951</v>
      </c>
      <c r="Q9" s="139">
        <v>1951</v>
      </c>
      <c r="R9" s="139">
        <v>1951</v>
      </c>
      <c r="T9" s="6" t="s">
        <v>24</v>
      </c>
      <c r="U9" s="139">
        <v>0</v>
      </c>
      <c r="V9" s="139">
        <v>0</v>
      </c>
      <c r="W9" s="139">
        <v>0</v>
      </c>
      <c r="X9" s="139">
        <v>0</v>
      </c>
      <c r="Y9" s="139">
        <v>0</v>
      </c>
    </row>
    <row r="10" spans="1:25">
      <c r="A10" s="6" t="s">
        <v>25</v>
      </c>
      <c r="B10" s="139">
        <v>3793.64</v>
      </c>
      <c r="C10" s="139">
        <v>5461</v>
      </c>
      <c r="D10" s="44">
        <f t="shared" si="0"/>
        <v>-1667.3600000000001</v>
      </c>
      <c r="E10" s="29"/>
      <c r="F10" s="139">
        <f t="shared" si="1"/>
        <v>1951</v>
      </c>
      <c r="G10" s="139">
        <f t="shared" si="2"/>
        <v>1951</v>
      </c>
      <c r="H10" s="139">
        <f t="shared" si="3"/>
        <v>1951</v>
      </c>
      <c r="I10" s="139">
        <f t="shared" si="4"/>
        <v>1951</v>
      </c>
      <c r="J10" s="139">
        <f t="shared" si="5"/>
        <v>1951</v>
      </c>
      <c r="M10" s="6" t="s">
        <v>25</v>
      </c>
      <c r="N10" s="139">
        <v>1951</v>
      </c>
      <c r="O10" s="139">
        <v>1951</v>
      </c>
      <c r="P10" s="139">
        <v>1951</v>
      </c>
      <c r="Q10" s="139">
        <v>1951</v>
      </c>
      <c r="R10" s="139">
        <v>1951</v>
      </c>
      <c r="T10" s="6" t="s">
        <v>25</v>
      </c>
      <c r="U10" s="139">
        <v>0</v>
      </c>
      <c r="V10" s="139">
        <v>0</v>
      </c>
      <c r="W10" s="139">
        <v>0</v>
      </c>
      <c r="X10" s="139">
        <v>0</v>
      </c>
      <c r="Y10" s="139">
        <v>0</v>
      </c>
    </row>
    <row r="11" spans="1:25">
      <c r="A11" s="6" t="s">
        <v>26</v>
      </c>
      <c r="B11" s="139">
        <v>1951.13</v>
      </c>
      <c r="C11" s="139">
        <v>5461</v>
      </c>
      <c r="D11" s="44">
        <f t="shared" si="0"/>
        <v>-3509.87</v>
      </c>
      <c r="E11" s="29"/>
      <c r="F11" s="139">
        <f t="shared" si="1"/>
        <v>1951</v>
      </c>
      <c r="G11" s="139">
        <f t="shared" si="2"/>
        <v>1951</v>
      </c>
      <c r="H11" s="139">
        <f t="shared" si="3"/>
        <v>1951</v>
      </c>
      <c r="I11" s="139">
        <f t="shared" si="4"/>
        <v>1951</v>
      </c>
      <c r="J11" s="139">
        <f t="shared" si="5"/>
        <v>1951</v>
      </c>
      <c r="M11" s="6" t="s">
        <v>26</v>
      </c>
      <c r="N11" s="139">
        <v>1951</v>
      </c>
      <c r="O11" s="139">
        <v>1951</v>
      </c>
      <c r="P11" s="139">
        <v>1951</v>
      </c>
      <c r="Q11" s="139">
        <v>1951</v>
      </c>
      <c r="R11" s="139">
        <v>1951</v>
      </c>
      <c r="T11" s="6" t="s">
        <v>26</v>
      </c>
      <c r="U11" s="139">
        <v>0</v>
      </c>
      <c r="V11" s="139">
        <v>0</v>
      </c>
      <c r="W11" s="139">
        <v>0</v>
      </c>
      <c r="X11" s="139">
        <v>0</v>
      </c>
      <c r="Y11" s="139">
        <v>0</v>
      </c>
    </row>
    <row r="12" spans="1:25">
      <c r="A12" s="6" t="s">
        <v>27</v>
      </c>
      <c r="B12" s="139">
        <v>1951.13</v>
      </c>
      <c r="C12" s="139">
        <v>5461</v>
      </c>
      <c r="D12" s="44">
        <f t="shared" si="0"/>
        <v>-3509.87</v>
      </c>
      <c r="E12" s="29"/>
      <c r="F12" s="139">
        <f t="shared" si="1"/>
        <v>1951</v>
      </c>
      <c r="G12" s="139">
        <f t="shared" si="2"/>
        <v>1951</v>
      </c>
      <c r="H12" s="139">
        <f t="shared" si="3"/>
        <v>1951</v>
      </c>
      <c r="I12" s="139">
        <f t="shared" si="4"/>
        <v>1951</v>
      </c>
      <c r="J12" s="139">
        <f t="shared" si="5"/>
        <v>1951</v>
      </c>
      <c r="M12" s="6" t="s">
        <v>27</v>
      </c>
      <c r="N12" s="139">
        <v>1951</v>
      </c>
      <c r="O12" s="139">
        <v>1951</v>
      </c>
      <c r="P12" s="139">
        <v>1951</v>
      </c>
      <c r="Q12" s="139">
        <v>1951</v>
      </c>
      <c r="R12" s="139">
        <v>1951</v>
      </c>
      <c r="T12" s="6" t="s">
        <v>27</v>
      </c>
      <c r="U12" s="139">
        <v>0</v>
      </c>
      <c r="V12" s="139">
        <v>0</v>
      </c>
      <c r="W12" s="139">
        <v>0</v>
      </c>
      <c r="X12" s="139">
        <v>0</v>
      </c>
      <c r="Y12" s="139">
        <v>0</v>
      </c>
    </row>
    <row r="13" spans="1:25">
      <c r="A13" s="6" t="s">
        <v>28</v>
      </c>
      <c r="B13" s="139">
        <v>1951.13</v>
      </c>
      <c r="C13" s="139">
        <v>5461</v>
      </c>
      <c r="D13" s="44">
        <f t="shared" si="0"/>
        <v>-3509.87</v>
      </c>
      <c r="E13" s="29"/>
      <c r="F13" s="139">
        <f t="shared" si="1"/>
        <v>1951</v>
      </c>
      <c r="G13" s="139">
        <f t="shared" si="2"/>
        <v>1951</v>
      </c>
      <c r="H13" s="139">
        <f t="shared" si="3"/>
        <v>1951</v>
      </c>
      <c r="I13" s="139">
        <f t="shared" si="4"/>
        <v>1951</v>
      </c>
      <c r="J13" s="139">
        <f t="shared" si="5"/>
        <v>1951</v>
      </c>
      <c r="M13" s="6" t="s">
        <v>28</v>
      </c>
      <c r="N13" s="139">
        <v>1951</v>
      </c>
      <c r="O13" s="139">
        <v>1951</v>
      </c>
      <c r="P13" s="139">
        <v>1951</v>
      </c>
      <c r="Q13" s="139">
        <v>1951</v>
      </c>
      <c r="R13" s="139">
        <v>1951</v>
      </c>
      <c r="T13" s="6" t="s">
        <v>28</v>
      </c>
      <c r="U13" s="139">
        <v>0</v>
      </c>
      <c r="V13" s="139">
        <v>0</v>
      </c>
      <c r="W13" s="139">
        <v>0</v>
      </c>
      <c r="X13" s="139">
        <v>0</v>
      </c>
      <c r="Y13" s="139">
        <v>0</v>
      </c>
    </row>
    <row r="14" spans="1:25">
      <c r="A14" s="6" t="s">
        <v>29</v>
      </c>
      <c r="B14" s="139">
        <v>1951.13</v>
      </c>
      <c r="C14" s="139">
        <v>5461</v>
      </c>
      <c r="D14" s="44">
        <f t="shared" si="0"/>
        <v>-3509.87</v>
      </c>
      <c r="E14" s="29"/>
      <c r="F14" s="139">
        <f t="shared" si="1"/>
        <v>1951</v>
      </c>
      <c r="G14" s="139">
        <f t="shared" si="2"/>
        <v>1951</v>
      </c>
      <c r="H14" s="139">
        <f t="shared" si="3"/>
        <v>1951</v>
      </c>
      <c r="I14" s="139">
        <f t="shared" si="4"/>
        <v>1951</v>
      </c>
      <c r="J14" s="139">
        <f t="shared" si="5"/>
        <v>1951</v>
      </c>
      <c r="M14" s="6" t="s">
        <v>29</v>
      </c>
      <c r="N14" s="139">
        <v>1951</v>
      </c>
      <c r="O14" s="139">
        <v>1951</v>
      </c>
      <c r="P14" s="139">
        <v>1951</v>
      </c>
      <c r="Q14" s="139">
        <v>1951</v>
      </c>
      <c r="R14" s="139">
        <v>1951</v>
      </c>
      <c r="T14" s="6" t="s">
        <v>29</v>
      </c>
      <c r="U14" s="139">
        <v>0</v>
      </c>
      <c r="V14" s="139">
        <v>0</v>
      </c>
      <c r="W14" s="139">
        <v>0</v>
      </c>
      <c r="X14" s="139">
        <v>0</v>
      </c>
      <c r="Y14" s="139">
        <v>0</v>
      </c>
    </row>
    <row r="15" spans="1:25">
      <c r="A15" s="6" t="s">
        <v>30</v>
      </c>
      <c r="B15" s="358"/>
      <c r="C15" s="358">
        <v>5461</v>
      </c>
      <c r="D15" s="358"/>
      <c r="E15" s="29"/>
      <c r="F15" s="139">
        <f t="shared" si="1"/>
        <v>1951</v>
      </c>
      <c r="G15" s="139">
        <f t="shared" si="2"/>
        <v>1951</v>
      </c>
      <c r="H15" s="139">
        <f t="shared" si="3"/>
        <v>1951</v>
      </c>
      <c r="I15" s="139">
        <f t="shared" si="4"/>
        <v>1951</v>
      </c>
      <c r="J15" s="139">
        <f t="shared" si="5"/>
        <v>1951</v>
      </c>
      <c r="M15" s="6" t="s">
        <v>30</v>
      </c>
      <c r="N15" s="139">
        <v>1951</v>
      </c>
      <c r="O15" s="139">
        <v>1951</v>
      </c>
      <c r="P15" s="139">
        <v>1951</v>
      </c>
      <c r="Q15" s="139">
        <v>1951</v>
      </c>
      <c r="R15" s="139">
        <v>1951</v>
      </c>
      <c r="T15" s="6" t="s">
        <v>30</v>
      </c>
      <c r="U15" s="139">
        <v>0</v>
      </c>
      <c r="V15" s="139">
        <v>0</v>
      </c>
      <c r="W15" s="139">
        <v>0</v>
      </c>
      <c r="X15" s="139">
        <v>0</v>
      </c>
      <c r="Y15" s="139">
        <v>0</v>
      </c>
    </row>
    <row r="16" spans="1:25">
      <c r="A16" s="6" t="s">
        <v>31</v>
      </c>
      <c r="B16" s="358"/>
      <c r="C16" s="358">
        <v>5515</v>
      </c>
      <c r="D16" s="358"/>
      <c r="E16" s="29"/>
      <c r="F16" s="139">
        <f t="shared" si="1"/>
        <v>1951</v>
      </c>
      <c r="G16" s="139">
        <f t="shared" si="2"/>
        <v>1951</v>
      </c>
      <c r="H16" s="139">
        <f t="shared" si="3"/>
        <v>1951</v>
      </c>
      <c r="I16" s="139">
        <f t="shared" si="4"/>
        <v>1951</v>
      </c>
      <c r="J16" s="139">
        <f t="shared" si="5"/>
        <v>1951</v>
      </c>
      <c r="M16" s="6" t="s">
        <v>31</v>
      </c>
      <c r="N16" s="139">
        <v>1951</v>
      </c>
      <c r="O16" s="139">
        <v>1951</v>
      </c>
      <c r="P16" s="139">
        <v>1951</v>
      </c>
      <c r="Q16" s="139">
        <v>1951</v>
      </c>
      <c r="R16" s="139">
        <v>1951</v>
      </c>
      <c r="T16" s="6" t="s">
        <v>31</v>
      </c>
      <c r="U16" s="139">
        <v>0</v>
      </c>
      <c r="V16" s="139">
        <v>0</v>
      </c>
      <c r="W16" s="139">
        <v>0</v>
      </c>
      <c r="X16" s="139">
        <v>0</v>
      </c>
      <c r="Y16" s="139">
        <v>0</v>
      </c>
    </row>
    <row r="17" spans="1:25">
      <c r="A17" s="9" t="s">
        <v>32</v>
      </c>
      <c r="B17" s="358"/>
      <c r="C17" s="358">
        <v>5515</v>
      </c>
      <c r="D17" s="358"/>
      <c r="E17" s="29"/>
      <c r="F17" s="139">
        <f t="shared" si="1"/>
        <v>1951</v>
      </c>
      <c r="G17" s="139">
        <f t="shared" si="2"/>
        <v>1951</v>
      </c>
      <c r="H17" s="139">
        <f t="shared" si="3"/>
        <v>1951</v>
      </c>
      <c r="I17" s="139">
        <f t="shared" si="4"/>
        <v>1951</v>
      </c>
      <c r="J17" s="139">
        <f t="shared" si="5"/>
        <v>1951</v>
      </c>
      <c r="M17" s="9" t="s">
        <v>32</v>
      </c>
      <c r="N17" s="139">
        <v>1951</v>
      </c>
      <c r="O17" s="139">
        <v>1951</v>
      </c>
      <c r="P17" s="139">
        <v>1951</v>
      </c>
      <c r="Q17" s="139">
        <v>1951</v>
      </c>
      <c r="R17" s="139">
        <v>1951</v>
      </c>
      <c r="T17" s="9" t="s">
        <v>32</v>
      </c>
      <c r="U17" s="139">
        <v>0</v>
      </c>
      <c r="V17" s="139">
        <v>0</v>
      </c>
      <c r="W17" s="139">
        <v>0</v>
      </c>
      <c r="X17" s="139">
        <v>0</v>
      </c>
      <c r="Y17" s="139">
        <v>0</v>
      </c>
    </row>
    <row r="18" spans="1:25">
      <c r="A18" s="6" t="s">
        <v>33</v>
      </c>
      <c r="B18" s="358"/>
      <c r="C18" s="358">
        <v>5515</v>
      </c>
      <c r="D18" s="358"/>
      <c r="E18" s="29"/>
      <c r="F18" s="139">
        <f t="shared" si="1"/>
        <v>1951</v>
      </c>
      <c r="G18" s="139">
        <f t="shared" si="2"/>
        <v>1951</v>
      </c>
      <c r="H18" s="139">
        <f t="shared" si="3"/>
        <v>1951</v>
      </c>
      <c r="I18" s="139">
        <f t="shared" si="4"/>
        <v>1951</v>
      </c>
      <c r="J18" s="139">
        <f t="shared" si="5"/>
        <v>1951</v>
      </c>
      <c r="M18" s="6" t="s">
        <v>33</v>
      </c>
      <c r="N18" s="139">
        <v>1951</v>
      </c>
      <c r="O18" s="139">
        <v>1951</v>
      </c>
      <c r="P18" s="139">
        <v>1951</v>
      </c>
      <c r="Q18" s="139">
        <v>1951</v>
      </c>
      <c r="R18" s="139">
        <v>1951</v>
      </c>
      <c r="T18" s="6" t="s">
        <v>33</v>
      </c>
      <c r="U18" s="139">
        <v>0</v>
      </c>
      <c r="V18" s="139">
        <v>0</v>
      </c>
      <c r="W18" s="139">
        <v>0</v>
      </c>
      <c r="X18" s="139">
        <v>0</v>
      </c>
      <c r="Y18" s="139">
        <v>0</v>
      </c>
    </row>
    <row r="19" spans="1:25">
      <c r="A19" s="6" t="s">
        <v>22</v>
      </c>
      <c r="B19" s="358"/>
      <c r="C19" s="358">
        <v>5517</v>
      </c>
      <c r="D19" s="358"/>
      <c r="E19" s="29"/>
      <c r="F19" s="139">
        <f t="shared" si="1"/>
        <v>1951</v>
      </c>
      <c r="G19" s="139">
        <f t="shared" si="2"/>
        <v>1951</v>
      </c>
      <c r="H19" s="139">
        <f t="shared" si="3"/>
        <v>1951</v>
      </c>
      <c r="I19" s="139">
        <f t="shared" si="4"/>
        <v>1951</v>
      </c>
      <c r="J19" s="139">
        <f t="shared" si="5"/>
        <v>1951</v>
      </c>
      <c r="M19" s="6" t="s">
        <v>22</v>
      </c>
      <c r="N19" s="139">
        <v>1951</v>
      </c>
      <c r="O19" s="139">
        <v>1951</v>
      </c>
      <c r="P19" s="139">
        <v>1951</v>
      </c>
      <c r="Q19" s="139">
        <v>1951</v>
      </c>
      <c r="R19" s="139">
        <v>1951</v>
      </c>
      <c r="T19" s="6" t="s">
        <v>22</v>
      </c>
      <c r="U19" s="139">
        <v>0</v>
      </c>
      <c r="V19" s="139">
        <v>0</v>
      </c>
      <c r="W19" s="139">
        <v>0</v>
      </c>
      <c r="X19" s="139">
        <v>0</v>
      </c>
      <c r="Y19" s="139">
        <v>0</v>
      </c>
    </row>
    <row r="20" spans="1:25">
      <c r="A20" s="6" t="s">
        <v>20</v>
      </c>
      <c r="B20" s="73">
        <f>SUM(B8:B14)</f>
        <v>13303.16</v>
      </c>
      <c r="C20" s="73">
        <f>SUM(C8:C14)</f>
        <v>38227</v>
      </c>
      <c r="D20" s="73">
        <f t="shared" si="0"/>
        <v>-24923.84</v>
      </c>
      <c r="E20" s="38"/>
      <c r="F20" s="73">
        <f>SUM(F8:F19)</f>
        <v>23412</v>
      </c>
      <c r="G20" s="73">
        <f>SUM(G8:G19)</f>
        <v>23412</v>
      </c>
      <c r="H20" s="73">
        <f>SUM(H8:H19)</f>
        <v>23412</v>
      </c>
      <c r="I20" s="73">
        <f>SUM(I8:I19)</f>
        <v>23412</v>
      </c>
      <c r="J20" s="73">
        <f>SUM(J8:J19)</f>
        <v>23412</v>
      </c>
      <c r="M20" s="6" t="s">
        <v>20</v>
      </c>
      <c r="N20" s="73">
        <f>SUM(N8:N19)</f>
        <v>23412</v>
      </c>
      <c r="O20" s="73">
        <f>SUM(O8:O19)</f>
        <v>23412</v>
      </c>
      <c r="P20" s="73">
        <f>SUM(P8:P19)</f>
        <v>23412</v>
      </c>
      <c r="Q20" s="73">
        <f>SUM(Q8:Q19)</f>
        <v>23412</v>
      </c>
      <c r="R20" s="73">
        <f>SUM(R8:R19)</f>
        <v>23412</v>
      </c>
      <c r="T20" s="6" t="s">
        <v>20</v>
      </c>
      <c r="U20" s="73">
        <f>SUM(U8:U19)</f>
        <v>0</v>
      </c>
      <c r="V20" s="73">
        <f>SUM(V8:V19)</f>
        <v>0</v>
      </c>
      <c r="W20" s="73">
        <f>SUM(W8:W19)</f>
        <v>0</v>
      </c>
      <c r="X20" s="73">
        <f>SUM(X8:X19)</f>
        <v>0</v>
      </c>
      <c r="Y20" s="73">
        <f>SUM(Y8:Y19)</f>
        <v>0</v>
      </c>
    </row>
    <row r="21" spans="1:25">
      <c r="F21" s="48">
        <f>+F20-N20-U20-U37</f>
        <v>0</v>
      </c>
      <c r="G21" s="48">
        <f t="shared" ref="G21:J21" si="6">+G20-O20-V20-V37</f>
        <v>0</v>
      </c>
      <c r="H21" s="48">
        <f t="shared" si="6"/>
        <v>0</v>
      </c>
      <c r="I21" s="48">
        <f t="shared" si="6"/>
        <v>0</v>
      </c>
      <c r="J21" s="48">
        <f t="shared" si="6"/>
        <v>0</v>
      </c>
    </row>
    <row r="22" spans="1:25">
      <c r="B22" s="105"/>
    </row>
    <row r="23" spans="1:25">
      <c r="B23" s="105"/>
      <c r="C23" s="397"/>
      <c r="D23" s="397"/>
      <c r="T23" s="545" t="s">
        <v>500</v>
      </c>
      <c r="U23" s="545"/>
      <c r="V23" s="545"/>
      <c r="W23" s="545"/>
      <c r="X23" s="545"/>
      <c r="Y23" s="545"/>
    </row>
    <row r="24" spans="1:25">
      <c r="B24" s="105"/>
      <c r="C24" s="397"/>
      <c r="D24" s="397"/>
      <c r="U24" s="229">
        <f>F7</f>
        <v>2016</v>
      </c>
      <c r="V24" s="229">
        <f>U24+1</f>
        <v>2017</v>
      </c>
      <c r="W24" s="229">
        <f>V24+1</f>
        <v>2018</v>
      </c>
      <c r="X24" s="229">
        <f>W24+1</f>
        <v>2019</v>
      </c>
      <c r="Y24" s="229">
        <f>X24+1</f>
        <v>2020</v>
      </c>
    </row>
    <row r="25" spans="1:25">
      <c r="C25" s="397"/>
      <c r="D25" s="397"/>
      <c r="T25" s="6" t="s">
        <v>23</v>
      </c>
      <c r="U25" s="139">
        <v>0</v>
      </c>
      <c r="V25" s="139">
        <v>0</v>
      </c>
      <c r="W25" s="139">
        <v>0</v>
      </c>
      <c r="X25" s="139">
        <v>0</v>
      </c>
      <c r="Y25" s="139">
        <v>0</v>
      </c>
    </row>
    <row r="26" spans="1:25">
      <c r="C26" s="397"/>
      <c r="D26" s="397"/>
      <c r="T26" s="6" t="s">
        <v>24</v>
      </c>
      <c r="U26" s="139">
        <v>0</v>
      </c>
      <c r="V26" s="139">
        <v>0</v>
      </c>
      <c r="W26" s="139">
        <v>0</v>
      </c>
      <c r="X26" s="139">
        <v>0</v>
      </c>
      <c r="Y26" s="139">
        <v>0</v>
      </c>
    </row>
    <row r="27" spans="1:25">
      <c r="A27" s="6" t="s">
        <v>764</v>
      </c>
      <c r="C27" s="397"/>
      <c r="D27" s="397"/>
      <c r="T27" s="6" t="s">
        <v>25</v>
      </c>
      <c r="U27" s="139">
        <v>0</v>
      </c>
      <c r="V27" s="139">
        <v>0</v>
      </c>
      <c r="W27" s="139">
        <v>0</v>
      </c>
      <c r="X27" s="139">
        <v>0</v>
      </c>
      <c r="Y27" s="139">
        <v>0</v>
      </c>
    </row>
    <row r="28" spans="1:25">
      <c r="A28" s="6" t="s">
        <v>837</v>
      </c>
      <c r="C28" s="397"/>
      <c r="D28" s="397"/>
      <c r="T28" s="6" t="s">
        <v>26</v>
      </c>
      <c r="U28" s="139">
        <v>0</v>
      </c>
      <c r="V28" s="139">
        <v>0</v>
      </c>
      <c r="W28" s="139">
        <v>0</v>
      </c>
      <c r="X28" s="139">
        <v>0</v>
      </c>
      <c r="Y28" s="139">
        <v>0</v>
      </c>
    </row>
    <row r="29" spans="1:25">
      <c r="A29" s="4" t="s">
        <v>836</v>
      </c>
      <c r="C29" s="397"/>
      <c r="D29" s="397"/>
      <c r="T29" s="6" t="s">
        <v>27</v>
      </c>
      <c r="U29" s="139">
        <v>0</v>
      </c>
      <c r="V29" s="139">
        <v>0</v>
      </c>
      <c r="W29" s="139">
        <v>0</v>
      </c>
      <c r="X29" s="139">
        <v>0</v>
      </c>
      <c r="Y29" s="139">
        <v>0</v>
      </c>
    </row>
    <row r="30" spans="1:25">
      <c r="C30" s="345"/>
      <c r="T30" s="6" t="s">
        <v>28</v>
      </c>
      <c r="U30" s="139">
        <v>0</v>
      </c>
      <c r="V30" s="139">
        <v>0</v>
      </c>
      <c r="W30" s="139">
        <v>0</v>
      </c>
      <c r="X30" s="139">
        <v>0</v>
      </c>
      <c r="Y30" s="139">
        <v>0</v>
      </c>
    </row>
    <row r="31" spans="1:25">
      <c r="A31" s="24" t="s">
        <v>172</v>
      </c>
      <c r="C31" s="345"/>
      <c r="T31" s="6" t="s">
        <v>29</v>
      </c>
      <c r="U31" s="139">
        <v>0</v>
      </c>
      <c r="V31" s="139">
        <v>0</v>
      </c>
      <c r="W31" s="139">
        <v>0</v>
      </c>
      <c r="X31" s="139">
        <v>0</v>
      </c>
      <c r="Y31" s="139">
        <v>0</v>
      </c>
    </row>
    <row r="32" spans="1:25">
      <c r="A32" s="2" t="s">
        <v>838</v>
      </c>
      <c r="B32" s="22"/>
      <c r="C32" s="523"/>
      <c r="D32" s="22"/>
      <c r="E32" s="524"/>
      <c r="F32" s="22"/>
      <c r="G32" s="517"/>
      <c r="T32" s="6" t="s">
        <v>30</v>
      </c>
      <c r="U32" s="139">
        <v>0</v>
      </c>
      <c r="V32" s="139">
        <v>0</v>
      </c>
      <c r="W32" s="139">
        <v>0</v>
      </c>
      <c r="X32" s="139">
        <v>0</v>
      </c>
      <c r="Y32" s="139">
        <v>0</v>
      </c>
    </row>
    <row r="33" spans="1:25">
      <c r="A33" s="2" t="s">
        <v>839</v>
      </c>
      <c r="C33" s="345"/>
      <c r="T33" s="6" t="s">
        <v>31</v>
      </c>
      <c r="U33" s="139">
        <v>0</v>
      </c>
      <c r="V33" s="139">
        <v>0</v>
      </c>
      <c r="W33" s="139">
        <v>0</v>
      </c>
      <c r="X33" s="139">
        <v>0</v>
      </c>
      <c r="Y33" s="139">
        <v>0</v>
      </c>
    </row>
    <row r="34" spans="1:25">
      <c r="C34" s="345"/>
      <c r="T34" s="9" t="s">
        <v>32</v>
      </c>
      <c r="U34" s="139">
        <v>0</v>
      </c>
      <c r="V34" s="139">
        <v>0</v>
      </c>
      <c r="W34" s="139">
        <v>0</v>
      </c>
      <c r="X34" s="139">
        <v>0</v>
      </c>
      <c r="Y34" s="139">
        <v>0</v>
      </c>
    </row>
    <row r="35" spans="1:25">
      <c r="A35" s="265"/>
      <c r="B35" s="265"/>
      <c r="C35" s="516"/>
      <c r="D35" s="265"/>
      <c r="E35" s="264"/>
      <c r="F35" s="265"/>
      <c r="G35" s="11"/>
      <c r="H35" s="11"/>
      <c r="I35" s="11"/>
      <c r="J35" s="11"/>
      <c r="K35" s="11"/>
      <c r="L35" s="11"/>
      <c r="T35" s="6" t="s">
        <v>33</v>
      </c>
      <c r="U35" s="139">
        <v>0</v>
      </c>
      <c r="V35" s="139">
        <v>0</v>
      </c>
      <c r="W35" s="139">
        <v>0</v>
      </c>
      <c r="X35" s="139">
        <v>0</v>
      </c>
      <c r="Y35" s="139">
        <v>0</v>
      </c>
    </row>
    <row r="36" spans="1:25">
      <c r="C36" s="343"/>
      <c r="T36" s="6" t="s">
        <v>22</v>
      </c>
      <c r="U36" s="139">
        <v>0</v>
      </c>
      <c r="V36" s="139">
        <v>0</v>
      </c>
      <c r="W36" s="139">
        <v>0</v>
      </c>
      <c r="X36" s="139">
        <v>0</v>
      </c>
      <c r="Y36" s="139">
        <v>0</v>
      </c>
    </row>
    <row r="37" spans="1:25">
      <c r="C37" s="343"/>
      <c r="T37" s="6" t="s">
        <v>20</v>
      </c>
      <c r="U37" s="73">
        <f>SUM(U25:U36)</f>
        <v>0</v>
      </c>
      <c r="V37" s="73">
        <f>SUM(V25:V36)</f>
        <v>0</v>
      </c>
      <c r="W37" s="73">
        <f>SUM(W25:W36)</f>
        <v>0</v>
      </c>
      <c r="X37" s="73">
        <f>SUM(X25:X36)</f>
        <v>0</v>
      </c>
      <c r="Y37" s="73">
        <f>SUM(Y25:Y36)</f>
        <v>0</v>
      </c>
    </row>
    <row r="38" spans="1:25">
      <c r="C38" s="343"/>
    </row>
    <row r="39" spans="1:25">
      <c r="C39" s="343"/>
      <c r="U39" s="434"/>
    </row>
    <row r="40" spans="1:25">
      <c r="C40" s="343"/>
    </row>
    <row r="41" spans="1:25">
      <c r="C41" s="343"/>
    </row>
  </sheetData>
  <mergeCells count="3">
    <mergeCell ref="T6:Y6"/>
    <mergeCell ref="T23:Y23"/>
    <mergeCell ref="M6:R6"/>
  </mergeCells>
  <phoneticPr fontId="15" type="noConversion"/>
  <pageMargins left="0.25" right="0.25" top="0.75" bottom="0.75" header="0.3" footer="0.3"/>
  <pageSetup scale="56" orientation="landscape"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X134"/>
  <sheetViews>
    <sheetView zoomScaleNormal="100" workbookViewId="0">
      <selection activeCell="P34" sqref="P34"/>
    </sheetView>
  </sheetViews>
  <sheetFormatPr defaultRowHeight="15"/>
  <cols>
    <col min="1" max="1" width="10.5703125" style="11" customWidth="1"/>
    <col min="2" max="2" width="12.28515625" style="11" customWidth="1"/>
    <col min="3" max="3" width="10.28515625" style="11" customWidth="1"/>
    <col min="4" max="8" width="10.7109375" style="11" customWidth="1"/>
    <col min="9" max="10" width="10.85546875" style="11" customWidth="1"/>
    <col min="11" max="12" width="6" style="11" customWidth="1"/>
    <col min="13" max="13" width="5.140625" style="11" bestFit="1" customWidth="1"/>
    <col min="14" max="14" width="5.140625" style="11" customWidth="1"/>
    <col min="15" max="15" width="9" style="11" bestFit="1" customWidth="1"/>
    <col min="16" max="16" width="9" style="11" customWidth="1"/>
    <col min="17" max="17" width="8.7109375" style="11" bestFit="1" customWidth="1"/>
    <col min="18" max="18" width="17.140625" style="11" customWidth="1"/>
    <col min="19" max="20" width="10" style="11" customWidth="1"/>
    <col min="21" max="22" width="10.42578125" style="11" customWidth="1"/>
    <col min="23" max="23" width="10" style="11" customWidth="1"/>
    <col min="24" max="16384" width="9.140625" style="11"/>
  </cols>
  <sheetData>
    <row r="1" spans="1:50">
      <c r="A1" s="6" t="s">
        <v>0</v>
      </c>
    </row>
    <row r="2" spans="1:50">
      <c r="A2" s="6" t="str">
        <f>Comparison!A2</f>
        <v>2016 Budget - 40990 Corporate</v>
      </c>
      <c r="K2" s="409" t="s">
        <v>857</v>
      </c>
      <c r="L2" s="409"/>
      <c r="M2" s="410"/>
      <c r="N2" s="410"/>
      <c r="O2" s="410"/>
      <c r="P2" s="410"/>
      <c r="Q2" s="410"/>
      <c r="R2" s="410"/>
      <c r="S2" s="410"/>
      <c r="T2" s="410"/>
      <c r="U2" s="410"/>
      <c r="V2" s="410"/>
      <c r="W2" s="410"/>
    </row>
    <row r="3" spans="1:50">
      <c r="A3" s="6" t="s">
        <v>312</v>
      </c>
      <c r="K3" s="410"/>
      <c r="L3" s="410"/>
      <c r="M3" s="410"/>
      <c r="N3" s="410"/>
      <c r="O3" s="410"/>
      <c r="P3" s="410"/>
      <c r="Q3" s="410"/>
      <c r="R3" s="410"/>
      <c r="S3" s="410"/>
      <c r="T3" s="410"/>
      <c r="U3" s="410"/>
      <c r="V3" s="410"/>
      <c r="W3" s="410"/>
    </row>
    <row r="4" spans="1:50">
      <c r="A4" s="40"/>
      <c r="K4" s="411" t="s">
        <v>151</v>
      </c>
      <c r="L4" s="411" t="s">
        <v>770</v>
      </c>
      <c r="M4" s="412" t="s">
        <v>152</v>
      </c>
      <c r="N4" s="412" t="s">
        <v>771</v>
      </c>
      <c r="O4" s="411" t="s">
        <v>146</v>
      </c>
      <c r="P4" s="411" t="s">
        <v>218</v>
      </c>
      <c r="Q4" s="411" t="s">
        <v>108</v>
      </c>
      <c r="R4" s="411" t="s">
        <v>772</v>
      </c>
      <c r="S4" s="413" t="s">
        <v>773</v>
      </c>
      <c r="T4" s="413" t="s">
        <v>774</v>
      </c>
      <c r="U4" s="413" t="s">
        <v>775</v>
      </c>
      <c r="V4" s="413" t="s">
        <v>776</v>
      </c>
      <c r="W4" s="413" t="s">
        <v>777</v>
      </c>
    </row>
    <row r="5" spans="1:50">
      <c r="K5" s="414" t="s">
        <v>166</v>
      </c>
      <c r="L5" s="414" t="s">
        <v>361</v>
      </c>
      <c r="M5" s="414" t="s">
        <v>154</v>
      </c>
      <c r="N5" s="414" t="s">
        <v>362</v>
      </c>
      <c r="O5" s="414" t="s">
        <v>167</v>
      </c>
      <c r="P5" s="414" t="s">
        <v>363</v>
      </c>
      <c r="Q5" s="414" t="s">
        <v>851</v>
      </c>
      <c r="R5" s="415" t="s">
        <v>852</v>
      </c>
      <c r="S5" s="416">
        <v>17892</v>
      </c>
      <c r="T5" s="416">
        <v>17892</v>
      </c>
      <c r="U5" s="416">
        <v>17892</v>
      </c>
      <c r="V5" s="416">
        <v>17892</v>
      </c>
      <c r="W5" s="416">
        <v>17892</v>
      </c>
      <c r="X5" s="33"/>
      <c r="AL5" s="400"/>
      <c r="AM5" s="400"/>
      <c r="AN5" s="400"/>
      <c r="AO5" s="400"/>
      <c r="AP5" s="400"/>
      <c r="AQ5" s="400"/>
      <c r="AR5" s="400"/>
      <c r="AS5" s="399"/>
      <c r="AT5" s="399"/>
      <c r="AU5" s="399"/>
      <c r="AV5" s="399"/>
      <c r="AW5" s="399"/>
      <c r="AX5" s="399"/>
    </row>
    <row r="6" spans="1:50">
      <c r="A6" s="15"/>
      <c r="B6" s="21" t="s">
        <v>731</v>
      </c>
      <c r="K6" s="414" t="s">
        <v>166</v>
      </c>
      <c r="L6" s="414" t="s">
        <v>361</v>
      </c>
      <c r="M6" s="414" t="s">
        <v>154</v>
      </c>
      <c r="N6" s="414" t="s">
        <v>362</v>
      </c>
      <c r="O6" s="414" t="s">
        <v>167</v>
      </c>
      <c r="P6" s="414" t="s">
        <v>363</v>
      </c>
      <c r="Q6" s="414" t="s">
        <v>313</v>
      </c>
      <c r="R6" s="415" t="s">
        <v>314</v>
      </c>
      <c r="S6" s="416">
        <v>2466</v>
      </c>
      <c r="T6" s="416">
        <v>2653</v>
      </c>
      <c r="U6" s="416">
        <v>2757</v>
      </c>
      <c r="V6" s="416">
        <v>2855</v>
      </c>
      <c r="W6" s="416">
        <v>2948</v>
      </c>
      <c r="X6" s="33"/>
      <c r="AA6" s="260"/>
      <c r="AB6" s="260"/>
      <c r="AC6" s="260"/>
      <c r="AD6" s="260"/>
      <c r="AE6" s="260"/>
      <c r="AF6" s="260"/>
      <c r="AG6" s="260"/>
      <c r="AH6" s="259"/>
      <c r="AI6" s="259"/>
      <c r="AJ6" s="259"/>
      <c r="AK6" s="259"/>
      <c r="AL6" s="400"/>
      <c r="AM6" s="400"/>
      <c r="AN6" s="400"/>
      <c r="AO6" s="400"/>
      <c r="AP6" s="400"/>
      <c r="AQ6" s="400"/>
      <c r="AR6" s="400"/>
      <c r="AS6" s="399"/>
      <c r="AT6" s="399"/>
      <c r="AU6" s="399"/>
      <c r="AV6" s="399"/>
      <c r="AW6" s="399"/>
      <c r="AX6" s="399"/>
    </row>
    <row r="7" spans="1:50">
      <c r="A7" s="14" t="s">
        <v>54</v>
      </c>
      <c r="B7" s="14" t="s">
        <v>38</v>
      </c>
      <c r="C7" s="57" t="s">
        <v>131</v>
      </c>
      <c r="D7" s="519">
        <v>2016</v>
      </c>
      <c r="E7" s="14">
        <f>D7+1</f>
        <v>2017</v>
      </c>
      <c r="F7" s="14">
        <f>E7+1</f>
        <v>2018</v>
      </c>
      <c r="G7" s="14">
        <f>F7+1</f>
        <v>2019</v>
      </c>
      <c r="H7" s="14">
        <f>G7+1</f>
        <v>2020</v>
      </c>
      <c r="K7" s="414" t="s">
        <v>166</v>
      </c>
      <c r="L7" s="414" t="s">
        <v>361</v>
      </c>
      <c r="M7" s="414" t="s">
        <v>154</v>
      </c>
      <c r="N7" s="414" t="s">
        <v>362</v>
      </c>
      <c r="O7" s="414" t="s">
        <v>167</v>
      </c>
      <c r="P7" s="414" t="s">
        <v>363</v>
      </c>
      <c r="Q7" s="414" t="s">
        <v>140</v>
      </c>
      <c r="R7" s="415" t="s">
        <v>315</v>
      </c>
      <c r="S7" s="416">
        <v>3912</v>
      </c>
      <c r="T7" s="416">
        <v>4152</v>
      </c>
      <c r="U7" s="416">
        <v>4272</v>
      </c>
      <c r="V7" s="416">
        <v>4368</v>
      </c>
      <c r="W7" s="416">
        <v>4644</v>
      </c>
      <c r="X7" s="33"/>
      <c r="AA7" s="260"/>
      <c r="AB7" s="260"/>
      <c r="AC7" s="260"/>
      <c r="AD7" s="260"/>
      <c r="AE7" s="260"/>
      <c r="AF7" s="260"/>
      <c r="AG7" s="260"/>
      <c r="AH7" s="259"/>
      <c r="AI7" s="259"/>
      <c r="AJ7" s="259"/>
      <c r="AK7" s="259"/>
      <c r="AL7" s="400"/>
      <c r="AM7" s="400"/>
      <c r="AN7" s="400"/>
      <c r="AO7" s="400"/>
      <c r="AP7" s="400"/>
      <c r="AQ7" s="400"/>
      <c r="AR7" s="400"/>
      <c r="AS7" s="399"/>
      <c r="AT7" s="399"/>
      <c r="AU7" s="399"/>
      <c r="AV7" s="399"/>
      <c r="AW7" s="399"/>
      <c r="AX7" s="399"/>
    </row>
    <row r="8" spans="1:50">
      <c r="A8" s="15"/>
      <c r="D8" s="520"/>
      <c r="K8" s="414" t="s">
        <v>166</v>
      </c>
      <c r="L8" s="414" t="s">
        <v>361</v>
      </c>
      <c r="M8" s="414" t="s">
        <v>154</v>
      </c>
      <c r="N8" s="414" t="s">
        <v>362</v>
      </c>
      <c r="O8" s="414" t="s">
        <v>167</v>
      </c>
      <c r="P8" s="414" t="s">
        <v>363</v>
      </c>
      <c r="Q8" s="414" t="s">
        <v>719</v>
      </c>
      <c r="R8" s="415" t="s">
        <v>720</v>
      </c>
      <c r="S8" s="416">
        <v>0</v>
      </c>
      <c r="T8" s="416">
        <v>746</v>
      </c>
      <c r="U8" s="416">
        <v>395</v>
      </c>
      <c r="V8" s="416">
        <v>0</v>
      </c>
      <c r="W8" s="416">
        <v>0</v>
      </c>
      <c r="X8" s="33"/>
      <c r="AA8" s="260"/>
      <c r="AB8" s="260"/>
      <c r="AC8" s="260"/>
      <c r="AD8" s="260"/>
      <c r="AE8" s="260"/>
      <c r="AF8" s="260"/>
      <c r="AG8" s="260"/>
      <c r="AH8" s="259"/>
      <c r="AI8" s="259"/>
      <c r="AJ8" s="259"/>
      <c r="AK8" s="259"/>
      <c r="AL8" s="400"/>
      <c r="AM8" s="400"/>
      <c r="AN8" s="400"/>
      <c r="AO8" s="400"/>
      <c r="AP8" s="400"/>
      <c r="AQ8" s="400"/>
      <c r="AR8" s="400"/>
      <c r="AS8" s="399"/>
      <c r="AT8" s="399"/>
      <c r="AU8" s="399"/>
      <c r="AV8" s="399"/>
      <c r="AW8" s="399"/>
      <c r="AX8" s="399"/>
    </row>
    <row r="9" spans="1:50">
      <c r="A9" s="74" t="s">
        <v>6</v>
      </c>
      <c r="B9" s="348">
        <v>320.04000000000002</v>
      </c>
      <c r="C9" s="76">
        <f>+B9/$B$19</f>
        <v>6.9435815772227096E-4</v>
      </c>
      <c r="D9" s="521">
        <f t="shared" ref="D9:D18" si="0">ROUND($D$28*C9,0)</f>
        <v>383</v>
      </c>
      <c r="E9" s="17">
        <f t="shared" ref="E9:E18" si="1">ROUND($E$28*C9,0)</f>
        <v>393</v>
      </c>
      <c r="F9" s="17">
        <f t="shared" ref="F9:F18" si="2">ROUND($F$28*C9,0)</f>
        <v>399</v>
      </c>
      <c r="G9" s="17">
        <f t="shared" ref="G9:G18" si="3">ROUND($G$28*C9,0)</f>
        <v>418</v>
      </c>
      <c r="H9" s="17">
        <f t="shared" ref="H9:H18" si="4">ROUND($H$28*C9,0)</f>
        <v>426</v>
      </c>
      <c r="K9" s="414" t="s">
        <v>166</v>
      </c>
      <c r="L9" s="414" t="s">
        <v>361</v>
      </c>
      <c r="M9" s="414" t="s">
        <v>154</v>
      </c>
      <c r="N9" s="414" t="s">
        <v>362</v>
      </c>
      <c r="O9" s="414" t="s">
        <v>167</v>
      </c>
      <c r="P9" s="414" t="s">
        <v>363</v>
      </c>
      <c r="Q9" s="414" t="s">
        <v>155</v>
      </c>
      <c r="R9" s="415" t="s">
        <v>316</v>
      </c>
      <c r="S9" s="416">
        <v>65897</v>
      </c>
      <c r="T9" s="416">
        <v>68093</v>
      </c>
      <c r="U9" s="416">
        <v>43330</v>
      </c>
      <c r="V9" s="416">
        <v>71142</v>
      </c>
      <c r="W9" s="416">
        <v>72960</v>
      </c>
      <c r="X9" s="33"/>
      <c r="AA9" s="260"/>
      <c r="AB9" s="260"/>
      <c r="AC9" s="260"/>
      <c r="AD9" s="260"/>
      <c r="AE9" s="260"/>
      <c r="AF9" s="260"/>
      <c r="AG9" s="260"/>
      <c r="AH9" s="259"/>
      <c r="AI9" s="259"/>
      <c r="AJ9" s="259"/>
      <c r="AK9" s="259"/>
      <c r="AL9" s="400"/>
      <c r="AM9" s="400"/>
      <c r="AN9" s="400"/>
      <c r="AO9" s="400"/>
      <c r="AP9" s="400"/>
      <c r="AQ9" s="400"/>
      <c r="AR9" s="400"/>
      <c r="AS9" s="399"/>
      <c r="AT9" s="399"/>
      <c r="AU9" s="399"/>
      <c r="AV9" s="399"/>
      <c r="AW9" s="399"/>
      <c r="AX9" s="399"/>
    </row>
    <row r="10" spans="1:50">
      <c r="A10" s="74" t="s">
        <v>7</v>
      </c>
      <c r="B10" s="348">
        <v>8798.08</v>
      </c>
      <c r="C10" s="76">
        <f t="shared" ref="C10:C17" si="5">+B10/$B$19</f>
        <v>1.9088297151272207E-2</v>
      </c>
      <c r="D10" s="521">
        <f t="shared" si="0"/>
        <v>10523</v>
      </c>
      <c r="E10" s="17">
        <f t="shared" si="1"/>
        <v>10801</v>
      </c>
      <c r="F10" s="17">
        <f t="shared" si="2"/>
        <v>10975</v>
      </c>
      <c r="G10" s="17">
        <f t="shared" si="3"/>
        <v>11499</v>
      </c>
      <c r="H10" s="17">
        <f t="shared" si="4"/>
        <v>11722</v>
      </c>
      <c r="K10" s="414" t="s">
        <v>166</v>
      </c>
      <c r="L10" s="414" t="s">
        <v>361</v>
      </c>
      <c r="M10" s="414" t="s">
        <v>154</v>
      </c>
      <c r="N10" s="414" t="s">
        <v>362</v>
      </c>
      <c r="O10" s="414" t="s">
        <v>167</v>
      </c>
      <c r="P10" s="414" t="s">
        <v>363</v>
      </c>
      <c r="Q10" s="414" t="s">
        <v>516</v>
      </c>
      <c r="R10" s="415" t="s">
        <v>517</v>
      </c>
      <c r="S10" s="416">
        <v>396</v>
      </c>
      <c r="T10" s="416">
        <v>408</v>
      </c>
      <c r="U10" s="416">
        <v>432</v>
      </c>
      <c r="V10" s="416">
        <v>456</v>
      </c>
      <c r="W10" s="416">
        <v>480</v>
      </c>
      <c r="X10" s="33"/>
      <c r="Z10" s="261"/>
      <c r="AA10" s="260"/>
      <c r="AB10" s="260"/>
      <c r="AC10" s="260"/>
      <c r="AD10" s="260"/>
      <c r="AE10" s="260"/>
      <c r="AF10" s="260"/>
      <c r="AG10" s="260"/>
      <c r="AH10" s="259"/>
      <c r="AI10" s="259"/>
      <c r="AJ10" s="259"/>
      <c r="AK10" s="259"/>
      <c r="AL10" s="400"/>
      <c r="AM10" s="400"/>
      <c r="AN10" s="400"/>
      <c r="AO10" s="400"/>
      <c r="AP10" s="400"/>
      <c r="AQ10" s="400"/>
      <c r="AR10" s="400"/>
      <c r="AS10" s="399"/>
      <c r="AT10" s="399"/>
      <c r="AU10" s="399"/>
      <c r="AV10" s="399"/>
      <c r="AW10" s="399"/>
      <c r="AX10" s="399"/>
    </row>
    <row r="11" spans="1:50">
      <c r="A11" s="74" t="s">
        <v>8</v>
      </c>
      <c r="B11" s="348">
        <v>1292.6300000000001</v>
      </c>
      <c r="C11" s="76">
        <f t="shared" si="5"/>
        <v>2.8044875184868741E-3</v>
      </c>
      <c r="D11" s="521">
        <f t="shared" si="0"/>
        <v>1546</v>
      </c>
      <c r="E11" s="17">
        <f t="shared" si="1"/>
        <v>1587</v>
      </c>
      <c r="F11" s="17">
        <f t="shared" si="2"/>
        <v>1612</v>
      </c>
      <c r="G11" s="17">
        <f t="shared" si="3"/>
        <v>1689</v>
      </c>
      <c r="H11" s="17">
        <f t="shared" si="4"/>
        <v>1722</v>
      </c>
      <c r="K11" s="414" t="s">
        <v>166</v>
      </c>
      <c r="L11" s="414" t="s">
        <v>361</v>
      </c>
      <c r="M11" s="414" t="s">
        <v>154</v>
      </c>
      <c r="N11" s="414" t="s">
        <v>362</v>
      </c>
      <c r="O11" s="414" t="s">
        <v>167</v>
      </c>
      <c r="P11" s="414" t="s">
        <v>363</v>
      </c>
      <c r="Q11" s="414" t="s">
        <v>156</v>
      </c>
      <c r="R11" s="415" t="s">
        <v>317</v>
      </c>
      <c r="S11" s="416">
        <v>4408</v>
      </c>
      <c r="T11" s="416">
        <v>2805</v>
      </c>
      <c r="U11" s="416">
        <v>2827</v>
      </c>
      <c r="V11" s="416">
        <v>2722</v>
      </c>
      <c r="W11" s="416">
        <v>5041</v>
      </c>
      <c r="X11" s="33"/>
      <c r="Z11" s="261"/>
      <c r="AA11" s="260"/>
      <c r="AB11" s="260"/>
      <c r="AC11" s="260"/>
      <c r="AD11" s="260"/>
      <c r="AE11" s="260"/>
      <c r="AF11" s="260"/>
      <c r="AG11" s="260"/>
      <c r="AH11" s="259"/>
      <c r="AI11" s="259"/>
      <c r="AJ11" s="259"/>
      <c r="AK11" s="259"/>
      <c r="AL11" s="400"/>
      <c r="AM11" s="400"/>
      <c r="AN11" s="400"/>
      <c r="AO11" s="400"/>
      <c r="AP11" s="400"/>
      <c r="AQ11" s="400"/>
      <c r="AR11" s="400"/>
      <c r="AS11" s="399"/>
      <c r="AT11" s="399"/>
      <c r="AU11" s="399"/>
      <c r="AV11" s="399"/>
      <c r="AW11" s="399"/>
      <c r="AX11" s="399"/>
    </row>
    <row r="12" spans="1:50">
      <c r="A12" s="74" t="s">
        <v>9</v>
      </c>
      <c r="B12" s="348">
        <v>52644.58</v>
      </c>
      <c r="C12" s="76">
        <f t="shared" si="5"/>
        <v>0.11421757774922732</v>
      </c>
      <c r="D12" s="521">
        <f t="shared" si="0"/>
        <v>62965</v>
      </c>
      <c r="E12" s="17">
        <f t="shared" si="1"/>
        <v>64632</v>
      </c>
      <c r="F12" s="17">
        <f t="shared" si="2"/>
        <v>65669</v>
      </c>
      <c r="G12" s="17">
        <f t="shared" si="3"/>
        <v>68803</v>
      </c>
      <c r="H12" s="17">
        <f t="shared" si="4"/>
        <v>70137</v>
      </c>
      <c r="K12" s="414" t="s">
        <v>166</v>
      </c>
      <c r="L12" s="414" t="s">
        <v>361</v>
      </c>
      <c r="M12" s="414" t="s">
        <v>154</v>
      </c>
      <c r="N12" s="414" t="s">
        <v>362</v>
      </c>
      <c r="O12" s="414" t="s">
        <v>167</v>
      </c>
      <c r="P12" s="414" t="s">
        <v>363</v>
      </c>
      <c r="Q12" s="414" t="s">
        <v>318</v>
      </c>
      <c r="R12" s="415" t="s">
        <v>319</v>
      </c>
      <c r="S12" s="416">
        <v>151790</v>
      </c>
      <c r="T12" s="416">
        <v>139579</v>
      </c>
      <c r="U12" s="416">
        <v>109542</v>
      </c>
      <c r="V12" s="416">
        <v>166977</v>
      </c>
      <c r="W12" s="416">
        <v>168273</v>
      </c>
      <c r="X12" s="33"/>
      <c r="Z12" s="261"/>
      <c r="AA12" s="260"/>
      <c r="AB12" s="260"/>
      <c r="AC12" s="260"/>
      <c r="AD12" s="260"/>
      <c r="AE12" s="260"/>
      <c r="AF12" s="260"/>
      <c r="AG12" s="260"/>
      <c r="AH12" s="259"/>
      <c r="AI12" s="259"/>
      <c r="AJ12" s="259"/>
      <c r="AK12" s="259"/>
      <c r="AL12" s="400"/>
      <c r="AM12" s="400"/>
      <c r="AN12" s="400"/>
      <c r="AO12" s="400"/>
      <c r="AP12" s="400"/>
      <c r="AQ12" s="400"/>
      <c r="AR12" s="400"/>
      <c r="AS12" s="399"/>
      <c r="AT12" s="399"/>
      <c r="AU12" s="399"/>
      <c r="AV12" s="399"/>
      <c r="AW12" s="399"/>
      <c r="AX12" s="399"/>
    </row>
    <row r="13" spans="1:50">
      <c r="A13" s="74" t="s">
        <v>10</v>
      </c>
      <c r="B13" s="348">
        <v>320.04000000000002</v>
      </c>
      <c r="C13" s="76">
        <f t="shared" si="5"/>
        <v>6.9435815772227096E-4</v>
      </c>
      <c r="D13" s="521">
        <f t="shared" si="0"/>
        <v>383</v>
      </c>
      <c r="E13" s="17">
        <f t="shared" si="1"/>
        <v>393</v>
      </c>
      <c r="F13" s="17">
        <f t="shared" si="2"/>
        <v>399</v>
      </c>
      <c r="G13" s="17">
        <f t="shared" si="3"/>
        <v>418</v>
      </c>
      <c r="H13" s="17">
        <f t="shared" si="4"/>
        <v>426</v>
      </c>
      <c r="K13" s="414" t="s">
        <v>166</v>
      </c>
      <c r="L13" s="414" t="s">
        <v>361</v>
      </c>
      <c r="M13" s="414" t="s">
        <v>154</v>
      </c>
      <c r="N13" s="414" t="s">
        <v>362</v>
      </c>
      <c r="O13" s="414" t="s">
        <v>167</v>
      </c>
      <c r="P13" s="414" t="s">
        <v>363</v>
      </c>
      <c r="Q13" s="414" t="s">
        <v>157</v>
      </c>
      <c r="R13" s="415" t="s">
        <v>320</v>
      </c>
      <c r="S13" s="416">
        <v>4838</v>
      </c>
      <c r="T13" s="416">
        <v>5083</v>
      </c>
      <c r="U13" s="416">
        <v>5331</v>
      </c>
      <c r="V13" s="416">
        <v>5595</v>
      </c>
      <c r="W13" s="416">
        <v>5869</v>
      </c>
      <c r="X13" s="33"/>
      <c r="Z13" s="261"/>
      <c r="AA13" s="350"/>
      <c r="AB13" s="350"/>
      <c r="AC13" s="260"/>
      <c r="AD13" s="260"/>
      <c r="AE13" s="260"/>
      <c r="AF13" s="260"/>
      <c r="AG13" s="260"/>
      <c r="AH13" s="259"/>
      <c r="AI13" s="259"/>
      <c r="AJ13" s="259"/>
      <c r="AK13" s="259"/>
      <c r="AL13" s="400"/>
      <c r="AM13" s="400"/>
      <c r="AN13" s="400"/>
      <c r="AO13" s="400"/>
      <c r="AP13" s="400"/>
      <c r="AQ13" s="400"/>
      <c r="AR13" s="400"/>
      <c r="AS13" s="399"/>
      <c r="AT13" s="399"/>
      <c r="AU13" s="399"/>
      <c r="AV13" s="399"/>
      <c r="AW13" s="399"/>
      <c r="AX13" s="399"/>
    </row>
    <row r="14" spans="1:50">
      <c r="A14" s="74" t="s">
        <v>11</v>
      </c>
      <c r="B14" s="348">
        <v>35527.24</v>
      </c>
      <c r="C14" s="76">
        <f>+B14/$B$19</f>
        <v>7.7079830381692818E-2</v>
      </c>
      <c r="D14" s="521">
        <f t="shared" si="0"/>
        <v>42492</v>
      </c>
      <c r="E14" s="17">
        <f t="shared" si="1"/>
        <v>43617</v>
      </c>
      <c r="F14" s="17">
        <f t="shared" si="2"/>
        <v>44317</v>
      </c>
      <c r="G14" s="17">
        <f t="shared" si="3"/>
        <v>46432</v>
      </c>
      <c r="H14" s="17">
        <f t="shared" si="4"/>
        <v>47332</v>
      </c>
      <c r="K14" s="414" t="s">
        <v>166</v>
      </c>
      <c r="L14" s="414" t="s">
        <v>361</v>
      </c>
      <c r="M14" s="414" t="s">
        <v>154</v>
      </c>
      <c r="N14" s="414" t="s">
        <v>362</v>
      </c>
      <c r="O14" s="414" t="s">
        <v>167</v>
      </c>
      <c r="P14" s="414" t="s">
        <v>363</v>
      </c>
      <c r="Q14" s="414" t="s">
        <v>158</v>
      </c>
      <c r="R14" s="415" t="s">
        <v>321</v>
      </c>
      <c r="S14" s="416">
        <v>496</v>
      </c>
      <c r="T14" s="416">
        <v>669</v>
      </c>
      <c r="U14" s="416">
        <v>674</v>
      </c>
      <c r="V14" s="416">
        <v>702</v>
      </c>
      <c r="W14" s="416">
        <v>725</v>
      </c>
      <c r="X14" s="33"/>
      <c r="Z14" s="261"/>
      <c r="AA14" s="350"/>
      <c r="AB14" s="350"/>
      <c r="AC14" s="260"/>
      <c r="AD14" s="260"/>
      <c r="AE14" s="260"/>
      <c r="AF14" s="260"/>
      <c r="AG14" s="260"/>
      <c r="AH14" s="259"/>
      <c r="AI14" s="259"/>
      <c r="AJ14" s="259"/>
      <c r="AK14" s="259"/>
      <c r="AL14" s="400"/>
      <c r="AM14" s="400"/>
      <c r="AN14" s="400"/>
      <c r="AO14" s="400"/>
      <c r="AP14" s="400"/>
      <c r="AQ14" s="400"/>
      <c r="AR14" s="400"/>
      <c r="AS14" s="399"/>
      <c r="AT14" s="399"/>
      <c r="AU14" s="399"/>
      <c r="AV14" s="399"/>
      <c r="AW14" s="399"/>
      <c r="AX14" s="399"/>
    </row>
    <row r="15" spans="1:50">
      <c r="A15" s="74" t="s">
        <v>12</v>
      </c>
      <c r="B15" s="348">
        <v>242085.88</v>
      </c>
      <c r="C15" s="76">
        <f t="shared" si="5"/>
        <v>0.52522905151660659</v>
      </c>
      <c r="D15" s="521">
        <f t="shared" si="0"/>
        <v>289543</v>
      </c>
      <c r="E15" s="17">
        <f t="shared" si="1"/>
        <v>297209</v>
      </c>
      <c r="F15" s="17">
        <f t="shared" si="2"/>
        <v>301980</v>
      </c>
      <c r="G15" s="17">
        <f t="shared" si="3"/>
        <v>316390</v>
      </c>
      <c r="H15" s="17">
        <f t="shared" si="4"/>
        <v>322527</v>
      </c>
      <c r="K15" s="414" t="s">
        <v>166</v>
      </c>
      <c r="L15" s="414" t="s">
        <v>361</v>
      </c>
      <c r="M15" s="414" t="s">
        <v>154</v>
      </c>
      <c r="N15" s="414" t="s">
        <v>362</v>
      </c>
      <c r="O15" s="414" t="s">
        <v>167</v>
      </c>
      <c r="P15" s="414" t="s">
        <v>363</v>
      </c>
      <c r="Q15" s="414" t="s">
        <v>159</v>
      </c>
      <c r="R15" s="415" t="s">
        <v>322</v>
      </c>
      <c r="S15" s="416">
        <v>2794</v>
      </c>
      <c r="T15" s="416">
        <v>2901</v>
      </c>
      <c r="U15" s="416">
        <v>1392</v>
      </c>
      <c r="V15" s="416">
        <v>3057</v>
      </c>
      <c r="W15" s="416">
        <v>3123</v>
      </c>
      <c r="X15" s="33"/>
      <c r="Z15" s="261"/>
      <c r="AA15" s="350"/>
      <c r="AB15" s="350"/>
      <c r="AC15" s="260"/>
      <c r="AD15" s="260"/>
      <c r="AE15" s="260"/>
      <c r="AF15" s="260"/>
      <c r="AG15" s="260"/>
      <c r="AH15" s="259"/>
      <c r="AI15" s="259"/>
      <c r="AJ15" s="259"/>
      <c r="AK15" s="259"/>
      <c r="AL15" s="400"/>
      <c r="AM15" s="400"/>
      <c r="AN15" s="400"/>
      <c r="AO15" s="400"/>
      <c r="AP15" s="400"/>
      <c r="AQ15" s="400"/>
      <c r="AR15" s="400"/>
      <c r="AS15" s="399"/>
      <c r="AT15" s="399"/>
      <c r="AU15" s="399"/>
      <c r="AV15" s="399"/>
      <c r="AW15" s="399"/>
      <c r="AX15" s="399"/>
    </row>
    <row r="16" spans="1:50">
      <c r="A16" s="74" t="s">
        <v>13</v>
      </c>
      <c r="B16" s="348">
        <v>89979.1</v>
      </c>
      <c r="C16" s="76">
        <f t="shared" si="5"/>
        <v>0.19521847928230218</v>
      </c>
      <c r="D16" s="521">
        <f t="shared" si="0"/>
        <v>107618</v>
      </c>
      <c r="E16" s="17">
        <f t="shared" si="1"/>
        <v>110468</v>
      </c>
      <c r="F16" s="17">
        <f t="shared" si="2"/>
        <v>112241</v>
      </c>
      <c r="G16" s="17">
        <f t="shared" si="3"/>
        <v>117597</v>
      </c>
      <c r="H16" s="17">
        <f t="shared" si="4"/>
        <v>119878</v>
      </c>
      <c r="K16" s="414" t="s">
        <v>166</v>
      </c>
      <c r="L16" s="414" t="s">
        <v>361</v>
      </c>
      <c r="M16" s="414" t="s">
        <v>154</v>
      </c>
      <c r="N16" s="414" t="s">
        <v>362</v>
      </c>
      <c r="O16" s="414" t="s">
        <v>167</v>
      </c>
      <c r="P16" s="414" t="s">
        <v>363</v>
      </c>
      <c r="Q16" s="414" t="s">
        <v>323</v>
      </c>
      <c r="R16" s="415" t="s">
        <v>324</v>
      </c>
      <c r="S16" s="416">
        <v>20853</v>
      </c>
      <c r="T16" s="416">
        <v>22019</v>
      </c>
      <c r="U16" s="416">
        <v>12850</v>
      </c>
      <c r="V16" s="416">
        <v>17112</v>
      </c>
      <c r="W16" s="416">
        <v>20015</v>
      </c>
      <c r="X16" s="33"/>
      <c r="Z16" s="261"/>
      <c r="AA16" s="350"/>
      <c r="AB16" s="350"/>
      <c r="AC16" s="260"/>
      <c r="AD16" s="260"/>
      <c r="AE16" s="260"/>
      <c r="AF16" s="260"/>
      <c r="AG16" s="260"/>
      <c r="AH16" s="259"/>
      <c r="AI16" s="259"/>
      <c r="AJ16" s="259"/>
      <c r="AK16" s="259"/>
      <c r="AL16" s="400"/>
      <c r="AM16" s="400"/>
      <c r="AN16" s="400"/>
      <c r="AO16" s="400"/>
      <c r="AP16" s="400"/>
      <c r="AQ16" s="400"/>
      <c r="AR16" s="400"/>
      <c r="AS16" s="399"/>
      <c r="AT16" s="399"/>
      <c r="AU16" s="399"/>
      <c r="AV16" s="399"/>
      <c r="AW16" s="399"/>
      <c r="AX16" s="399"/>
    </row>
    <row r="17" spans="1:50">
      <c r="A17" s="74" t="s">
        <v>14</v>
      </c>
      <c r="B17" s="348">
        <v>29669.07</v>
      </c>
      <c r="C17" s="76">
        <f t="shared" si="5"/>
        <v>6.4369956213389257E-2</v>
      </c>
      <c r="D17" s="521">
        <f t="shared" si="0"/>
        <v>35485</v>
      </c>
      <c r="E17" s="17">
        <f t="shared" si="1"/>
        <v>36425</v>
      </c>
      <c r="F17" s="17">
        <f t="shared" si="2"/>
        <v>37009</v>
      </c>
      <c r="G17" s="17">
        <f t="shared" si="3"/>
        <v>38775</v>
      </c>
      <c r="H17" s="17">
        <f t="shared" si="4"/>
        <v>39528</v>
      </c>
      <c r="K17" s="414" t="s">
        <v>166</v>
      </c>
      <c r="L17" s="414" t="s">
        <v>361</v>
      </c>
      <c r="M17" s="414" t="s">
        <v>153</v>
      </c>
      <c r="N17" s="414" t="s">
        <v>364</v>
      </c>
      <c r="O17" s="414" t="s">
        <v>167</v>
      </c>
      <c r="P17" s="414" t="s">
        <v>363</v>
      </c>
      <c r="Q17" s="414" t="s">
        <v>168</v>
      </c>
      <c r="R17" s="415" t="s">
        <v>325</v>
      </c>
      <c r="S17" s="416">
        <v>118010</v>
      </c>
      <c r="T17" s="416">
        <v>117982</v>
      </c>
      <c r="U17" s="416">
        <v>120238</v>
      </c>
      <c r="V17" s="416">
        <v>123095</v>
      </c>
      <c r="W17" s="416">
        <v>126422</v>
      </c>
      <c r="X17" s="33"/>
      <c r="Z17" s="261"/>
      <c r="AA17" s="350"/>
      <c r="AB17" s="350"/>
      <c r="AC17" s="260"/>
      <c r="AD17" s="260"/>
      <c r="AE17" s="260"/>
      <c r="AF17" s="260"/>
      <c r="AG17" s="260"/>
      <c r="AH17" s="259"/>
      <c r="AI17" s="259"/>
      <c r="AJ17" s="259"/>
      <c r="AK17" s="259"/>
      <c r="AL17" s="400"/>
      <c r="AM17" s="400"/>
      <c r="AN17" s="400"/>
      <c r="AO17" s="400"/>
      <c r="AP17" s="400"/>
      <c r="AQ17" s="400"/>
      <c r="AR17" s="400"/>
      <c r="AS17" s="399"/>
      <c r="AT17" s="399"/>
      <c r="AU17" s="399"/>
      <c r="AV17" s="399"/>
      <c r="AW17" s="399"/>
      <c r="AX17" s="399"/>
    </row>
    <row r="18" spans="1:50">
      <c r="A18" s="74" t="s">
        <v>15</v>
      </c>
      <c r="B18" s="348">
        <v>278.20999999999998</v>
      </c>
      <c r="C18" s="76">
        <f>+B18/$B$19</f>
        <v>6.0360387157828077E-4</v>
      </c>
      <c r="D18" s="521">
        <f t="shared" si="0"/>
        <v>333</v>
      </c>
      <c r="E18" s="17">
        <f t="shared" si="1"/>
        <v>342</v>
      </c>
      <c r="F18" s="17">
        <f t="shared" si="2"/>
        <v>347</v>
      </c>
      <c r="G18" s="17">
        <f t="shared" si="3"/>
        <v>364</v>
      </c>
      <c r="H18" s="17">
        <f t="shared" si="4"/>
        <v>371</v>
      </c>
      <c r="K18" s="414" t="s">
        <v>166</v>
      </c>
      <c r="L18" s="414" t="s">
        <v>361</v>
      </c>
      <c r="M18" s="414" t="s">
        <v>153</v>
      </c>
      <c r="N18" s="414" t="s">
        <v>364</v>
      </c>
      <c r="O18" s="414" t="s">
        <v>167</v>
      </c>
      <c r="P18" s="414" t="s">
        <v>363</v>
      </c>
      <c r="Q18" s="414" t="s">
        <v>424</v>
      </c>
      <c r="R18" s="415" t="s">
        <v>425</v>
      </c>
      <c r="S18" s="416">
        <v>1267</v>
      </c>
      <c r="T18" s="416">
        <v>1261</v>
      </c>
      <c r="U18" s="416">
        <v>1261</v>
      </c>
      <c r="V18" s="416">
        <v>1261</v>
      </c>
      <c r="W18" s="416">
        <v>1261</v>
      </c>
      <c r="X18" s="33"/>
      <c r="Z18" s="261"/>
      <c r="AA18" s="350"/>
      <c r="AB18" s="350"/>
      <c r="AC18" s="260"/>
      <c r="AD18" s="260"/>
      <c r="AE18" s="260"/>
      <c r="AF18" s="260"/>
      <c r="AG18" s="260"/>
      <c r="AH18" s="259"/>
      <c r="AI18" s="259"/>
      <c r="AJ18" s="259"/>
      <c r="AK18" s="259"/>
      <c r="AL18" s="400"/>
      <c r="AM18" s="400"/>
      <c r="AN18" s="400"/>
      <c r="AO18" s="400"/>
      <c r="AP18" s="400"/>
      <c r="AQ18" s="400"/>
      <c r="AR18" s="400"/>
      <c r="AS18" s="399"/>
      <c r="AT18" s="399"/>
      <c r="AU18" s="399"/>
      <c r="AV18" s="399"/>
      <c r="AW18" s="399"/>
      <c r="AX18" s="399"/>
    </row>
    <row r="19" spans="1:50" ht="15.75" thickBot="1">
      <c r="A19" s="74"/>
      <c r="B19" s="349">
        <f t="shared" ref="B19:H19" si="6">SUM(B9:B18)</f>
        <v>460914.87</v>
      </c>
      <c r="C19" s="77">
        <f t="shared" si="6"/>
        <v>1</v>
      </c>
      <c r="D19" s="522">
        <f t="shared" si="6"/>
        <v>551271</v>
      </c>
      <c r="E19" s="78">
        <f t="shared" si="6"/>
        <v>565867</v>
      </c>
      <c r="F19" s="78">
        <f t="shared" si="6"/>
        <v>574948</v>
      </c>
      <c r="G19" s="78">
        <f t="shared" si="6"/>
        <v>602385</v>
      </c>
      <c r="H19" s="78">
        <f t="shared" si="6"/>
        <v>614069</v>
      </c>
      <c r="K19" s="414" t="s">
        <v>166</v>
      </c>
      <c r="L19" s="414" t="s">
        <v>361</v>
      </c>
      <c r="M19" s="414" t="s">
        <v>153</v>
      </c>
      <c r="N19" s="414" t="s">
        <v>364</v>
      </c>
      <c r="O19" s="414" t="s">
        <v>167</v>
      </c>
      <c r="P19" s="414" t="s">
        <v>363</v>
      </c>
      <c r="Q19" s="414" t="s">
        <v>144</v>
      </c>
      <c r="R19" s="415" t="s">
        <v>326</v>
      </c>
      <c r="S19" s="416">
        <v>10226</v>
      </c>
      <c r="T19" s="416">
        <v>24711</v>
      </c>
      <c r="U19" s="416">
        <v>12040</v>
      </c>
      <c r="V19" s="416">
        <v>13181</v>
      </c>
      <c r="W19" s="416">
        <v>14476</v>
      </c>
      <c r="X19" s="33"/>
      <c r="Z19" s="261"/>
      <c r="AA19" s="350"/>
      <c r="AB19" s="350"/>
      <c r="AC19" s="260"/>
      <c r="AD19" s="260"/>
      <c r="AE19" s="260"/>
      <c r="AF19" s="260"/>
      <c r="AG19" s="260"/>
      <c r="AH19" s="259"/>
      <c r="AI19" s="259"/>
      <c r="AJ19" s="259"/>
      <c r="AK19" s="259"/>
      <c r="AL19" s="400"/>
      <c r="AM19" s="400"/>
      <c r="AN19" s="400"/>
      <c r="AO19" s="400"/>
      <c r="AP19" s="400"/>
      <c r="AQ19" s="400"/>
      <c r="AR19" s="400"/>
      <c r="AS19" s="399"/>
      <c r="AT19" s="399"/>
      <c r="AU19" s="399"/>
      <c r="AV19" s="399"/>
      <c r="AW19" s="399"/>
      <c r="AX19" s="399"/>
    </row>
    <row r="20" spans="1:50" ht="15.75" thickTop="1">
      <c r="A20" s="15"/>
      <c r="K20" s="414" t="s">
        <v>169</v>
      </c>
      <c r="L20" s="414" t="s">
        <v>365</v>
      </c>
      <c r="M20" s="414" t="s">
        <v>154</v>
      </c>
      <c r="N20" s="414" t="s">
        <v>362</v>
      </c>
      <c r="O20" s="414" t="s">
        <v>167</v>
      </c>
      <c r="P20" s="414" t="s">
        <v>363</v>
      </c>
      <c r="Q20" s="414" t="s">
        <v>141</v>
      </c>
      <c r="R20" s="415" t="s">
        <v>327</v>
      </c>
      <c r="S20" s="416">
        <v>9828</v>
      </c>
      <c r="T20" s="416">
        <v>10608</v>
      </c>
      <c r="U20" s="416">
        <v>11004</v>
      </c>
      <c r="V20" s="416">
        <v>11316</v>
      </c>
      <c r="W20" s="416">
        <v>12216</v>
      </c>
      <c r="X20" s="33"/>
      <c r="AA20" s="350"/>
      <c r="AB20" s="350"/>
      <c r="AC20" s="260"/>
      <c r="AD20" s="260"/>
      <c r="AE20" s="260"/>
      <c r="AF20" s="260"/>
      <c r="AG20" s="260"/>
      <c r="AH20" s="259"/>
      <c r="AI20" s="259"/>
      <c r="AJ20" s="259"/>
      <c r="AK20" s="259"/>
      <c r="AL20" s="400"/>
      <c r="AM20" s="400"/>
      <c r="AN20" s="400"/>
      <c r="AO20" s="400"/>
      <c r="AP20" s="400"/>
      <c r="AQ20" s="400"/>
      <c r="AR20" s="400"/>
      <c r="AS20" s="399"/>
      <c r="AT20" s="399"/>
      <c r="AU20" s="399"/>
      <c r="AV20" s="399"/>
      <c r="AW20" s="399"/>
      <c r="AX20" s="399"/>
    </row>
    <row r="21" spans="1:50">
      <c r="K21" s="414" t="s">
        <v>553</v>
      </c>
      <c r="L21" s="414" t="s">
        <v>554</v>
      </c>
      <c r="M21" s="414" t="s">
        <v>160</v>
      </c>
      <c r="N21" s="414" t="s">
        <v>368</v>
      </c>
      <c r="O21" s="414" t="s">
        <v>167</v>
      </c>
      <c r="P21" s="414" t="s">
        <v>363</v>
      </c>
      <c r="Q21" s="414" t="s">
        <v>555</v>
      </c>
      <c r="R21" s="415" t="s">
        <v>522</v>
      </c>
      <c r="S21" s="416">
        <v>0</v>
      </c>
      <c r="T21" s="416">
        <v>0</v>
      </c>
      <c r="U21" s="416">
        <v>67656</v>
      </c>
      <c r="V21" s="416">
        <v>119496</v>
      </c>
      <c r="W21" s="416">
        <v>113556</v>
      </c>
      <c r="X21" s="33"/>
      <c r="AA21" s="350"/>
      <c r="AB21" s="350"/>
      <c r="AC21" s="260"/>
      <c r="AD21" s="260"/>
      <c r="AE21" s="260"/>
      <c r="AF21" s="260"/>
      <c r="AG21" s="260"/>
      <c r="AH21" s="259"/>
      <c r="AI21" s="259"/>
      <c r="AJ21" s="259"/>
      <c r="AK21" s="259"/>
      <c r="AL21" s="400"/>
      <c r="AM21" s="400"/>
      <c r="AN21" s="400"/>
      <c r="AO21" s="400"/>
      <c r="AP21" s="400"/>
      <c r="AQ21" s="400"/>
      <c r="AR21" s="400"/>
      <c r="AS21" s="399"/>
      <c r="AT21" s="399"/>
      <c r="AU21" s="399"/>
      <c r="AV21" s="399"/>
      <c r="AW21" s="399"/>
      <c r="AX21" s="399"/>
    </row>
    <row r="22" spans="1:50">
      <c r="A22" s="9" t="s">
        <v>185</v>
      </c>
      <c r="B22" s="6"/>
      <c r="D22" s="14">
        <f>D7</f>
        <v>2016</v>
      </c>
      <c r="E22" s="14">
        <f>D22+1</f>
        <v>2017</v>
      </c>
      <c r="F22" s="14">
        <f>E22+1</f>
        <v>2018</v>
      </c>
      <c r="G22" s="14">
        <f>F22+1</f>
        <v>2019</v>
      </c>
      <c r="H22" s="14">
        <f>G22+1</f>
        <v>2020</v>
      </c>
      <c r="K22" s="414" t="s">
        <v>553</v>
      </c>
      <c r="L22" s="414" t="s">
        <v>554</v>
      </c>
      <c r="M22" s="414" t="s">
        <v>160</v>
      </c>
      <c r="N22" s="414" t="s">
        <v>368</v>
      </c>
      <c r="O22" s="414" t="s">
        <v>167</v>
      </c>
      <c r="P22" s="414" t="s">
        <v>363</v>
      </c>
      <c r="Q22" s="414" t="s">
        <v>784</v>
      </c>
      <c r="R22" s="415" t="s">
        <v>785</v>
      </c>
      <c r="S22" s="416">
        <v>0</v>
      </c>
      <c r="T22" s="416">
        <v>19308</v>
      </c>
      <c r="U22" s="416">
        <v>31824</v>
      </c>
      <c r="V22" s="416">
        <v>47556</v>
      </c>
      <c r="W22" s="416">
        <v>48348</v>
      </c>
      <c r="X22" s="33"/>
      <c r="AA22" s="350"/>
      <c r="AB22" s="350"/>
      <c r="AC22" s="260"/>
      <c r="AD22" s="260"/>
      <c r="AE22" s="260"/>
      <c r="AF22" s="260"/>
      <c r="AG22" s="260"/>
      <c r="AH22" s="259"/>
      <c r="AI22" s="259"/>
      <c r="AJ22" s="259"/>
      <c r="AK22" s="259"/>
      <c r="AL22" s="400"/>
      <c r="AM22" s="400"/>
      <c r="AN22" s="400"/>
      <c r="AO22" s="400"/>
      <c r="AP22" s="400"/>
      <c r="AQ22" s="400"/>
      <c r="AR22" s="400"/>
      <c r="AS22" s="399"/>
      <c r="AT22" s="399"/>
      <c r="AU22" s="399"/>
      <c r="AV22" s="399"/>
      <c r="AW22" s="399"/>
      <c r="AX22" s="399"/>
    </row>
    <row r="23" spans="1:50">
      <c r="K23" s="414" t="s">
        <v>553</v>
      </c>
      <c r="L23" s="414" t="s">
        <v>554</v>
      </c>
      <c r="M23" s="414" t="s">
        <v>160</v>
      </c>
      <c r="N23" s="414" t="s">
        <v>368</v>
      </c>
      <c r="O23" s="414" t="s">
        <v>167</v>
      </c>
      <c r="P23" s="414" t="s">
        <v>363</v>
      </c>
      <c r="Q23" s="414" t="s">
        <v>786</v>
      </c>
      <c r="R23" s="415" t="s">
        <v>787</v>
      </c>
      <c r="S23" s="416">
        <v>0</v>
      </c>
      <c r="T23" s="416">
        <v>1248</v>
      </c>
      <c r="U23" s="416">
        <v>972</v>
      </c>
      <c r="V23" s="416">
        <v>996</v>
      </c>
      <c r="W23" s="416">
        <v>948</v>
      </c>
      <c r="X23" s="33"/>
      <c r="AA23" s="350"/>
      <c r="AB23" s="350"/>
      <c r="AC23" s="260"/>
      <c r="AD23" s="260"/>
      <c r="AE23" s="260"/>
      <c r="AF23" s="260"/>
      <c r="AG23" s="260"/>
      <c r="AH23" s="259"/>
      <c r="AI23" s="259"/>
      <c r="AJ23" s="259"/>
      <c r="AK23" s="259"/>
      <c r="AL23" s="400"/>
      <c r="AM23" s="400"/>
      <c r="AN23" s="400"/>
      <c r="AO23" s="400"/>
      <c r="AP23" s="400"/>
      <c r="AQ23" s="400"/>
      <c r="AR23" s="400"/>
      <c r="AS23" s="399"/>
      <c r="AT23" s="399"/>
      <c r="AU23" s="399"/>
      <c r="AV23" s="399"/>
      <c r="AW23" s="399"/>
      <c r="AX23" s="399"/>
    </row>
    <row r="24" spans="1:50">
      <c r="A24" s="11" t="s">
        <v>182</v>
      </c>
      <c r="D24" s="466">
        <f>D35</f>
        <v>248637.4</v>
      </c>
      <c r="E24" s="466">
        <f>E35</f>
        <v>256102</v>
      </c>
      <c r="F24" s="466">
        <f>F35</f>
        <v>263782.2</v>
      </c>
      <c r="G24" s="466">
        <f>G35</f>
        <v>271693.40000000002</v>
      </c>
      <c r="H24" s="466">
        <f>H35</f>
        <v>279544.09999999998</v>
      </c>
      <c r="K24" s="414" t="s">
        <v>170</v>
      </c>
      <c r="L24" s="414" t="s">
        <v>366</v>
      </c>
      <c r="M24" s="414" t="s">
        <v>154</v>
      </c>
      <c r="N24" s="414" t="s">
        <v>362</v>
      </c>
      <c r="O24" s="414" t="s">
        <v>167</v>
      </c>
      <c r="P24" s="414" t="s">
        <v>363</v>
      </c>
      <c r="Q24" s="414" t="s">
        <v>778</v>
      </c>
      <c r="R24" s="415" t="s">
        <v>779</v>
      </c>
      <c r="S24" s="416">
        <v>416</v>
      </c>
      <c r="T24" s="416">
        <v>416</v>
      </c>
      <c r="U24" s="416">
        <v>416</v>
      </c>
      <c r="V24" s="416">
        <v>416</v>
      </c>
      <c r="W24" s="416">
        <v>416</v>
      </c>
      <c r="X24" s="33"/>
      <c r="AA24" s="260"/>
      <c r="AB24" s="260"/>
      <c r="AC24" s="260"/>
      <c r="AD24" s="260"/>
      <c r="AE24" s="260"/>
      <c r="AF24" s="260"/>
      <c r="AG24" s="260"/>
      <c r="AH24" s="259"/>
      <c r="AI24" s="259"/>
      <c r="AJ24" s="259"/>
      <c r="AK24" s="259"/>
      <c r="AL24" s="400"/>
      <c r="AM24" s="400"/>
      <c r="AN24" s="400"/>
      <c r="AO24" s="400"/>
      <c r="AP24" s="400"/>
      <c r="AQ24" s="400"/>
      <c r="AR24" s="400"/>
      <c r="AS24" s="399"/>
      <c r="AT24" s="399"/>
      <c r="AU24" s="399"/>
      <c r="AV24" s="399"/>
      <c r="AW24" s="399"/>
      <c r="AX24" s="399"/>
    </row>
    <row r="25" spans="1:50">
      <c r="A25" s="18" t="s">
        <v>523</v>
      </c>
      <c r="C25" s="80"/>
      <c r="D25" s="139">
        <v>0</v>
      </c>
      <c r="E25" s="139">
        <v>0</v>
      </c>
      <c r="F25" s="139">
        <v>0</v>
      </c>
      <c r="G25" s="139">
        <v>0</v>
      </c>
      <c r="H25" s="139">
        <v>0</v>
      </c>
      <c r="K25" s="414" t="s">
        <v>170</v>
      </c>
      <c r="L25" s="414" t="s">
        <v>366</v>
      </c>
      <c r="M25" s="414" t="s">
        <v>154</v>
      </c>
      <c r="N25" s="414" t="s">
        <v>362</v>
      </c>
      <c r="O25" s="414" t="s">
        <v>167</v>
      </c>
      <c r="P25" s="414" t="s">
        <v>363</v>
      </c>
      <c r="Q25" s="414" t="s">
        <v>132</v>
      </c>
      <c r="R25" s="415" t="s">
        <v>328</v>
      </c>
      <c r="S25" s="416">
        <v>1156</v>
      </c>
      <c r="T25" s="416">
        <v>1174</v>
      </c>
      <c r="U25" s="416">
        <v>1187</v>
      </c>
      <c r="V25" s="416">
        <v>1205</v>
      </c>
      <c r="W25" s="416">
        <v>1223</v>
      </c>
      <c r="X25" s="33"/>
      <c r="AA25" s="260"/>
      <c r="AB25" s="260"/>
      <c r="AC25" s="260"/>
      <c r="AD25" s="260"/>
      <c r="AE25" s="260"/>
      <c r="AF25" s="260"/>
      <c r="AG25" s="260"/>
      <c r="AH25" s="259"/>
      <c r="AI25" s="259"/>
      <c r="AJ25" s="259"/>
      <c r="AK25" s="259"/>
      <c r="AL25" s="400"/>
      <c r="AM25" s="400"/>
      <c r="AN25" s="400"/>
      <c r="AO25" s="400"/>
      <c r="AP25" s="400"/>
      <c r="AQ25" s="400"/>
      <c r="AR25" s="400"/>
      <c r="AS25" s="399"/>
      <c r="AT25" s="399"/>
      <c r="AU25" s="399"/>
      <c r="AV25" s="399"/>
      <c r="AW25" s="399"/>
      <c r="AX25" s="399"/>
    </row>
    <row r="26" spans="1:50">
      <c r="A26" s="18" t="s">
        <v>161</v>
      </c>
      <c r="C26" s="139"/>
      <c r="D26" s="140">
        <f>(E45/12*3)+(E56/12*9)</f>
        <v>177631.92682926828</v>
      </c>
      <c r="E26" s="140">
        <f>F56</f>
        <v>184764.29268292684</v>
      </c>
      <c r="F26" s="140">
        <f t="shared" ref="F26:H26" si="7">G56</f>
        <v>186166.31707317074</v>
      </c>
      <c r="G26" s="140">
        <f t="shared" si="7"/>
        <v>205691.48780487804</v>
      </c>
      <c r="H26" s="140">
        <f t="shared" si="7"/>
        <v>209524.39024390245</v>
      </c>
      <c r="K26" s="414" t="s">
        <v>170</v>
      </c>
      <c r="L26" s="414" t="s">
        <v>366</v>
      </c>
      <c r="M26" s="414" t="s">
        <v>154</v>
      </c>
      <c r="N26" s="414" t="s">
        <v>362</v>
      </c>
      <c r="O26" s="414" t="s">
        <v>167</v>
      </c>
      <c r="P26" s="414" t="s">
        <v>363</v>
      </c>
      <c r="Q26" s="414" t="s">
        <v>133</v>
      </c>
      <c r="R26" s="415" t="s">
        <v>329</v>
      </c>
      <c r="S26" s="416">
        <v>91</v>
      </c>
      <c r="T26" s="416">
        <v>91</v>
      </c>
      <c r="U26" s="416">
        <v>94</v>
      </c>
      <c r="V26" s="416">
        <v>97</v>
      </c>
      <c r="W26" s="416">
        <v>100</v>
      </c>
      <c r="X26" s="33"/>
      <c r="AA26" s="260"/>
      <c r="AB26" s="260"/>
      <c r="AC26" s="260"/>
      <c r="AD26" s="260"/>
      <c r="AE26" s="260"/>
      <c r="AF26" s="260"/>
      <c r="AG26" s="260"/>
      <c r="AH26" s="259"/>
      <c r="AI26" s="259"/>
      <c r="AJ26" s="259"/>
      <c r="AK26" s="259"/>
      <c r="AL26" s="400"/>
      <c r="AM26" s="400"/>
      <c r="AN26" s="400"/>
      <c r="AO26" s="400"/>
      <c r="AP26" s="400"/>
      <c r="AQ26" s="400"/>
      <c r="AR26" s="400"/>
      <c r="AS26" s="399"/>
      <c r="AT26" s="399"/>
      <c r="AU26" s="399"/>
      <c r="AV26" s="399"/>
      <c r="AW26" s="399"/>
      <c r="AX26" s="399"/>
    </row>
    <row r="27" spans="1:50">
      <c r="A27" s="18" t="s">
        <v>528</v>
      </c>
      <c r="C27" s="139"/>
      <c r="D27" s="28">
        <v>125000</v>
      </c>
      <c r="E27" s="28">
        <v>125000</v>
      </c>
      <c r="F27" s="28">
        <v>125000</v>
      </c>
      <c r="G27" s="28">
        <v>125000</v>
      </c>
      <c r="H27" s="28">
        <v>125000</v>
      </c>
      <c r="K27" s="414" t="s">
        <v>170</v>
      </c>
      <c r="L27" s="414" t="s">
        <v>366</v>
      </c>
      <c r="M27" s="414" t="s">
        <v>154</v>
      </c>
      <c r="N27" s="414" t="s">
        <v>362</v>
      </c>
      <c r="O27" s="414" t="s">
        <v>167</v>
      </c>
      <c r="P27" s="414" t="s">
        <v>363</v>
      </c>
      <c r="Q27" s="414" t="s">
        <v>780</v>
      </c>
      <c r="R27" s="415" t="s">
        <v>781</v>
      </c>
      <c r="S27" s="416">
        <v>946</v>
      </c>
      <c r="T27" s="416">
        <v>1010</v>
      </c>
      <c r="U27" s="416">
        <v>1038</v>
      </c>
      <c r="V27" s="416">
        <v>1046</v>
      </c>
      <c r="W27" s="416">
        <v>1114</v>
      </c>
      <c r="X27" s="33"/>
      <c r="AA27" s="260"/>
      <c r="AB27" s="260"/>
      <c r="AC27" s="260"/>
      <c r="AD27" s="260"/>
      <c r="AE27" s="260"/>
      <c r="AF27" s="260"/>
      <c r="AG27" s="260"/>
      <c r="AH27" s="259"/>
      <c r="AI27" s="259"/>
      <c r="AJ27" s="259"/>
      <c r="AK27" s="259"/>
      <c r="AL27" s="400"/>
      <c r="AM27" s="400"/>
      <c r="AN27" s="400"/>
      <c r="AO27" s="400"/>
      <c r="AP27" s="400"/>
      <c r="AQ27" s="400"/>
      <c r="AR27" s="400"/>
      <c r="AS27" s="399"/>
      <c r="AT27" s="399"/>
      <c r="AU27" s="399"/>
      <c r="AV27" s="399"/>
      <c r="AW27" s="399"/>
      <c r="AX27" s="399"/>
    </row>
    <row r="28" spans="1:50">
      <c r="C28" s="7"/>
      <c r="D28" s="69">
        <f>SUM(D24:D27)</f>
        <v>551269.32682926825</v>
      </c>
      <c r="E28" s="69">
        <f t="shared" ref="E28:H28" si="8">SUM(E24:E27)</f>
        <v>565866.29268292687</v>
      </c>
      <c r="F28" s="69">
        <f t="shared" si="8"/>
        <v>574948.51707317075</v>
      </c>
      <c r="G28" s="69">
        <f t="shared" si="8"/>
        <v>602384.88780487806</v>
      </c>
      <c r="H28" s="69">
        <f t="shared" si="8"/>
        <v>614068.49024390243</v>
      </c>
      <c r="K28" s="414" t="s">
        <v>170</v>
      </c>
      <c r="L28" s="414" t="s">
        <v>366</v>
      </c>
      <c r="M28" s="414" t="s">
        <v>154</v>
      </c>
      <c r="N28" s="414" t="s">
        <v>362</v>
      </c>
      <c r="O28" s="414" t="s">
        <v>167</v>
      </c>
      <c r="P28" s="414" t="s">
        <v>363</v>
      </c>
      <c r="Q28" s="414" t="s">
        <v>134</v>
      </c>
      <c r="R28" s="415" t="s">
        <v>331</v>
      </c>
      <c r="S28" s="416">
        <v>4366</v>
      </c>
      <c r="T28" s="416">
        <v>4697</v>
      </c>
      <c r="U28" s="416">
        <v>4779</v>
      </c>
      <c r="V28" s="416">
        <v>4883</v>
      </c>
      <c r="W28" s="416">
        <v>4999</v>
      </c>
      <c r="X28" s="33"/>
      <c r="AA28" s="260"/>
      <c r="AB28" s="260"/>
      <c r="AC28" s="260"/>
      <c r="AD28" s="260"/>
      <c r="AE28" s="260"/>
      <c r="AF28" s="260"/>
      <c r="AG28" s="260"/>
      <c r="AH28" s="259"/>
      <c r="AI28" s="259"/>
      <c r="AJ28" s="259"/>
      <c r="AK28" s="259"/>
      <c r="AL28" s="400"/>
      <c r="AM28" s="400"/>
      <c r="AN28" s="400"/>
      <c r="AO28" s="400"/>
      <c r="AP28" s="400"/>
      <c r="AQ28" s="400"/>
      <c r="AR28" s="400"/>
      <c r="AS28" s="399"/>
      <c r="AT28" s="399"/>
      <c r="AU28" s="399"/>
      <c r="AV28" s="399"/>
      <c r="AW28" s="399"/>
      <c r="AX28" s="399"/>
    </row>
    <row r="29" spans="1:50">
      <c r="C29" s="7"/>
      <c r="D29" s="7"/>
      <c r="E29" s="7"/>
      <c r="F29" s="7"/>
      <c r="K29" s="414" t="s">
        <v>170</v>
      </c>
      <c r="L29" s="414" t="s">
        <v>366</v>
      </c>
      <c r="M29" s="414" t="s">
        <v>154</v>
      </c>
      <c r="N29" s="414" t="s">
        <v>362</v>
      </c>
      <c r="O29" s="414" t="s">
        <v>167</v>
      </c>
      <c r="P29" s="414" t="s">
        <v>363</v>
      </c>
      <c r="Q29" s="414" t="s">
        <v>135</v>
      </c>
      <c r="R29" s="415" t="s">
        <v>332</v>
      </c>
      <c r="S29" s="416">
        <v>52308</v>
      </c>
      <c r="T29" s="416">
        <v>53402</v>
      </c>
      <c r="U29" s="416">
        <v>54421</v>
      </c>
      <c r="V29" s="416">
        <v>55684</v>
      </c>
      <c r="W29" s="416">
        <v>57108</v>
      </c>
      <c r="X29" s="33"/>
      <c r="AA29" s="260"/>
      <c r="AB29" s="260"/>
      <c r="AC29" s="260"/>
      <c r="AD29" s="260"/>
      <c r="AE29" s="260"/>
      <c r="AF29" s="260"/>
      <c r="AG29" s="260"/>
      <c r="AH29" s="259"/>
      <c r="AI29" s="259"/>
      <c r="AJ29" s="259"/>
      <c r="AK29" s="259"/>
      <c r="AL29" s="400"/>
      <c r="AM29" s="400"/>
      <c r="AN29" s="400"/>
      <c r="AO29" s="400"/>
      <c r="AP29" s="400"/>
      <c r="AQ29" s="400"/>
      <c r="AR29" s="400"/>
      <c r="AS29" s="399"/>
      <c r="AT29" s="399"/>
      <c r="AU29" s="399"/>
      <c r="AV29" s="399"/>
      <c r="AW29" s="399"/>
      <c r="AX29" s="399"/>
    </row>
    <row r="30" spans="1:50" ht="15.75" thickBot="1">
      <c r="D30" s="530"/>
      <c r="K30" s="414" t="s">
        <v>170</v>
      </c>
      <c r="L30" s="414" t="s">
        <v>366</v>
      </c>
      <c r="M30" s="414" t="s">
        <v>154</v>
      </c>
      <c r="N30" s="414" t="s">
        <v>362</v>
      </c>
      <c r="O30" s="414" t="s">
        <v>167</v>
      </c>
      <c r="P30" s="414" t="s">
        <v>363</v>
      </c>
      <c r="Q30" s="414" t="s">
        <v>136</v>
      </c>
      <c r="R30" s="415" t="s">
        <v>334</v>
      </c>
      <c r="S30" s="416">
        <v>5654</v>
      </c>
      <c r="T30" s="416">
        <v>6245</v>
      </c>
      <c r="U30" s="416">
        <v>6505</v>
      </c>
      <c r="V30" s="416">
        <v>6532</v>
      </c>
      <c r="W30" s="416">
        <v>6586</v>
      </c>
      <c r="X30" s="33"/>
      <c r="AA30" s="260"/>
      <c r="AB30" s="260"/>
      <c r="AC30" s="260"/>
      <c r="AD30" s="260"/>
      <c r="AE30" s="260"/>
      <c r="AF30" s="260"/>
      <c r="AG30" s="260"/>
      <c r="AH30" s="259"/>
      <c r="AI30" s="259"/>
      <c r="AJ30" s="259"/>
      <c r="AK30" s="259"/>
      <c r="AL30" s="400"/>
      <c r="AM30" s="400"/>
      <c r="AN30" s="400"/>
      <c r="AO30" s="400"/>
      <c r="AP30" s="400"/>
      <c r="AQ30" s="400"/>
      <c r="AR30" s="400"/>
      <c r="AS30" s="399"/>
      <c r="AT30" s="399"/>
      <c r="AU30" s="399"/>
      <c r="AV30" s="399"/>
      <c r="AW30" s="399"/>
      <c r="AX30" s="399"/>
    </row>
    <row r="31" spans="1:50">
      <c r="A31" s="437"/>
      <c r="B31" s="438"/>
      <c r="C31" s="438"/>
      <c r="D31" s="438"/>
      <c r="E31" s="438"/>
      <c r="F31" s="438"/>
      <c r="G31" s="438"/>
      <c r="H31" s="438"/>
      <c r="I31" s="439"/>
      <c r="K31" s="414" t="s">
        <v>170</v>
      </c>
      <c r="L31" s="414" t="s">
        <v>366</v>
      </c>
      <c r="M31" s="414" t="s">
        <v>154</v>
      </c>
      <c r="N31" s="414" t="s">
        <v>362</v>
      </c>
      <c r="O31" s="414" t="s">
        <v>167</v>
      </c>
      <c r="P31" s="414" t="s">
        <v>363</v>
      </c>
      <c r="Q31" s="414" t="s">
        <v>518</v>
      </c>
      <c r="R31" s="415" t="s">
        <v>330</v>
      </c>
      <c r="S31" s="416">
        <v>1070</v>
      </c>
      <c r="T31" s="416">
        <v>1115</v>
      </c>
      <c r="U31" s="416">
        <v>1145</v>
      </c>
      <c r="V31" s="416">
        <v>3327</v>
      </c>
      <c r="W31" s="416">
        <v>1236</v>
      </c>
      <c r="X31" s="33"/>
      <c r="AA31" s="260"/>
      <c r="AB31" s="260"/>
      <c r="AC31" s="260"/>
      <c r="AD31" s="260"/>
      <c r="AE31" s="260"/>
      <c r="AF31" s="260"/>
      <c r="AG31" s="260"/>
      <c r="AH31" s="259"/>
      <c r="AI31" s="259"/>
      <c r="AJ31" s="259"/>
      <c r="AK31" s="259"/>
      <c r="AL31" s="400"/>
      <c r="AM31" s="400"/>
      <c r="AN31" s="400"/>
      <c r="AO31" s="400"/>
      <c r="AP31" s="400"/>
      <c r="AQ31" s="400"/>
      <c r="AR31" s="400"/>
      <c r="AS31" s="399"/>
      <c r="AT31" s="399"/>
      <c r="AU31" s="399"/>
      <c r="AV31" s="399"/>
      <c r="AW31" s="399"/>
      <c r="AX31" s="399"/>
    </row>
    <row r="32" spans="1:50">
      <c r="A32" s="440" t="s">
        <v>378</v>
      </c>
      <c r="B32" s="441"/>
      <c r="C32" s="441"/>
      <c r="D32" s="442">
        <f>D22</f>
        <v>2016</v>
      </c>
      <c r="E32" s="442">
        <f>D32+1</f>
        <v>2017</v>
      </c>
      <c r="F32" s="442">
        <f>E32+1</f>
        <v>2018</v>
      </c>
      <c r="G32" s="442">
        <f>F32+1</f>
        <v>2019</v>
      </c>
      <c r="H32" s="442">
        <f>G32+1</f>
        <v>2020</v>
      </c>
      <c r="I32" s="443"/>
      <c r="K32" s="414" t="s">
        <v>170</v>
      </c>
      <c r="L32" s="414" t="s">
        <v>366</v>
      </c>
      <c r="M32" s="414" t="s">
        <v>154</v>
      </c>
      <c r="N32" s="414" t="s">
        <v>362</v>
      </c>
      <c r="O32" s="414" t="s">
        <v>167</v>
      </c>
      <c r="P32" s="414" t="s">
        <v>363</v>
      </c>
      <c r="Q32" s="414" t="s">
        <v>519</v>
      </c>
      <c r="R32" s="415" t="s">
        <v>333</v>
      </c>
      <c r="S32" s="416">
        <v>771</v>
      </c>
      <c r="T32" s="416">
        <v>818</v>
      </c>
      <c r="U32" s="416">
        <v>839</v>
      </c>
      <c r="V32" s="416">
        <v>860</v>
      </c>
      <c r="W32" s="416">
        <v>879</v>
      </c>
      <c r="X32" s="33"/>
      <c r="AA32" s="260"/>
      <c r="AB32" s="260"/>
      <c r="AC32" s="260"/>
      <c r="AD32" s="260"/>
      <c r="AE32" s="260"/>
      <c r="AF32" s="260"/>
      <c r="AG32" s="260"/>
      <c r="AH32" s="259"/>
      <c r="AI32" s="259"/>
      <c r="AJ32" s="259"/>
      <c r="AK32" s="259"/>
      <c r="AL32" s="400"/>
      <c r="AM32" s="400"/>
      <c r="AN32" s="400"/>
      <c r="AO32" s="400"/>
      <c r="AP32" s="400"/>
      <c r="AQ32" s="400"/>
      <c r="AR32" s="400"/>
      <c r="AS32" s="399"/>
      <c r="AT32" s="399"/>
      <c r="AU32" s="399"/>
      <c r="AV32" s="399"/>
      <c r="AW32" s="399"/>
      <c r="AX32" s="399"/>
    </row>
    <row r="33" spans="1:50">
      <c r="A33" s="444" t="s">
        <v>47</v>
      </c>
      <c r="B33" s="441"/>
      <c r="C33" s="445"/>
      <c r="D33" s="446">
        <v>226034</v>
      </c>
      <c r="E33" s="446">
        <v>232820</v>
      </c>
      <c r="F33" s="446">
        <v>239802</v>
      </c>
      <c r="G33" s="446">
        <v>246994</v>
      </c>
      <c r="H33" s="446">
        <v>254131</v>
      </c>
      <c r="I33" s="443"/>
      <c r="K33" s="414" t="s">
        <v>170</v>
      </c>
      <c r="L33" s="414" t="s">
        <v>366</v>
      </c>
      <c r="M33" s="414" t="s">
        <v>154</v>
      </c>
      <c r="N33" s="414" t="s">
        <v>362</v>
      </c>
      <c r="O33" s="414" t="s">
        <v>167</v>
      </c>
      <c r="P33" s="414" t="s">
        <v>363</v>
      </c>
      <c r="Q33" s="414" t="s">
        <v>137</v>
      </c>
      <c r="R33" s="415" t="s">
        <v>335</v>
      </c>
      <c r="S33" s="416">
        <v>123233</v>
      </c>
      <c r="T33" s="416">
        <v>149271</v>
      </c>
      <c r="U33" s="416">
        <v>147718</v>
      </c>
      <c r="V33" s="416">
        <v>152872</v>
      </c>
      <c r="W33" s="416">
        <v>156605</v>
      </c>
      <c r="X33" s="33"/>
      <c r="AA33" s="260"/>
      <c r="AB33" s="260"/>
      <c r="AC33" s="260"/>
      <c r="AD33" s="260"/>
      <c r="AE33" s="260"/>
      <c r="AF33" s="260"/>
      <c r="AG33" s="260"/>
      <c r="AH33" s="259"/>
      <c r="AI33" s="259"/>
      <c r="AJ33" s="259"/>
      <c r="AK33" s="259"/>
      <c r="AL33" s="400"/>
      <c r="AM33" s="400"/>
      <c r="AN33" s="400"/>
      <c r="AO33" s="400"/>
      <c r="AP33" s="400"/>
      <c r="AQ33" s="400"/>
      <c r="AR33" s="400"/>
      <c r="AS33" s="399"/>
      <c r="AT33" s="399"/>
      <c r="AU33" s="399"/>
      <c r="AV33" s="399"/>
      <c r="AW33" s="399"/>
      <c r="AX33" s="399"/>
    </row>
    <row r="34" spans="1:50">
      <c r="A34" s="444" t="s">
        <v>46</v>
      </c>
      <c r="B34" s="441"/>
      <c r="C34" s="445"/>
      <c r="D34" s="447">
        <v>22603.4</v>
      </c>
      <c r="E34" s="447">
        <v>23282</v>
      </c>
      <c r="F34" s="447">
        <v>23980.2</v>
      </c>
      <c r="G34" s="447">
        <v>24699.4</v>
      </c>
      <c r="H34" s="447">
        <v>25413.100000000002</v>
      </c>
      <c r="I34" s="443"/>
      <c r="K34" s="414" t="s">
        <v>170</v>
      </c>
      <c r="L34" s="414" t="s">
        <v>366</v>
      </c>
      <c r="M34" s="414" t="s">
        <v>154</v>
      </c>
      <c r="N34" s="414" t="s">
        <v>362</v>
      </c>
      <c r="O34" s="414" t="s">
        <v>167</v>
      </c>
      <c r="P34" s="414" t="s">
        <v>363</v>
      </c>
      <c r="Q34" s="414" t="s">
        <v>138</v>
      </c>
      <c r="R34" s="415" t="s">
        <v>138</v>
      </c>
      <c r="S34" s="416">
        <v>2001</v>
      </c>
      <c r="T34" s="416">
        <v>2026</v>
      </c>
      <c r="U34" s="416">
        <v>2072</v>
      </c>
      <c r="V34" s="416">
        <v>2125</v>
      </c>
      <c r="W34" s="416">
        <v>2180</v>
      </c>
      <c r="X34" s="33"/>
      <c r="AA34" s="260"/>
      <c r="AB34" s="260"/>
      <c r="AC34" s="260"/>
      <c r="AD34" s="260"/>
      <c r="AE34" s="260"/>
      <c r="AF34" s="260"/>
      <c r="AG34" s="260"/>
      <c r="AH34" s="259"/>
      <c r="AI34" s="259"/>
      <c r="AJ34" s="259"/>
      <c r="AK34" s="259"/>
      <c r="AL34" s="400"/>
      <c r="AM34" s="400"/>
      <c r="AN34" s="400"/>
      <c r="AO34" s="400"/>
      <c r="AP34" s="400"/>
      <c r="AQ34" s="400"/>
      <c r="AR34" s="400"/>
      <c r="AS34" s="399"/>
      <c r="AT34" s="399"/>
      <c r="AU34" s="399"/>
      <c r="AV34" s="399"/>
      <c r="AW34" s="399"/>
      <c r="AX34" s="399"/>
    </row>
    <row r="35" spans="1:50">
      <c r="A35" s="444"/>
      <c r="B35" s="441"/>
      <c r="C35" s="445"/>
      <c r="D35" s="502">
        <f>SUM(D33:D34)</f>
        <v>248637.4</v>
      </c>
      <c r="E35" s="448">
        <f>SUM(E33:E34)</f>
        <v>256102</v>
      </c>
      <c r="F35" s="448">
        <f>SUM(F33:F34)</f>
        <v>263782.2</v>
      </c>
      <c r="G35" s="449">
        <f>SUM(G33:G34)</f>
        <v>271693.40000000002</v>
      </c>
      <c r="H35" s="449">
        <f>SUM(H33:H34)</f>
        <v>279544.09999999998</v>
      </c>
      <c r="I35" s="443"/>
      <c r="K35" s="414" t="s">
        <v>170</v>
      </c>
      <c r="L35" s="414" t="s">
        <v>366</v>
      </c>
      <c r="M35" s="414" t="s">
        <v>154</v>
      </c>
      <c r="N35" s="414" t="s">
        <v>362</v>
      </c>
      <c r="O35" s="414" t="s">
        <v>167</v>
      </c>
      <c r="P35" s="414" t="s">
        <v>363</v>
      </c>
      <c r="Q35" s="414" t="s">
        <v>139</v>
      </c>
      <c r="R35" s="415" t="s">
        <v>336</v>
      </c>
      <c r="S35" s="416">
        <v>2872</v>
      </c>
      <c r="T35" s="416">
        <v>3071</v>
      </c>
      <c r="U35" s="416">
        <v>3088</v>
      </c>
      <c r="V35" s="416">
        <v>3247</v>
      </c>
      <c r="W35" s="416">
        <v>3324</v>
      </c>
      <c r="X35" s="33"/>
      <c r="AA35" s="260"/>
      <c r="AB35" s="260"/>
      <c r="AC35" s="260"/>
      <c r="AD35" s="260"/>
      <c r="AE35" s="260"/>
      <c r="AF35" s="260"/>
      <c r="AG35" s="260"/>
      <c r="AH35" s="259"/>
      <c r="AI35" s="259"/>
      <c r="AJ35" s="259"/>
      <c r="AK35" s="259"/>
      <c r="AL35" s="400"/>
      <c r="AM35" s="400"/>
      <c r="AN35" s="400"/>
      <c r="AO35" s="400"/>
      <c r="AP35" s="400"/>
      <c r="AQ35" s="400"/>
      <c r="AR35" s="400"/>
      <c r="AS35" s="399"/>
      <c r="AT35" s="399"/>
      <c r="AU35" s="399"/>
      <c r="AV35" s="399"/>
      <c r="AW35" s="399"/>
      <c r="AX35" s="399"/>
    </row>
    <row r="36" spans="1:50">
      <c r="A36" s="444"/>
      <c r="B36" s="441"/>
      <c r="C36" s="441"/>
      <c r="D36" s="441"/>
      <c r="E36" s="441"/>
      <c r="F36" s="441"/>
      <c r="G36" s="452"/>
      <c r="H36" s="452"/>
      <c r="I36" s="443"/>
      <c r="K36" s="414" t="s">
        <v>170</v>
      </c>
      <c r="L36" s="414" t="s">
        <v>366</v>
      </c>
      <c r="M36" s="414" t="s">
        <v>154</v>
      </c>
      <c r="N36" s="414" t="s">
        <v>362</v>
      </c>
      <c r="O36" s="414" t="s">
        <v>167</v>
      </c>
      <c r="P36" s="414" t="s">
        <v>363</v>
      </c>
      <c r="Q36" s="414" t="s">
        <v>142</v>
      </c>
      <c r="R36" s="415" t="s">
        <v>337</v>
      </c>
      <c r="S36" s="416">
        <v>5532</v>
      </c>
      <c r="T36" s="416">
        <v>8556</v>
      </c>
      <c r="U36" s="416">
        <v>10488</v>
      </c>
      <c r="V36" s="416">
        <v>10824</v>
      </c>
      <c r="W36" s="416">
        <v>10932</v>
      </c>
      <c r="X36" s="33"/>
      <c r="AA36" s="260"/>
      <c r="AB36" s="260"/>
      <c r="AC36" s="260"/>
      <c r="AD36" s="260"/>
      <c r="AE36" s="260"/>
      <c r="AF36" s="260"/>
      <c r="AG36" s="260"/>
      <c r="AH36" s="259"/>
      <c r="AI36" s="259"/>
      <c r="AJ36" s="259"/>
      <c r="AK36" s="259"/>
      <c r="AL36" s="400"/>
      <c r="AM36" s="400"/>
      <c r="AN36" s="400"/>
      <c r="AO36" s="400"/>
      <c r="AP36" s="400"/>
      <c r="AQ36" s="400"/>
      <c r="AR36" s="400"/>
      <c r="AS36" s="399"/>
      <c r="AT36" s="399"/>
      <c r="AU36" s="399"/>
      <c r="AV36" s="399"/>
      <c r="AW36" s="399"/>
      <c r="AX36" s="399"/>
    </row>
    <row r="37" spans="1:50">
      <c r="A37" s="459"/>
      <c r="B37" s="441"/>
      <c r="C37" s="441"/>
      <c r="D37" s="441"/>
      <c r="E37" s="441"/>
      <c r="F37" s="441"/>
      <c r="G37" s="452"/>
      <c r="H37" s="452"/>
      <c r="I37" s="443"/>
      <c r="K37" s="414" t="s">
        <v>170</v>
      </c>
      <c r="L37" s="414" t="s">
        <v>366</v>
      </c>
      <c r="M37" s="414" t="s">
        <v>154</v>
      </c>
      <c r="N37" s="414" t="s">
        <v>362</v>
      </c>
      <c r="O37" s="414" t="s">
        <v>167</v>
      </c>
      <c r="P37" s="414" t="s">
        <v>363</v>
      </c>
      <c r="Q37" s="414" t="s">
        <v>143</v>
      </c>
      <c r="R37" s="415" t="s">
        <v>338</v>
      </c>
      <c r="S37" s="416">
        <v>17843</v>
      </c>
      <c r="T37" s="416">
        <v>19882</v>
      </c>
      <c r="U37" s="416">
        <v>22175</v>
      </c>
      <c r="V37" s="416">
        <v>24286</v>
      </c>
      <c r="W37" s="416">
        <v>26318</v>
      </c>
      <c r="X37" s="33"/>
      <c r="AA37" s="260"/>
      <c r="AB37" s="260"/>
      <c r="AC37" s="260"/>
      <c r="AD37" s="260"/>
      <c r="AE37" s="260"/>
      <c r="AF37" s="260"/>
      <c r="AG37" s="260"/>
      <c r="AH37" s="259"/>
      <c r="AI37" s="259"/>
      <c r="AJ37" s="259"/>
      <c r="AK37" s="259"/>
      <c r="AL37" s="400"/>
      <c r="AM37" s="400"/>
      <c r="AN37" s="400"/>
      <c r="AO37" s="400"/>
      <c r="AP37" s="400"/>
      <c r="AQ37" s="400"/>
      <c r="AR37" s="400"/>
      <c r="AS37" s="399"/>
      <c r="AT37" s="399"/>
      <c r="AU37" s="399"/>
      <c r="AV37" s="399"/>
      <c r="AW37" s="399"/>
      <c r="AX37" s="399"/>
    </row>
    <row r="38" spans="1:50">
      <c r="A38" s="460"/>
      <c r="B38" s="461"/>
      <c r="C38" s="461"/>
      <c r="D38" s="461"/>
      <c r="E38" s="461"/>
      <c r="F38" s="461"/>
      <c r="G38" s="461"/>
      <c r="H38" s="452"/>
      <c r="I38" s="443"/>
      <c r="K38" s="414" t="s">
        <v>171</v>
      </c>
      <c r="L38" s="414" t="s">
        <v>367</v>
      </c>
      <c r="M38" s="414" t="s">
        <v>160</v>
      </c>
      <c r="N38" s="414" t="s">
        <v>368</v>
      </c>
      <c r="O38" s="414" t="s">
        <v>167</v>
      </c>
      <c r="P38" s="414" t="s">
        <v>363</v>
      </c>
      <c r="Q38" s="414" t="s">
        <v>520</v>
      </c>
      <c r="R38" s="415" t="s">
        <v>521</v>
      </c>
      <c r="S38" s="416">
        <v>6174</v>
      </c>
      <c r="T38" s="416">
        <v>6888</v>
      </c>
      <c r="U38" s="416">
        <v>7689</v>
      </c>
      <c r="V38" s="416">
        <v>8427</v>
      </c>
      <c r="W38" s="416">
        <v>9139</v>
      </c>
      <c r="X38" s="33"/>
      <c r="AA38" s="260"/>
      <c r="AB38" s="260"/>
      <c r="AC38" s="260"/>
      <c r="AD38" s="260"/>
      <c r="AE38" s="260"/>
      <c r="AF38" s="260"/>
      <c r="AG38" s="260"/>
      <c r="AH38" s="259"/>
      <c r="AI38" s="259"/>
      <c r="AJ38" s="259"/>
      <c r="AK38" s="259"/>
      <c r="AL38" s="400"/>
      <c r="AM38" s="400"/>
      <c r="AN38" s="400"/>
      <c r="AO38" s="400"/>
      <c r="AP38" s="400"/>
      <c r="AQ38" s="400"/>
      <c r="AR38" s="400"/>
      <c r="AS38" s="399"/>
      <c r="AT38" s="399"/>
      <c r="AU38" s="399"/>
      <c r="AV38" s="399"/>
      <c r="AW38" s="399"/>
      <c r="AX38" s="399"/>
    </row>
    <row r="39" spans="1:50">
      <c r="A39" s="462"/>
      <c r="B39" s="461"/>
      <c r="C39" s="461"/>
      <c r="D39" s="461"/>
      <c r="E39" s="461"/>
      <c r="F39" s="461"/>
      <c r="G39" s="461"/>
      <c r="H39" s="452"/>
      <c r="I39" s="443"/>
      <c r="K39" s="414" t="s">
        <v>171</v>
      </c>
      <c r="L39" s="414" t="s">
        <v>367</v>
      </c>
      <c r="M39" s="414" t="s">
        <v>160</v>
      </c>
      <c r="N39" s="414" t="s">
        <v>368</v>
      </c>
      <c r="O39" s="414" t="s">
        <v>167</v>
      </c>
      <c r="P39" s="414" t="s">
        <v>363</v>
      </c>
      <c r="Q39" s="414" t="s">
        <v>145</v>
      </c>
      <c r="R39" s="415" t="s">
        <v>339</v>
      </c>
      <c r="S39" s="416">
        <v>82824</v>
      </c>
      <c r="T39" s="416">
        <v>91092</v>
      </c>
      <c r="U39" s="416">
        <v>86520</v>
      </c>
      <c r="V39" s="416">
        <v>0</v>
      </c>
      <c r="W39" s="416">
        <v>0</v>
      </c>
      <c r="AA39" s="260"/>
      <c r="AB39" s="260"/>
      <c r="AC39" s="260"/>
      <c r="AD39" s="260"/>
      <c r="AE39" s="260"/>
      <c r="AF39" s="260"/>
      <c r="AG39" s="260"/>
      <c r="AH39" s="259"/>
      <c r="AI39" s="259"/>
      <c r="AJ39" s="259"/>
      <c r="AK39" s="259"/>
      <c r="AL39" s="400"/>
      <c r="AM39" s="400"/>
      <c r="AN39" s="400"/>
      <c r="AO39" s="400"/>
      <c r="AP39" s="400"/>
      <c r="AQ39" s="400"/>
      <c r="AR39" s="400"/>
      <c r="AS39" s="399"/>
      <c r="AT39" s="399"/>
      <c r="AU39" s="399"/>
      <c r="AV39" s="399"/>
      <c r="AW39" s="399"/>
      <c r="AX39" s="399"/>
    </row>
    <row r="40" spans="1:50" ht="15.75" thickBot="1">
      <c r="A40" s="463"/>
      <c r="B40" s="464"/>
      <c r="C40" s="464"/>
      <c r="D40" s="464"/>
      <c r="E40" s="464"/>
      <c r="F40" s="464"/>
      <c r="G40" s="464"/>
      <c r="H40" s="464"/>
      <c r="I40" s="465"/>
      <c r="K40" s="414" t="s">
        <v>171</v>
      </c>
      <c r="L40" s="414" t="s">
        <v>367</v>
      </c>
      <c r="M40" s="414" t="s">
        <v>160</v>
      </c>
      <c r="N40" s="414" t="s">
        <v>368</v>
      </c>
      <c r="O40" s="414" t="s">
        <v>167</v>
      </c>
      <c r="P40" s="414" t="s">
        <v>363</v>
      </c>
      <c r="Q40" s="414" t="s">
        <v>782</v>
      </c>
      <c r="R40" s="415" t="s">
        <v>783</v>
      </c>
      <c r="S40" s="416">
        <v>1152</v>
      </c>
      <c r="T40" s="416">
        <v>1200</v>
      </c>
      <c r="U40" s="416">
        <v>1224</v>
      </c>
      <c r="V40" s="416">
        <v>0</v>
      </c>
      <c r="W40" s="416">
        <v>0</v>
      </c>
      <c r="AA40" s="260"/>
      <c r="AB40" s="260"/>
      <c r="AC40" s="260"/>
      <c r="AD40" s="260"/>
      <c r="AE40" s="260"/>
      <c r="AF40" s="260"/>
      <c r="AG40" s="260"/>
      <c r="AH40" s="259"/>
      <c r="AI40" s="259"/>
      <c r="AJ40" s="259"/>
      <c r="AK40" s="259"/>
      <c r="AL40" s="400"/>
      <c r="AM40" s="400"/>
      <c r="AN40" s="400"/>
      <c r="AO40" s="400"/>
      <c r="AP40" s="400"/>
      <c r="AQ40" s="400"/>
      <c r="AR40" s="400"/>
      <c r="AS40" s="399"/>
      <c r="AT40" s="399"/>
      <c r="AU40" s="399"/>
      <c r="AV40" s="399"/>
      <c r="AW40" s="399"/>
      <c r="AX40" s="399"/>
    </row>
    <row r="41" spans="1:50">
      <c r="K41" s="414" t="s">
        <v>171</v>
      </c>
      <c r="L41" s="414" t="s">
        <v>367</v>
      </c>
      <c r="M41" s="414" t="s">
        <v>556</v>
      </c>
      <c r="N41" s="414" t="s">
        <v>557</v>
      </c>
      <c r="O41" s="414" t="s">
        <v>167</v>
      </c>
      <c r="P41" s="414" t="s">
        <v>363</v>
      </c>
      <c r="Q41" s="414" t="s">
        <v>558</v>
      </c>
      <c r="R41" s="415" t="s">
        <v>559</v>
      </c>
      <c r="S41" s="416">
        <v>286</v>
      </c>
      <c r="T41" s="416">
        <v>306</v>
      </c>
      <c r="U41" s="416">
        <v>313</v>
      </c>
      <c r="V41" s="416">
        <v>313</v>
      </c>
      <c r="W41" s="416">
        <v>318</v>
      </c>
      <c r="AA41" s="260"/>
      <c r="AB41" s="260"/>
      <c r="AC41" s="260"/>
      <c r="AD41" s="260"/>
      <c r="AE41" s="260"/>
      <c r="AF41" s="260"/>
      <c r="AG41" s="260"/>
      <c r="AH41" s="259"/>
      <c r="AI41" s="259"/>
      <c r="AJ41" s="259"/>
      <c r="AK41" s="259"/>
      <c r="AL41" s="400"/>
      <c r="AM41" s="400"/>
      <c r="AN41" s="400"/>
      <c r="AO41" s="400"/>
      <c r="AP41" s="400"/>
      <c r="AQ41" s="400"/>
      <c r="AR41" s="400"/>
      <c r="AS41" s="399"/>
      <c r="AT41" s="399"/>
      <c r="AU41" s="399"/>
      <c r="AV41" s="399"/>
      <c r="AW41" s="399"/>
      <c r="AX41" s="399"/>
    </row>
    <row r="42" spans="1:50" ht="15" customHeight="1">
      <c r="K42" s="414" t="s">
        <v>171</v>
      </c>
      <c r="L42" s="414" t="s">
        <v>367</v>
      </c>
      <c r="M42" s="414" t="s">
        <v>556</v>
      </c>
      <c r="N42" s="414" t="s">
        <v>557</v>
      </c>
      <c r="O42" s="414" t="s">
        <v>167</v>
      </c>
      <c r="P42" s="414" t="s">
        <v>363</v>
      </c>
      <c r="Q42" s="414" t="s">
        <v>560</v>
      </c>
      <c r="R42" s="415" t="s">
        <v>561</v>
      </c>
      <c r="S42" s="416">
        <v>37</v>
      </c>
      <c r="T42" s="416">
        <v>38</v>
      </c>
      <c r="U42" s="416">
        <v>38</v>
      </c>
      <c r="V42" s="416">
        <v>38</v>
      </c>
      <c r="W42" s="416">
        <v>38</v>
      </c>
      <c r="AA42" s="260"/>
      <c r="AB42" s="260"/>
      <c r="AC42" s="260"/>
      <c r="AD42" s="260"/>
      <c r="AE42" s="260"/>
      <c r="AF42" s="260"/>
      <c r="AG42" s="260"/>
      <c r="AH42" s="259"/>
      <c r="AI42" s="259"/>
      <c r="AJ42" s="259"/>
      <c r="AK42" s="259"/>
      <c r="AL42" s="400"/>
      <c r="AM42" s="400"/>
      <c r="AN42" s="400"/>
      <c r="AO42" s="400"/>
      <c r="AP42" s="400"/>
      <c r="AQ42" s="400"/>
      <c r="AR42" s="400"/>
      <c r="AS42" s="399"/>
      <c r="AT42" s="399"/>
      <c r="AU42" s="399"/>
      <c r="AV42" s="399"/>
      <c r="AW42" s="399"/>
      <c r="AX42" s="399"/>
    </row>
    <row r="43" spans="1:50" ht="19.5" thickBot="1">
      <c r="A43" s="518" t="s">
        <v>832</v>
      </c>
      <c r="K43" s="414" t="s">
        <v>171</v>
      </c>
      <c r="L43" s="414" t="s">
        <v>367</v>
      </c>
      <c r="M43" s="414" t="s">
        <v>556</v>
      </c>
      <c r="N43" s="414" t="s">
        <v>557</v>
      </c>
      <c r="O43" s="414" t="s">
        <v>167</v>
      </c>
      <c r="P43" s="414" t="s">
        <v>363</v>
      </c>
      <c r="Q43" s="414" t="s">
        <v>562</v>
      </c>
      <c r="R43" s="415" t="s">
        <v>563</v>
      </c>
      <c r="S43" s="416">
        <v>41</v>
      </c>
      <c r="T43" s="416">
        <v>50</v>
      </c>
      <c r="U43" s="416">
        <v>51</v>
      </c>
      <c r="V43" s="416">
        <v>51</v>
      </c>
      <c r="W43" s="416">
        <v>51</v>
      </c>
      <c r="AA43" s="260"/>
      <c r="AB43" s="260"/>
      <c r="AC43" s="260"/>
      <c r="AD43" s="260"/>
      <c r="AE43" s="260"/>
      <c r="AF43" s="260"/>
      <c r="AG43" s="260"/>
      <c r="AH43" s="259"/>
      <c r="AI43" s="259"/>
      <c r="AJ43" s="259"/>
      <c r="AK43" s="259"/>
      <c r="AL43" s="400"/>
      <c r="AM43" s="400"/>
      <c r="AN43" s="400"/>
      <c r="AO43" s="400"/>
      <c r="AP43" s="400"/>
      <c r="AQ43" s="400"/>
      <c r="AR43" s="400"/>
      <c r="AS43" s="399"/>
      <c r="AT43" s="399"/>
      <c r="AU43" s="399"/>
      <c r="AV43" s="399"/>
      <c r="AW43" s="399"/>
      <c r="AX43" s="399"/>
    </row>
    <row r="44" spans="1:50">
      <c r="A44" s="437"/>
      <c r="B44" s="438"/>
      <c r="C44" s="503" t="s">
        <v>855</v>
      </c>
      <c r="D44" s="503"/>
      <c r="E44" s="503"/>
      <c r="F44" s="503"/>
      <c r="G44" s="503"/>
      <c r="H44" s="503"/>
      <c r="I44" s="439"/>
      <c r="K44" s="414" t="s">
        <v>171</v>
      </c>
      <c r="L44" s="414" t="s">
        <v>367</v>
      </c>
      <c r="M44" s="414" t="s">
        <v>556</v>
      </c>
      <c r="N44" s="414" t="s">
        <v>557</v>
      </c>
      <c r="O44" s="414" t="s">
        <v>167</v>
      </c>
      <c r="P44" s="414" t="s">
        <v>363</v>
      </c>
      <c r="Q44" s="414" t="s">
        <v>564</v>
      </c>
      <c r="R44" s="415" t="s">
        <v>565</v>
      </c>
      <c r="S44" s="416">
        <v>880</v>
      </c>
      <c r="T44" s="416">
        <v>959</v>
      </c>
      <c r="U44" s="416">
        <v>1002</v>
      </c>
      <c r="V44" s="416">
        <v>1014</v>
      </c>
      <c r="W44" s="416">
        <v>1062</v>
      </c>
      <c r="AA44" s="260"/>
      <c r="AB44" s="260"/>
      <c r="AC44" s="260"/>
      <c r="AD44" s="260"/>
      <c r="AE44" s="260"/>
      <c r="AF44" s="260"/>
      <c r="AG44" s="260"/>
      <c r="AH44" s="259"/>
      <c r="AI44" s="259"/>
      <c r="AJ44" s="259"/>
      <c r="AK44" s="259"/>
      <c r="AL44" s="400"/>
      <c r="AM44" s="400"/>
      <c r="AN44" s="400"/>
      <c r="AO44" s="400"/>
      <c r="AP44" s="400"/>
      <c r="AQ44" s="400"/>
      <c r="AR44" s="400"/>
      <c r="AS44" s="399"/>
      <c r="AT44" s="399"/>
      <c r="AU44" s="399"/>
      <c r="AV44" s="399"/>
      <c r="AW44" s="399"/>
      <c r="AX44" s="399"/>
    </row>
    <row r="45" spans="1:50" ht="15.75" thickBot="1">
      <c r="A45" s="444"/>
      <c r="B45" s="452"/>
      <c r="C45" s="452"/>
      <c r="D45" s="453" t="s">
        <v>416</v>
      </c>
      <c r="E45" s="454">
        <f>S113*$F$47</f>
        <v>205679.07317073172</v>
      </c>
      <c r="F45" s="454"/>
      <c r="G45" s="454"/>
      <c r="H45" s="454"/>
      <c r="I45" s="455"/>
      <c r="K45" s="414" t="s">
        <v>171</v>
      </c>
      <c r="L45" s="414" t="s">
        <v>367</v>
      </c>
      <c r="M45" s="414" t="s">
        <v>556</v>
      </c>
      <c r="N45" s="414" t="s">
        <v>557</v>
      </c>
      <c r="O45" s="414" t="s">
        <v>167</v>
      </c>
      <c r="P45" s="414" t="s">
        <v>363</v>
      </c>
      <c r="Q45" s="414" t="s">
        <v>566</v>
      </c>
      <c r="R45" s="415" t="s">
        <v>567</v>
      </c>
      <c r="S45" s="416">
        <v>36</v>
      </c>
      <c r="T45" s="416">
        <v>37</v>
      </c>
      <c r="U45" s="416">
        <v>39</v>
      </c>
      <c r="V45" s="416">
        <v>39</v>
      </c>
      <c r="W45" s="416">
        <v>42</v>
      </c>
      <c r="AA45" s="260"/>
      <c r="AB45" s="260"/>
      <c r="AC45" s="260"/>
      <c r="AD45" s="260"/>
      <c r="AE45" s="260"/>
      <c r="AF45" s="260"/>
      <c r="AG45" s="260"/>
      <c r="AH45" s="259"/>
      <c r="AI45" s="259"/>
      <c r="AJ45" s="259"/>
      <c r="AK45" s="259"/>
      <c r="AL45" s="400"/>
      <c r="AM45" s="400"/>
      <c r="AN45" s="400"/>
      <c r="AO45" s="400"/>
      <c r="AP45" s="400"/>
      <c r="AQ45" s="400"/>
      <c r="AR45" s="400"/>
      <c r="AS45" s="399"/>
      <c r="AT45" s="399"/>
      <c r="AU45" s="399"/>
      <c r="AV45" s="399"/>
      <c r="AW45" s="399"/>
      <c r="AX45" s="399"/>
    </row>
    <row r="46" spans="1:50" ht="15.75" thickTop="1">
      <c r="A46" s="444"/>
      <c r="B46" s="452"/>
      <c r="C46" s="452"/>
      <c r="D46" s="452"/>
      <c r="E46" s="452"/>
      <c r="F46" s="452"/>
      <c r="G46" s="452"/>
      <c r="H46" s="452"/>
      <c r="I46" s="443"/>
      <c r="K46" s="414" t="s">
        <v>171</v>
      </c>
      <c r="L46" s="414" t="s">
        <v>367</v>
      </c>
      <c r="M46" s="414" t="s">
        <v>556</v>
      </c>
      <c r="N46" s="414" t="s">
        <v>557</v>
      </c>
      <c r="O46" s="414" t="s">
        <v>167</v>
      </c>
      <c r="P46" s="414" t="s">
        <v>363</v>
      </c>
      <c r="Q46" s="414" t="s">
        <v>568</v>
      </c>
      <c r="R46" s="415" t="s">
        <v>569</v>
      </c>
      <c r="S46" s="416">
        <v>336</v>
      </c>
      <c r="T46" s="416">
        <v>373</v>
      </c>
      <c r="U46" s="416">
        <v>387</v>
      </c>
      <c r="V46" s="416">
        <v>393</v>
      </c>
      <c r="W46" s="416">
        <v>412</v>
      </c>
      <c r="AA46" s="260"/>
      <c r="AB46" s="260"/>
      <c r="AC46" s="260"/>
      <c r="AD46" s="260"/>
      <c r="AE46" s="260"/>
      <c r="AF46" s="260"/>
      <c r="AG46" s="260"/>
      <c r="AH46" s="261"/>
      <c r="AI46" s="261"/>
      <c r="AJ46" s="261"/>
      <c r="AK46" s="261"/>
      <c r="AL46" s="400"/>
      <c r="AM46" s="400"/>
      <c r="AN46" s="400"/>
      <c r="AO46" s="400"/>
      <c r="AP46" s="400"/>
      <c r="AQ46" s="400"/>
      <c r="AR46" s="400"/>
      <c r="AS46" s="399"/>
      <c r="AT46" s="399"/>
      <c r="AU46" s="399"/>
      <c r="AV46" s="399"/>
      <c r="AW46" s="399"/>
      <c r="AX46" s="399"/>
    </row>
    <row r="47" spans="1:50">
      <c r="A47" s="444"/>
      <c r="B47" s="456" t="s">
        <v>379</v>
      </c>
      <c r="C47" s="452">
        <v>8</v>
      </c>
      <c r="D47" s="457"/>
      <c r="E47" s="456" t="s">
        <v>382</v>
      </c>
      <c r="F47" s="457">
        <f>SUM(C47:C48)/C50</f>
        <v>0.26829268292682928</v>
      </c>
      <c r="G47" s="457"/>
      <c r="H47" s="452"/>
      <c r="I47" s="443"/>
      <c r="K47" s="414" t="s">
        <v>171</v>
      </c>
      <c r="L47" s="414" t="s">
        <v>367</v>
      </c>
      <c r="M47" s="414" t="s">
        <v>556</v>
      </c>
      <c r="N47" s="414" t="s">
        <v>557</v>
      </c>
      <c r="O47" s="414" t="s">
        <v>167</v>
      </c>
      <c r="P47" s="414" t="s">
        <v>363</v>
      </c>
      <c r="Q47" s="414" t="s">
        <v>570</v>
      </c>
      <c r="R47" s="415" t="s">
        <v>571</v>
      </c>
      <c r="S47" s="416">
        <v>2611</v>
      </c>
      <c r="T47" s="416">
        <v>2819</v>
      </c>
      <c r="U47" s="416">
        <v>2933</v>
      </c>
      <c r="V47" s="416">
        <v>2984</v>
      </c>
      <c r="W47" s="416">
        <v>3124</v>
      </c>
      <c r="AA47" s="260"/>
      <c r="AB47" s="260"/>
      <c r="AC47" s="260"/>
      <c r="AD47" s="260"/>
      <c r="AE47" s="260"/>
      <c r="AF47" s="260"/>
      <c r="AG47" s="260"/>
      <c r="AH47" s="261"/>
      <c r="AI47" s="261"/>
      <c r="AJ47" s="261"/>
      <c r="AK47" s="261"/>
      <c r="AL47" s="400"/>
      <c r="AM47" s="400"/>
      <c r="AN47" s="400"/>
      <c r="AO47" s="400"/>
      <c r="AP47" s="400"/>
      <c r="AQ47" s="400"/>
      <c r="AR47" s="400"/>
      <c r="AS47" s="399"/>
      <c r="AT47" s="399"/>
      <c r="AU47" s="399"/>
      <c r="AV47" s="399"/>
      <c r="AW47" s="399"/>
      <c r="AX47" s="399"/>
    </row>
    <row r="48" spans="1:50">
      <c r="A48" s="444"/>
      <c r="B48" s="456" t="s">
        <v>380</v>
      </c>
      <c r="C48" s="452">
        <v>3</v>
      </c>
      <c r="D48" s="457"/>
      <c r="E48" s="456" t="s">
        <v>381</v>
      </c>
      <c r="F48" s="457">
        <f>C49/C50</f>
        <v>0.73170731707317072</v>
      </c>
      <c r="G48" s="457"/>
      <c r="H48" s="452"/>
      <c r="I48" s="443"/>
      <c r="K48" s="414" t="s">
        <v>171</v>
      </c>
      <c r="L48" s="414" t="s">
        <v>367</v>
      </c>
      <c r="M48" s="414" t="s">
        <v>556</v>
      </c>
      <c r="N48" s="414" t="s">
        <v>557</v>
      </c>
      <c r="O48" s="414" t="s">
        <v>167</v>
      </c>
      <c r="P48" s="414" t="s">
        <v>363</v>
      </c>
      <c r="Q48" s="414" t="s">
        <v>572</v>
      </c>
      <c r="R48" s="415" t="s">
        <v>573</v>
      </c>
      <c r="S48" s="416">
        <v>81</v>
      </c>
      <c r="T48" s="416">
        <v>84</v>
      </c>
      <c r="U48" s="416">
        <v>84</v>
      </c>
      <c r="V48" s="416">
        <v>84</v>
      </c>
      <c r="W48" s="416">
        <v>84</v>
      </c>
      <c r="AA48" s="260"/>
      <c r="AB48" s="260"/>
      <c r="AC48" s="260"/>
      <c r="AD48" s="260"/>
      <c r="AE48" s="260"/>
      <c r="AF48" s="260"/>
      <c r="AG48" s="260"/>
      <c r="AH48" s="261"/>
      <c r="AI48" s="261"/>
      <c r="AJ48" s="261"/>
      <c r="AK48" s="261"/>
      <c r="AL48" s="400"/>
      <c r="AM48" s="400"/>
      <c r="AN48" s="400"/>
      <c r="AO48" s="400"/>
      <c r="AP48" s="400"/>
      <c r="AQ48" s="400"/>
      <c r="AR48" s="400"/>
      <c r="AS48" s="399"/>
      <c r="AT48" s="399"/>
      <c r="AU48" s="399"/>
      <c r="AV48" s="399"/>
      <c r="AW48" s="399"/>
      <c r="AX48" s="399"/>
    </row>
    <row r="49" spans="1:50">
      <c r="A49" s="444"/>
      <c r="B49" s="456" t="s">
        <v>381</v>
      </c>
      <c r="C49" s="452">
        <v>30</v>
      </c>
      <c r="D49" s="457"/>
      <c r="E49" s="452"/>
      <c r="F49" s="452"/>
      <c r="G49" s="452"/>
      <c r="H49" s="452"/>
      <c r="I49" s="443"/>
      <c r="J49" s="35"/>
      <c r="K49" s="414" t="s">
        <v>171</v>
      </c>
      <c r="L49" s="414" t="s">
        <v>367</v>
      </c>
      <c r="M49" s="414" t="s">
        <v>556</v>
      </c>
      <c r="N49" s="414" t="s">
        <v>557</v>
      </c>
      <c r="O49" s="414" t="s">
        <v>167</v>
      </c>
      <c r="P49" s="414" t="s">
        <v>363</v>
      </c>
      <c r="Q49" s="414" t="s">
        <v>574</v>
      </c>
      <c r="R49" s="415" t="s">
        <v>575</v>
      </c>
      <c r="S49" s="416">
        <v>27</v>
      </c>
      <c r="T49" s="416">
        <v>34</v>
      </c>
      <c r="U49" s="416">
        <v>36</v>
      </c>
      <c r="V49" s="416">
        <v>37</v>
      </c>
      <c r="W49" s="416">
        <v>37</v>
      </c>
      <c r="AA49" s="260"/>
      <c r="AB49" s="260"/>
      <c r="AC49" s="260"/>
      <c r="AD49" s="260"/>
      <c r="AE49" s="260"/>
      <c r="AF49" s="260"/>
      <c r="AG49" s="260"/>
      <c r="AH49" s="261"/>
      <c r="AI49" s="261"/>
      <c r="AJ49" s="261"/>
      <c r="AK49" s="261"/>
      <c r="AL49" s="400"/>
      <c r="AM49" s="400"/>
      <c r="AN49" s="400"/>
      <c r="AO49" s="400"/>
      <c r="AP49" s="400"/>
      <c r="AQ49" s="400"/>
      <c r="AR49" s="400"/>
      <c r="AS49" s="399"/>
      <c r="AT49" s="399"/>
      <c r="AU49" s="399"/>
      <c r="AV49" s="399"/>
      <c r="AW49" s="399"/>
      <c r="AX49" s="399"/>
    </row>
    <row r="50" spans="1:50" ht="15.75" thickBot="1">
      <c r="A50" s="444"/>
      <c r="B50" s="452"/>
      <c r="C50" s="458">
        <f>SUM(C47:C49)</f>
        <v>41</v>
      </c>
      <c r="D50" s="457"/>
      <c r="E50" s="452"/>
      <c r="F50" s="452"/>
      <c r="G50" s="452"/>
      <c r="H50" s="452"/>
      <c r="I50" s="443"/>
      <c r="K50" s="414" t="s">
        <v>171</v>
      </c>
      <c r="L50" s="414" t="s">
        <v>367</v>
      </c>
      <c r="M50" s="414" t="s">
        <v>556</v>
      </c>
      <c r="N50" s="414" t="s">
        <v>557</v>
      </c>
      <c r="O50" s="414" t="s">
        <v>167</v>
      </c>
      <c r="P50" s="414" t="s">
        <v>363</v>
      </c>
      <c r="Q50" s="414" t="s">
        <v>788</v>
      </c>
      <c r="R50" s="415" t="s">
        <v>781</v>
      </c>
      <c r="S50" s="416">
        <v>93</v>
      </c>
      <c r="T50" s="416">
        <v>106</v>
      </c>
      <c r="U50" s="416">
        <v>113</v>
      </c>
      <c r="V50" s="416">
        <v>113</v>
      </c>
      <c r="W50" s="416">
        <v>122</v>
      </c>
      <c r="AA50" s="260"/>
      <c r="AB50" s="260"/>
      <c r="AC50" s="260"/>
      <c r="AD50" s="260"/>
      <c r="AE50" s="260"/>
      <c r="AF50" s="260"/>
      <c r="AG50" s="260"/>
      <c r="AH50" s="261"/>
      <c r="AI50" s="261"/>
      <c r="AJ50" s="261"/>
      <c r="AK50" s="261"/>
      <c r="AL50" s="400"/>
      <c r="AM50" s="400"/>
      <c r="AN50" s="400"/>
      <c r="AO50" s="400"/>
      <c r="AP50" s="400"/>
      <c r="AQ50" s="400"/>
      <c r="AR50" s="400"/>
      <c r="AS50" s="399"/>
      <c r="AT50" s="399"/>
      <c r="AU50" s="399"/>
      <c r="AV50" s="399"/>
      <c r="AW50" s="399"/>
      <c r="AX50" s="399"/>
    </row>
    <row r="51" spans="1:50" ht="16.5" thickTop="1" thickBot="1">
      <c r="A51" s="463"/>
      <c r="B51" s="464"/>
      <c r="C51" s="464"/>
      <c r="D51" s="464"/>
      <c r="E51" s="464"/>
      <c r="F51" s="464"/>
      <c r="G51" s="464"/>
      <c r="H51" s="464"/>
      <c r="I51" s="465"/>
      <c r="K51" s="414" t="s">
        <v>171</v>
      </c>
      <c r="L51" s="414" t="s">
        <v>367</v>
      </c>
      <c r="M51" s="414" t="s">
        <v>556</v>
      </c>
      <c r="N51" s="414" t="s">
        <v>557</v>
      </c>
      <c r="O51" s="414" t="s">
        <v>167</v>
      </c>
      <c r="P51" s="414" t="s">
        <v>363</v>
      </c>
      <c r="Q51" s="414" t="s">
        <v>853</v>
      </c>
      <c r="R51" s="415" t="s">
        <v>854</v>
      </c>
      <c r="S51" s="416">
        <v>1</v>
      </c>
      <c r="T51" s="416">
        <v>1</v>
      </c>
      <c r="U51" s="416">
        <v>1</v>
      </c>
      <c r="V51" s="416">
        <v>1</v>
      </c>
      <c r="W51" s="416">
        <v>1</v>
      </c>
      <c r="AA51" s="260"/>
      <c r="AB51" s="260"/>
      <c r="AC51" s="260"/>
      <c r="AD51" s="260"/>
      <c r="AE51" s="260"/>
      <c r="AF51" s="260"/>
      <c r="AG51" s="260"/>
      <c r="AH51" s="261"/>
      <c r="AI51" s="261"/>
      <c r="AJ51" s="261"/>
      <c r="AK51" s="261"/>
      <c r="AL51" s="400"/>
      <c r="AM51" s="400"/>
      <c r="AN51" s="400"/>
      <c r="AO51" s="400"/>
      <c r="AP51" s="400"/>
      <c r="AQ51" s="400"/>
      <c r="AR51" s="400"/>
      <c r="AS51" s="399"/>
      <c r="AT51" s="399"/>
      <c r="AU51" s="399"/>
      <c r="AV51" s="399"/>
      <c r="AW51" s="399"/>
      <c r="AX51" s="399"/>
    </row>
    <row r="52" spans="1:50">
      <c r="K52" s="414" t="s">
        <v>171</v>
      </c>
      <c r="L52" s="414" t="s">
        <v>367</v>
      </c>
      <c r="M52" s="414" t="s">
        <v>556</v>
      </c>
      <c r="N52" s="414" t="s">
        <v>557</v>
      </c>
      <c r="O52" s="414" t="s">
        <v>167</v>
      </c>
      <c r="P52" s="414" t="s">
        <v>363</v>
      </c>
      <c r="Q52" s="414" t="s">
        <v>576</v>
      </c>
      <c r="R52" s="415" t="s">
        <v>577</v>
      </c>
      <c r="S52" s="416">
        <v>1207</v>
      </c>
      <c r="T52" s="416">
        <v>1317</v>
      </c>
      <c r="U52" s="416">
        <v>1360</v>
      </c>
      <c r="V52" s="416">
        <v>1384</v>
      </c>
      <c r="W52" s="416">
        <v>1276</v>
      </c>
      <c r="AA52" s="260"/>
      <c r="AB52" s="260"/>
      <c r="AC52" s="260"/>
      <c r="AD52" s="260"/>
      <c r="AE52" s="260"/>
      <c r="AF52" s="260"/>
      <c r="AG52" s="260"/>
      <c r="AH52" s="261"/>
      <c r="AI52" s="261"/>
      <c r="AJ52" s="261"/>
      <c r="AK52" s="261"/>
      <c r="AL52" s="400"/>
      <c r="AM52" s="400"/>
      <c r="AN52" s="400"/>
      <c r="AO52" s="400"/>
      <c r="AP52" s="400"/>
      <c r="AQ52" s="400"/>
      <c r="AR52" s="400"/>
      <c r="AS52" s="399"/>
      <c r="AT52" s="399"/>
      <c r="AU52" s="399"/>
      <c r="AV52" s="399"/>
      <c r="AW52" s="399"/>
      <c r="AX52" s="399"/>
    </row>
    <row r="53" spans="1:50">
      <c r="K53" s="414" t="s">
        <v>171</v>
      </c>
      <c r="L53" s="414" t="s">
        <v>367</v>
      </c>
      <c r="M53" s="414" t="s">
        <v>556</v>
      </c>
      <c r="N53" s="414" t="s">
        <v>557</v>
      </c>
      <c r="O53" s="414" t="s">
        <v>167</v>
      </c>
      <c r="P53" s="414" t="s">
        <v>363</v>
      </c>
      <c r="Q53" s="414" t="s">
        <v>578</v>
      </c>
      <c r="R53" s="415" t="s">
        <v>579</v>
      </c>
      <c r="S53" s="416">
        <v>81</v>
      </c>
      <c r="T53" s="416">
        <v>91</v>
      </c>
      <c r="U53" s="416">
        <v>100</v>
      </c>
      <c r="V53" s="416">
        <v>100</v>
      </c>
      <c r="W53" s="416">
        <v>105</v>
      </c>
      <c r="AA53" s="260"/>
      <c r="AB53" s="260"/>
      <c r="AC53" s="260"/>
      <c r="AD53" s="260"/>
      <c r="AE53" s="260"/>
      <c r="AF53" s="260"/>
      <c r="AG53" s="260"/>
      <c r="AH53" s="261"/>
      <c r="AI53" s="261"/>
      <c r="AJ53" s="261"/>
      <c r="AK53" s="261"/>
      <c r="AL53" s="400"/>
      <c r="AM53" s="400"/>
      <c r="AN53" s="400"/>
      <c r="AO53" s="400"/>
      <c r="AP53" s="400"/>
      <c r="AQ53" s="400"/>
      <c r="AR53" s="400"/>
      <c r="AS53" s="399"/>
      <c r="AT53" s="399"/>
      <c r="AU53" s="399"/>
      <c r="AV53" s="399"/>
      <c r="AW53" s="399"/>
      <c r="AX53" s="399"/>
    </row>
    <row r="54" spans="1:50" ht="19.5" thickBot="1">
      <c r="A54" s="518" t="s">
        <v>829</v>
      </c>
      <c r="K54" s="414" t="s">
        <v>171</v>
      </c>
      <c r="L54" s="414" t="s">
        <v>367</v>
      </c>
      <c r="M54" s="414" t="s">
        <v>556</v>
      </c>
      <c r="N54" s="414" t="s">
        <v>557</v>
      </c>
      <c r="O54" s="414" t="s">
        <v>167</v>
      </c>
      <c r="P54" s="414" t="s">
        <v>363</v>
      </c>
      <c r="Q54" s="414" t="s">
        <v>580</v>
      </c>
      <c r="R54" s="415" t="s">
        <v>581</v>
      </c>
      <c r="S54" s="416">
        <v>232</v>
      </c>
      <c r="T54" s="416">
        <v>253</v>
      </c>
      <c r="U54" s="416">
        <v>264</v>
      </c>
      <c r="V54" s="416">
        <v>263</v>
      </c>
      <c r="W54" s="416">
        <v>251</v>
      </c>
      <c r="AA54" s="260"/>
      <c r="AB54" s="260"/>
      <c r="AC54" s="260"/>
      <c r="AD54" s="260"/>
      <c r="AE54" s="260"/>
      <c r="AF54" s="260"/>
      <c r="AG54" s="260"/>
      <c r="AH54" s="261"/>
      <c r="AI54" s="261"/>
      <c r="AJ54" s="261"/>
      <c r="AK54" s="261"/>
      <c r="AL54" s="400"/>
      <c r="AM54" s="400"/>
      <c r="AN54" s="400"/>
      <c r="AO54" s="400"/>
      <c r="AP54" s="400"/>
      <c r="AQ54" s="400"/>
      <c r="AR54" s="400"/>
      <c r="AS54" s="399"/>
      <c r="AT54" s="399"/>
      <c r="AU54" s="399"/>
      <c r="AV54" s="399"/>
      <c r="AW54" s="399"/>
      <c r="AX54" s="399"/>
    </row>
    <row r="55" spans="1:50">
      <c r="A55" s="437"/>
      <c r="B55" s="438"/>
      <c r="C55" s="503" t="s">
        <v>855</v>
      </c>
      <c r="D55" s="503"/>
      <c r="E55" s="503"/>
      <c r="F55" s="503"/>
      <c r="G55" s="503"/>
      <c r="H55" s="503"/>
      <c r="I55" s="439"/>
      <c r="K55" s="414" t="s">
        <v>171</v>
      </c>
      <c r="L55" s="414" t="s">
        <v>367</v>
      </c>
      <c r="M55" s="414" t="s">
        <v>556</v>
      </c>
      <c r="N55" s="414" t="s">
        <v>557</v>
      </c>
      <c r="O55" s="414" t="s">
        <v>167</v>
      </c>
      <c r="P55" s="414" t="s">
        <v>363</v>
      </c>
      <c r="Q55" s="414" t="s">
        <v>582</v>
      </c>
      <c r="R55" s="415" t="s">
        <v>583</v>
      </c>
      <c r="S55" s="416">
        <v>186</v>
      </c>
      <c r="T55" s="416">
        <v>207</v>
      </c>
      <c r="U55" s="416">
        <v>214</v>
      </c>
      <c r="V55" s="416">
        <v>217</v>
      </c>
      <c r="W55" s="416">
        <v>221</v>
      </c>
      <c r="AA55" s="260"/>
      <c r="AB55" s="260"/>
      <c r="AC55" s="260"/>
      <c r="AD55" s="260"/>
      <c r="AE55" s="260"/>
      <c r="AF55" s="260"/>
      <c r="AG55" s="260"/>
      <c r="AH55" s="261"/>
      <c r="AI55" s="261"/>
      <c r="AJ55" s="261"/>
      <c r="AK55" s="261"/>
      <c r="AL55" s="400"/>
      <c r="AM55" s="400"/>
      <c r="AN55" s="400"/>
      <c r="AO55" s="400"/>
      <c r="AP55" s="400"/>
      <c r="AQ55" s="400"/>
      <c r="AR55" s="400"/>
      <c r="AS55" s="399"/>
      <c r="AT55" s="399"/>
      <c r="AU55" s="399"/>
      <c r="AV55" s="399"/>
      <c r="AW55" s="399"/>
      <c r="AX55" s="399"/>
    </row>
    <row r="56" spans="1:50" ht="15.75" thickBot="1">
      <c r="A56" s="444"/>
      <c r="B56" s="452"/>
      <c r="C56" s="452"/>
      <c r="D56" s="453" t="s">
        <v>416</v>
      </c>
      <c r="E56" s="454">
        <f>S113*$F$58</f>
        <v>168282.87804878049</v>
      </c>
      <c r="F56" s="454">
        <f t="shared" ref="F56:I56" si="9">T113*$F$58</f>
        <v>184764.29268292684</v>
      </c>
      <c r="G56" s="454">
        <f t="shared" si="9"/>
        <v>186166.31707317074</v>
      </c>
      <c r="H56" s="454">
        <f t="shared" si="9"/>
        <v>205691.48780487804</v>
      </c>
      <c r="I56" s="455">
        <f t="shared" si="9"/>
        <v>209524.39024390245</v>
      </c>
      <c r="K56" s="414" t="s">
        <v>171</v>
      </c>
      <c r="L56" s="414" t="s">
        <v>367</v>
      </c>
      <c r="M56" s="414" t="s">
        <v>556</v>
      </c>
      <c r="N56" s="414" t="s">
        <v>557</v>
      </c>
      <c r="O56" s="414" t="s">
        <v>167</v>
      </c>
      <c r="P56" s="414" t="s">
        <v>363</v>
      </c>
      <c r="Q56" s="414" t="s">
        <v>584</v>
      </c>
      <c r="R56" s="415" t="s">
        <v>585</v>
      </c>
      <c r="S56" s="416">
        <v>532</v>
      </c>
      <c r="T56" s="416">
        <v>586</v>
      </c>
      <c r="U56" s="416">
        <v>606</v>
      </c>
      <c r="V56" s="416">
        <v>617</v>
      </c>
      <c r="W56" s="416">
        <v>643</v>
      </c>
      <c r="AA56" s="260"/>
      <c r="AB56" s="260"/>
      <c r="AC56" s="260"/>
      <c r="AD56" s="260"/>
      <c r="AE56" s="260"/>
      <c r="AF56" s="260"/>
      <c r="AG56" s="260"/>
      <c r="AH56" s="261"/>
      <c r="AI56" s="261"/>
      <c r="AJ56" s="261"/>
      <c r="AK56" s="261"/>
      <c r="AL56" s="400"/>
      <c r="AM56" s="400"/>
      <c r="AN56" s="400"/>
      <c r="AO56" s="400"/>
      <c r="AP56" s="400"/>
      <c r="AQ56" s="400"/>
      <c r="AR56" s="400"/>
      <c r="AS56" s="399"/>
      <c r="AT56" s="399"/>
      <c r="AU56" s="399"/>
      <c r="AV56" s="399"/>
      <c r="AW56" s="399"/>
      <c r="AX56" s="399"/>
    </row>
    <row r="57" spans="1:50" ht="15.75" thickTop="1">
      <c r="A57" s="444"/>
      <c r="B57" s="452"/>
      <c r="C57" s="452"/>
      <c r="D57" s="452"/>
      <c r="E57" s="452"/>
      <c r="F57" s="452"/>
      <c r="G57" s="452"/>
      <c r="H57" s="452"/>
      <c r="I57" s="443"/>
      <c r="K57" s="414" t="s">
        <v>171</v>
      </c>
      <c r="L57" s="414" t="s">
        <v>367</v>
      </c>
      <c r="M57" s="414" t="s">
        <v>556</v>
      </c>
      <c r="N57" s="414" t="s">
        <v>557</v>
      </c>
      <c r="O57" s="414" t="s">
        <v>167</v>
      </c>
      <c r="P57" s="414" t="s">
        <v>363</v>
      </c>
      <c r="Q57" s="414" t="s">
        <v>586</v>
      </c>
      <c r="R57" s="415" t="s">
        <v>587</v>
      </c>
      <c r="S57" s="416">
        <v>353</v>
      </c>
      <c r="T57" s="416">
        <v>405</v>
      </c>
      <c r="U57" s="416">
        <v>420</v>
      </c>
      <c r="V57" s="416">
        <v>425</v>
      </c>
      <c r="W57" s="416">
        <v>449</v>
      </c>
      <c r="AA57" s="260"/>
      <c r="AB57" s="260"/>
      <c r="AC57" s="260"/>
      <c r="AD57" s="260"/>
      <c r="AE57" s="260"/>
      <c r="AF57" s="260"/>
      <c r="AG57" s="260"/>
      <c r="AH57" s="261"/>
      <c r="AI57" s="261"/>
      <c r="AJ57" s="261"/>
      <c r="AK57" s="261"/>
      <c r="AL57" s="400"/>
      <c r="AM57" s="400"/>
      <c r="AN57" s="400"/>
      <c r="AO57" s="400"/>
      <c r="AP57" s="400"/>
      <c r="AQ57" s="400"/>
      <c r="AR57" s="400"/>
      <c r="AS57" s="399"/>
      <c r="AT57" s="399"/>
      <c r="AU57" s="399"/>
      <c r="AV57" s="399"/>
      <c r="AW57" s="399"/>
      <c r="AX57" s="399"/>
    </row>
    <row r="58" spans="1:50">
      <c r="A58" s="444"/>
      <c r="B58" s="456" t="s">
        <v>379</v>
      </c>
      <c r="C58" s="452">
        <v>8</v>
      </c>
      <c r="D58" s="457"/>
      <c r="E58" s="456" t="s">
        <v>382</v>
      </c>
      <c r="F58" s="457">
        <f>SUM(C58:C59)/C61</f>
        <v>0.21951219512195122</v>
      </c>
      <c r="G58" s="457"/>
      <c r="H58" s="452"/>
      <c r="I58" s="443"/>
      <c r="K58" s="414" t="s">
        <v>171</v>
      </c>
      <c r="L58" s="414" t="s">
        <v>367</v>
      </c>
      <c r="M58" s="414" t="s">
        <v>556</v>
      </c>
      <c r="N58" s="414" t="s">
        <v>557</v>
      </c>
      <c r="O58" s="414" t="s">
        <v>167</v>
      </c>
      <c r="P58" s="414" t="s">
        <v>363</v>
      </c>
      <c r="Q58" s="414" t="s">
        <v>588</v>
      </c>
      <c r="R58" s="415" t="s">
        <v>589</v>
      </c>
      <c r="S58" s="416">
        <v>45</v>
      </c>
      <c r="T58" s="416">
        <v>48</v>
      </c>
      <c r="U58" s="416">
        <v>48</v>
      </c>
      <c r="V58" s="416">
        <v>48</v>
      </c>
      <c r="W58" s="416">
        <v>48</v>
      </c>
      <c r="AA58" s="260"/>
      <c r="AB58" s="260"/>
      <c r="AC58" s="260"/>
      <c r="AD58" s="260"/>
      <c r="AE58" s="260"/>
      <c r="AF58" s="260"/>
      <c r="AG58" s="260"/>
      <c r="AH58" s="261"/>
      <c r="AI58" s="261"/>
      <c r="AJ58" s="261"/>
      <c r="AK58" s="261"/>
      <c r="AL58" s="400"/>
      <c r="AM58" s="400"/>
      <c r="AN58" s="400"/>
      <c r="AO58" s="400"/>
      <c r="AP58" s="400"/>
      <c r="AQ58" s="400"/>
      <c r="AR58" s="400"/>
      <c r="AS58" s="399"/>
      <c r="AT58" s="399"/>
      <c r="AU58" s="399"/>
      <c r="AV58" s="399"/>
      <c r="AW58" s="399"/>
      <c r="AX58" s="399"/>
    </row>
    <row r="59" spans="1:50">
      <c r="A59" s="444"/>
      <c r="B59" s="456" t="s">
        <v>380</v>
      </c>
      <c r="C59" s="452">
        <v>1</v>
      </c>
      <c r="D59" s="457"/>
      <c r="E59" s="456" t="s">
        <v>381</v>
      </c>
      <c r="F59" s="457">
        <f>C60/C61</f>
        <v>0.78048780487804881</v>
      </c>
      <c r="G59" s="457"/>
      <c r="H59" s="452"/>
      <c r="I59" s="443"/>
      <c r="K59" s="414" t="s">
        <v>171</v>
      </c>
      <c r="L59" s="414" t="s">
        <v>367</v>
      </c>
      <c r="M59" s="414" t="s">
        <v>556</v>
      </c>
      <c r="N59" s="414" t="s">
        <v>557</v>
      </c>
      <c r="O59" s="414" t="s">
        <v>167</v>
      </c>
      <c r="P59" s="414" t="s">
        <v>363</v>
      </c>
      <c r="Q59" s="414" t="s">
        <v>590</v>
      </c>
      <c r="R59" s="415" t="s">
        <v>334</v>
      </c>
      <c r="S59" s="416">
        <v>303</v>
      </c>
      <c r="T59" s="416">
        <v>353</v>
      </c>
      <c r="U59" s="416">
        <v>375</v>
      </c>
      <c r="V59" s="416">
        <v>374</v>
      </c>
      <c r="W59" s="416">
        <v>385</v>
      </c>
      <c r="AA59" s="260"/>
      <c r="AB59" s="260"/>
      <c r="AC59" s="260"/>
      <c r="AD59" s="260"/>
      <c r="AE59" s="260"/>
      <c r="AF59" s="260"/>
      <c r="AG59" s="260"/>
      <c r="AH59" s="261"/>
      <c r="AI59" s="261"/>
      <c r="AJ59" s="261"/>
      <c r="AK59" s="261"/>
      <c r="AL59" s="400"/>
      <c r="AM59" s="400"/>
      <c r="AN59" s="400"/>
      <c r="AO59" s="400"/>
      <c r="AP59" s="400"/>
      <c r="AQ59" s="400"/>
      <c r="AR59" s="400"/>
      <c r="AS59" s="399"/>
      <c r="AT59" s="399"/>
      <c r="AU59" s="399"/>
      <c r="AV59" s="399"/>
      <c r="AW59" s="399"/>
      <c r="AX59" s="399"/>
    </row>
    <row r="60" spans="1:50">
      <c r="A60" s="444"/>
      <c r="B60" s="456" t="s">
        <v>381</v>
      </c>
      <c r="C60" s="452">
        <v>32</v>
      </c>
      <c r="D60" s="457"/>
      <c r="E60" s="452"/>
      <c r="F60" s="452"/>
      <c r="G60" s="452"/>
      <c r="H60" s="452"/>
      <c r="I60" s="443"/>
      <c r="K60" s="414" t="s">
        <v>171</v>
      </c>
      <c r="L60" s="414" t="s">
        <v>367</v>
      </c>
      <c r="M60" s="414" t="s">
        <v>556</v>
      </c>
      <c r="N60" s="414" t="s">
        <v>557</v>
      </c>
      <c r="O60" s="414" t="s">
        <v>167</v>
      </c>
      <c r="P60" s="414" t="s">
        <v>363</v>
      </c>
      <c r="Q60" s="414" t="s">
        <v>591</v>
      </c>
      <c r="R60" s="415" t="s">
        <v>592</v>
      </c>
      <c r="S60" s="416">
        <v>20</v>
      </c>
      <c r="T60" s="416">
        <v>23</v>
      </c>
      <c r="U60" s="416">
        <v>24</v>
      </c>
      <c r="V60" s="416">
        <v>24</v>
      </c>
      <c r="W60" s="416">
        <v>25</v>
      </c>
      <c r="AA60" s="260"/>
      <c r="AB60" s="260"/>
      <c r="AC60" s="260"/>
      <c r="AD60" s="260"/>
      <c r="AE60" s="260"/>
      <c r="AF60" s="260"/>
      <c r="AG60" s="260"/>
      <c r="AH60" s="261"/>
      <c r="AI60" s="261"/>
      <c r="AJ60" s="261"/>
      <c r="AK60" s="261"/>
      <c r="AL60" s="400"/>
      <c r="AM60" s="400"/>
      <c r="AN60" s="400"/>
      <c r="AO60" s="400"/>
      <c r="AP60" s="400"/>
      <c r="AQ60" s="400"/>
      <c r="AR60" s="400"/>
      <c r="AS60" s="399"/>
      <c r="AT60" s="399"/>
      <c r="AU60" s="399"/>
      <c r="AV60" s="399"/>
      <c r="AW60" s="399"/>
      <c r="AX60" s="399"/>
    </row>
    <row r="61" spans="1:50" ht="15.75" thickBot="1">
      <c r="A61" s="444"/>
      <c r="B61" s="452"/>
      <c r="C61" s="458">
        <f>SUM(C58:C60)</f>
        <v>41</v>
      </c>
      <c r="D61" s="457"/>
      <c r="E61" s="452"/>
      <c r="F61" s="452"/>
      <c r="G61" s="452"/>
      <c r="H61" s="452"/>
      <c r="I61" s="443"/>
      <c r="K61" s="414" t="s">
        <v>171</v>
      </c>
      <c r="L61" s="414" t="s">
        <v>367</v>
      </c>
      <c r="M61" s="414" t="s">
        <v>556</v>
      </c>
      <c r="N61" s="414" t="s">
        <v>557</v>
      </c>
      <c r="O61" s="414" t="s">
        <v>167</v>
      </c>
      <c r="P61" s="414" t="s">
        <v>363</v>
      </c>
      <c r="Q61" s="414" t="s">
        <v>593</v>
      </c>
      <c r="R61" s="415" t="s">
        <v>333</v>
      </c>
      <c r="S61" s="416">
        <v>539</v>
      </c>
      <c r="T61" s="416">
        <v>581</v>
      </c>
      <c r="U61" s="416">
        <v>577</v>
      </c>
      <c r="V61" s="416">
        <v>691</v>
      </c>
      <c r="W61" s="416">
        <v>615</v>
      </c>
      <c r="AA61" s="260"/>
      <c r="AB61" s="260"/>
      <c r="AC61" s="260"/>
      <c r="AD61" s="260"/>
      <c r="AE61" s="260"/>
      <c r="AF61" s="260"/>
      <c r="AG61" s="260"/>
      <c r="AH61" s="261"/>
      <c r="AI61" s="261"/>
      <c r="AJ61" s="261"/>
      <c r="AK61" s="261"/>
      <c r="AL61" s="400"/>
      <c r="AM61" s="400"/>
      <c r="AN61" s="400"/>
      <c r="AO61" s="400"/>
      <c r="AP61" s="400"/>
      <c r="AQ61" s="400"/>
      <c r="AR61" s="400"/>
      <c r="AS61" s="399"/>
      <c r="AT61" s="399"/>
      <c r="AU61" s="399"/>
      <c r="AV61" s="399"/>
      <c r="AW61" s="399"/>
      <c r="AX61" s="399"/>
    </row>
    <row r="62" spans="1:50" ht="16.5" thickTop="1" thickBot="1">
      <c r="A62" s="463"/>
      <c r="B62" s="464"/>
      <c r="C62" s="464"/>
      <c r="D62" s="464"/>
      <c r="E62" s="464"/>
      <c r="F62" s="464"/>
      <c r="G62" s="464"/>
      <c r="H62" s="464"/>
      <c r="I62" s="465"/>
      <c r="K62" s="414" t="s">
        <v>171</v>
      </c>
      <c r="L62" s="414" t="s">
        <v>367</v>
      </c>
      <c r="M62" s="414" t="s">
        <v>556</v>
      </c>
      <c r="N62" s="414" t="s">
        <v>557</v>
      </c>
      <c r="O62" s="414" t="s">
        <v>167</v>
      </c>
      <c r="P62" s="414" t="s">
        <v>363</v>
      </c>
      <c r="Q62" s="414" t="s">
        <v>594</v>
      </c>
      <c r="R62" s="415" t="s">
        <v>595</v>
      </c>
      <c r="S62" s="416">
        <v>131</v>
      </c>
      <c r="T62" s="416">
        <v>138</v>
      </c>
      <c r="U62" s="416">
        <v>139</v>
      </c>
      <c r="V62" s="416">
        <v>139</v>
      </c>
      <c r="W62" s="416">
        <v>141</v>
      </c>
      <c r="AA62" s="260"/>
      <c r="AB62" s="260"/>
      <c r="AC62" s="260"/>
      <c r="AD62" s="260"/>
      <c r="AE62" s="260"/>
      <c r="AF62" s="260"/>
      <c r="AG62" s="260"/>
      <c r="AH62" s="261"/>
      <c r="AI62" s="261"/>
      <c r="AJ62" s="261"/>
      <c r="AK62" s="261"/>
      <c r="AL62" s="400"/>
      <c r="AM62" s="400"/>
      <c r="AN62" s="400"/>
      <c r="AO62" s="400"/>
      <c r="AP62" s="400"/>
      <c r="AQ62" s="400"/>
      <c r="AR62" s="400"/>
      <c r="AS62" s="399"/>
      <c r="AT62" s="399"/>
      <c r="AU62" s="399"/>
      <c r="AV62" s="399"/>
      <c r="AW62" s="399"/>
      <c r="AX62" s="399"/>
    </row>
    <row r="63" spans="1:50">
      <c r="K63" s="414" t="s">
        <v>171</v>
      </c>
      <c r="L63" s="414" t="s">
        <v>367</v>
      </c>
      <c r="M63" s="414" t="s">
        <v>556</v>
      </c>
      <c r="N63" s="414" t="s">
        <v>557</v>
      </c>
      <c r="O63" s="414" t="s">
        <v>167</v>
      </c>
      <c r="P63" s="414" t="s">
        <v>363</v>
      </c>
      <c r="Q63" s="414" t="s">
        <v>596</v>
      </c>
      <c r="R63" s="415" t="s">
        <v>597</v>
      </c>
      <c r="S63" s="416">
        <v>289</v>
      </c>
      <c r="T63" s="416">
        <v>318</v>
      </c>
      <c r="U63" s="416">
        <v>332</v>
      </c>
      <c r="V63" s="416">
        <v>336</v>
      </c>
      <c r="W63" s="416">
        <v>354</v>
      </c>
      <c r="AA63" s="260"/>
      <c r="AB63" s="260"/>
      <c r="AC63" s="260"/>
      <c r="AD63" s="260"/>
      <c r="AE63" s="260"/>
      <c r="AF63" s="260"/>
      <c r="AG63" s="260"/>
      <c r="AH63" s="261"/>
      <c r="AI63" s="261"/>
      <c r="AJ63" s="261"/>
      <c r="AK63" s="261"/>
      <c r="AL63" s="400"/>
      <c r="AM63" s="400"/>
      <c r="AN63" s="400"/>
      <c r="AO63" s="400"/>
      <c r="AP63" s="400"/>
      <c r="AQ63" s="400"/>
      <c r="AR63" s="400"/>
      <c r="AS63" s="399"/>
      <c r="AT63" s="399"/>
      <c r="AU63" s="399"/>
      <c r="AV63" s="399"/>
      <c r="AW63" s="399"/>
      <c r="AX63" s="399"/>
    </row>
    <row r="64" spans="1:50">
      <c r="K64" s="414" t="s">
        <v>171</v>
      </c>
      <c r="L64" s="414" t="s">
        <v>367</v>
      </c>
      <c r="M64" s="414" t="s">
        <v>556</v>
      </c>
      <c r="N64" s="414" t="s">
        <v>557</v>
      </c>
      <c r="O64" s="414" t="s">
        <v>167</v>
      </c>
      <c r="P64" s="414" t="s">
        <v>363</v>
      </c>
      <c r="Q64" s="414" t="s">
        <v>598</v>
      </c>
      <c r="R64" s="415" t="s">
        <v>599</v>
      </c>
      <c r="S64" s="416">
        <v>11</v>
      </c>
      <c r="T64" s="416">
        <v>14</v>
      </c>
      <c r="U64" s="416">
        <v>15</v>
      </c>
      <c r="V64" s="416">
        <v>16</v>
      </c>
      <c r="W64" s="416">
        <v>17</v>
      </c>
      <c r="AA64" s="260"/>
      <c r="AB64" s="260"/>
      <c r="AC64" s="260"/>
      <c r="AD64" s="260"/>
      <c r="AE64" s="260"/>
      <c r="AF64" s="260"/>
      <c r="AG64" s="260"/>
      <c r="AH64" s="261"/>
      <c r="AI64" s="261"/>
      <c r="AJ64" s="261"/>
      <c r="AK64" s="261"/>
      <c r="AL64" s="400"/>
      <c r="AM64" s="400"/>
      <c r="AN64" s="400"/>
      <c r="AO64" s="400"/>
      <c r="AP64" s="400"/>
      <c r="AQ64" s="400"/>
      <c r="AR64" s="400"/>
      <c r="AS64" s="399"/>
      <c r="AT64" s="399"/>
      <c r="AU64" s="399"/>
      <c r="AV64" s="399"/>
      <c r="AW64" s="399"/>
      <c r="AX64" s="399"/>
    </row>
    <row r="65" spans="1:50">
      <c r="A65" s="15"/>
      <c r="B65" s="21" t="s">
        <v>731</v>
      </c>
      <c r="K65" s="414" t="s">
        <v>171</v>
      </c>
      <c r="L65" s="414" t="s">
        <v>367</v>
      </c>
      <c r="M65" s="414" t="s">
        <v>556</v>
      </c>
      <c r="N65" s="414" t="s">
        <v>557</v>
      </c>
      <c r="O65" s="414" t="s">
        <v>167</v>
      </c>
      <c r="P65" s="414" t="s">
        <v>363</v>
      </c>
      <c r="Q65" s="414" t="s">
        <v>600</v>
      </c>
      <c r="R65" s="415" t="s">
        <v>601</v>
      </c>
      <c r="S65" s="416">
        <v>10275</v>
      </c>
      <c r="T65" s="416">
        <v>12533</v>
      </c>
      <c r="U65" s="416">
        <v>13049</v>
      </c>
      <c r="V65" s="416">
        <v>13351</v>
      </c>
      <c r="W65" s="416">
        <v>13951</v>
      </c>
      <c r="AA65" s="260"/>
      <c r="AB65" s="260"/>
      <c r="AC65" s="260"/>
      <c r="AD65" s="260"/>
      <c r="AE65" s="260"/>
      <c r="AF65" s="260"/>
      <c r="AG65" s="260"/>
      <c r="AH65" s="261"/>
      <c r="AI65" s="261"/>
      <c r="AJ65" s="261"/>
      <c r="AK65" s="261"/>
      <c r="AL65" s="400"/>
      <c r="AM65" s="400"/>
      <c r="AN65" s="400"/>
      <c r="AO65" s="400"/>
      <c r="AP65" s="400"/>
      <c r="AQ65" s="400"/>
      <c r="AR65" s="400"/>
      <c r="AS65" s="399"/>
      <c r="AT65" s="399"/>
      <c r="AU65" s="399"/>
      <c r="AV65" s="399"/>
      <c r="AW65" s="399"/>
      <c r="AX65" s="399"/>
    </row>
    <row r="66" spans="1:50">
      <c r="A66" s="14" t="s">
        <v>54</v>
      </c>
      <c r="B66" s="14" t="s">
        <v>38</v>
      </c>
      <c r="C66" s="57" t="s">
        <v>131</v>
      </c>
      <c r="D66" s="14" t="s">
        <v>831</v>
      </c>
      <c r="E66" s="14" t="s">
        <v>830</v>
      </c>
      <c r="F66" s="14" t="s">
        <v>20</v>
      </c>
      <c r="K66" s="414" t="s">
        <v>171</v>
      </c>
      <c r="L66" s="414" t="s">
        <v>367</v>
      </c>
      <c r="M66" s="414" t="s">
        <v>556</v>
      </c>
      <c r="N66" s="414" t="s">
        <v>557</v>
      </c>
      <c r="O66" s="414" t="s">
        <v>167</v>
      </c>
      <c r="P66" s="414" t="s">
        <v>363</v>
      </c>
      <c r="Q66" s="414" t="s">
        <v>602</v>
      </c>
      <c r="R66" s="415" t="s">
        <v>339</v>
      </c>
      <c r="S66" s="416">
        <v>6052</v>
      </c>
      <c r="T66" s="416">
        <v>7080</v>
      </c>
      <c r="U66" s="416">
        <v>6864</v>
      </c>
      <c r="V66" s="416">
        <v>0</v>
      </c>
      <c r="W66" s="416">
        <v>0</v>
      </c>
      <c r="AA66" s="260"/>
      <c r="AB66" s="260"/>
      <c r="AC66" s="260"/>
      <c r="AD66" s="260"/>
      <c r="AE66" s="260"/>
      <c r="AF66" s="260"/>
      <c r="AG66" s="260"/>
      <c r="AH66" s="261"/>
      <c r="AI66" s="261"/>
      <c r="AJ66" s="261"/>
      <c r="AK66" s="261"/>
      <c r="AL66" s="400"/>
      <c r="AM66" s="400"/>
      <c r="AN66" s="400"/>
      <c r="AO66" s="400"/>
      <c r="AP66" s="400"/>
      <c r="AQ66" s="400"/>
      <c r="AR66" s="400"/>
      <c r="AS66" s="399"/>
      <c r="AT66" s="399"/>
      <c r="AU66" s="399"/>
      <c r="AV66" s="399"/>
      <c r="AW66" s="399"/>
      <c r="AX66" s="399"/>
    </row>
    <row r="67" spans="1:50">
      <c r="A67" s="15"/>
      <c r="K67" s="414" t="s">
        <v>171</v>
      </c>
      <c r="L67" s="414" t="s">
        <v>367</v>
      </c>
      <c r="M67" s="414" t="s">
        <v>556</v>
      </c>
      <c r="N67" s="414" t="s">
        <v>557</v>
      </c>
      <c r="O67" s="414" t="s">
        <v>167</v>
      </c>
      <c r="P67" s="414" t="s">
        <v>363</v>
      </c>
      <c r="Q67" s="414" t="s">
        <v>603</v>
      </c>
      <c r="R67" s="415" t="s">
        <v>604</v>
      </c>
      <c r="S67" s="416">
        <v>0</v>
      </c>
      <c r="T67" s="416">
        <v>0</v>
      </c>
      <c r="U67" s="416">
        <v>0</v>
      </c>
      <c r="V67" s="416">
        <v>7428</v>
      </c>
      <c r="W67" s="416">
        <v>7572</v>
      </c>
      <c r="AA67" s="260"/>
      <c r="AB67" s="260"/>
      <c r="AC67" s="260"/>
      <c r="AD67" s="260"/>
      <c r="AE67" s="260"/>
      <c r="AF67" s="260"/>
      <c r="AG67" s="260"/>
      <c r="AH67" s="261"/>
      <c r="AI67" s="261"/>
      <c r="AJ67" s="261"/>
      <c r="AK67" s="261"/>
      <c r="AL67" s="400"/>
      <c r="AM67" s="400"/>
      <c r="AN67" s="400"/>
      <c r="AO67" s="400"/>
      <c r="AP67" s="400"/>
      <c r="AQ67" s="400"/>
      <c r="AR67" s="400"/>
      <c r="AS67" s="399"/>
      <c r="AT67" s="399"/>
      <c r="AU67" s="399"/>
      <c r="AV67" s="399"/>
      <c r="AW67" s="399"/>
      <c r="AX67" s="399"/>
    </row>
    <row r="68" spans="1:50">
      <c r="A68" s="74" t="s">
        <v>6</v>
      </c>
      <c r="B68" s="348">
        <v>320.04000000000002</v>
      </c>
      <c r="C68" s="76">
        <f>+B68/$B$78</f>
        <v>6.9435815772227096E-4</v>
      </c>
      <c r="D68" s="17">
        <f>($D$24/12+$D$27/12+$E$45/12)*C68</f>
        <v>33.521093254082722</v>
      </c>
      <c r="E68" s="17">
        <f>($D$24/12+$D$27/12+$E$56/12)*C68</f>
        <v>31.357230491524337</v>
      </c>
      <c r="F68" s="17">
        <f>+D68*3+E68*9</f>
        <v>382.7783541859672</v>
      </c>
      <c r="G68" s="217">
        <f>+F68-D9</f>
        <v>-0.22164581403279726</v>
      </c>
      <c r="K68" s="414" t="s">
        <v>171</v>
      </c>
      <c r="L68" s="414" t="s">
        <v>367</v>
      </c>
      <c r="M68" s="414" t="s">
        <v>556</v>
      </c>
      <c r="N68" s="414" t="s">
        <v>557</v>
      </c>
      <c r="O68" s="414" t="s">
        <v>167</v>
      </c>
      <c r="P68" s="414" t="s">
        <v>363</v>
      </c>
      <c r="Q68" s="414" t="s">
        <v>605</v>
      </c>
      <c r="R68" s="415" t="s">
        <v>606</v>
      </c>
      <c r="S68" s="416">
        <v>55</v>
      </c>
      <c r="T68" s="416">
        <v>60</v>
      </c>
      <c r="U68" s="416">
        <v>63</v>
      </c>
      <c r="V68" s="416">
        <v>64</v>
      </c>
      <c r="W68" s="416">
        <v>67</v>
      </c>
      <c r="AA68" s="260"/>
      <c r="AB68" s="260"/>
      <c r="AC68" s="260"/>
      <c r="AD68" s="260"/>
      <c r="AE68" s="260"/>
      <c r="AF68" s="260"/>
      <c r="AG68" s="260"/>
      <c r="AH68" s="261"/>
      <c r="AI68" s="261"/>
      <c r="AJ68" s="261"/>
      <c r="AK68" s="261"/>
      <c r="AL68" s="400"/>
      <c r="AM68" s="400"/>
      <c r="AN68" s="400"/>
      <c r="AO68" s="400"/>
      <c r="AP68" s="400"/>
      <c r="AQ68" s="400"/>
      <c r="AR68" s="400"/>
      <c r="AS68" s="399"/>
      <c r="AT68" s="399"/>
      <c r="AU68" s="399"/>
      <c r="AV68" s="399"/>
      <c r="AW68" s="399"/>
      <c r="AX68" s="399"/>
    </row>
    <row r="69" spans="1:50">
      <c r="A69" s="74" t="s">
        <v>7</v>
      </c>
      <c r="B69" s="348">
        <v>8798.08</v>
      </c>
      <c r="C69" s="76">
        <f t="shared" ref="C69:C77" si="10">+B69/$B$78</f>
        <v>1.9088297151272207E-2</v>
      </c>
      <c r="D69" s="17">
        <f t="shared" ref="D69:D77" si="11">($D$24/12+$D$27/12+$E$45/12)*C69</f>
        <v>921.51374870916152</v>
      </c>
      <c r="E69" s="17">
        <f t="shared" ref="E69:E77" si="12">($D$24/12+$D$27/12+$E$56/12)*C69</f>
        <v>862.02794164126487</v>
      </c>
      <c r="F69" s="17">
        <f t="shared" ref="F69:F77" si="13">+D69*3+E69*9</f>
        <v>10522.792720898869</v>
      </c>
      <c r="G69" s="217">
        <f t="shared" ref="G69:G78" si="14">+F69-D10</f>
        <v>-0.20727910113055259</v>
      </c>
      <c r="K69" s="414" t="s">
        <v>171</v>
      </c>
      <c r="L69" s="414" t="s">
        <v>367</v>
      </c>
      <c r="M69" s="414" t="s">
        <v>556</v>
      </c>
      <c r="N69" s="414" t="s">
        <v>557</v>
      </c>
      <c r="O69" s="414" t="s">
        <v>167</v>
      </c>
      <c r="P69" s="414" t="s">
        <v>363</v>
      </c>
      <c r="Q69" s="414" t="s">
        <v>607</v>
      </c>
      <c r="R69" s="415" t="s">
        <v>608</v>
      </c>
      <c r="S69" s="416">
        <v>295</v>
      </c>
      <c r="T69" s="416">
        <v>329</v>
      </c>
      <c r="U69" s="416">
        <v>342</v>
      </c>
      <c r="V69" s="416">
        <v>347</v>
      </c>
      <c r="W69" s="416">
        <v>361</v>
      </c>
      <c r="AA69" s="260"/>
      <c r="AB69" s="260"/>
      <c r="AC69" s="260"/>
      <c r="AD69" s="260"/>
      <c r="AE69" s="260"/>
      <c r="AF69" s="260"/>
      <c r="AG69" s="260"/>
      <c r="AH69" s="261"/>
      <c r="AI69" s="261"/>
      <c r="AJ69" s="261"/>
      <c r="AK69" s="261"/>
      <c r="AL69" s="400"/>
      <c r="AM69" s="400"/>
      <c r="AN69" s="400"/>
      <c r="AO69" s="400"/>
      <c r="AP69" s="400"/>
      <c r="AQ69" s="400"/>
      <c r="AR69" s="400"/>
      <c r="AS69" s="399"/>
      <c r="AT69" s="399"/>
      <c r="AU69" s="399"/>
      <c r="AV69" s="399"/>
      <c r="AW69" s="399"/>
      <c r="AX69" s="399"/>
    </row>
    <row r="70" spans="1:50">
      <c r="A70" s="74" t="s">
        <v>8</v>
      </c>
      <c r="B70" s="348">
        <v>1292.6300000000001</v>
      </c>
      <c r="C70" s="76">
        <f t="shared" si="10"/>
        <v>2.8044875184868741E-3</v>
      </c>
      <c r="D70" s="17">
        <f t="shared" si="11"/>
        <v>135.39048485509608</v>
      </c>
      <c r="E70" s="17">
        <f t="shared" si="12"/>
        <v>126.6507213168951</v>
      </c>
      <c r="F70" s="17">
        <f t="shared" si="13"/>
        <v>1546.0279464173443</v>
      </c>
      <c r="G70" s="217">
        <f t="shared" si="14"/>
        <v>2.7946417344310248E-2</v>
      </c>
      <c r="K70" s="414" t="s">
        <v>171</v>
      </c>
      <c r="L70" s="414" t="s">
        <v>367</v>
      </c>
      <c r="M70" s="414" t="s">
        <v>556</v>
      </c>
      <c r="N70" s="414" t="s">
        <v>557</v>
      </c>
      <c r="O70" s="414" t="s">
        <v>167</v>
      </c>
      <c r="P70" s="414" t="s">
        <v>363</v>
      </c>
      <c r="Q70" s="414" t="s">
        <v>609</v>
      </c>
      <c r="R70" s="415" t="s">
        <v>610</v>
      </c>
      <c r="S70" s="416">
        <v>3869</v>
      </c>
      <c r="T70" s="416">
        <v>3909</v>
      </c>
      <c r="U70" s="416">
        <v>4009</v>
      </c>
      <c r="V70" s="416">
        <v>4021</v>
      </c>
      <c r="W70" s="416">
        <v>4144</v>
      </c>
      <c r="AA70" s="260"/>
      <c r="AB70" s="260"/>
      <c r="AC70" s="260"/>
      <c r="AD70" s="260"/>
      <c r="AE70" s="260"/>
      <c r="AF70" s="260"/>
      <c r="AG70" s="260"/>
      <c r="AH70" s="261"/>
      <c r="AI70" s="261"/>
      <c r="AJ70" s="261"/>
      <c r="AK70" s="261"/>
      <c r="AL70" s="400"/>
      <c r="AM70" s="400"/>
      <c r="AN70" s="400"/>
      <c r="AO70" s="400"/>
      <c r="AP70" s="400"/>
      <c r="AQ70" s="400"/>
      <c r="AR70" s="400"/>
      <c r="AS70" s="399"/>
      <c r="AT70" s="399"/>
      <c r="AU70" s="399"/>
      <c r="AV70" s="399"/>
      <c r="AW70" s="399"/>
      <c r="AX70" s="399"/>
    </row>
    <row r="71" spans="1:50">
      <c r="A71" s="74" t="s">
        <v>9</v>
      </c>
      <c r="B71" s="348">
        <v>52644.58</v>
      </c>
      <c r="C71" s="76">
        <f t="shared" si="10"/>
        <v>0.11421757774922732</v>
      </c>
      <c r="D71" s="17">
        <f t="shared" si="11"/>
        <v>5514.0103596488498</v>
      </c>
      <c r="E71" s="17">
        <f t="shared" si="12"/>
        <v>5158.068457659956</v>
      </c>
      <c r="F71" s="17">
        <f t="shared" si="13"/>
        <v>62964.647197886159</v>
      </c>
      <c r="G71" s="217">
        <f t="shared" si="14"/>
        <v>-0.35280211384088034</v>
      </c>
      <c r="K71" s="414" t="s">
        <v>171</v>
      </c>
      <c r="L71" s="414" t="s">
        <v>367</v>
      </c>
      <c r="M71" s="414" t="s">
        <v>556</v>
      </c>
      <c r="N71" s="414" t="s">
        <v>557</v>
      </c>
      <c r="O71" s="414" t="s">
        <v>167</v>
      </c>
      <c r="P71" s="414" t="s">
        <v>363</v>
      </c>
      <c r="Q71" s="414" t="s">
        <v>611</v>
      </c>
      <c r="R71" s="415" t="s">
        <v>612</v>
      </c>
      <c r="S71" s="416">
        <v>266</v>
      </c>
      <c r="T71" s="416">
        <v>297</v>
      </c>
      <c r="U71" s="416">
        <v>317</v>
      </c>
      <c r="V71" s="416">
        <v>322</v>
      </c>
      <c r="W71" s="416">
        <v>343</v>
      </c>
      <c r="AA71" s="260"/>
      <c r="AB71" s="260"/>
      <c r="AC71" s="260"/>
      <c r="AD71" s="260"/>
      <c r="AE71" s="260"/>
      <c r="AF71" s="260"/>
      <c r="AG71" s="260"/>
      <c r="AH71" s="261"/>
      <c r="AI71" s="261"/>
      <c r="AJ71" s="261"/>
      <c r="AK71" s="261"/>
      <c r="AL71" s="400"/>
      <c r="AM71" s="400"/>
      <c r="AN71" s="400"/>
      <c r="AO71" s="400"/>
      <c r="AP71" s="400"/>
      <c r="AQ71" s="400"/>
      <c r="AR71" s="400"/>
      <c r="AS71" s="399"/>
      <c r="AT71" s="399"/>
      <c r="AU71" s="399"/>
      <c r="AV71" s="399"/>
      <c r="AW71" s="399"/>
      <c r="AX71" s="399"/>
    </row>
    <row r="72" spans="1:50">
      <c r="A72" s="74" t="s">
        <v>10</v>
      </c>
      <c r="B72" s="348">
        <v>320.04000000000002</v>
      </c>
      <c r="C72" s="76">
        <f t="shared" si="10"/>
        <v>6.9435815772227096E-4</v>
      </c>
      <c r="D72" s="17">
        <f t="shared" si="11"/>
        <v>33.521093254082722</v>
      </c>
      <c r="E72" s="17">
        <f t="shared" si="12"/>
        <v>31.357230491524337</v>
      </c>
      <c r="F72" s="17">
        <f t="shared" si="13"/>
        <v>382.7783541859672</v>
      </c>
      <c r="G72" s="217">
        <f t="shared" si="14"/>
        <v>-0.22164581403279726</v>
      </c>
      <c r="K72" s="414" t="s">
        <v>171</v>
      </c>
      <c r="L72" s="414" t="s">
        <v>367</v>
      </c>
      <c r="M72" s="414" t="s">
        <v>556</v>
      </c>
      <c r="N72" s="414" t="s">
        <v>557</v>
      </c>
      <c r="O72" s="414" t="s">
        <v>167</v>
      </c>
      <c r="P72" s="414" t="s">
        <v>363</v>
      </c>
      <c r="Q72" s="414" t="s">
        <v>613</v>
      </c>
      <c r="R72" s="415" t="s">
        <v>614</v>
      </c>
      <c r="S72" s="416">
        <v>1257</v>
      </c>
      <c r="T72" s="416">
        <v>1488</v>
      </c>
      <c r="U72" s="416">
        <v>1689</v>
      </c>
      <c r="V72" s="416">
        <v>1836</v>
      </c>
      <c r="W72" s="416">
        <v>2029</v>
      </c>
      <c r="AA72" s="260"/>
      <c r="AB72" s="260"/>
      <c r="AC72" s="260"/>
      <c r="AD72" s="260"/>
      <c r="AE72" s="260"/>
      <c r="AF72" s="260"/>
      <c r="AG72" s="260"/>
      <c r="AH72" s="261"/>
      <c r="AI72" s="261"/>
      <c r="AJ72" s="261"/>
      <c r="AK72" s="261"/>
      <c r="AL72" s="400"/>
      <c r="AM72" s="400"/>
      <c r="AN72" s="400"/>
      <c r="AO72" s="400"/>
      <c r="AP72" s="400"/>
      <c r="AQ72" s="400"/>
      <c r="AR72" s="400"/>
      <c r="AS72" s="399"/>
      <c r="AT72" s="399"/>
      <c r="AU72" s="399"/>
      <c r="AV72" s="399"/>
      <c r="AW72" s="399"/>
      <c r="AX72" s="399"/>
    </row>
    <row r="73" spans="1:50">
      <c r="A73" s="74" t="s">
        <v>11</v>
      </c>
      <c r="B73" s="348">
        <v>35527.24</v>
      </c>
      <c r="C73" s="76">
        <f t="shared" si="10"/>
        <v>7.7079830381692818E-2</v>
      </c>
      <c r="D73" s="17">
        <f t="shared" si="11"/>
        <v>3721.1346241100409</v>
      </c>
      <c r="E73" s="17">
        <f t="shared" si="12"/>
        <v>3480.9269260333176</v>
      </c>
      <c r="F73" s="17">
        <f t="shared" si="13"/>
        <v>42491.746206629978</v>
      </c>
      <c r="G73" s="217">
        <f t="shared" si="14"/>
        <v>-0.25379337002232205</v>
      </c>
      <c r="K73" s="414" t="s">
        <v>171</v>
      </c>
      <c r="L73" s="414" t="s">
        <v>367</v>
      </c>
      <c r="M73" s="414" t="s">
        <v>556</v>
      </c>
      <c r="N73" s="414" t="s">
        <v>557</v>
      </c>
      <c r="O73" s="414" t="s">
        <v>167</v>
      </c>
      <c r="P73" s="414" t="s">
        <v>363</v>
      </c>
      <c r="Q73" s="414" t="s">
        <v>615</v>
      </c>
      <c r="R73" s="415" t="s">
        <v>616</v>
      </c>
      <c r="S73" s="416">
        <v>12</v>
      </c>
      <c r="T73" s="416">
        <v>12</v>
      </c>
      <c r="U73" s="416">
        <v>12</v>
      </c>
      <c r="V73" s="416">
        <v>12</v>
      </c>
      <c r="W73" s="416">
        <v>12</v>
      </c>
      <c r="AA73" s="260"/>
      <c r="AB73" s="260"/>
      <c r="AC73" s="260"/>
      <c r="AD73" s="260"/>
      <c r="AE73" s="260"/>
      <c r="AF73" s="260"/>
      <c r="AG73" s="260"/>
      <c r="AH73" s="261"/>
      <c r="AI73" s="261"/>
      <c r="AJ73" s="261"/>
      <c r="AK73" s="261"/>
      <c r="AL73" s="400"/>
      <c r="AM73" s="400"/>
      <c r="AN73" s="400"/>
      <c r="AO73" s="400"/>
      <c r="AP73" s="400"/>
      <c r="AQ73" s="400"/>
      <c r="AR73" s="400"/>
      <c r="AS73" s="399"/>
      <c r="AT73" s="399"/>
      <c r="AU73" s="399"/>
      <c r="AV73" s="399"/>
      <c r="AW73" s="399"/>
      <c r="AX73" s="399"/>
    </row>
    <row r="74" spans="1:50">
      <c r="A74" s="74" t="s">
        <v>12</v>
      </c>
      <c r="B74" s="348">
        <v>242085.88</v>
      </c>
      <c r="C74" s="76">
        <f t="shared" si="10"/>
        <v>0.52522905151660659</v>
      </c>
      <c r="D74" s="17">
        <f t="shared" si="11"/>
        <v>25356.153477617419</v>
      </c>
      <c r="E74" s="17">
        <f t="shared" si="12"/>
        <v>23719.35613643139</v>
      </c>
      <c r="F74" s="17">
        <f t="shared" si="13"/>
        <v>289542.66566073475</v>
      </c>
      <c r="G74" s="217">
        <f t="shared" si="14"/>
        <v>-0.33433926524594426</v>
      </c>
      <c r="K74" s="414" t="s">
        <v>171</v>
      </c>
      <c r="L74" s="414" t="s">
        <v>367</v>
      </c>
      <c r="M74" s="414" t="s">
        <v>556</v>
      </c>
      <c r="N74" s="414" t="s">
        <v>557</v>
      </c>
      <c r="O74" s="414" t="s">
        <v>167</v>
      </c>
      <c r="P74" s="414" t="s">
        <v>363</v>
      </c>
      <c r="Q74" s="414" t="s">
        <v>617</v>
      </c>
      <c r="R74" s="415" t="s">
        <v>618</v>
      </c>
      <c r="S74" s="416">
        <v>1105</v>
      </c>
      <c r="T74" s="416">
        <v>1176</v>
      </c>
      <c r="U74" s="416">
        <v>1200</v>
      </c>
      <c r="V74" s="416">
        <v>1044</v>
      </c>
      <c r="W74" s="416">
        <v>1212</v>
      </c>
      <c r="AA74" s="260"/>
      <c r="AB74" s="260"/>
      <c r="AC74" s="260"/>
      <c r="AD74" s="260"/>
      <c r="AE74" s="260"/>
      <c r="AF74" s="260"/>
      <c r="AG74" s="260"/>
      <c r="AH74" s="261"/>
      <c r="AI74" s="261"/>
      <c r="AJ74" s="261"/>
      <c r="AK74" s="261"/>
      <c r="AL74" s="400"/>
      <c r="AM74" s="400"/>
      <c r="AN74" s="400"/>
      <c r="AO74" s="400"/>
      <c r="AP74" s="400"/>
      <c r="AQ74" s="400"/>
      <c r="AR74" s="400"/>
      <c r="AS74" s="399"/>
      <c r="AT74" s="399"/>
      <c r="AU74" s="399"/>
      <c r="AV74" s="399"/>
      <c r="AW74" s="399"/>
      <c r="AX74" s="399"/>
    </row>
    <row r="75" spans="1:50">
      <c r="A75" s="74" t="s">
        <v>13</v>
      </c>
      <c r="B75" s="348">
        <v>89979.1</v>
      </c>
      <c r="C75" s="76">
        <f t="shared" si="10"/>
        <v>0.19521847928230218</v>
      </c>
      <c r="D75" s="17">
        <f t="shared" si="11"/>
        <v>9424.4400762980695</v>
      </c>
      <c r="E75" s="17">
        <f t="shared" si="12"/>
        <v>8816.0710477437751</v>
      </c>
      <c r="F75" s="17">
        <f t="shared" si="13"/>
        <v>107617.9596585882</v>
      </c>
      <c r="G75" s="217">
        <f t="shared" si="14"/>
        <v>-4.0341411804547533E-2</v>
      </c>
      <c r="K75" s="414" t="s">
        <v>171</v>
      </c>
      <c r="L75" s="414" t="s">
        <v>367</v>
      </c>
      <c r="M75" s="414" t="s">
        <v>556</v>
      </c>
      <c r="N75" s="414" t="s">
        <v>557</v>
      </c>
      <c r="O75" s="414" t="s">
        <v>167</v>
      </c>
      <c r="P75" s="414" t="s">
        <v>363</v>
      </c>
      <c r="Q75" s="414" t="s">
        <v>619</v>
      </c>
      <c r="R75" s="415" t="s">
        <v>620</v>
      </c>
      <c r="S75" s="416">
        <v>34</v>
      </c>
      <c r="T75" s="416">
        <v>36</v>
      </c>
      <c r="U75" s="416">
        <v>36</v>
      </c>
      <c r="V75" s="416">
        <v>36</v>
      </c>
      <c r="W75" s="416">
        <v>36</v>
      </c>
      <c r="AA75" s="260"/>
      <c r="AB75" s="260"/>
      <c r="AC75" s="260"/>
      <c r="AD75" s="260"/>
      <c r="AE75" s="260"/>
      <c r="AF75" s="260"/>
      <c r="AG75" s="260"/>
      <c r="AH75" s="261"/>
      <c r="AI75" s="261"/>
      <c r="AJ75" s="261"/>
      <c r="AK75" s="261"/>
      <c r="AL75" s="400"/>
      <c r="AM75" s="400"/>
      <c r="AN75" s="400"/>
      <c r="AO75" s="400"/>
      <c r="AP75" s="400"/>
      <c r="AQ75" s="400"/>
      <c r="AR75" s="400"/>
      <c r="AS75" s="399"/>
      <c r="AT75" s="399"/>
      <c r="AU75" s="399"/>
      <c r="AV75" s="399"/>
      <c r="AW75" s="399"/>
      <c r="AX75" s="399"/>
    </row>
    <row r="76" spans="1:50">
      <c r="A76" s="74" t="s">
        <v>14</v>
      </c>
      <c r="B76" s="348">
        <v>29669.07</v>
      </c>
      <c r="C76" s="76">
        <f t="shared" si="10"/>
        <v>6.4369956213389257E-2</v>
      </c>
      <c r="D76" s="17">
        <f t="shared" si="11"/>
        <v>3107.5480009745907</v>
      </c>
      <c r="E76" s="17">
        <f t="shared" si="12"/>
        <v>2906.9487140956444</v>
      </c>
      <c r="F76" s="17">
        <f t="shared" si="13"/>
        <v>35485.182429784574</v>
      </c>
      <c r="G76" s="217">
        <f t="shared" si="14"/>
        <v>0.18242978457419667</v>
      </c>
      <c r="K76" s="414" t="s">
        <v>171</v>
      </c>
      <c r="L76" s="414" t="s">
        <v>367</v>
      </c>
      <c r="M76" s="414" t="s">
        <v>556</v>
      </c>
      <c r="N76" s="414" t="s">
        <v>557</v>
      </c>
      <c r="O76" s="414" t="s">
        <v>167</v>
      </c>
      <c r="P76" s="414" t="s">
        <v>363</v>
      </c>
      <c r="Q76" s="414" t="s">
        <v>789</v>
      </c>
      <c r="R76" s="415" t="s">
        <v>790</v>
      </c>
      <c r="S76" s="416">
        <v>63</v>
      </c>
      <c r="T76" s="416">
        <v>62</v>
      </c>
      <c r="U76" s="416">
        <v>63</v>
      </c>
      <c r="V76" s="416">
        <v>63</v>
      </c>
      <c r="W76" s="416">
        <v>66</v>
      </c>
      <c r="AA76" s="260"/>
      <c r="AB76" s="260"/>
      <c r="AC76" s="260"/>
      <c r="AD76" s="260"/>
      <c r="AE76" s="260"/>
      <c r="AF76" s="260"/>
      <c r="AG76" s="260"/>
      <c r="AH76" s="261"/>
      <c r="AI76" s="261"/>
      <c r="AJ76" s="261"/>
      <c r="AK76" s="261"/>
      <c r="AL76" s="400"/>
      <c r="AM76" s="400"/>
      <c r="AN76" s="400"/>
      <c r="AO76" s="400"/>
      <c r="AP76" s="400"/>
      <c r="AQ76" s="400"/>
      <c r="AR76" s="400"/>
      <c r="AS76" s="399"/>
      <c r="AT76" s="399"/>
      <c r="AU76" s="399"/>
      <c r="AV76" s="399"/>
      <c r="AW76" s="399"/>
      <c r="AX76" s="399"/>
    </row>
    <row r="77" spans="1:50">
      <c r="A77" s="74" t="s">
        <v>15</v>
      </c>
      <c r="B77" s="348">
        <v>278.20999999999998</v>
      </c>
      <c r="C77" s="76">
        <f t="shared" si="10"/>
        <v>6.0360387157828077E-4</v>
      </c>
      <c r="D77" s="17">
        <f t="shared" si="11"/>
        <v>29.13980550624407</v>
      </c>
      <c r="E77" s="17">
        <f t="shared" si="12"/>
        <v>27.258764826418524</v>
      </c>
      <c r="F77" s="17">
        <f t="shared" si="13"/>
        <v>332.7482999564989</v>
      </c>
      <c r="G77" s="217">
        <f t="shared" si="14"/>
        <v>-0.25170004350110275</v>
      </c>
      <c r="K77" s="414" t="s">
        <v>171</v>
      </c>
      <c r="L77" s="414" t="s">
        <v>367</v>
      </c>
      <c r="M77" s="414" t="s">
        <v>556</v>
      </c>
      <c r="N77" s="414" t="s">
        <v>557</v>
      </c>
      <c r="O77" s="414" t="s">
        <v>167</v>
      </c>
      <c r="P77" s="414" t="s">
        <v>363</v>
      </c>
      <c r="Q77" s="414" t="s">
        <v>621</v>
      </c>
      <c r="R77" s="415" t="s">
        <v>622</v>
      </c>
      <c r="S77" s="416">
        <v>279</v>
      </c>
      <c r="T77" s="416">
        <v>300</v>
      </c>
      <c r="U77" s="416">
        <v>300</v>
      </c>
      <c r="V77" s="416">
        <v>300</v>
      </c>
      <c r="W77" s="416">
        <v>312</v>
      </c>
      <c r="AA77" s="260"/>
      <c r="AB77" s="260"/>
      <c r="AC77" s="260"/>
      <c r="AD77" s="260"/>
      <c r="AE77" s="260"/>
      <c r="AF77" s="260"/>
      <c r="AG77" s="260"/>
      <c r="AH77" s="261"/>
      <c r="AI77" s="261"/>
      <c r="AJ77" s="261"/>
      <c r="AK77" s="261"/>
      <c r="AL77" s="400"/>
      <c r="AM77" s="400"/>
      <c r="AN77" s="400"/>
      <c r="AO77" s="400"/>
      <c r="AP77" s="400"/>
      <c r="AQ77" s="400"/>
      <c r="AR77" s="400"/>
      <c r="AS77" s="399"/>
      <c r="AT77" s="399"/>
      <c r="AU77" s="399"/>
      <c r="AV77" s="399"/>
      <c r="AW77" s="399"/>
      <c r="AX77" s="399"/>
    </row>
    <row r="78" spans="1:50" ht="15.75" thickBot="1">
      <c r="A78" s="74"/>
      <c r="B78" s="349">
        <f t="shared" ref="B78:F78" si="15">SUM(B68:B77)</f>
        <v>460914.87</v>
      </c>
      <c r="C78" s="77">
        <f t="shared" si="15"/>
        <v>1</v>
      </c>
      <c r="D78" s="78">
        <f t="shared" si="15"/>
        <v>48276.372764227628</v>
      </c>
      <c r="E78" s="78">
        <f t="shared" si="15"/>
        <v>45160.0231707317</v>
      </c>
      <c r="F78" s="78">
        <f t="shared" si="15"/>
        <v>551269.32682926836</v>
      </c>
      <c r="G78" s="217">
        <f t="shared" si="14"/>
        <v>-1.6731707316357642</v>
      </c>
      <c r="K78" s="414" t="s">
        <v>171</v>
      </c>
      <c r="L78" s="414" t="s">
        <v>367</v>
      </c>
      <c r="M78" s="414" t="s">
        <v>556</v>
      </c>
      <c r="N78" s="414" t="s">
        <v>557</v>
      </c>
      <c r="O78" s="414" t="s">
        <v>167</v>
      </c>
      <c r="P78" s="414" t="s">
        <v>363</v>
      </c>
      <c r="Q78" s="414" t="s">
        <v>623</v>
      </c>
      <c r="R78" s="415" t="s">
        <v>624</v>
      </c>
      <c r="S78" s="416">
        <v>637</v>
      </c>
      <c r="T78" s="416">
        <v>700</v>
      </c>
      <c r="U78" s="416">
        <v>754</v>
      </c>
      <c r="V78" s="416">
        <v>762</v>
      </c>
      <c r="W78" s="416">
        <v>926</v>
      </c>
      <c r="AA78" s="260"/>
      <c r="AB78" s="260"/>
      <c r="AC78" s="260"/>
      <c r="AD78" s="260"/>
      <c r="AE78" s="260"/>
      <c r="AF78" s="260"/>
      <c r="AG78" s="260"/>
      <c r="AH78" s="261"/>
      <c r="AI78" s="261"/>
      <c r="AJ78" s="261"/>
      <c r="AK78" s="261"/>
      <c r="AL78" s="400"/>
      <c r="AM78" s="400"/>
      <c r="AN78" s="400"/>
      <c r="AO78" s="400"/>
      <c r="AP78" s="400"/>
      <c r="AQ78" s="400"/>
      <c r="AR78" s="400"/>
      <c r="AS78" s="399"/>
      <c r="AT78" s="399"/>
      <c r="AU78" s="399"/>
      <c r="AV78" s="399"/>
      <c r="AW78" s="399"/>
      <c r="AX78" s="399"/>
    </row>
    <row r="79" spans="1:50" ht="15.75" thickTop="1">
      <c r="K79" s="414" t="s">
        <v>171</v>
      </c>
      <c r="L79" s="414" t="s">
        <v>367</v>
      </c>
      <c r="M79" s="414" t="s">
        <v>556</v>
      </c>
      <c r="N79" s="414" t="s">
        <v>557</v>
      </c>
      <c r="O79" s="414" t="s">
        <v>167</v>
      </c>
      <c r="P79" s="414" t="s">
        <v>363</v>
      </c>
      <c r="Q79" s="414" t="s">
        <v>625</v>
      </c>
      <c r="R79" s="415" t="s">
        <v>626</v>
      </c>
      <c r="S79" s="416">
        <v>47</v>
      </c>
      <c r="T79" s="416">
        <v>49</v>
      </c>
      <c r="U79" s="416">
        <v>52</v>
      </c>
      <c r="V79" s="416">
        <v>52</v>
      </c>
      <c r="W79" s="416">
        <v>52</v>
      </c>
      <c r="AA79" s="260"/>
      <c r="AB79" s="260"/>
      <c r="AC79" s="260"/>
      <c r="AD79" s="260"/>
      <c r="AE79" s="260"/>
      <c r="AF79" s="260"/>
      <c r="AG79" s="260"/>
      <c r="AH79" s="261"/>
      <c r="AI79" s="261"/>
      <c r="AJ79" s="261"/>
      <c r="AK79" s="261"/>
      <c r="AL79" s="400"/>
      <c r="AM79" s="400"/>
      <c r="AN79" s="400"/>
      <c r="AO79" s="400"/>
      <c r="AP79" s="400"/>
      <c r="AQ79" s="400"/>
      <c r="AR79" s="400"/>
      <c r="AS79" s="399"/>
      <c r="AT79" s="399"/>
      <c r="AU79" s="399"/>
      <c r="AV79" s="399"/>
      <c r="AW79" s="399"/>
      <c r="AX79" s="399"/>
    </row>
    <row r="80" spans="1:50">
      <c r="K80" s="414" t="s">
        <v>171</v>
      </c>
      <c r="L80" s="414" t="s">
        <v>367</v>
      </c>
      <c r="M80" s="414" t="s">
        <v>556</v>
      </c>
      <c r="N80" s="414" t="s">
        <v>557</v>
      </c>
      <c r="O80" s="414" t="s">
        <v>167</v>
      </c>
      <c r="P80" s="414" t="s">
        <v>363</v>
      </c>
      <c r="Q80" s="414" t="s">
        <v>627</v>
      </c>
      <c r="R80" s="415" t="s">
        <v>628</v>
      </c>
      <c r="S80" s="416">
        <v>119</v>
      </c>
      <c r="T80" s="416">
        <v>130</v>
      </c>
      <c r="U80" s="416">
        <v>135</v>
      </c>
      <c r="V80" s="416">
        <v>139</v>
      </c>
      <c r="W80" s="416">
        <v>145</v>
      </c>
      <c r="AA80" s="260"/>
      <c r="AB80" s="260"/>
      <c r="AC80" s="260"/>
      <c r="AD80" s="260"/>
      <c r="AE80" s="260"/>
      <c r="AF80" s="260"/>
      <c r="AG80" s="260"/>
      <c r="AH80" s="261"/>
      <c r="AI80" s="261"/>
      <c r="AJ80" s="261"/>
      <c r="AK80" s="261"/>
      <c r="AL80" s="400"/>
      <c r="AM80" s="400"/>
      <c r="AN80" s="400"/>
      <c r="AO80" s="400"/>
      <c r="AP80" s="400"/>
      <c r="AQ80" s="400"/>
      <c r="AR80" s="400"/>
      <c r="AS80" s="399"/>
      <c r="AT80" s="399"/>
      <c r="AU80" s="399"/>
      <c r="AV80" s="399"/>
      <c r="AW80" s="399"/>
      <c r="AX80" s="399"/>
    </row>
    <row r="81" spans="1:50">
      <c r="K81" s="414" t="s">
        <v>171</v>
      </c>
      <c r="L81" s="414" t="s">
        <v>367</v>
      </c>
      <c r="M81" s="414" t="s">
        <v>556</v>
      </c>
      <c r="N81" s="414" t="s">
        <v>557</v>
      </c>
      <c r="O81" s="414" t="s">
        <v>167</v>
      </c>
      <c r="P81" s="414" t="s">
        <v>363</v>
      </c>
      <c r="Q81" s="414" t="s">
        <v>629</v>
      </c>
      <c r="R81" s="415" t="s">
        <v>630</v>
      </c>
      <c r="S81" s="416">
        <v>37</v>
      </c>
      <c r="T81" s="416">
        <v>38</v>
      </c>
      <c r="U81" s="416">
        <v>40</v>
      </c>
      <c r="V81" s="416">
        <v>45</v>
      </c>
      <c r="W81" s="416">
        <v>93</v>
      </c>
      <c r="AA81" s="260"/>
      <c r="AB81" s="260"/>
      <c r="AC81" s="260"/>
      <c r="AD81" s="260"/>
      <c r="AE81" s="260"/>
      <c r="AF81" s="260"/>
      <c r="AG81" s="260"/>
      <c r="AH81" s="261"/>
      <c r="AI81" s="261"/>
      <c r="AJ81" s="261"/>
      <c r="AK81" s="261"/>
      <c r="AL81" s="400"/>
      <c r="AM81" s="400"/>
      <c r="AN81" s="400"/>
      <c r="AO81" s="400"/>
      <c r="AP81" s="400"/>
      <c r="AQ81" s="400"/>
      <c r="AR81" s="400"/>
      <c r="AS81" s="399"/>
      <c r="AT81" s="399"/>
      <c r="AU81" s="399"/>
      <c r="AV81" s="399"/>
      <c r="AW81" s="399"/>
      <c r="AX81" s="399"/>
    </row>
    <row r="82" spans="1:50">
      <c r="K82" s="414" t="s">
        <v>171</v>
      </c>
      <c r="L82" s="414" t="s">
        <v>367</v>
      </c>
      <c r="M82" s="414" t="s">
        <v>556</v>
      </c>
      <c r="N82" s="414" t="s">
        <v>557</v>
      </c>
      <c r="O82" s="414" t="s">
        <v>167</v>
      </c>
      <c r="P82" s="414" t="s">
        <v>363</v>
      </c>
      <c r="Q82" s="414" t="s">
        <v>631</v>
      </c>
      <c r="R82" s="415" t="s">
        <v>632</v>
      </c>
      <c r="S82" s="416">
        <v>237</v>
      </c>
      <c r="T82" s="416">
        <v>192</v>
      </c>
      <c r="U82" s="416">
        <v>201</v>
      </c>
      <c r="V82" s="416">
        <v>189</v>
      </c>
      <c r="W82" s="416">
        <v>198</v>
      </c>
      <c r="AA82" s="260"/>
      <c r="AB82" s="260"/>
      <c r="AC82" s="260"/>
      <c r="AD82" s="260"/>
      <c r="AE82" s="260"/>
      <c r="AF82" s="260"/>
      <c r="AG82" s="260"/>
      <c r="AH82" s="261"/>
      <c r="AI82" s="261"/>
      <c r="AJ82" s="261"/>
      <c r="AK82" s="261"/>
      <c r="AL82" s="400"/>
      <c r="AM82" s="400"/>
      <c r="AN82" s="400"/>
      <c r="AO82" s="400"/>
      <c r="AP82" s="400"/>
      <c r="AQ82" s="400"/>
      <c r="AR82" s="400"/>
      <c r="AS82" s="399"/>
      <c r="AT82" s="399"/>
      <c r="AU82" s="399"/>
      <c r="AV82" s="399"/>
      <c r="AW82" s="399"/>
      <c r="AX82" s="399"/>
    </row>
    <row r="83" spans="1:50">
      <c r="K83" s="414" t="s">
        <v>171</v>
      </c>
      <c r="L83" s="414" t="s">
        <v>367</v>
      </c>
      <c r="M83" s="414" t="s">
        <v>556</v>
      </c>
      <c r="N83" s="414" t="s">
        <v>557</v>
      </c>
      <c r="O83" s="414" t="s">
        <v>167</v>
      </c>
      <c r="P83" s="414" t="s">
        <v>363</v>
      </c>
      <c r="Q83" s="414" t="s">
        <v>633</v>
      </c>
      <c r="R83" s="415" t="s">
        <v>326</v>
      </c>
      <c r="S83" s="416">
        <v>13</v>
      </c>
      <c r="T83" s="416">
        <v>24</v>
      </c>
      <c r="U83" s="416">
        <v>12</v>
      </c>
      <c r="V83" s="416">
        <v>12</v>
      </c>
      <c r="W83" s="416">
        <v>12</v>
      </c>
      <c r="AA83" s="260"/>
      <c r="AB83" s="260"/>
      <c r="AC83" s="260"/>
      <c r="AD83" s="260"/>
      <c r="AE83" s="260"/>
      <c r="AF83" s="260"/>
      <c r="AG83" s="260"/>
      <c r="AH83" s="261"/>
      <c r="AI83" s="261"/>
      <c r="AJ83" s="261"/>
      <c r="AK83" s="261"/>
      <c r="AL83" s="400"/>
      <c r="AM83" s="400"/>
      <c r="AN83" s="400"/>
      <c r="AO83" s="400"/>
      <c r="AP83" s="400"/>
      <c r="AQ83" s="400"/>
      <c r="AR83" s="400"/>
      <c r="AS83" s="399"/>
      <c r="AT83" s="399"/>
      <c r="AU83" s="399"/>
      <c r="AV83" s="399"/>
      <c r="AW83" s="399"/>
      <c r="AX83" s="399"/>
    </row>
    <row r="84" spans="1:50">
      <c r="A84" s="6" t="s">
        <v>497</v>
      </c>
      <c r="K84" s="414" t="s">
        <v>171</v>
      </c>
      <c r="L84" s="414" t="s">
        <v>367</v>
      </c>
      <c r="M84" s="414" t="s">
        <v>556</v>
      </c>
      <c r="N84" s="414" t="s">
        <v>557</v>
      </c>
      <c r="O84" s="414" t="s">
        <v>167</v>
      </c>
      <c r="P84" s="414" t="s">
        <v>363</v>
      </c>
      <c r="Q84" s="414" t="s">
        <v>634</v>
      </c>
      <c r="R84" s="415" t="s">
        <v>635</v>
      </c>
      <c r="S84" s="416">
        <v>760</v>
      </c>
      <c r="T84" s="416">
        <v>831</v>
      </c>
      <c r="U84" s="416">
        <v>856</v>
      </c>
      <c r="V84" s="416">
        <v>867</v>
      </c>
      <c r="W84" s="416">
        <v>897</v>
      </c>
      <c r="AA84" s="260"/>
      <c r="AB84" s="260"/>
      <c r="AC84" s="260"/>
      <c r="AD84" s="260"/>
      <c r="AE84" s="260"/>
      <c r="AF84" s="260"/>
      <c r="AG84" s="260"/>
      <c r="AH84" s="261"/>
      <c r="AI84" s="261"/>
      <c r="AJ84" s="261"/>
      <c r="AK84" s="261"/>
      <c r="AL84" s="400"/>
      <c r="AM84" s="400"/>
      <c r="AN84" s="400"/>
      <c r="AO84" s="400"/>
      <c r="AP84" s="400"/>
      <c r="AQ84" s="400"/>
      <c r="AR84" s="400"/>
      <c r="AS84" s="399"/>
      <c r="AT84" s="399"/>
      <c r="AU84" s="399"/>
      <c r="AV84" s="399"/>
      <c r="AW84" s="399"/>
      <c r="AX84" s="399"/>
    </row>
    <row r="85" spans="1:50">
      <c r="A85" s="6" t="s">
        <v>856</v>
      </c>
      <c r="K85" s="414" t="s">
        <v>171</v>
      </c>
      <c r="L85" s="414" t="s">
        <v>367</v>
      </c>
      <c r="M85" s="414" t="s">
        <v>556</v>
      </c>
      <c r="N85" s="414" t="s">
        <v>557</v>
      </c>
      <c r="O85" s="414" t="s">
        <v>167</v>
      </c>
      <c r="P85" s="414" t="s">
        <v>363</v>
      </c>
      <c r="Q85" s="414" t="s">
        <v>636</v>
      </c>
      <c r="R85" s="415" t="s">
        <v>637</v>
      </c>
      <c r="S85" s="416">
        <v>79</v>
      </c>
      <c r="T85" s="416">
        <v>87</v>
      </c>
      <c r="U85" s="416">
        <v>90</v>
      </c>
      <c r="V85" s="416">
        <v>92</v>
      </c>
      <c r="W85" s="416">
        <v>95</v>
      </c>
      <c r="AA85" s="260"/>
      <c r="AB85" s="260"/>
      <c r="AC85" s="260"/>
      <c r="AD85" s="260"/>
      <c r="AE85" s="260"/>
      <c r="AF85" s="260"/>
      <c r="AG85" s="260"/>
      <c r="AH85" s="261"/>
      <c r="AI85" s="261"/>
      <c r="AJ85" s="261"/>
      <c r="AK85" s="261"/>
      <c r="AL85" s="400"/>
      <c r="AM85" s="400"/>
      <c r="AN85" s="400"/>
      <c r="AO85" s="400"/>
      <c r="AP85" s="400"/>
      <c r="AQ85" s="400"/>
      <c r="AR85" s="400"/>
      <c r="AS85" s="399"/>
      <c r="AT85" s="399"/>
      <c r="AU85" s="399"/>
      <c r="AV85" s="399"/>
      <c r="AW85" s="399"/>
      <c r="AX85" s="399"/>
    </row>
    <row r="86" spans="1:50">
      <c r="A86" s="4" t="s">
        <v>858</v>
      </c>
      <c r="K86" s="414" t="s">
        <v>171</v>
      </c>
      <c r="L86" s="414" t="s">
        <v>367</v>
      </c>
      <c r="M86" s="414" t="s">
        <v>556</v>
      </c>
      <c r="N86" s="414" t="s">
        <v>557</v>
      </c>
      <c r="O86" s="414" t="s">
        <v>167</v>
      </c>
      <c r="P86" s="414" t="s">
        <v>363</v>
      </c>
      <c r="Q86" s="414" t="s">
        <v>638</v>
      </c>
      <c r="R86" s="415" t="s">
        <v>639</v>
      </c>
      <c r="S86" s="416">
        <v>25</v>
      </c>
      <c r="T86" s="416">
        <v>28</v>
      </c>
      <c r="U86" s="416">
        <v>32</v>
      </c>
      <c r="V86" s="416">
        <v>34</v>
      </c>
      <c r="W86" s="416">
        <v>35</v>
      </c>
      <c r="AA86" s="260"/>
      <c r="AB86" s="260"/>
      <c r="AC86" s="260"/>
      <c r="AD86" s="260"/>
      <c r="AE86" s="260"/>
      <c r="AF86" s="260"/>
      <c r="AG86" s="260"/>
      <c r="AH86" s="261"/>
      <c r="AI86" s="261"/>
      <c r="AJ86" s="261"/>
      <c r="AK86" s="261"/>
      <c r="AL86" s="400"/>
      <c r="AM86" s="400"/>
      <c r="AN86" s="400"/>
      <c r="AO86" s="400"/>
      <c r="AP86" s="400"/>
      <c r="AQ86" s="400"/>
      <c r="AR86" s="400"/>
      <c r="AS86" s="399"/>
      <c r="AT86" s="399"/>
      <c r="AU86" s="399"/>
      <c r="AV86" s="399"/>
      <c r="AW86" s="399"/>
      <c r="AX86" s="399"/>
    </row>
    <row r="87" spans="1:50">
      <c r="K87" s="414" t="s">
        <v>171</v>
      </c>
      <c r="L87" s="414" t="s">
        <v>367</v>
      </c>
      <c r="M87" s="414" t="s">
        <v>556</v>
      </c>
      <c r="N87" s="414" t="s">
        <v>557</v>
      </c>
      <c r="O87" s="414" t="s">
        <v>167</v>
      </c>
      <c r="P87" s="414" t="s">
        <v>363</v>
      </c>
      <c r="Q87" s="414" t="s">
        <v>640</v>
      </c>
      <c r="R87" s="415" t="s">
        <v>641</v>
      </c>
      <c r="S87" s="416">
        <v>258</v>
      </c>
      <c r="T87" s="416">
        <v>274</v>
      </c>
      <c r="U87" s="416">
        <v>283</v>
      </c>
      <c r="V87" s="416">
        <v>285</v>
      </c>
      <c r="W87" s="416">
        <v>293</v>
      </c>
      <c r="AA87" s="260"/>
      <c r="AB87" s="260"/>
      <c r="AC87" s="260"/>
      <c r="AD87" s="260"/>
      <c r="AE87" s="260"/>
      <c r="AF87" s="260"/>
      <c r="AG87" s="260"/>
      <c r="AH87" s="261"/>
      <c r="AI87" s="261"/>
      <c r="AJ87" s="261"/>
      <c r="AK87" s="261"/>
      <c r="AL87" s="400"/>
      <c r="AM87" s="400"/>
      <c r="AN87" s="400"/>
      <c r="AO87" s="400"/>
      <c r="AP87" s="400"/>
      <c r="AQ87" s="400"/>
      <c r="AR87" s="400"/>
      <c r="AS87" s="399"/>
      <c r="AT87" s="399"/>
      <c r="AU87" s="399"/>
      <c r="AV87" s="399"/>
      <c r="AW87" s="399"/>
      <c r="AX87" s="399"/>
    </row>
    <row r="88" spans="1:50">
      <c r="A88" s="4" t="s">
        <v>172</v>
      </c>
      <c r="K88" s="414" t="s">
        <v>171</v>
      </c>
      <c r="L88" s="414" t="s">
        <v>367</v>
      </c>
      <c r="M88" s="414" t="s">
        <v>556</v>
      </c>
      <c r="N88" s="414" t="s">
        <v>557</v>
      </c>
      <c r="O88" s="414" t="s">
        <v>167</v>
      </c>
      <c r="P88" s="414" t="s">
        <v>363</v>
      </c>
      <c r="Q88" s="414" t="s">
        <v>642</v>
      </c>
      <c r="R88" s="415" t="s">
        <v>643</v>
      </c>
      <c r="S88" s="416">
        <v>397</v>
      </c>
      <c r="T88" s="416">
        <v>430</v>
      </c>
      <c r="U88" s="416">
        <v>452</v>
      </c>
      <c r="V88" s="416">
        <v>454</v>
      </c>
      <c r="W88" s="416">
        <v>480</v>
      </c>
      <c r="AA88" s="260"/>
      <c r="AB88" s="260"/>
      <c r="AC88" s="260"/>
      <c r="AD88" s="260"/>
      <c r="AE88" s="260"/>
      <c r="AF88" s="260"/>
      <c r="AG88" s="260"/>
      <c r="AH88" s="261"/>
      <c r="AI88" s="261"/>
      <c r="AJ88" s="261"/>
      <c r="AK88" s="261"/>
      <c r="AL88" s="400"/>
      <c r="AM88" s="400"/>
      <c r="AN88" s="400"/>
      <c r="AO88" s="400"/>
      <c r="AP88" s="400"/>
      <c r="AQ88" s="400"/>
      <c r="AR88" s="400"/>
      <c r="AS88" s="399"/>
      <c r="AT88" s="399"/>
      <c r="AU88" s="399"/>
      <c r="AV88" s="399"/>
      <c r="AW88" s="399"/>
      <c r="AX88" s="399"/>
    </row>
    <row r="89" spans="1:50">
      <c r="A89" s="11" t="s">
        <v>178</v>
      </c>
      <c r="K89" s="414" t="s">
        <v>171</v>
      </c>
      <c r="L89" s="414" t="s">
        <v>367</v>
      </c>
      <c r="M89" s="414" t="s">
        <v>556</v>
      </c>
      <c r="N89" s="414" t="s">
        <v>557</v>
      </c>
      <c r="O89" s="414" t="s">
        <v>167</v>
      </c>
      <c r="P89" s="414" t="s">
        <v>363</v>
      </c>
      <c r="Q89" s="414" t="s">
        <v>644</v>
      </c>
      <c r="R89" s="415" t="s">
        <v>645</v>
      </c>
      <c r="S89" s="416">
        <v>1222</v>
      </c>
      <c r="T89" s="416">
        <v>1347</v>
      </c>
      <c r="U89" s="416">
        <v>1398</v>
      </c>
      <c r="V89" s="416">
        <v>1422</v>
      </c>
      <c r="W89" s="416">
        <v>1491</v>
      </c>
      <c r="AA89" s="260"/>
      <c r="AB89" s="260"/>
      <c r="AC89" s="260"/>
      <c r="AD89" s="260"/>
      <c r="AE89" s="260"/>
      <c r="AF89" s="260"/>
      <c r="AG89" s="260"/>
      <c r="AH89" s="261"/>
      <c r="AI89" s="261"/>
      <c r="AJ89" s="261"/>
      <c r="AK89" s="261"/>
      <c r="AL89" s="400"/>
      <c r="AM89" s="400"/>
      <c r="AN89" s="400"/>
      <c r="AO89" s="400"/>
      <c r="AP89" s="400"/>
      <c r="AQ89" s="400"/>
      <c r="AR89" s="400"/>
      <c r="AS89" s="399"/>
      <c r="AT89" s="399"/>
      <c r="AU89" s="399"/>
      <c r="AV89" s="399"/>
      <c r="AW89" s="399"/>
      <c r="AX89" s="399"/>
    </row>
    <row r="90" spans="1:50">
      <c r="A90" s="11" t="s">
        <v>348</v>
      </c>
      <c r="K90" s="414" t="s">
        <v>171</v>
      </c>
      <c r="L90" s="414" t="s">
        <v>367</v>
      </c>
      <c r="M90" s="414" t="s">
        <v>556</v>
      </c>
      <c r="N90" s="414" t="s">
        <v>557</v>
      </c>
      <c r="O90" s="414" t="s">
        <v>167</v>
      </c>
      <c r="P90" s="414" t="s">
        <v>363</v>
      </c>
      <c r="Q90" s="414" t="s">
        <v>646</v>
      </c>
      <c r="R90" s="415" t="s">
        <v>647</v>
      </c>
      <c r="S90" s="416">
        <v>143</v>
      </c>
      <c r="T90" s="416">
        <v>156</v>
      </c>
      <c r="U90" s="416">
        <v>156</v>
      </c>
      <c r="V90" s="416">
        <v>156</v>
      </c>
      <c r="W90" s="416">
        <v>156</v>
      </c>
      <c r="AA90" s="260"/>
      <c r="AB90" s="260"/>
      <c r="AC90" s="260"/>
      <c r="AD90" s="260"/>
      <c r="AE90" s="260"/>
      <c r="AF90" s="260"/>
      <c r="AG90" s="260"/>
      <c r="AH90" s="261"/>
      <c r="AI90" s="261"/>
      <c r="AJ90" s="261"/>
      <c r="AK90" s="261"/>
      <c r="AL90" s="400"/>
      <c r="AM90" s="400"/>
      <c r="AN90" s="400"/>
      <c r="AO90" s="400"/>
      <c r="AP90" s="400"/>
      <c r="AQ90" s="400"/>
      <c r="AR90" s="400"/>
      <c r="AS90" s="399"/>
      <c r="AT90" s="399"/>
      <c r="AU90" s="399"/>
      <c r="AV90" s="399"/>
      <c r="AW90" s="399"/>
      <c r="AX90" s="399"/>
    </row>
    <row r="91" spans="1:50">
      <c r="K91" s="414" t="s">
        <v>171</v>
      </c>
      <c r="L91" s="414" t="s">
        <v>367</v>
      </c>
      <c r="M91" s="414" t="s">
        <v>556</v>
      </c>
      <c r="N91" s="414" t="s">
        <v>557</v>
      </c>
      <c r="O91" s="414" t="s">
        <v>167</v>
      </c>
      <c r="P91" s="414" t="s">
        <v>363</v>
      </c>
      <c r="Q91" s="414" t="s">
        <v>648</v>
      </c>
      <c r="R91" s="415" t="s">
        <v>649</v>
      </c>
      <c r="S91" s="416">
        <v>437</v>
      </c>
      <c r="T91" s="416">
        <v>467</v>
      </c>
      <c r="U91" s="416">
        <v>478</v>
      </c>
      <c r="V91" s="416">
        <v>478</v>
      </c>
      <c r="W91" s="416">
        <v>490</v>
      </c>
      <c r="AA91" s="260"/>
      <c r="AB91" s="260"/>
      <c r="AC91" s="260"/>
      <c r="AD91" s="260"/>
      <c r="AE91" s="260"/>
      <c r="AF91" s="260"/>
      <c r="AG91" s="260"/>
      <c r="AH91" s="261"/>
      <c r="AI91" s="261"/>
      <c r="AJ91" s="261"/>
      <c r="AK91" s="261"/>
      <c r="AL91" s="400"/>
      <c r="AM91" s="400"/>
      <c r="AN91" s="400"/>
      <c r="AO91" s="400"/>
      <c r="AP91" s="400"/>
      <c r="AQ91" s="400"/>
      <c r="AR91" s="400"/>
      <c r="AS91" s="399"/>
      <c r="AT91" s="399"/>
      <c r="AU91" s="399"/>
      <c r="AV91" s="399"/>
      <c r="AW91" s="399"/>
      <c r="AX91" s="399"/>
    </row>
    <row r="92" spans="1:50">
      <c r="A92" s="265"/>
      <c r="K92" s="414" t="s">
        <v>171</v>
      </c>
      <c r="L92" s="414" t="s">
        <v>367</v>
      </c>
      <c r="M92" s="414" t="s">
        <v>556</v>
      </c>
      <c r="N92" s="414" t="s">
        <v>557</v>
      </c>
      <c r="O92" s="414" t="s">
        <v>167</v>
      </c>
      <c r="P92" s="414" t="s">
        <v>363</v>
      </c>
      <c r="Q92" s="414" t="s">
        <v>650</v>
      </c>
      <c r="R92" s="415" t="s">
        <v>651</v>
      </c>
      <c r="S92" s="416">
        <v>26</v>
      </c>
      <c r="T92" s="416">
        <v>26</v>
      </c>
      <c r="U92" s="416">
        <v>26</v>
      </c>
      <c r="V92" s="416">
        <v>26</v>
      </c>
      <c r="W92" s="416">
        <v>31</v>
      </c>
      <c r="AA92" s="260"/>
      <c r="AB92" s="260"/>
      <c r="AC92" s="260"/>
      <c r="AD92" s="260"/>
      <c r="AE92" s="260"/>
      <c r="AF92" s="260"/>
      <c r="AG92" s="260"/>
      <c r="AH92" s="261"/>
      <c r="AI92" s="261"/>
      <c r="AJ92" s="261"/>
      <c r="AK92" s="261"/>
      <c r="AL92" s="400"/>
      <c r="AM92" s="400"/>
      <c r="AN92" s="400"/>
      <c r="AO92" s="400"/>
      <c r="AP92" s="400"/>
      <c r="AQ92" s="400"/>
      <c r="AR92" s="400"/>
      <c r="AS92" s="399"/>
      <c r="AT92" s="399"/>
      <c r="AU92" s="399"/>
      <c r="AV92" s="399"/>
      <c r="AW92" s="399"/>
      <c r="AX92" s="399"/>
    </row>
    <row r="93" spans="1:50">
      <c r="A93" s="22"/>
      <c r="K93" s="414" t="s">
        <v>171</v>
      </c>
      <c r="L93" s="414" t="s">
        <v>367</v>
      </c>
      <c r="M93" s="414" t="s">
        <v>556</v>
      </c>
      <c r="N93" s="414" t="s">
        <v>557</v>
      </c>
      <c r="O93" s="414" t="s">
        <v>167</v>
      </c>
      <c r="P93" s="414" t="s">
        <v>363</v>
      </c>
      <c r="Q93" s="414" t="s">
        <v>652</v>
      </c>
      <c r="R93" s="415" t="s">
        <v>653</v>
      </c>
      <c r="S93" s="416">
        <v>314</v>
      </c>
      <c r="T93" s="416">
        <v>318</v>
      </c>
      <c r="U93" s="416">
        <v>244</v>
      </c>
      <c r="V93" s="416">
        <v>408</v>
      </c>
      <c r="W93" s="416">
        <v>428</v>
      </c>
      <c r="AA93" s="260"/>
      <c r="AB93" s="260"/>
      <c r="AC93" s="260"/>
      <c r="AD93" s="260"/>
      <c r="AE93" s="260"/>
      <c r="AF93" s="260"/>
      <c r="AG93" s="260"/>
      <c r="AH93" s="261"/>
      <c r="AI93" s="261"/>
      <c r="AJ93" s="261"/>
      <c r="AK93" s="261"/>
      <c r="AL93" s="400"/>
      <c r="AM93" s="400"/>
      <c r="AN93" s="400"/>
      <c r="AO93" s="400"/>
      <c r="AP93" s="400"/>
      <c r="AQ93" s="400"/>
      <c r="AR93" s="400"/>
      <c r="AS93" s="399"/>
      <c r="AT93" s="399"/>
      <c r="AU93" s="399"/>
      <c r="AV93" s="399"/>
      <c r="AW93" s="399"/>
      <c r="AX93" s="399"/>
    </row>
    <row r="94" spans="1:50">
      <c r="K94" s="414" t="s">
        <v>171</v>
      </c>
      <c r="L94" s="414" t="s">
        <v>367</v>
      </c>
      <c r="M94" s="414" t="s">
        <v>556</v>
      </c>
      <c r="N94" s="414" t="s">
        <v>557</v>
      </c>
      <c r="O94" s="414" t="s">
        <v>167</v>
      </c>
      <c r="P94" s="414" t="s">
        <v>363</v>
      </c>
      <c r="Q94" s="414" t="s">
        <v>654</v>
      </c>
      <c r="R94" s="415" t="s">
        <v>655</v>
      </c>
      <c r="S94" s="416">
        <v>54</v>
      </c>
      <c r="T94" s="416">
        <v>66</v>
      </c>
      <c r="U94" s="416">
        <v>78</v>
      </c>
      <c r="V94" s="416">
        <v>85</v>
      </c>
      <c r="W94" s="416">
        <v>84</v>
      </c>
      <c r="AA94" s="260"/>
      <c r="AB94" s="260"/>
      <c r="AC94" s="260"/>
      <c r="AD94" s="260"/>
      <c r="AE94" s="260"/>
      <c r="AF94" s="260"/>
      <c r="AG94" s="260"/>
      <c r="AH94" s="261"/>
      <c r="AI94" s="261"/>
      <c r="AJ94" s="261"/>
      <c r="AK94" s="261"/>
      <c r="AL94" s="400"/>
      <c r="AM94" s="400"/>
      <c r="AN94" s="400"/>
      <c r="AO94" s="400"/>
      <c r="AP94" s="400"/>
      <c r="AQ94" s="400"/>
      <c r="AR94" s="400"/>
      <c r="AS94" s="399"/>
      <c r="AT94" s="399"/>
      <c r="AU94" s="399"/>
      <c r="AV94" s="399"/>
      <c r="AW94" s="399"/>
      <c r="AX94" s="399"/>
    </row>
    <row r="95" spans="1:50">
      <c r="K95" s="414" t="s">
        <v>171</v>
      </c>
      <c r="L95" s="414" t="s">
        <v>367</v>
      </c>
      <c r="M95" s="414" t="s">
        <v>556</v>
      </c>
      <c r="N95" s="414" t="s">
        <v>557</v>
      </c>
      <c r="O95" s="414" t="s">
        <v>167</v>
      </c>
      <c r="P95" s="414" t="s">
        <v>363</v>
      </c>
      <c r="Q95" s="414" t="s">
        <v>656</v>
      </c>
      <c r="R95" s="415" t="s">
        <v>657</v>
      </c>
      <c r="S95" s="416">
        <v>83</v>
      </c>
      <c r="T95" s="416">
        <v>89</v>
      </c>
      <c r="U95" s="416">
        <v>90</v>
      </c>
      <c r="V95" s="416">
        <v>90</v>
      </c>
      <c r="W95" s="416">
        <v>99</v>
      </c>
      <c r="AA95" s="260"/>
      <c r="AB95" s="260"/>
      <c r="AC95" s="260"/>
      <c r="AD95" s="260"/>
      <c r="AE95" s="260"/>
      <c r="AF95" s="260"/>
      <c r="AG95" s="260"/>
      <c r="AH95" s="261"/>
      <c r="AI95" s="261"/>
      <c r="AJ95" s="261"/>
      <c r="AK95" s="261"/>
      <c r="AL95" s="400"/>
      <c r="AM95" s="400"/>
      <c r="AN95" s="400"/>
      <c r="AO95" s="400"/>
      <c r="AP95" s="400"/>
      <c r="AQ95" s="400"/>
      <c r="AR95" s="400"/>
      <c r="AS95" s="399"/>
      <c r="AT95" s="399"/>
      <c r="AU95" s="399"/>
      <c r="AV95" s="399"/>
      <c r="AW95" s="399"/>
      <c r="AX95" s="399"/>
    </row>
    <row r="96" spans="1:50">
      <c r="K96" s="414" t="s">
        <v>171</v>
      </c>
      <c r="L96" s="414" t="s">
        <v>367</v>
      </c>
      <c r="M96" s="414" t="s">
        <v>556</v>
      </c>
      <c r="N96" s="414" t="s">
        <v>557</v>
      </c>
      <c r="O96" s="414" t="s">
        <v>167</v>
      </c>
      <c r="P96" s="414" t="s">
        <v>363</v>
      </c>
      <c r="Q96" s="414" t="s">
        <v>658</v>
      </c>
      <c r="R96" s="415" t="s">
        <v>659</v>
      </c>
      <c r="S96" s="416">
        <v>73</v>
      </c>
      <c r="T96" s="416">
        <v>78</v>
      </c>
      <c r="U96" s="416">
        <v>82</v>
      </c>
      <c r="V96" s="416">
        <v>83</v>
      </c>
      <c r="W96" s="416">
        <v>86</v>
      </c>
      <c r="AA96" s="260"/>
      <c r="AB96" s="260"/>
      <c r="AC96" s="260"/>
      <c r="AD96" s="260"/>
      <c r="AE96" s="260"/>
      <c r="AF96" s="260"/>
      <c r="AG96" s="260"/>
      <c r="AH96" s="261"/>
      <c r="AI96" s="261"/>
      <c r="AJ96" s="261"/>
      <c r="AK96" s="261"/>
      <c r="AL96" s="400"/>
      <c r="AM96" s="400"/>
      <c r="AN96" s="400"/>
      <c r="AO96" s="400"/>
      <c r="AP96" s="400"/>
      <c r="AQ96" s="400"/>
      <c r="AR96" s="400"/>
      <c r="AS96" s="399"/>
      <c r="AT96" s="399"/>
      <c r="AU96" s="399"/>
      <c r="AV96" s="399"/>
      <c r="AW96" s="399"/>
      <c r="AX96" s="399"/>
    </row>
    <row r="97" spans="11:50">
      <c r="K97" s="414" t="s">
        <v>171</v>
      </c>
      <c r="L97" s="414" t="s">
        <v>367</v>
      </c>
      <c r="M97" s="414" t="s">
        <v>556</v>
      </c>
      <c r="N97" s="414" t="s">
        <v>557</v>
      </c>
      <c r="O97" s="414" t="s">
        <v>167</v>
      </c>
      <c r="P97" s="414" t="s">
        <v>363</v>
      </c>
      <c r="Q97" s="414" t="s">
        <v>660</v>
      </c>
      <c r="R97" s="415" t="s">
        <v>661</v>
      </c>
      <c r="S97" s="416">
        <v>1206</v>
      </c>
      <c r="T97" s="416">
        <v>1308</v>
      </c>
      <c r="U97" s="416">
        <v>1356</v>
      </c>
      <c r="V97" s="416">
        <v>1364</v>
      </c>
      <c r="W97" s="416">
        <v>1415</v>
      </c>
      <c r="AA97" s="260"/>
      <c r="AB97" s="260"/>
      <c r="AC97" s="260"/>
      <c r="AD97" s="260"/>
      <c r="AE97" s="260"/>
      <c r="AF97" s="260"/>
      <c r="AG97" s="260"/>
      <c r="AH97" s="261"/>
      <c r="AI97" s="261"/>
      <c r="AJ97" s="261"/>
      <c r="AK97" s="261"/>
      <c r="AL97" s="400"/>
      <c r="AM97" s="400"/>
      <c r="AN97" s="400"/>
      <c r="AO97" s="400"/>
      <c r="AP97" s="400"/>
      <c r="AQ97" s="400"/>
      <c r="AR97" s="400"/>
      <c r="AS97" s="399"/>
      <c r="AT97" s="399"/>
      <c r="AU97" s="399"/>
      <c r="AV97" s="399"/>
      <c r="AW97" s="399"/>
      <c r="AX97" s="399"/>
    </row>
    <row r="98" spans="11:50">
      <c r="K98" s="414" t="s">
        <v>171</v>
      </c>
      <c r="L98" s="414" t="s">
        <v>367</v>
      </c>
      <c r="M98" s="414" t="s">
        <v>556</v>
      </c>
      <c r="N98" s="414" t="s">
        <v>557</v>
      </c>
      <c r="O98" s="414" t="s">
        <v>167</v>
      </c>
      <c r="P98" s="414" t="s">
        <v>363</v>
      </c>
      <c r="Q98" s="414" t="s">
        <v>662</v>
      </c>
      <c r="R98" s="415" t="s">
        <v>663</v>
      </c>
      <c r="S98" s="416">
        <v>2450</v>
      </c>
      <c r="T98" s="416">
        <v>2698</v>
      </c>
      <c r="U98" s="416">
        <v>2784</v>
      </c>
      <c r="V98" s="416">
        <v>2819</v>
      </c>
      <c r="W98" s="416">
        <v>2550</v>
      </c>
      <c r="AA98" s="260"/>
      <c r="AB98" s="260"/>
      <c r="AC98" s="260"/>
      <c r="AD98" s="260"/>
      <c r="AE98" s="260"/>
      <c r="AF98" s="260"/>
      <c r="AG98" s="260"/>
      <c r="AH98" s="261"/>
      <c r="AI98" s="261"/>
      <c r="AJ98" s="261"/>
      <c r="AK98" s="261"/>
      <c r="AL98" s="400"/>
      <c r="AM98" s="400"/>
      <c r="AN98" s="400"/>
      <c r="AO98" s="400"/>
      <c r="AP98" s="400"/>
      <c r="AQ98" s="400"/>
      <c r="AR98" s="400"/>
      <c r="AS98" s="399"/>
      <c r="AT98" s="399"/>
      <c r="AU98" s="399"/>
      <c r="AV98" s="399"/>
      <c r="AW98" s="399"/>
      <c r="AX98" s="399"/>
    </row>
    <row r="99" spans="11:50">
      <c r="K99" s="414" t="s">
        <v>171</v>
      </c>
      <c r="L99" s="414" t="s">
        <v>367</v>
      </c>
      <c r="M99" s="414" t="s">
        <v>556</v>
      </c>
      <c r="N99" s="414" t="s">
        <v>557</v>
      </c>
      <c r="O99" s="414" t="s">
        <v>167</v>
      </c>
      <c r="P99" s="414" t="s">
        <v>363</v>
      </c>
      <c r="Q99" s="414" t="s">
        <v>664</v>
      </c>
      <c r="R99" s="415" t="s">
        <v>665</v>
      </c>
      <c r="S99" s="416">
        <v>135</v>
      </c>
      <c r="T99" s="416">
        <v>146</v>
      </c>
      <c r="U99" s="416">
        <v>149</v>
      </c>
      <c r="V99" s="416">
        <v>151</v>
      </c>
      <c r="W99" s="416">
        <v>158</v>
      </c>
      <c r="AA99" s="260"/>
      <c r="AB99" s="260"/>
      <c r="AC99" s="260"/>
      <c r="AD99" s="260"/>
      <c r="AE99" s="260"/>
      <c r="AF99" s="260"/>
      <c r="AG99" s="260"/>
      <c r="AH99" s="261"/>
      <c r="AI99" s="261"/>
      <c r="AJ99" s="261"/>
      <c r="AK99" s="261"/>
      <c r="AL99" s="400"/>
      <c r="AM99" s="400"/>
      <c r="AN99" s="400"/>
      <c r="AO99" s="400"/>
      <c r="AP99" s="400"/>
      <c r="AQ99" s="400"/>
      <c r="AR99" s="400"/>
      <c r="AS99" s="399"/>
      <c r="AT99" s="399"/>
      <c r="AU99" s="399"/>
      <c r="AV99" s="399"/>
      <c r="AW99" s="399"/>
      <c r="AX99" s="399"/>
    </row>
    <row r="100" spans="11:50">
      <c r="K100" s="414" t="s">
        <v>171</v>
      </c>
      <c r="L100" s="414" t="s">
        <v>367</v>
      </c>
      <c r="M100" s="414" t="s">
        <v>556</v>
      </c>
      <c r="N100" s="414" t="s">
        <v>557</v>
      </c>
      <c r="O100" s="414" t="s">
        <v>167</v>
      </c>
      <c r="P100" s="414" t="s">
        <v>363</v>
      </c>
      <c r="Q100" s="414" t="s">
        <v>721</v>
      </c>
      <c r="R100" s="415" t="s">
        <v>722</v>
      </c>
      <c r="S100" s="416">
        <v>438</v>
      </c>
      <c r="T100" s="416">
        <v>460</v>
      </c>
      <c r="U100" s="416">
        <v>480</v>
      </c>
      <c r="V100" s="416">
        <v>490</v>
      </c>
      <c r="W100" s="416">
        <v>510</v>
      </c>
      <c r="AA100" s="260"/>
      <c r="AB100" s="260"/>
      <c r="AC100" s="260"/>
      <c r="AD100" s="260"/>
      <c r="AE100" s="260"/>
      <c r="AF100" s="260"/>
      <c r="AG100" s="260"/>
      <c r="AH100" s="261"/>
      <c r="AI100" s="261"/>
      <c r="AJ100" s="261"/>
      <c r="AK100" s="261"/>
      <c r="AL100" s="400"/>
      <c r="AM100" s="400"/>
      <c r="AN100" s="400"/>
      <c r="AO100" s="400"/>
      <c r="AP100" s="400"/>
      <c r="AQ100" s="400"/>
      <c r="AR100" s="400"/>
      <c r="AS100" s="399"/>
      <c r="AT100" s="399"/>
      <c r="AU100" s="399"/>
      <c r="AV100" s="399"/>
      <c r="AW100" s="399"/>
      <c r="AX100" s="399"/>
    </row>
    <row r="101" spans="11:50">
      <c r="K101" s="414" t="s">
        <v>171</v>
      </c>
      <c r="L101" s="414" t="s">
        <v>367</v>
      </c>
      <c r="M101" s="414" t="s">
        <v>556</v>
      </c>
      <c r="N101" s="414" t="s">
        <v>557</v>
      </c>
      <c r="O101" s="414" t="s">
        <v>167</v>
      </c>
      <c r="P101" s="414" t="s">
        <v>363</v>
      </c>
      <c r="Q101" s="414" t="s">
        <v>666</v>
      </c>
      <c r="R101" s="415" t="s">
        <v>667</v>
      </c>
      <c r="S101" s="416">
        <v>111</v>
      </c>
      <c r="T101" s="416">
        <v>84</v>
      </c>
      <c r="U101" s="416">
        <v>85</v>
      </c>
      <c r="V101" s="416">
        <v>85</v>
      </c>
      <c r="W101" s="416">
        <v>86</v>
      </c>
      <c r="AA101" s="260"/>
      <c r="AB101" s="260"/>
      <c r="AC101" s="260"/>
      <c r="AD101" s="260"/>
      <c r="AE101" s="260"/>
      <c r="AF101" s="260"/>
      <c r="AG101" s="260"/>
      <c r="AH101" s="261"/>
      <c r="AI101" s="261"/>
      <c r="AJ101" s="261"/>
      <c r="AK101" s="261"/>
      <c r="AL101" s="400"/>
      <c r="AM101" s="400"/>
      <c r="AN101" s="400"/>
      <c r="AO101" s="400"/>
      <c r="AP101" s="400"/>
      <c r="AQ101" s="400"/>
      <c r="AR101" s="400"/>
      <c r="AS101" s="406"/>
      <c r="AT101" s="406"/>
      <c r="AU101" s="406"/>
      <c r="AV101" s="406"/>
      <c r="AW101" s="406"/>
      <c r="AX101" s="406"/>
    </row>
    <row r="102" spans="11:50">
      <c r="K102" s="414" t="s">
        <v>171</v>
      </c>
      <c r="L102" s="414" t="s">
        <v>367</v>
      </c>
      <c r="M102" s="414" t="s">
        <v>556</v>
      </c>
      <c r="N102" s="414" t="s">
        <v>557</v>
      </c>
      <c r="O102" s="414" t="s">
        <v>167</v>
      </c>
      <c r="P102" s="414" t="s">
        <v>363</v>
      </c>
      <c r="Q102" s="414" t="s">
        <v>668</v>
      </c>
      <c r="R102" s="415" t="s">
        <v>669</v>
      </c>
      <c r="S102" s="416">
        <v>24</v>
      </c>
      <c r="T102" s="416">
        <v>24</v>
      </c>
      <c r="U102" s="416">
        <v>24</v>
      </c>
      <c r="V102" s="416">
        <v>24</v>
      </c>
      <c r="W102" s="416">
        <v>24</v>
      </c>
      <c r="AA102" s="260"/>
      <c r="AB102" s="260"/>
      <c r="AC102" s="260"/>
      <c r="AD102" s="260"/>
      <c r="AE102" s="260"/>
      <c r="AF102" s="260"/>
      <c r="AG102" s="260"/>
      <c r="AH102" s="261"/>
      <c r="AI102" s="261"/>
      <c r="AJ102" s="261"/>
      <c r="AK102" s="261"/>
      <c r="AL102" s="400"/>
      <c r="AM102" s="400"/>
      <c r="AN102" s="400"/>
      <c r="AO102" s="400"/>
      <c r="AP102" s="400"/>
      <c r="AQ102" s="400"/>
      <c r="AR102" s="400"/>
      <c r="AS102" s="406"/>
      <c r="AT102" s="406"/>
      <c r="AU102" s="406"/>
      <c r="AV102" s="406"/>
      <c r="AW102" s="406"/>
      <c r="AX102" s="406"/>
    </row>
    <row r="103" spans="11:50">
      <c r="K103" s="414" t="s">
        <v>171</v>
      </c>
      <c r="L103" s="414" t="s">
        <v>367</v>
      </c>
      <c r="M103" s="414" t="s">
        <v>556</v>
      </c>
      <c r="N103" s="414" t="s">
        <v>557</v>
      </c>
      <c r="O103" s="414" t="s">
        <v>167</v>
      </c>
      <c r="P103" s="414" t="s">
        <v>363</v>
      </c>
      <c r="Q103" s="414" t="s">
        <v>670</v>
      </c>
      <c r="R103" s="415" t="s">
        <v>671</v>
      </c>
      <c r="S103" s="416">
        <v>7</v>
      </c>
      <c r="T103" s="416">
        <v>11</v>
      </c>
      <c r="U103" s="416">
        <v>13</v>
      </c>
      <c r="V103" s="416">
        <v>13</v>
      </c>
      <c r="W103" s="416">
        <v>14</v>
      </c>
      <c r="AA103" s="260"/>
      <c r="AB103" s="260"/>
      <c r="AC103" s="260"/>
      <c r="AD103" s="260"/>
      <c r="AE103" s="260"/>
      <c r="AF103" s="260"/>
      <c r="AG103" s="260"/>
      <c r="AH103" s="261"/>
      <c r="AI103" s="261"/>
      <c r="AJ103" s="261"/>
      <c r="AK103" s="261"/>
      <c r="AL103" s="400"/>
      <c r="AM103" s="400"/>
      <c r="AN103" s="400"/>
      <c r="AO103" s="400"/>
      <c r="AP103" s="400"/>
      <c r="AQ103" s="400"/>
      <c r="AR103" s="400"/>
      <c r="AS103" s="406"/>
      <c r="AT103" s="406"/>
      <c r="AU103" s="406"/>
      <c r="AV103" s="406"/>
      <c r="AW103" s="406"/>
      <c r="AX103" s="406"/>
    </row>
    <row r="104" spans="11:50">
      <c r="K104" s="414" t="s">
        <v>171</v>
      </c>
      <c r="L104" s="414" t="s">
        <v>367</v>
      </c>
      <c r="M104" s="414" t="s">
        <v>556</v>
      </c>
      <c r="N104" s="414" t="s">
        <v>557</v>
      </c>
      <c r="O104" s="414" t="s">
        <v>167</v>
      </c>
      <c r="P104" s="414" t="s">
        <v>363</v>
      </c>
      <c r="Q104" s="414" t="s">
        <v>672</v>
      </c>
      <c r="R104" s="415" t="s">
        <v>673</v>
      </c>
      <c r="S104" s="416">
        <v>12</v>
      </c>
      <c r="T104" s="416">
        <v>12</v>
      </c>
      <c r="U104" s="416">
        <v>12</v>
      </c>
      <c r="V104" s="416">
        <v>12</v>
      </c>
      <c r="W104" s="416">
        <v>12</v>
      </c>
      <c r="AA104" s="260"/>
      <c r="AB104" s="260"/>
      <c r="AC104" s="260"/>
      <c r="AD104" s="260"/>
      <c r="AE104" s="260"/>
      <c r="AF104" s="260"/>
      <c r="AG104" s="260"/>
      <c r="AH104" s="261"/>
      <c r="AI104" s="261"/>
      <c r="AJ104" s="261"/>
      <c r="AK104" s="261"/>
      <c r="AL104" s="400"/>
      <c r="AM104" s="400"/>
      <c r="AN104" s="400"/>
      <c r="AO104" s="400"/>
      <c r="AP104" s="400"/>
      <c r="AQ104" s="400"/>
      <c r="AR104" s="400"/>
      <c r="AS104" s="406"/>
      <c r="AT104" s="406"/>
      <c r="AU104" s="406"/>
      <c r="AV104" s="406"/>
      <c r="AW104" s="406"/>
      <c r="AX104" s="406"/>
    </row>
    <row r="105" spans="11:50">
      <c r="K105" s="414" t="s">
        <v>171</v>
      </c>
      <c r="L105" s="414" t="s">
        <v>367</v>
      </c>
      <c r="M105" s="414" t="s">
        <v>556</v>
      </c>
      <c r="N105" s="414" t="s">
        <v>557</v>
      </c>
      <c r="O105" s="414" t="s">
        <v>167</v>
      </c>
      <c r="P105" s="414" t="s">
        <v>363</v>
      </c>
      <c r="Q105" s="414" t="s">
        <v>674</v>
      </c>
      <c r="R105" s="415" t="s">
        <v>675</v>
      </c>
      <c r="S105" s="416">
        <v>154</v>
      </c>
      <c r="T105" s="416">
        <v>176</v>
      </c>
      <c r="U105" s="416">
        <v>181</v>
      </c>
      <c r="V105" s="416">
        <v>184</v>
      </c>
      <c r="W105" s="416">
        <v>191</v>
      </c>
      <c r="AA105" s="260"/>
      <c r="AB105" s="260"/>
      <c r="AC105" s="260"/>
      <c r="AD105" s="260"/>
      <c r="AE105" s="260"/>
      <c r="AF105" s="260"/>
      <c r="AG105" s="260"/>
      <c r="AH105" s="261"/>
      <c r="AI105" s="261"/>
      <c r="AJ105" s="261"/>
      <c r="AK105" s="261"/>
      <c r="AL105" s="400"/>
      <c r="AM105" s="400"/>
      <c r="AN105" s="400"/>
      <c r="AO105" s="400"/>
      <c r="AP105" s="400"/>
      <c r="AQ105" s="400"/>
      <c r="AR105" s="400"/>
      <c r="AS105" s="406"/>
      <c r="AT105" s="406"/>
      <c r="AU105" s="406"/>
      <c r="AV105" s="406"/>
      <c r="AW105" s="406"/>
      <c r="AX105" s="406"/>
    </row>
    <row r="106" spans="11:50">
      <c r="K106" s="414" t="s">
        <v>171</v>
      </c>
      <c r="L106" s="414" t="s">
        <v>367</v>
      </c>
      <c r="M106" s="414" t="s">
        <v>556</v>
      </c>
      <c r="N106" s="414" t="s">
        <v>557</v>
      </c>
      <c r="O106" s="414" t="s">
        <v>167</v>
      </c>
      <c r="P106" s="414" t="s">
        <v>363</v>
      </c>
      <c r="Q106" s="414" t="s">
        <v>676</v>
      </c>
      <c r="R106" s="415" t="s">
        <v>677</v>
      </c>
      <c r="S106" s="416">
        <v>122</v>
      </c>
      <c r="T106" s="416">
        <v>136</v>
      </c>
      <c r="U106" s="416">
        <v>141</v>
      </c>
      <c r="V106" s="416">
        <v>141</v>
      </c>
      <c r="W106" s="416">
        <v>149</v>
      </c>
      <c r="AA106" s="260"/>
      <c r="AB106" s="260"/>
      <c r="AC106" s="260"/>
      <c r="AD106" s="260"/>
      <c r="AE106" s="260"/>
      <c r="AF106" s="260"/>
      <c r="AG106" s="260"/>
      <c r="AH106" s="261"/>
      <c r="AI106" s="261"/>
      <c r="AJ106" s="261"/>
      <c r="AK106" s="261"/>
      <c r="AL106" s="400"/>
      <c r="AM106" s="400"/>
      <c r="AN106" s="400"/>
      <c r="AO106" s="400"/>
      <c r="AP106" s="400"/>
      <c r="AQ106" s="400"/>
      <c r="AR106" s="400"/>
      <c r="AS106" s="406"/>
      <c r="AT106" s="406"/>
      <c r="AU106" s="406"/>
      <c r="AV106" s="406"/>
      <c r="AW106" s="406"/>
      <c r="AX106" s="406"/>
    </row>
    <row r="107" spans="11:50">
      <c r="K107" s="414" t="s">
        <v>171</v>
      </c>
      <c r="L107" s="414" t="s">
        <v>367</v>
      </c>
      <c r="M107" s="414" t="s">
        <v>556</v>
      </c>
      <c r="N107" s="414" t="s">
        <v>557</v>
      </c>
      <c r="O107" s="414" t="s">
        <v>167</v>
      </c>
      <c r="P107" s="414" t="s">
        <v>363</v>
      </c>
      <c r="Q107" s="414" t="s">
        <v>791</v>
      </c>
      <c r="R107" s="415" t="s">
        <v>792</v>
      </c>
      <c r="S107" s="416">
        <v>264</v>
      </c>
      <c r="T107" s="416">
        <v>320</v>
      </c>
      <c r="U107" s="416">
        <v>348</v>
      </c>
      <c r="V107" s="416">
        <v>358</v>
      </c>
      <c r="W107" s="416">
        <v>374</v>
      </c>
      <c r="AA107" s="260"/>
      <c r="AB107" s="260"/>
      <c r="AC107" s="260"/>
      <c r="AD107" s="260"/>
      <c r="AE107" s="260"/>
      <c r="AF107" s="260"/>
      <c r="AG107" s="260"/>
      <c r="AH107" s="261"/>
      <c r="AI107" s="261"/>
      <c r="AJ107" s="261"/>
      <c r="AK107" s="261"/>
      <c r="AL107" s="400"/>
      <c r="AM107" s="400"/>
      <c r="AN107" s="400"/>
      <c r="AO107" s="400"/>
      <c r="AP107" s="400"/>
      <c r="AQ107" s="400"/>
      <c r="AR107" s="400"/>
      <c r="AS107" s="406"/>
      <c r="AT107" s="406"/>
      <c r="AU107" s="406"/>
      <c r="AV107" s="406"/>
      <c r="AW107" s="406"/>
      <c r="AX107" s="406"/>
    </row>
    <row r="108" spans="11:50">
      <c r="K108" s="414" t="s">
        <v>171</v>
      </c>
      <c r="L108" s="414" t="s">
        <v>367</v>
      </c>
      <c r="M108" s="414" t="s">
        <v>556</v>
      </c>
      <c r="N108" s="414" t="s">
        <v>557</v>
      </c>
      <c r="O108" s="414" t="s">
        <v>167</v>
      </c>
      <c r="P108" s="414" t="s">
        <v>363</v>
      </c>
      <c r="Q108" s="414" t="s">
        <v>678</v>
      </c>
      <c r="R108" s="415" t="s">
        <v>679</v>
      </c>
      <c r="S108" s="416">
        <v>179</v>
      </c>
      <c r="T108" s="416">
        <v>193</v>
      </c>
      <c r="U108" s="416">
        <v>198</v>
      </c>
      <c r="V108" s="416">
        <v>200</v>
      </c>
      <c r="W108" s="416">
        <v>205</v>
      </c>
      <c r="AA108" s="260"/>
      <c r="AB108" s="260"/>
      <c r="AC108" s="260"/>
      <c r="AD108" s="260"/>
      <c r="AE108" s="260"/>
      <c r="AF108" s="260"/>
      <c r="AG108" s="260"/>
      <c r="AH108" s="261"/>
      <c r="AI108" s="261"/>
      <c r="AJ108" s="261"/>
      <c r="AK108" s="261"/>
      <c r="AL108" s="400"/>
      <c r="AM108" s="400"/>
      <c r="AN108" s="400"/>
      <c r="AO108" s="400"/>
      <c r="AP108" s="400"/>
      <c r="AQ108" s="400"/>
      <c r="AR108" s="400"/>
      <c r="AS108" s="406"/>
      <c r="AT108" s="406"/>
      <c r="AU108" s="406"/>
      <c r="AV108" s="406"/>
      <c r="AW108" s="406"/>
      <c r="AX108" s="406"/>
    </row>
    <row r="109" spans="11:50">
      <c r="K109" s="414" t="s">
        <v>171</v>
      </c>
      <c r="L109" s="414" t="s">
        <v>367</v>
      </c>
      <c r="M109" s="414" t="s">
        <v>556</v>
      </c>
      <c r="N109" s="414" t="s">
        <v>557</v>
      </c>
      <c r="O109" s="414" t="s">
        <v>167</v>
      </c>
      <c r="P109" s="414" t="s">
        <v>363</v>
      </c>
      <c r="Q109" s="414" t="s">
        <v>680</v>
      </c>
      <c r="R109" s="415" t="s">
        <v>681</v>
      </c>
      <c r="S109" s="416">
        <v>180</v>
      </c>
      <c r="T109" s="416">
        <v>219</v>
      </c>
      <c r="U109" s="416">
        <v>224</v>
      </c>
      <c r="V109" s="416">
        <v>228</v>
      </c>
      <c r="W109" s="416">
        <v>235</v>
      </c>
      <c r="AA109" s="260"/>
      <c r="AB109" s="260"/>
      <c r="AC109" s="260"/>
      <c r="AD109" s="260"/>
      <c r="AE109" s="260"/>
      <c r="AF109" s="260"/>
      <c r="AG109" s="260"/>
      <c r="AH109" s="261"/>
      <c r="AI109" s="261"/>
      <c r="AJ109" s="261"/>
      <c r="AK109" s="261"/>
      <c r="AL109" s="400"/>
      <c r="AM109" s="400"/>
      <c r="AN109" s="400"/>
      <c r="AO109" s="400"/>
      <c r="AP109" s="400"/>
      <c r="AQ109" s="400"/>
      <c r="AR109" s="400"/>
      <c r="AS109" s="399"/>
      <c r="AT109" s="399"/>
      <c r="AU109" s="399"/>
      <c r="AV109" s="399"/>
      <c r="AW109" s="399"/>
      <c r="AX109" s="399"/>
    </row>
    <row r="110" spans="11:50">
      <c r="K110" s="414" t="s">
        <v>171</v>
      </c>
      <c r="L110" s="414" t="s">
        <v>367</v>
      </c>
      <c r="M110" s="414" t="s">
        <v>556</v>
      </c>
      <c r="N110" s="414" t="s">
        <v>557</v>
      </c>
      <c r="O110" s="414" t="s">
        <v>167</v>
      </c>
      <c r="P110" s="414" t="s">
        <v>363</v>
      </c>
      <c r="Q110" s="414" t="s">
        <v>682</v>
      </c>
      <c r="R110" s="415" t="s">
        <v>683</v>
      </c>
      <c r="S110" s="416">
        <v>464</v>
      </c>
      <c r="T110" s="416">
        <v>504</v>
      </c>
      <c r="U110" s="416">
        <v>525</v>
      </c>
      <c r="V110" s="416">
        <v>531</v>
      </c>
      <c r="W110" s="416">
        <v>554</v>
      </c>
      <c r="AA110" s="260"/>
      <c r="AB110" s="260"/>
      <c r="AC110" s="260"/>
      <c r="AD110" s="260"/>
      <c r="AE110" s="260"/>
      <c r="AF110" s="260"/>
      <c r="AG110" s="260"/>
      <c r="AH110" s="261"/>
      <c r="AI110" s="261"/>
      <c r="AJ110" s="261"/>
      <c r="AK110" s="261"/>
      <c r="AL110" s="400"/>
      <c r="AM110" s="400"/>
      <c r="AN110" s="400"/>
      <c r="AO110" s="400"/>
      <c r="AP110" s="400"/>
      <c r="AQ110" s="400"/>
      <c r="AR110" s="400"/>
      <c r="AS110" s="399"/>
      <c r="AT110" s="399"/>
      <c r="AU110" s="399"/>
      <c r="AV110" s="399"/>
      <c r="AW110" s="399"/>
      <c r="AX110" s="399"/>
    </row>
    <row r="111" spans="11:50">
      <c r="K111" s="414" t="s">
        <v>171</v>
      </c>
      <c r="L111" s="414" t="s">
        <v>367</v>
      </c>
      <c r="M111" s="414" t="s">
        <v>556</v>
      </c>
      <c r="N111" s="414" t="s">
        <v>557</v>
      </c>
      <c r="O111" s="414" t="s">
        <v>167</v>
      </c>
      <c r="P111" s="414" t="s">
        <v>363</v>
      </c>
      <c r="Q111" s="414" t="s">
        <v>684</v>
      </c>
      <c r="R111" s="415" t="s">
        <v>685</v>
      </c>
      <c r="S111" s="416">
        <v>175</v>
      </c>
      <c r="T111" s="416">
        <v>193</v>
      </c>
      <c r="U111" s="416">
        <v>201</v>
      </c>
      <c r="V111" s="416">
        <v>209</v>
      </c>
      <c r="W111" s="416">
        <v>218</v>
      </c>
      <c r="AA111" s="260"/>
      <c r="AB111" s="260"/>
      <c r="AC111" s="260"/>
      <c r="AD111" s="260"/>
      <c r="AE111" s="260"/>
      <c r="AF111" s="260"/>
      <c r="AG111" s="260"/>
      <c r="AH111" s="261"/>
      <c r="AI111" s="261"/>
      <c r="AJ111" s="261"/>
      <c r="AK111" s="261"/>
      <c r="AL111" s="400"/>
      <c r="AM111" s="400"/>
      <c r="AN111" s="400"/>
      <c r="AO111" s="400"/>
      <c r="AP111" s="400"/>
      <c r="AQ111" s="400"/>
      <c r="AR111" s="400"/>
      <c r="AS111" s="399"/>
      <c r="AT111" s="399"/>
      <c r="AU111" s="399"/>
      <c r="AV111" s="399"/>
      <c r="AW111" s="399"/>
      <c r="AX111" s="399"/>
    </row>
    <row r="112" spans="11:50">
      <c r="K112" s="414" t="s">
        <v>171</v>
      </c>
      <c r="L112" s="414" t="s">
        <v>367</v>
      </c>
      <c r="M112" s="414" t="s">
        <v>556</v>
      </c>
      <c r="N112" s="414" t="s">
        <v>557</v>
      </c>
      <c r="O112" s="414" t="s">
        <v>167</v>
      </c>
      <c r="P112" s="414" t="s">
        <v>363</v>
      </c>
      <c r="Q112" s="414" t="s">
        <v>686</v>
      </c>
      <c r="R112" s="415" t="s">
        <v>687</v>
      </c>
      <c r="S112" s="416">
        <v>338</v>
      </c>
      <c r="T112" s="416">
        <v>395</v>
      </c>
      <c r="U112" s="416">
        <v>409</v>
      </c>
      <c r="V112" s="416">
        <v>416</v>
      </c>
      <c r="W112" s="416">
        <v>432</v>
      </c>
      <c r="AA112" s="260"/>
      <c r="AB112" s="260"/>
      <c r="AC112" s="260"/>
      <c r="AD112" s="260"/>
      <c r="AE112" s="260"/>
      <c r="AF112" s="260"/>
      <c r="AG112" s="260"/>
      <c r="AH112" s="261"/>
      <c r="AI112" s="261"/>
      <c r="AJ112" s="261"/>
      <c r="AK112" s="261"/>
      <c r="AL112" s="400"/>
      <c r="AM112" s="400"/>
      <c r="AN112" s="400"/>
      <c r="AO112" s="400"/>
      <c r="AP112" s="400"/>
      <c r="AQ112" s="400"/>
      <c r="AR112" s="400"/>
      <c r="AS112" s="399"/>
      <c r="AT112" s="399"/>
      <c r="AU112" s="399"/>
      <c r="AV112" s="399"/>
      <c r="AW112" s="399"/>
      <c r="AX112" s="399"/>
    </row>
    <row r="113" spans="11:50" ht="15.75" thickBot="1">
      <c r="K113" s="410" t="s">
        <v>20</v>
      </c>
      <c r="L113" s="410" t="s">
        <v>20</v>
      </c>
      <c r="M113" s="410"/>
      <c r="N113" s="410"/>
      <c r="O113" s="410"/>
      <c r="P113" s="410"/>
      <c r="Q113" s="410"/>
      <c r="R113" s="410"/>
      <c r="S113" s="417">
        <v>766622</v>
      </c>
      <c r="T113" s="417">
        <v>841704</v>
      </c>
      <c r="U113" s="417">
        <v>848091</v>
      </c>
      <c r="V113" s="417">
        <v>937039</v>
      </c>
      <c r="W113" s="417">
        <v>954500</v>
      </c>
      <c r="AA113" s="260"/>
      <c r="AB113" s="260"/>
      <c r="AC113" s="260"/>
      <c r="AD113" s="260"/>
      <c r="AE113" s="260"/>
      <c r="AF113" s="260"/>
      <c r="AG113" s="260"/>
      <c r="AH113" s="261"/>
      <c r="AI113" s="261"/>
      <c r="AJ113" s="261"/>
      <c r="AK113" s="261"/>
      <c r="AL113" s="400"/>
      <c r="AM113" s="400"/>
      <c r="AN113" s="399"/>
      <c r="AO113" s="399"/>
      <c r="AP113" s="399"/>
      <c r="AQ113" s="399"/>
      <c r="AR113" s="399"/>
      <c r="AS113" s="399"/>
      <c r="AT113" s="399"/>
      <c r="AU113" s="399"/>
      <c r="AV113" s="399"/>
      <c r="AW113" s="399"/>
      <c r="AX113" s="399"/>
    </row>
    <row r="114" spans="11:50" ht="15.75" thickTop="1">
      <c r="K114" s="11" t="s">
        <v>55</v>
      </c>
      <c r="AL114" s="400"/>
      <c r="AM114" s="399"/>
      <c r="AN114" s="399"/>
      <c r="AO114" s="399"/>
      <c r="AP114" s="399"/>
      <c r="AQ114" s="399"/>
      <c r="AR114" s="399"/>
      <c r="AS114" s="399"/>
      <c r="AT114" s="399"/>
      <c r="AU114" s="399"/>
      <c r="AV114" s="399"/>
      <c r="AW114" s="399"/>
      <c r="AX114" s="399"/>
    </row>
    <row r="115" spans="11:50">
      <c r="K115" s="11" t="s">
        <v>55</v>
      </c>
      <c r="AL115" s="400"/>
      <c r="AM115" s="399"/>
      <c r="AN115" s="399"/>
      <c r="AO115" s="399"/>
      <c r="AP115" s="399"/>
      <c r="AQ115" s="399"/>
      <c r="AR115" s="399"/>
      <c r="AS115" s="399"/>
      <c r="AT115" s="399"/>
      <c r="AU115" s="399"/>
      <c r="AV115" s="399"/>
      <c r="AW115" s="399"/>
      <c r="AX115" s="399"/>
    </row>
    <row r="116" spans="11:50">
      <c r="K116" s="11" t="s">
        <v>189</v>
      </c>
      <c r="M116" s="11" t="s">
        <v>190</v>
      </c>
      <c r="P116" s="11" t="s">
        <v>286</v>
      </c>
      <c r="R116" s="11" t="s">
        <v>287</v>
      </c>
      <c r="AL116" s="400"/>
      <c r="AM116" s="399"/>
      <c r="AN116" s="400"/>
      <c r="AO116" s="399"/>
      <c r="AP116" s="399"/>
      <c r="AQ116" s="400"/>
      <c r="AR116" s="399"/>
      <c r="AS116" s="399"/>
      <c r="AT116" s="399"/>
      <c r="AU116" s="399"/>
      <c r="AV116" s="399"/>
      <c r="AW116" s="399"/>
      <c r="AX116" s="399"/>
    </row>
    <row r="117" spans="11:50">
      <c r="K117" s="11" t="s">
        <v>191</v>
      </c>
      <c r="M117" s="11" t="s">
        <v>221</v>
      </c>
      <c r="P117" s="11" t="s">
        <v>288</v>
      </c>
      <c r="R117" s="11" t="s">
        <v>287</v>
      </c>
      <c r="AL117" s="400"/>
      <c r="AM117" s="399"/>
      <c r="AN117" s="400"/>
      <c r="AO117" s="399"/>
      <c r="AP117" s="399"/>
      <c r="AQ117" s="400"/>
      <c r="AR117" s="399"/>
      <c r="AS117" s="399"/>
      <c r="AT117" s="399"/>
      <c r="AU117" s="399"/>
      <c r="AV117" s="399"/>
      <c r="AW117" s="399"/>
      <c r="AX117" s="399"/>
    </row>
    <row r="118" spans="11:50">
      <c r="K118" s="11" t="s">
        <v>193</v>
      </c>
      <c r="M118" s="11" t="s">
        <v>723</v>
      </c>
      <c r="P118" s="11" t="s">
        <v>289</v>
      </c>
      <c r="R118" s="11" t="s">
        <v>290</v>
      </c>
      <c r="T118" s="11" t="s">
        <v>426</v>
      </c>
      <c r="U118" s="11" t="s">
        <v>427</v>
      </c>
      <c r="V118" s="11" t="s">
        <v>428</v>
      </c>
      <c r="W118" s="11" t="s">
        <v>429</v>
      </c>
      <c r="AL118" s="400"/>
      <c r="AM118" s="399"/>
      <c r="AN118" s="400"/>
      <c r="AO118" s="399"/>
      <c r="AP118" s="399"/>
      <c r="AQ118" s="400"/>
      <c r="AR118" s="399"/>
      <c r="AS118" s="399"/>
      <c r="AT118" s="399"/>
      <c r="AU118" s="399"/>
      <c r="AV118" s="399"/>
      <c r="AW118" s="399"/>
      <c r="AX118" s="399"/>
    </row>
    <row r="119" spans="11:50">
      <c r="K119" s="11" t="s">
        <v>194</v>
      </c>
      <c r="M119" s="11" t="s">
        <v>793</v>
      </c>
      <c r="N119" s="11" t="s">
        <v>794</v>
      </c>
      <c r="O119" s="11" t="s">
        <v>794</v>
      </c>
      <c r="P119" s="11" t="s">
        <v>794</v>
      </c>
      <c r="Q119" s="11" t="s">
        <v>794</v>
      </c>
      <c r="AL119" s="400"/>
      <c r="AM119" s="399"/>
      <c r="AN119" s="400"/>
      <c r="AO119" s="400"/>
      <c r="AP119" s="400"/>
      <c r="AQ119" s="400"/>
      <c r="AR119" s="400"/>
      <c r="AS119" s="399"/>
      <c r="AT119" s="399"/>
      <c r="AU119" s="399"/>
      <c r="AV119" s="399"/>
      <c r="AW119" s="399"/>
      <c r="AX119" s="399"/>
    </row>
    <row r="120" spans="11:50">
      <c r="K120" s="11" t="s">
        <v>55</v>
      </c>
    </row>
    <row r="121" spans="11:50">
      <c r="K121" s="11" t="s">
        <v>197</v>
      </c>
    </row>
    <row r="122" spans="11:50">
      <c r="K122" s="11" t="s">
        <v>199</v>
      </c>
    </row>
    <row r="123" spans="11:50">
      <c r="K123" s="11" t="s">
        <v>200</v>
      </c>
      <c r="M123" s="11" t="s">
        <v>430</v>
      </c>
      <c r="N123" s="11" t="s">
        <v>431</v>
      </c>
      <c r="O123" s="11" t="s">
        <v>432</v>
      </c>
      <c r="P123" s="11" t="s">
        <v>433</v>
      </c>
      <c r="Q123" s="11" t="s">
        <v>434</v>
      </c>
      <c r="R123" s="11" t="s">
        <v>435</v>
      </c>
      <c r="S123" s="11" t="s">
        <v>436</v>
      </c>
      <c r="T123" s="11" t="s">
        <v>437</v>
      </c>
      <c r="U123" s="11" t="s">
        <v>438</v>
      </c>
      <c r="V123" s="11" t="s">
        <v>439</v>
      </c>
      <c r="W123" s="11" t="s">
        <v>440</v>
      </c>
      <c r="X123" s="11" t="s">
        <v>441</v>
      </c>
    </row>
    <row r="124" spans="11:50">
      <c r="K124" s="11" t="s">
        <v>201</v>
      </c>
      <c r="M124" s="11" t="s">
        <v>442</v>
      </c>
    </row>
    <row r="125" spans="11:50">
      <c r="K125" s="11" t="s">
        <v>293</v>
      </c>
    </row>
    <row r="126" spans="11:50">
      <c r="K126" s="11" t="s">
        <v>294</v>
      </c>
    </row>
    <row r="127" spans="11:50">
      <c r="K127" s="11" t="s">
        <v>295</v>
      </c>
    </row>
    <row r="128" spans="11:50">
      <c r="K128" s="11" t="s">
        <v>296</v>
      </c>
    </row>
    <row r="129" spans="11:22">
      <c r="K129" s="11" t="s">
        <v>297</v>
      </c>
    </row>
    <row r="130" spans="11:22">
      <c r="K130" s="11" t="s">
        <v>298</v>
      </c>
    </row>
    <row r="131" spans="11:22">
      <c r="K131" s="11" t="s">
        <v>299</v>
      </c>
    </row>
    <row r="132" spans="11:22">
      <c r="K132" s="11" t="s">
        <v>55</v>
      </c>
    </row>
    <row r="133" spans="11:22">
      <c r="K133" s="11" t="s">
        <v>300</v>
      </c>
    </row>
    <row r="134" spans="11:22">
      <c r="L134" s="11" t="s">
        <v>301</v>
      </c>
      <c r="M134" s="11" t="s">
        <v>302</v>
      </c>
      <c r="N134" s="11" t="s">
        <v>303</v>
      </c>
      <c r="O134" s="11" t="s">
        <v>304</v>
      </c>
      <c r="P134" s="11" t="s">
        <v>305</v>
      </c>
      <c r="Q134" s="11" t="s">
        <v>306</v>
      </c>
      <c r="R134" s="11" t="s">
        <v>307</v>
      </c>
      <c r="S134" s="11" t="s">
        <v>308</v>
      </c>
      <c r="T134" s="11" t="s">
        <v>309</v>
      </c>
      <c r="U134" s="11" t="s">
        <v>310</v>
      </c>
      <c r="V134" s="11" t="s">
        <v>311</v>
      </c>
    </row>
  </sheetData>
  <phoneticPr fontId="15" type="noConversion"/>
  <pageMargins left="0.75" right="0.75" top="1" bottom="1" header="0.5" footer="0.5"/>
  <pageSetup scale="68" fitToHeight="2" orientation="portrait" r:id="rId1"/>
  <headerFooter alignWithMargins="0"/>
  <colBreaks count="1" manualBreakCount="1">
    <brk id="10" max="62"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T51"/>
  <sheetViews>
    <sheetView zoomScaleNormal="100" workbookViewId="0">
      <selection activeCell="D8" sqref="D8"/>
    </sheetView>
  </sheetViews>
  <sheetFormatPr defaultRowHeight="15"/>
  <cols>
    <col min="1" max="1" width="11" style="2" customWidth="1"/>
    <col min="2" max="2" width="34.85546875" style="2" customWidth="1"/>
    <col min="3" max="4" width="17" style="2" customWidth="1"/>
    <col min="5" max="5" width="13.85546875" style="2" customWidth="1"/>
    <col min="6" max="6" width="1.7109375" style="26" customWidth="1"/>
    <col min="7" max="7" width="16.5703125" style="2" customWidth="1"/>
    <col min="8" max="8" width="1.7109375" style="26" customWidth="1"/>
    <col min="9" max="13" width="15.140625" style="2" customWidth="1"/>
    <col min="14" max="14" width="11.85546875" style="11" customWidth="1"/>
    <col min="15" max="15" width="9.140625" style="2"/>
    <col min="16" max="20" width="9.140625" style="11"/>
    <col min="21" max="16384" width="9.140625" style="2"/>
  </cols>
  <sheetData>
    <row r="1" spans="1:14">
      <c r="A1" s="1" t="s">
        <v>0</v>
      </c>
      <c r="B1" s="1"/>
    </row>
    <row r="2" spans="1:14">
      <c r="A2" s="24" t="str">
        <f>Comparison!A2</f>
        <v>2016 Budget - 40990 Corporate</v>
      </c>
      <c r="B2" s="24"/>
    </row>
    <row r="3" spans="1:14">
      <c r="A3" s="24" t="s">
        <v>35</v>
      </c>
      <c r="B3" s="24"/>
      <c r="C3" s="1"/>
      <c r="D3" s="1"/>
      <c r="E3" s="1"/>
      <c r="F3" s="186"/>
      <c r="G3" s="1"/>
      <c r="H3" s="186"/>
      <c r="I3" s="1"/>
    </row>
    <row r="4" spans="1:14">
      <c r="A4" s="24" t="s">
        <v>183</v>
      </c>
      <c r="B4" s="104"/>
      <c r="C4" s="104"/>
      <c r="D4" s="104"/>
      <c r="E4" s="104"/>
      <c r="F4" s="115"/>
      <c r="G4" s="104"/>
      <c r="H4" s="115"/>
      <c r="I4" s="104"/>
      <c r="J4" s="546" t="s">
        <v>816</v>
      </c>
      <c r="K4" s="546"/>
      <c r="L4" s="546"/>
      <c r="M4" s="546"/>
    </row>
    <row r="5" spans="1:14">
      <c r="A5" s="24"/>
      <c r="B5" s="104"/>
      <c r="C5" s="104"/>
      <c r="D5" s="104"/>
      <c r="E5" s="104"/>
      <c r="F5" s="115"/>
      <c r="H5" s="187"/>
      <c r="J5" s="240">
        <v>3.6999999999999998E-2</v>
      </c>
      <c r="K5" s="240">
        <v>3.5999999999999997E-2</v>
      </c>
      <c r="L5" s="240">
        <v>3.1E-2</v>
      </c>
      <c r="M5" s="240">
        <v>2.8000000000000001E-2</v>
      </c>
    </row>
    <row r="6" spans="1:14" s="11" customFormat="1">
      <c r="A6" s="6"/>
      <c r="B6" s="6"/>
      <c r="C6" s="88" t="s">
        <v>867</v>
      </c>
      <c r="D6" s="88" t="s">
        <v>867</v>
      </c>
      <c r="E6" s="6"/>
      <c r="F6" s="43"/>
      <c r="G6" s="21">
        <v>2015</v>
      </c>
      <c r="H6" s="43"/>
      <c r="I6" s="202"/>
      <c r="J6" s="239"/>
      <c r="K6" s="239"/>
      <c r="L6" s="239"/>
      <c r="M6" s="239"/>
    </row>
    <row r="7" spans="1:14" s="11" customFormat="1">
      <c r="A7" s="6" t="s">
        <v>128</v>
      </c>
      <c r="B7" s="6"/>
      <c r="C7" s="57" t="s">
        <v>186</v>
      </c>
      <c r="D7" s="57" t="s">
        <v>2</v>
      </c>
      <c r="E7" s="14" t="s">
        <v>49</v>
      </c>
      <c r="F7" s="88"/>
      <c r="G7" s="14" t="s">
        <v>2</v>
      </c>
      <c r="H7" s="88"/>
      <c r="I7" s="538">
        <v>2016</v>
      </c>
      <c r="J7" s="234">
        <v>2017</v>
      </c>
      <c r="K7" s="234">
        <f>J7+1</f>
        <v>2018</v>
      </c>
      <c r="L7" s="234">
        <f>K7+1</f>
        <v>2019</v>
      </c>
      <c r="M7" s="234">
        <f>L7+1</f>
        <v>2020</v>
      </c>
    </row>
    <row r="8" spans="1:14" s="11" customFormat="1">
      <c r="A8" s="74" t="s">
        <v>209</v>
      </c>
      <c r="B8" s="40" t="s">
        <v>77</v>
      </c>
      <c r="C8" s="84">
        <v>522395.28</v>
      </c>
      <c r="D8" s="84">
        <v>522395</v>
      </c>
      <c r="E8" s="84">
        <f t="shared" ref="E8:E13" si="0">C8-D8</f>
        <v>0.28000000002793968</v>
      </c>
      <c r="F8" s="84"/>
      <c r="G8" s="84">
        <v>522395</v>
      </c>
      <c r="H8" s="84"/>
      <c r="I8" s="84">
        <v>636637.8764193001</v>
      </c>
      <c r="J8" s="238">
        <f>I8*(1+$J$5)</f>
        <v>660193.4778468142</v>
      </c>
      <c r="K8" s="238">
        <f>J8*(1+$K$5)</f>
        <v>683960.44304929953</v>
      </c>
      <c r="L8" s="238">
        <f>K8*(1+$L$5)</f>
        <v>705163.21678382775</v>
      </c>
      <c r="M8" s="238">
        <f>L8*(1+$M$5)</f>
        <v>724907.78685377492</v>
      </c>
    </row>
    <row r="9" spans="1:14" s="11" customFormat="1">
      <c r="A9" s="74" t="s">
        <v>210</v>
      </c>
      <c r="B9" s="40" t="s">
        <v>76</v>
      </c>
      <c r="C9" s="84">
        <v>38401.800000000003</v>
      </c>
      <c r="D9" s="84">
        <v>38402</v>
      </c>
      <c r="E9" s="84">
        <f t="shared" si="0"/>
        <v>-0.19999999999708962</v>
      </c>
      <c r="F9" s="84"/>
      <c r="G9" s="84">
        <v>38402</v>
      </c>
      <c r="H9" s="84"/>
      <c r="I9" s="84">
        <f>32212+2648</f>
        <v>34860</v>
      </c>
      <c r="J9" s="238">
        <f>I9*(1+$J$5)</f>
        <v>36149.82</v>
      </c>
      <c r="K9" s="238">
        <f>J9*(1+$K$5)</f>
        <v>37451.213519999998</v>
      </c>
      <c r="L9" s="238">
        <f>K9*(1+$L$5)</f>
        <v>38612.201139119992</v>
      </c>
      <c r="M9" s="238">
        <f>L9*(1+$M$5)</f>
        <v>39693.342771015356</v>
      </c>
    </row>
    <row r="10" spans="1:14" s="11" customFormat="1">
      <c r="A10" s="82" t="s">
        <v>211</v>
      </c>
      <c r="B10" s="83" t="s">
        <v>75</v>
      </c>
      <c r="C10" s="84">
        <v>197190.24</v>
      </c>
      <c r="D10" s="84">
        <v>197190</v>
      </c>
      <c r="E10" s="84">
        <f t="shared" si="0"/>
        <v>0.23999999999068677</v>
      </c>
      <c r="F10" s="84"/>
      <c r="G10" s="84">
        <v>197190</v>
      </c>
      <c r="H10" s="84"/>
      <c r="I10" s="84">
        <v>205835.51985479999</v>
      </c>
      <c r="J10" s="238">
        <f>I10*(1+$J$5)</f>
        <v>213451.43408942758</v>
      </c>
      <c r="K10" s="238">
        <f>J10*(1+$K$5)</f>
        <v>221135.68571664699</v>
      </c>
      <c r="L10" s="238">
        <f>K10*(1+$L$5)</f>
        <v>227990.89197386304</v>
      </c>
      <c r="M10" s="238">
        <f>L10*(1+$M$5)</f>
        <v>234374.63694913121</v>
      </c>
    </row>
    <row r="11" spans="1:14" s="11" customFormat="1">
      <c r="A11" s="82" t="s">
        <v>212</v>
      </c>
      <c r="B11" s="83" t="s">
        <v>74</v>
      </c>
      <c r="C11" s="84">
        <v>73042.92</v>
      </c>
      <c r="D11" s="84">
        <v>73043</v>
      </c>
      <c r="E11" s="84">
        <f t="shared" si="0"/>
        <v>-8.000000000174623E-2</v>
      </c>
      <c r="F11" s="84"/>
      <c r="G11" s="84">
        <v>73043</v>
      </c>
      <c r="H11" s="84"/>
      <c r="I11" s="84">
        <v>76431.556475999998</v>
      </c>
      <c r="J11" s="238">
        <f>I11*(1+$J$5)</f>
        <v>79259.524065611986</v>
      </c>
      <c r="K11" s="238">
        <f>J11*(1+$K$5)</f>
        <v>82112.866931974015</v>
      </c>
      <c r="L11" s="238">
        <f>K11*(1+$L$5)</f>
        <v>84658.3658068652</v>
      </c>
      <c r="M11" s="238">
        <f>L11*(1+$M$5)</f>
        <v>87028.800049457423</v>
      </c>
    </row>
    <row r="12" spans="1:14" s="11" customFormat="1">
      <c r="A12" s="82" t="s">
        <v>213</v>
      </c>
      <c r="B12" s="83" t="s">
        <v>395</v>
      </c>
      <c r="C12" s="84">
        <v>71654.52</v>
      </c>
      <c r="D12" s="84">
        <v>71654</v>
      </c>
      <c r="E12" s="84">
        <f t="shared" si="0"/>
        <v>0.52000000000407454</v>
      </c>
      <c r="F12" s="84"/>
      <c r="G12" s="84">
        <v>71654</v>
      </c>
      <c r="H12" s="84"/>
      <c r="I12" s="84">
        <v>86143.991009999998</v>
      </c>
      <c r="J12" s="238">
        <f>I12*(1+$J$5)</f>
        <v>89331.318677369985</v>
      </c>
      <c r="K12" s="238">
        <f>J12*(1+$K$5)</f>
        <v>92547.246149755301</v>
      </c>
      <c r="L12" s="238">
        <f>K12*(1+$L$5)</f>
        <v>95416.210780397712</v>
      </c>
      <c r="M12" s="238">
        <f>L12*(1+$M$5)</f>
        <v>98087.864682248852</v>
      </c>
    </row>
    <row r="13" spans="1:14" s="11" customFormat="1" ht="15.75" thickBot="1">
      <c r="B13" s="188" t="s">
        <v>20</v>
      </c>
      <c r="C13" s="189">
        <f>SUM(C8:C12)</f>
        <v>902684.76000000013</v>
      </c>
      <c r="D13" s="189">
        <f>SUM(D8:D12)</f>
        <v>902684</v>
      </c>
      <c r="E13" s="189">
        <f t="shared" si="0"/>
        <v>0.76000000012572855</v>
      </c>
      <c r="F13" s="85"/>
      <c r="G13" s="189">
        <f>SUM(G8:G12)</f>
        <v>902684</v>
      </c>
      <c r="H13" s="85"/>
      <c r="I13" s="78">
        <f>SUM(I8:I12)</f>
        <v>1039908.9437601001</v>
      </c>
      <c r="J13" s="237">
        <f>SUM(J8:J12)</f>
        <v>1078385.5746792238</v>
      </c>
      <c r="K13" s="237">
        <f>SUM(K8:K12)</f>
        <v>1117207.4553676757</v>
      </c>
      <c r="L13" s="237">
        <f>SUM(L8:L12)</f>
        <v>1151840.8864840737</v>
      </c>
      <c r="M13" s="237">
        <f>SUM(M8:M12)</f>
        <v>1184092.4313056278</v>
      </c>
    </row>
    <row r="14" spans="1:14" s="11" customFormat="1" ht="15.75" thickTop="1">
      <c r="C14" s="6"/>
      <c r="D14" s="6"/>
      <c r="E14" s="6"/>
      <c r="F14" s="43"/>
      <c r="G14" s="6"/>
      <c r="H14" s="43"/>
      <c r="I14" s="208"/>
      <c r="J14" s="7"/>
      <c r="K14" s="7"/>
      <c r="L14" s="7"/>
      <c r="M14" s="7"/>
    </row>
    <row r="15" spans="1:14" s="11" customFormat="1">
      <c r="C15" s="17"/>
      <c r="D15" s="17"/>
      <c r="E15" s="17"/>
      <c r="F15" s="84"/>
      <c r="G15" s="17"/>
      <c r="H15" s="84"/>
      <c r="I15" s="17"/>
      <c r="J15" s="17"/>
      <c r="K15" s="17"/>
      <c r="L15" s="17"/>
      <c r="M15" s="17"/>
      <c r="N15" s="17"/>
    </row>
    <row r="16" spans="1:14" s="11" customFormat="1" hidden="1">
      <c r="A16" s="6" t="s">
        <v>21</v>
      </c>
      <c r="B16" s="6"/>
      <c r="C16" s="17"/>
      <c r="D16" s="17"/>
      <c r="E16" s="17"/>
      <c r="F16" s="84"/>
      <c r="G16" s="17"/>
      <c r="H16" s="84"/>
      <c r="I16" s="17"/>
      <c r="J16" s="17"/>
      <c r="K16" s="17"/>
      <c r="L16" s="17"/>
      <c r="M16" s="17"/>
      <c r="N16" s="17"/>
    </row>
    <row r="17" spans="1:15" s="11" customFormat="1" hidden="1">
      <c r="A17" s="74" t="s">
        <v>209</v>
      </c>
      <c r="B17" s="40" t="s">
        <v>77</v>
      </c>
      <c r="C17" s="17"/>
      <c r="D17" s="17"/>
      <c r="E17" s="17"/>
      <c r="F17" s="84"/>
      <c r="G17" s="17"/>
      <c r="H17" s="84"/>
      <c r="I17" s="174">
        <f>I8/12</f>
        <v>53053.156368275006</v>
      </c>
      <c r="J17" s="174">
        <f>J8/12</f>
        <v>55016.123153901186</v>
      </c>
      <c r="K17" s="174">
        <f>K8/12</f>
        <v>56996.703587441625</v>
      </c>
      <c r="L17" s="174">
        <f>L8/12</f>
        <v>58763.60139865231</v>
      </c>
      <c r="M17" s="175">
        <f>M8/12</f>
        <v>60408.982237814576</v>
      </c>
      <c r="N17" s="17"/>
    </row>
    <row r="18" spans="1:15" s="11" customFormat="1" hidden="1">
      <c r="A18" s="74" t="s">
        <v>210</v>
      </c>
      <c r="B18" s="40" t="s">
        <v>76</v>
      </c>
      <c r="C18" s="17"/>
      <c r="D18" s="17"/>
      <c r="E18" s="17"/>
      <c r="F18" s="84"/>
      <c r="G18" s="17"/>
      <c r="H18" s="84"/>
      <c r="I18" s="84">
        <f t="shared" ref="I18:M21" si="1">I9/12</f>
        <v>2905</v>
      </c>
      <c r="J18" s="84">
        <f t="shared" si="1"/>
        <v>3012.4850000000001</v>
      </c>
      <c r="K18" s="84">
        <f t="shared" si="1"/>
        <v>3120.9344599999999</v>
      </c>
      <c r="L18" s="84">
        <f t="shared" si="1"/>
        <v>3217.6834282599993</v>
      </c>
      <c r="M18" s="172">
        <f t="shared" si="1"/>
        <v>3307.7785642512795</v>
      </c>
      <c r="N18" s="17"/>
    </row>
    <row r="19" spans="1:15" s="11" customFormat="1" hidden="1">
      <c r="A19" s="82" t="s">
        <v>211</v>
      </c>
      <c r="B19" s="83" t="s">
        <v>75</v>
      </c>
      <c r="C19" s="17"/>
      <c r="D19" s="17"/>
      <c r="E19" s="17"/>
      <c r="F19" s="84"/>
      <c r="G19" s="17"/>
      <c r="H19" s="84"/>
      <c r="I19" s="84">
        <f t="shared" si="1"/>
        <v>17152.959987899998</v>
      </c>
      <c r="J19" s="84">
        <f t="shared" si="1"/>
        <v>17787.619507452298</v>
      </c>
      <c r="K19" s="84">
        <f t="shared" si="1"/>
        <v>18427.973809720581</v>
      </c>
      <c r="L19" s="84">
        <f t="shared" si="1"/>
        <v>18999.240997821918</v>
      </c>
      <c r="M19" s="172">
        <f t="shared" si="1"/>
        <v>19531.219745760933</v>
      </c>
      <c r="N19" s="17"/>
    </row>
    <row r="20" spans="1:15" s="11" customFormat="1" hidden="1">
      <c r="A20" s="82" t="s">
        <v>212</v>
      </c>
      <c r="B20" s="83" t="s">
        <v>74</v>
      </c>
      <c r="C20" s="17"/>
      <c r="D20" s="17"/>
      <c r="E20" s="17"/>
      <c r="F20" s="84"/>
      <c r="G20" s="17"/>
      <c r="H20" s="84"/>
      <c r="I20" s="84">
        <f t="shared" si="1"/>
        <v>6369.2963730000001</v>
      </c>
      <c r="J20" s="84">
        <f t="shared" si="1"/>
        <v>6604.9603388009991</v>
      </c>
      <c r="K20" s="84">
        <f t="shared" si="1"/>
        <v>6842.7389109978349</v>
      </c>
      <c r="L20" s="84">
        <f t="shared" si="1"/>
        <v>7054.8638172387664</v>
      </c>
      <c r="M20" s="172">
        <f t="shared" si="1"/>
        <v>7252.4000041214522</v>
      </c>
      <c r="N20" s="17"/>
    </row>
    <row r="21" spans="1:15" s="11" customFormat="1" hidden="1">
      <c r="A21" s="82" t="s">
        <v>213</v>
      </c>
      <c r="B21" s="83" t="s">
        <v>73</v>
      </c>
      <c r="C21" s="17"/>
      <c r="D21" s="17"/>
      <c r="E21" s="17"/>
      <c r="F21" s="84"/>
      <c r="G21" s="17"/>
      <c r="H21" s="84"/>
      <c r="I21" s="84">
        <f t="shared" si="1"/>
        <v>7178.6659174999995</v>
      </c>
      <c r="J21" s="84">
        <f t="shared" si="1"/>
        <v>7444.2765564474985</v>
      </c>
      <c r="K21" s="84">
        <f t="shared" si="1"/>
        <v>7712.2705124796084</v>
      </c>
      <c r="L21" s="84">
        <f t="shared" si="1"/>
        <v>7951.350898366476</v>
      </c>
      <c r="M21" s="172">
        <f t="shared" si="1"/>
        <v>8173.9887235207379</v>
      </c>
      <c r="N21" s="17"/>
    </row>
    <row r="22" spans="1:15" s="11" customFormat="1" ht="15.75" hidden="1" thickBot="1">
      <c r="B22" s="83" t="s">
        <v>20</v>
      </c>
      <c r="C22" s="17"/>
      <c r="D22" s="17"/>
      <c r="E22" s="17"/>
      <c r="F22" s="84"/>
      <c r="G22" s="17"/>
      <c r="H22" s="84"/>
      <c r="I22" s="78">
        <f>SUM(I17:I21)</f>
        <v>86659.078646675</v>
      </c>
      <c r="J22" s="78">
        <f>SUM(J17:J21)</f>
        <v>89865.464556601975</v>
      </c>
      <c r="K22" s="78">
        <f>SUM(K17:K21)</f>
        <v>93100.621280639651</v>
      </c>
      <c r="L22" s="78">
        <f>SUM(L17:L21)</f>
        <v>95986.740540339481</v>
      </c>
      <c r="M22" s="173">
        <f>SUM(M17:M21)</f>
        <v>98674.369275468984</v>
      </c>
      <c r="N22" s="17"/>
    </row>
    <row r="23" spans="1:15" s="11" customFormat="1" hidden="1">
      <c r="C23" s="17"/>
      <c r="D23" s="17"/>
      <c r="E23" s="17"/>
      <c r="F23" s="84"/>
      <c r="G23" s="17"/>
      <c r="H23" s="84"/>
      <c r="I23" s="17"/>
      <c r="J23" s="17"/>
      <c r="K23" s="17"/>
      <c r="L23" s="17"/>
      <c r="M23" s="17"/>
      <c r="N23" s="17"/>
    </row>
    <row r="24" spans="1:15" s="11" customFormat="1">
      <c r="C24" s="17"/>
      <c r="D24" s="17"/>
      <c r="E24" s="17"/>
      <c r="F24" s="84"/>
      <c r="G24" s="17"/>
      <c r="H24" s="84"/>
      <c r="I24" s="17"/>
      <c r="J24" s="17"/>
      <c r="K24" s="17"/>
      <c r="L24" s="17"/>
      <c r="M24" s="17"/>
      <c r="N24" s="17"/>
    </row>
    <row r="25" spans="1:15" s="11" customFormat="1">
      <c r="A25" s="150" t="s">
        <v>833</v>
      </c>
      <c r="B25" s="86"/>
      <c r="F25" s="33"/>
      <c r="H25" s="33"/>
    </row>
    <row r="26" spans="1:15" s="11" customFormat="1">
      <c r="A26" s="4" t="s">
        <v>866</v>
      </c>
      <c r="B26" s="265"/>
      <c r="C26" s="265"/>
      <c r="D26" s="265"/>
      <c r="E26" s="265"/>
      <c r="F26" s="33"/>
      <c r="H26" s="33"/>
      <c r="M26" s="39"/>
    </row>
    <row r="27" spans="1:15" s="11" customFormat="1">
      <c r="A27" s="4" t="s">
        <v>868</v>
      </c>
      <c r="F27" s="33"/>
      <c r="H27" s="33"/>
      <c r="M27" s="39"/>
    </row>
    <row r="28" spans="1:15" s="11" customFormat="1">
      <c r="A28" s="33"/>
      <c r="B28" s="33"/>
      <c r="C28" s="33"/>
      <c r="D28" s="33"/>
      <c r="E28" s="33"/>
      <c r="F28" s="33"/>
      <c r="G28" s="33"/>
      <c r="H28" s="33"/>
      <c r="I28" s="33"/>
      <c r="J28" s="33"/>
      <c r="K28" s="33"/>
      <c r="L28" s="33"/>
      <c r="M28" s="39"/>
      <c r="N28" s="33"/>
      <c r="O28" s="33"/>
    </row>
    <row r="29" spans="1:15" s="11" customFormat="1">
      <c r="A29" s="33" t="s">
        <v>834</v>
      </c>
      <c r="B29" s="33"/>
      <c r="C29" s="33"/>
      <c r="D29" s="33"/>
      <c r="E29" s="33"/>
      <c r="F29" s="33"/>
      <c r="G29" s="33"/>
      <c r="H29" s="33"/>
      <c r="I29" s="33"/>
      <c r="J29" s="33"/>
      <c r="K29" s="33"/>
      <c r="L29" s="33"/>
      <c r="M29" s="39"/>
      <c r="N29" s="33"/>
      <c r="O29" s="33"/>
    </row>
    <row r="30" spans="1:15">
      <c r="A30" s="33"/>
      <c r="B30" s="504"/>
      <c r="C30" s="504"/>
      <c r="D30" s="504"/>
      <c r="E30" s="504"/>
      <c r="F30" s="504"/>
      <c r="G30" s="504"/>
      <c r="H30" s="504"/>
      <c r="I30" s="504"/>
      <c r="J30" s="504"/>
      <c r="K30" s="504"/>
      <c r="L30" s="504"/>
      <c r="M30" s="504"/>
      <c r="N30" s="33"/>
      <c r="O30" s="33"/>
    </row>
    <row r="31" spans="1:15">
      <c r="A31" s="127"/>
      <c r="B31" s="33"/>
      <c r="C31" s="33"/>
      <c r="D31" s="33"/>
      <c r="E31" s="33"/>
      <c r="F31" s="33"/>
      <c r="G31" s="33"/>
      <c r="H31" s="33"/>
      <c r="I31" s="33"/>
      <c r="J31" s="33"/>
      <c r="K31" s="33"/>
      <c r="L31" s="33"/>
      <c r="M31" s="33"/>
      <c r="N31" s="33"/>
      <c r="O31" s="33"/>
    </row>
    <row r="32" spans="1:15">
      <c r="A32" s="33"/>
      <c r="B32" s="505"/>
      <c r="C32" s="505"/>
      <c r="D32" s="506"/>
      <c r="E32" s="506"/>
      <c r="F32" s="507"/>
      <c r="G32" s="505"/>
      <c r="H32" s="507"/>
      <c r="I32" s="505"/>
      <c r="J32" s="506"/>
      <c r="K32" s="506"/>
      <c r="L32" s="506"/>
      <c r="M32" s="506"/>
      <c r="N32" s="33"/>
      <c r="O32" s="33"/>
    </row>
    <row r="33" spans="1:20" s="203" customFormat="1">
      <c r="A33" s="162"/>
      <c r="B33" s="162"/>
      <c r="C33" s="162"/>
      <c r="D33" s="162"/>
      <c r="E33" s="162"/>
      <c r="F33" s="162"/>
      <c r="G33" s="231"/>
      <c r="H33" s="162"/>
      <c r="I33" s="64"/>
      <c r="J33" s="162"/>
      <c r="K33" s="162"/>
      <c r="L33" s="162"/>
      <c r="M33" s="162"/>
      <c r="N33" s="162"/>
      <c r="O33" s="162"/>
      <c r="P33" s="204"/>
      <c r="Q33" s="204"/>
      <c r="R33" s="204"/>
      <c r="S33" s="204"/>
      <c r="T33" s="204"/>
    </row>
    <row r="34" spans="1:20" s="191" customFormat="1">
      <c r="A34" s="64"/>
      <c r="B34" s="64"/>
      <c r="C34" s="64"/>
      <c r="D34" s="64"/>
      <c r="E34" s="64"/>
      <c r="F34" s="64"/>
      <c r="G34" s="64"/>
      <c r="H34" s="64"/>
      <c r="I34" s="64"/>
      <c r="J34" s="64"/>
      <c r="K34" s="64"/>
      <c r="L34" s="64"/>
      <c r="M34" s="64"/>
      <c r="N34" s="64"/>
      <c r="O34" s="64"/>
      <c r="P34" s="15"/>
      <c r="Q34" s="15"/>
      <c r="R34" s="15"/>
      <c r="S34" s="15"/>
      <c r="T34" s="15"/>
    </row>
    <row r="35" spans="1:20">
      <c r="A35" s="33"/>
      <c r="B35" s="33"/>
      <c r="C35" s="33"/>
      <c r="D35" s="33"/>
      <c r="E35" s="33"/>
      <c r="F35" s="33"/>
      <c r="G35" s="33"/>
      <c r="H35" s="33"/>
      <c r="I35" s="33"/>
      <c r="J35" s="33"/>
      <c r="K35" s="33"/>
      <c r="L35" s="33"/>
      <c r="M35" s="33"/>
      <c r="N35" s="33"/>
      <c r="O35" s="33"/>
    </row>
    <row r="36" spans="1:20">
      <c r="A36" s="33"/>
      <c r="B36" s="33"/>
      <c r="C36" s="33"/>
      <c r="D36" s="33"/>
      <c r="E36" s="33"/>
      <c r="F36" s="33"/>
      <c r="G36" s="33"/>
      <c r="H36" s="33"/>
      <c r="I36" s="33"/>
      <c r="J36" s="33"/>
      <c r="K36" s="33"/>
      <c r="L36" s="33"/>
      <c r="M36" s="33"/>
      <c r="N36" s="33"/>
      <c r="O36" s="33"/>
    </row>
    <row r="37" spans="1:20">
      <c r="A37" s="33"/>
      <c r="B37" s="33"/>
      <c r="C37" s="33"/>
      <c r="D37" s="33"/>
      <c r="E37" s="33"/>
      <c r="F37" s="33"/>
      <c r="G37" s="127"/>
      <c r="H37" s="33"/>
      <c r="I37" s="33"/>
      <c r="J37" s="33"/>
      <c r="K37" s="33"/>
      <c r="L37" s="33"/>
      <c r="M37" s="33"/>
      <c r="N37" s="33"/>
      <c r="O37" s="33"/>
    </row>
    <row r="38" spans="1:20">
      <c r="A38" s="33"/>
      <c r="B38" s="33"/>
      <c r="C38" s="33"/>
      <c r="D38" s="33"/>
      <c r="E38" s="33"/>
      <c r="F38" s="33"/>
      <c r="G38" s="33"/>
      <c r="H38" s="33"/>
      <c r="I38" s="508"/>
      <c r="J38" s="508"/>
      <c r="K38" s="508"/>
      <c r="L38" s="508"/>
      <c r="M38" s="508"/>
      <c r="N38" s="33"/>
      <c r="O38" s="33"/>
    </row>
    <row r="39" spans="1:20">
      <c r="A39" s="33"/>
      <c r="B39" s="33"/>
      <c r="C39" s="33"/>
      <c r="D39" s="33"/>
      <c r="E39" s="33"/>
      <c r="F39" s="33"/>
      <c r="G39" s="33"/>
      <c r="H39" s="33"/>
      <c r="I39" s="508"/>
      <c r="J39" s="508"/>
      <c r="K39" s="508"/>
      <c r="L39" s="508"/>
      <c r="M39" s="508"/>
      <c r="N39" s="33"/>
      <c r="O39" s="33"/>
    </row>
    <row r="40" spans="1:20">
      <c r="A40" s="33"/>
      <c r="B40" s="33"/>
      <c r="C40" s="33"/>
      <c r="D40" s="33"/>
      <c r="E40" s="33"/>
      <c r="F40" s="33"/>
      <c r="G40" s="33"/>
      <c r="H40" s="33"/>
      <c r="I40" s="508"/>
      <c r="J40" s="508"/>
      <c r="K40" s="508"/>
      <c r="L40" s="508"/>
      <c r="M40" s="508"/>
      <c r="N40" s="33"/>
      <c r="O40" s="33"/>
    </row>
    <row r="41" spans="1:20">
      <c r="A41" s="33"/>
      <c r="B41" s="33"/>
      <c r="C41" s="33"/>
      <c r="D41" s="33"/>
      <c r="E41" s="33"/>
      <c r="F41" s="33"/>
      <c r="G41" s="33"/>
      <c r="H41" s="33"/>
      <c r="I41" s="508"/>
      <c r="J41" s="508"/>
      <c r="K41" s="508"/>
      <c r="L41" s="508"/>
      <c r="M41" s="508"/>
      <c r="N41" s="33"/>
      <c r="O41" s="33"/>
    </row>
    <row r="42" spans="1:20">
      <c r="A42" s="33"/>
      <c r="B42" s="33"/>
      <c r="C42" s="33"/>
      <c r="D42" s="33"/>
      <c r="E42" s="33"/>
      <c r="F42" s="33"/>
      <c r="G42" s="33"/>
      <c r="H42" s="33"/>
      <c r="I42" s="508"/>
      <c r="J42" s="508"/>
      <c r="K42" s="508"/>
      <c r="L42" s="508"/>
      <c r="M42" s="508"/>
      <c r="N42" s="33"/>
      <c r="O42" s="33"/>
    </row>
    <row r="43" spans="1:20">
      <c r="A43" s="33"/>
      <c r="B43" s="33"/>
      <c r="C43" s="33"/>
      <c r="D43" s="33"/>
      <c r="E43" s="33"/>
      <c r="F43" s="33"/>
      <c r="G43" s="33"/>
      <c r="H43" s="33"/>
      <c r="I43" s="508"/>
      <c r="J43" s="508"/>
      <c r="K43" s="508"/>
      <c r="L43" s="508"/>
      <c r="M43" s="508"/>
      <c r="N43" s="33"/>
      <c r="O43" s="33"/>
    </row>
    <row r="44" spans="1:20">
      <c r="A44" s="33"/>
      <c r="B44" s="33"/>
      <c r="C44" s="33"/>
      <c r="D44" s="33"/>
      <c r="E44" s="33"/>
      <c r="F44" s="33"/>
      <c r="G44" s="33"/>
      <c r="H44" s="33"/>
      <c r="I44" s="33"/>
      <c r="J44" s="33"/>
      <c r="K44" s="33"/>
      <c r="L44" s="33"/>
      <c r="M44" s="33"/>
      <c r="N44" s="33"/>
      <c r="O44" s="33"/>
    </row>
    <row r="45" spans="1:20">
      <c r="A45" s="33"/>
      <c r="B45" s="33"/>
      <c r="C45" s="33"/>
      <c r="D45" s="33"/>
      <c r="E45" s="33"/>
      <c r="F45" s="33"/>
      <c r="G45" s="33"/>
      <c r="H45" s="33"/>
      <c r="I45" s="159"/>
      <c r="J45" s="159"/>
      <c r="K45" s="159"/>
      <c r="L45" s="159"/>
      <c r="M45" s="159"/>
      <c r="N45" s="33"/>
      <c r="O45" s="33"/>
    </row>
    <row r="46" spans="1:20">
      <c r="A46" s="33"/>
      <c r="B46" s="33"/>
      <c r="C46" s="33"/>
      <c r="D46" s="33"/>
      <c r="E46" s="33"/>
      <c r="F46" s="33"/>
      <c r="G46" s="33"/>
      <c r="H46" s="33"/>
      <c r="I46" s="159"/>
      <c r="J46" s="159"/>
      <c r="K46" s="159"/>
      <c r="L46" s="159"/>
      <c r="M46" s="159"/>
      <c r="N46" s="33"/>
      <c r="O46" s="33"/>
    </row>
    <row r="47" spans="1:20">
      <c r="A47" s="33"/>
      <c r="B47" s="33"/>
      <c r="C47" s="33"/>
      <c r="D47" s="33"/>
      <c r="E47" s="33"/>
      <c r="F47" s="33"/>
      <c r="G47" s="33"/>
      <c r="H47" s="33"/>
      <c r="I47" s="159"/>
      <c r="J47" s="159"/>
      <c r="K47" s="159"/>
      <c r="L47" s="159"/>
      <c r="M47" s="159"/>
      <c r="N47" s="33"/>
      <c r="O47" s="33"/>
    </row>
    <row r="48" spans="1:20">
      <c r="A48" s="33"/>
      <c r="B48" s="33"/>
      <c r="C48" s="33"/>
      <c r="D48" s="33"/>
      <c r="E48" s="33"/>
      <c r="F48" s="33"/>
      <c r="G48" s="33"/>
      <c r="H48" s="33"/>
      <c r="I48" s="159"/>
      <c r="J48" s="159"/>
      <c r="K48" s="159"/>
      <c r="L48" s="159"/>
      <c r="M48" s="159"/>
      <c r="N48" s="33"/>
      <c r="O48" s="33"/>
    </row>
    <row r="49" spans="1:15">
      <c r="A49" s="33"/>
      <c r="B49" s="33"/>
      <c r="C49" s="33"/>
      <c r="D49" s="33"/>
      <c r="E49" s="33"/>
      <c r="F49" s="33"/>
      <c r="G49" s="33"/>
      <c r="H49" s="33"/>
      <c r="I49" s="159"/>
      <c r="J49" s="159"/>
      <c r="K49" s="159"/>
      <c r="L49" s="159"/>
      <c r="M49" s="159"/>
      <c r="N49" s="33"/>
      <c r="O49" s="33"/>
    </row>
    <row r="50" spans="1:15">
      <c r="A50" s="33"/>
      <c r="B50" s="33"/>
      <c r="C50" s="33"/>
      <c r="D50" s="33"/>
      <c r="E50" s="33"/>
      <c r="F50" s="33"/>
      <c r="G50" s="33"/>
      <c r="H50" s="33"/>
      <c r="I50" s="159"/>
      <c r="J50" s="159"/>
      <c r="K50" s="159"/>
      <c r="L50" s="159"/>
      <c r="M50" s="159"/>
      <c r="N50" s="33"/>
      <c r="O50" s="33"/>
    </row>
    <row r="51" spans="1:15">
      <c r="I51" s="235"/>
      <c r="J51" s="235"/>
      <c r="K51" s="235"/>
      <c r="L51" s="235"/>
      <c r="M51" s="235"/>
    </row>
  </sheetData>
  <mergeCells count="1">
    <mergeCell ref="J4:M4"/>
  </mergeCells>
  <phoneticPr fontId="15" type="noConversion"/>
  <pageMargins left="0.75" right="0.75" top="1" bottom="1" header="0.5" footer="0.5"/>
  <pageSetup scale="65"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R50"/>
  <sheetViews>
    <sheetView zoomScaleNormal="100" workbookViewId="0">
      <pane ySplit="4" topLeftCell="A8" activePane="bottomLeft" state="frozen"/>
      <selection activeCell="G26" sqref="G26"/>
      <selection pane="bottomLeft" activeCell="B35" sqref="B35"/>
    </sheetView>
  </sheetViews>
  <sheetFormatPr defaultRowHeight="15"/>
  <cols>
    <col min="1" max="1" width="34.42578125" style="2" customWidth="1"/>
    <col min="2" max="6" width="11.5703125" style="2" customWidth="1"/>
    <col min="7" max="7" width="12.7109375" style="2" customWidth="1"/>
    <col min="8" max="8" width="11.140625" style="2" customWidth="1"/>
    <col min="9" max="9" width="11.85546875" style="2" customWidth="1"/>
    <col min="10" max="10" width="22.5703125" style="2" bestFit="1" customWidth="1"/>
    <col min="11" max="11" width="25.7109375" style="2" bestFit="1" customWidth="1"/>
    <col min="12" max="12" width="10.42578125" style="2" bestFit="1" customWidth="1"/>
    <col min="13" max="13" width="11.28515625" style="2" bestFit="1" customWidth="1"/>
    <col min="14" max="16384" width="9.140625" style="2"/>
  </cols>
  <sheetData>
    <row r="1" spans="1:18">
      <c r="A1" s="1" t="s">
        <v>0</v>
      </c>
    </row>
    <row r="2" spans="1:18">
      <c r="A2" s="24" t="str">
        <f>Comparison!A2</f>
        <v>2016 Budget - 40990 Corporate</v>
      </c>
      <c r="D2" s="1"/>
    </row>
    <row r="3" spans="1:18">
      <c r="A3" s="24" t="s">
        <v>50</v>
      </c>
    </row>
    <row r="4" spans="1:18">
      <c r="A4" s="24" t="s">
        <v>61</v>
      </c>
      <c r="M4"/>
    </row>
    <row r="5" spans="1:18" s="11" customFormat="1" ht="30">
      <c r="A5" s="540"/>
      <c r="B5" s="540"/>
      <c r="C5" s="540"/>
      <c r="D5" s="540"/>
      <c r="E5" s="540"/>
      <c r="F5" s="540"/>
      <c r="G5" s="540"/>
      <c r="H5" s="87"/>
      <c r="I5" s="2"/>
      <c r="J5" s="57" t="s">
        <v>741</v>
      </c>
      <c r="K5" s="5" t="s">
        <v>742</v>
      </c>
      <c r="L5" s="57" t="s">
        <v>188</v>
      </c>
      <c r="M5"/>
      <c r="N5" s="405"/>
      <c r="O5" s="405"/>
      <c r="P5" s="346"/>
      <c r="Q5" s="346"/>
      <c r="R5" s="346"/>
    </row>
    <row r="6" spans="1:18" s="11" customFormat="1">
      <c r="A6" s="88"/>
      <c r="B6" s="14">
        <v>2016</v>
      </c>
      <c r="C6" s="14">
        <f>B6+1</f>
        <v>2017</v>
      </c>
      <c r="D6" s="14">
        <f>C6+1</f>
        <v>2018</v>
      </c>
      <c r="E6" s="14">
        <f>D6+1</f>
        <v>2019</v>
      </c>
      <c r="F6" s="14">
        <f>E6+1</f>
        <v>2020</v>
      </c>
      <c r="H6" s="33"/>
      <c r="I6" s="6" t="s">
        <v>23</v>
      </c>
      <c r="J6" s="139">
        <v>21712.71</v>
      </c>
      <c r="K6" s="139">
        <v>19962</v>
      </c>
      <c r="L6" s="139">
        <f>J6-K6</f>
        <v>1750.7099999999991</v>
      </c>
      <c r="M6"/>
      <c r="N6" s="404"/>
      <c r="O6" s="404"/>
      <c r="P6" s="346"/>
      <c r="Q6" s="346"/>
      <c r="R6" s="346"/>
    </row>
    <row r="7" spans="1:18" s="11" customFormat="1">
      <c r="A7" s="50" t="s">
        <v>817</v>
      </c>
      <c r="B7" s="432">
        <v>3.2000000000000001E-2</v>
      </c>
      <c r="C7" s="432">
        <v>3.6999999999999998E-2</v>
      </c>
      <c r="D7" s="432">
        <v>3.5999999999999997E-2</v>
      </c>
      <c r="E7" s="432">
        <v>3.1E-2</v>
      </c>
      <c r="F7" s="432">
        <v>2.8000000000000001E-2</v>
      </c>
      <c r="G7" s="22"/>
      <c r="H7" s="89"/>
      <c r="I7" s="6" t="s">
        <v>24</v>
      </c>
      <c r="J7" s="139">
        <v>21712.71</v>
      </c>
      <c r="K7" s="139">
        <v>19962</v>
      </c>
      <c r="L7" s="139">
        <f t="shared" ref="L7:L10" si="0">J7-K7</f>
        <v>1750.7099999999991</v>
      </c>
      <c r="M7"/>
      <c r="N7" s="404"/>
      <c r="O7" s="404"/>
      <c r="P7" s="346"/>
      <c r="Q7" s="346"/>
      <c r="R7" s="346"/>
    </row>
    <row r="8" spans="1:18" s="11" customFormat="1">
      <c r="G8" s="90"/>
      <c r="H8" s="90"/>
      <c r="I8" s="6" t="s">
        <v>25</v>
      </c>
      <c r="J8" s="139">
        <v>21712.71</v>
      </c>
      <c r="K8" s="139">
        <v>19962</v>
      </c>
      <c r="L8" s="139">
        <f t="shared" si="0"/>
        <v>1750.7099999999991</v>
      </c>
      <c r="M8"/>
      <c r="N8" s="404"/>
      <c r="O8" s="404"/>
      <c r="P8" s="346"/>
      <c r="Q8" s="346"/>
      <c r="R8" s="346"/>
    </row>
    <row r="9" spans="1:18" s="11" customFormat="1">
      <c r="H9" s="90"/>
      <c r="I9" s="6" t="s">
        <v>26</v>
      </c>
      <c r="J9" s="139">
        <v>21712.71</v>
      </c>
      <c r="K9" s="139">
        <v>19962</v>
      </c>
      <c r="L9" s="139">
        <f t="shared" si="0"/>
        <v>1750.7099999999991</v>
      </c>
      <c r="M9"/>
      <c r="N9" s="404"/>
      <c r="O9" s="404"/>
      <c r="P9" s="346"/>
      <c r="Q9" s="346"/>
      <c r="R9" s="346"/>
    </row>
    <row r="10" spans="1:18" s="11" customFormat="1">
      <c r="A10" s="57" t="s">
        <v>102</v>
      </c>
      <c r="B10" s="57" t="s">
        <v>70</v>
      </c>
      <c r="C10" s="91" t="s">
        <v>104</v>
      </c>
      <c r="D10" s="57" t="s">
        <v>59</v>
      </c>
      <c r="E10" s="57" t="s">
        <v>103</v>
      </c>
      <c r="F10" s="57" t="s">
        <v>60</v>
      </c>
      <c r="G10" s="57" t="s">
        <v>20</v>
      </c>
      <c r="H10" s="90"/>
      <c r="I10" s="6" t="s">
        <v>27</v>
      </c>
      <c r="J10" s="139">
        <v>21712.71</v>
      </c>
      <c r="K10" s="139">
        <v>19962</v>
      </c>
      <c r="L10" s="139">
        <f t="shared" si="0"/>
        <v>1750.7099999999991</v>
      </c>
      <c r="M10"/>
      <c r="N10" s="404"/>
      <c r="O10" s="404"/>
      <c r="P10" s="346"/>
      <c r="Q10" s="346"/>
      <c r="R10" s="346"/>
    </row>
    <row r="11" spans="1:18" s="11" customFormat="1">
      <c r="A11" s="11" t="s">
        <v>100</v>
      </c>
      <c r="B11" s="139">
        <v>274679</v>
      </c>
      <c r="C11" s="160">
        <v>0.13</v>
      </c>
      <c r="D11" s="75">
        <f>B11*C11</f>
        <v>35708.270000000004</v>
      </c>
      <c r="E11" s="160">
        <f>1-C11</f>
        <v>0.87</v>
      </c>
      <c r="F11" s="75">
        <f>B11*E11</f>
        <v>238970.73</v>
      </c>
      <c r="G11" s="75">
        <f>D11+F11</f>
        <v>274679</v>
      </c>
      <c r="H11" s="81">
        <f>G11-B11</f>
        <v>0</v>
      </c>
      <c r="I11" s="6" t="s">
        <v>28</v>
      </c>
      <c r="J11" s="358">
        <v>0</v>
      </c>
      <c r="K11" s="358">
        <v>19962</v>
      </c>
      <c r="L11" s="358"/>
      <c r="M11"/>
      <c r="N11" s="404"/>
      <c r="O11" s="404"/>
      <c r="P11" s="346"/>
      <c r="Q11" s="346"/>
      <c r="R11" s="346"/>
    </row>
    <row r="12" spans="1:18" s="11" customFormat="1">
      <c r="A12" s="11" t="s">
        <v>51</v>
      </c>
      <c r="B12" s="139">
        <v>26657</v>
      </c>
      <c r="C12" s="160">
        <v>0.25</v>
      </c>
      <c r="D12" s="75">
        <f>B12*C12</f>
        <v>6664.25</v>
      </c>
      <c r="E12" s="160">
        <f>1-C12</f>
        <v>0.75</v>
      </c>
      <c r="F12" s="75">
        <f>B12*E12</f>
        <v>19992.75</v>
      </c>
      <c r="G12" s="75">
        <f>D12+F12</f>
        <v>26657</v>
      </c>
      <c r="H12" s="81">
        <f>G12-B12</f>
        <v>0</v>
      </c>
      <c r="I12" s="6" t="s">
        <v>29</v>
      </c>
      <c r="J12" s="358">
        <v>0</v>
      </c>
      <c r="K12" s="358">
        <v>19962</v>
      </c>
      <c r="L12" s="358"/>
      <c r="M12"/>
      <c r="N12" s="404"/>
      <c r="O12" s="404"/>
      <c r="P12" s="346"/>
      <c r="Q12" s="346"/>
      <c r="R12" s="346"/>
    </row>
    <row r="13" spans="1:18" s="11" customFormat="1">
      <c r="A13" s="11" t="s">
        <v>52</v>
      </c>
      <c r="B13" s="140">
        <v>1589</v>
      </c>
      <c r="C13" s="92">
        <v>0</v>
      </c>
      <c r="D13" s="93">
        <f>B13*C13</f>
        <v>0</v>
      </c>
      <c r="E13" s="92">
        <f>1-C13</f>
        <v>1</v>
      </c>
      <c r="F13" s="93">
        <f>B13*E13</f>
        <v>1589</v>
      </c>
      <c r="G13" s="93">
        <f>D13+F13</f>
        <v>1589</v>
      </c>
      <c r="H13" s="81">
        <f>G13-B13</f>
        <v>0</v>
      </c>
      <c r="I13" s="6" t="s">
        <v>30</v>
      </c>
      <c r="J13" s="358">
        <v>0</v>
      </c>
      <c r="K13" s="358">
        <v>19962</v>
      </c>
      <c r="L13" s="358"/>
      <c r="M13" s="176"/>
      <c r="N13" s="404"/>
      <c r="O13" s="404"/>
      <c r="P13" s="346"/>
      <c r="Q13" s="346"/>
      <c r="R13" s="346"/>
    </row>
    <row r="14" spans="1:18" s="11" customFormat="1">
      <c r="A14" s="18" t="s">
        <v>101</v>
      </c>
      <c r="B14" s="28">
        <v>5295</v>
      </c>
      <c r="C14" s="92">
        <v>1</v>
      </c>
      <c r="D14" s="94">
        <f>B14*C14</f>
        <v>5295</v>
      </c>
      <c r="E14" s="92">
        <f>1-C14</f>
        <v>0</v>
      </c>
      <c r="F14" s="94">
        <f>B14*E14</f>
        <v>0</v>
      </c>
      <c r="G14" s="94">
        <f>D14+F14</f>
        <v>5295</v>
      </c>
      <c r="H14" s="81">
        <f>G14-B14</f>
        <v>0</v>
      </c>
      <c r="I14" s="6" t="s">
        <v>31</v>
      </c>
      <c r="J14" s="358">
        <v>0</v>
      </c>
      <c r="K14" s="358">
        <v>19962</v>
      </c>
      <c r="L14" s="358"/>
      <c r="M14"/>
      <c r="N14" s="404"/>
      <c r="O14" s="404"/>
      <c r="P14" s="346"/>
      <c r="Q14" s="346"/>
      <c r="R14" s="346"/>
    </row>
    <row r="15" spans="1:18" s="11" customFormat="1">
      <c r="A15" s="148">
        <v>2015</v>
      </c>
      <c r="B15" s="31">
        <f>SUM(B11:B14)</f>
        <v>308220</v>
      </c>
      <c r="D15" s="31">
        <f>SUM(D11:D14)</f>
        <v>47667.520000000004</v>
      </c>
      <c r="E15" s="16"/>
      <c r="F15" s="31">
        <f>SUM(F11:F14)</f>
        <v>260552.48</v>
      </c>
      <c r="G15" s="31">
        <f>SUM(G11:G14)</f>
        <v>308220</v>
      </c>
      <c r="H15" s="81">
        <f>G15-B15</f>
        <v>0</v>
      </c>
      <c r="I15" s="9" t="s">
        <v>32</v>
      </c>
      <c r="J15" s="358">
        <v>0</v>
      </c>
      <c r="K15" s="358">
        <v>19962</v>
      </c>
      <c r="L15" s="358"/>
      <c r="M15"/>
      <c r="N15" s="404"/>
      <c r="O15" s="404"/>
      <c r="P15" s="346"/>
      <c r="Q15" s="346"/>
      <c r="R15" s="346"/>
    </row>
    <row r="16" spans="1:18" s="11" customFormat="1">
      <c r="H16" s="81"/>
      <c r="I16" s="6" t="s">
        <v>33</v>
      </c>
      <c r="J16" s="358">
        <v>0</v>
      </c>
      <c r="K16" s="358">
        <v>19962</v>
      </c>
      <c r="L16" s="358"/>
      <c r="M16"/>
      <c r="N16" s="404"/>
      <c r="O16" s="404"/>
      <c r="P16" s="346"/>
      <c r="Q16" s="346"/>
      <c r="R16" s="346"/>
    </row>
    <row r="17" spans="1:18" s="11" customFormat="1">
      <c r="H17" s="81"/>
      <c r="I17" s="6" t="s">
        <v>22</v>
      </c>
      <c r="J17" s="358">
        <v>0</v>
      </c>
      <c r="K17" s="358">
        <v>19967</v>
      </c>
      <c r="L17" s="358"/>
      <c r="M17"/>
      <c r="N17" s="404"/>
      <c r="O17" s="404"/>
      <c r="P17" s="346"/>
      <c r="Q17" s="346"/>
      <c r="R17" s="346"/>
    </row>
    <row r="18" spans="1:18" s="11" customFormat="1" ht="15.75" thickBot="1">
      <c r="A18" s="96" t="s">
        <v>128</v>
      </c>
      <c r="B18" s="57" t="s">
        <v>20</v>
      </c>
      <c r="D18" s="57" t="s">
        <v>59</v>
      </c>
      <c r="F18" s="57" t="s">
        <v>60</v>
      </c>
      <c r="H18" s="81"/>
      <c r="I18" s="6" t="s">
        <v>20</v>
      </c>
      <c r="J18" s="10">
        <f>SUM(J6:J17)</f>
        <v>108563.54999999999</v>
      </c>
      <c r="K18" s="10">
        <f>SUM(K6:K17)</f>
        <v>239549</v>
      </c>
      <c r="L18" s="10">
        <f>SUM(L6:L17)</f>
        <v>8753.5499999999956</v>
      </c>
      <c r="M18"/>
      <c r="P18" s="346"/>
      <c r="Q18" s="346"/>
      <c r="R18" s="346"/>
    </row>
    <row r="19" spans="1:18" s="11" customFormat="1" ht="15.75" thickTop="1">
      <c r="A19" s="40">
        <f>B6</f>
        <v>2016</v>
      </c>
      <c r="B19" s="139">
        <f>B15*(1+B7)</f>
        <v>318083.04000000004</v>
      </c>
      <c r="D19" s="139">
        <f>D15*(1+B7)</f>
        <v>49192.880640000003</v>
      </c>
      <c r="E19" s="40"/>
      <c r="F19" s="139">
        <f>F15*(1+B7)</f>
        <v>268890.15935999999</v>
      </c>
      <c r="G19" s="41">
        <f>(D19+F19)-B19</f>
        <v>0</v>
      </c>
      <c r="I19" s="2" t="s">
        <v>55</v>
      </c>
      <c r="J19" s="2"/>
      <c r="K19" s="2"/>
      <c r="L19" s="2"/>
      <c r="M19"/>
    </row>
    <row r="20" spans="1:18" s="11" customFormat="1">
      <c r="A20" s="40">
        <f>C6</f>
        <v>2017</v>
      </c>
      <c r="B20" s="139">
        <f>B19*(1+C7)</f>
        <v>329852.11248000001</v>
      </c>
      <c r="D20" s="139">
        <f>D19*(1+C7)</f>
        <v>51013.017223679999</v>
      </c>
      <c r="E20" s="40"/>
      <c r="F20" s="139">
        <f>F19*(1+C7)</f>
        <v>278839.09525631997</v>
      </c>
      <c r="G20" s="41">
        <f>(D20+F20)-B20</f>
        <v>0</v>
      </c>
      <c r="I20" s="2" t="s">
        <v>189</v>
      </c>
      <c r="J20" s="2"/>
      <c r="K20" s="2" t="s">
        <v>190</v>
      </c>
      <c r="L20" s="2"/>
      <c r="M20"/>
    </row>
    <row r="21" spans="1:18" s="11" customFormat="1">
      <c r="A21" s="40">
        <f>D6</f>
        <v>2018</v>
      </c>
      <c r="B21" s="139">
        <f>B20*(1+D7)</f>
        <v>341726.78852928005</v>
      </c>
      <c r="D21" s="139">
        <f>D20*(1+D7)</f>
        <v>52849.48584373248</v>
      </c>
      <c r="E21" s="40"/>
      <c r="F21" s="139">
        <f>F20*(1+D7)</f>
        <v>288877.3026855475</v>
      </c>
      <c r="G21" s="41">
        <f>(D21+F21)-B21</f>
        <v>0</v>
      </c>
      <c r="I21" s="2" t="s">
        <v>191</v>
      </c>
      <c r="J21" s="2"/>
      <c r="K21" s="2" t="s">
        <v>221</v>
      </c>
      <c r="L21" s="2"/>
      <c r="M21"/>
    </row>
    <row r="22" spans="1:18" s="11" customFormat="1">
      <c r="A22" s="40">
        <f>E6</f>
        <v>2019</v>
      </c>
      <c r="B22" s="139">
        <f>B21*(1+E7)</f>
        <v>352320.31897368771</v>
      </c>
      <c r="D22" s="139">
        <f>D21*(1+E7)</f>
        <v>54487.81990488818</v>
      </c>
      <c r="E22" s="40"/>
      <c r="F22" s="139">
        <f>F21*(1+E7)</f>
        <v>297832.49906879943</v>
      </c>
      <c r="G22" s="41">
        <f>(D22+F22)-B22</f>
        <v>0</v>
      </c>
      <c r="H22" s="93"/>
      <c r="I22" s="2" t="s">
        <v>194</v>
      </c>
      <c r="J22" s="2"/>
      <c r="K22" s="430" t="s">
        <v>688</v>
      </c>
      <c r="L22" s="2"/>
      <c r="M22"/>
    </row>
    <row r="23" spans="1:18" s="11" customFormat="1">
      <c r="A23" s="40">
        <f>F6</f>
        <v>2020</v>
      </c>
      <c r="B23" s="139">
        <f>B22*(1+F7)</f>
        <v>362185.28790495096</v>
      </c>
      <c r="D23" s="139">
        <f>D22*(1+F7)</f>
        <v>56013.478862225049</v>
      </c>
      <c r="E23" s="40"/>
      <c r="F23" s="139">
        <f>F22*(1+F7)</f>
        <v>306171.80904272583</v>
      </c>
      <c r="G23" s="41">
        <f>(D23+F23)-B23</f>
        <v>0</v>
      </c>
      <c r="I23" s="2" t="s">
        <v>197</v>
      </c>
      <c r="J23" s="2"/>
      <c r="K23" s="2" t="s">
        <v>198</v>
      </c>
      <c r="L23" s="2"/>
      <c r="M23"/>
    </row>
    <row r="24" spans="1:18" s="11" customFormat="1">
      <c r="G24" s="139"/>
      <c r="I24" s="2" t="s">
        <v>201</v>
      </c>
      <c r="J24" s="2"/>
      <c r="K24" s="2" t="s">
        <v>223</v>
      </c>
      <c r="L24" s="2"/>
      <c r="M24"/>
    </row>
    <row r="25" spans="1:18" s="11" customFormat="1">
      <c r="G25" s="58"/>
      <c r="I25" s="2"/>
      <c r="J25" s="2"/>
      <c r="K25" s="2"/>
      <c r="L25" s="2"/>
      <c r="M25"/>
    </row>
    <row r="26" spans="1:18" s="11" customFormat="1" ht="30">
      <c r="A26" s="96" t="s">
        <v>21</v>
      </c>
      <c r="H26" s="81"/>
      <c r="I26" s="2"/>
      <c r="J26" s="57" t="s">
        <v>741</v>
      </c>
      <c r="K26" s="5" t="s">
        <v>742</v>
      </c>
      <c r="L26" s="57" t="s">
        <v>188</v>
      </c>
      <c r="O26" s="406"/>
      <c r="P26" s="406"/>
      <c r="Q26" s="347"/>
      <c r="R26" s="347"/>
    </row>
    <row r="27" spans="1:18" s="11" customFormat="1">
      <c r="A27" s="40">
        <f>A19</f>
        <v>2016</v>
      </c>
      <c r="B27" s="139">
        <f>B19/12</f>
        <v>26506.920000000002</v>
      </c>
      <c r="D27" s="139">
        <f>D19/12</f>
        <v>4099.40672</v>
      </c>
      <c r="E27" s="40"/>
      <c r="F27" s="139">
        <f>F19/12</f>
        <v>22407.513279999999</v>
      </c>
      <c r="G27" s="41">
        <f>(D27+F27)-B27</f>
        <v>0</v>
      </c>
      <c r="I27" s="6" t="s">
        <v>23</v>
      </c>
      <c r="J27" s="139">
        <v>3972.29</v>
      </c>
      <c r="K27" s="139">
        <v>5418</v>
      </c>
      <c r="L27" s="139">
        <f>J27-K27</f>
        <v>-1445.71</v>
      </c>
      <c r="O27" s="406"/>
      <c r="P27" s="406"/>
      <c r="Q27" s="347"/>
      <c r="R27" s="347"/>
    </row>
    <row r="28" spans="1:18" s="11" customFormat="1">
      <c r="A28" s="40">
        <f>A20</f>
        <v>2017</v>
      </c>
      <c r="B28" s="139">
        <f>B20/12</f>
        <v>27487.676040000002</v>
      </c>
      <c r="D28" s="139">
        <f>D20/12</f>
        <v>4251.0847686400002</v>
      </c>
      <c r="E28" s="40"/>
      <c r="F28" s="139">
        <f>F20/12</f>
        <v>23236.591271359997</v>
      </c>
      <c r="G28" s="41">
        <f>(D28+F28)-B28</f>
        <v>0</v>
      </c>
      <c r="I28" s="6" t="s">
        <v>24</v>
      </c>
      <c r="J28" s="139">
        <v>3972.29</v>
      </c>
      <c r="K28" s="139">
        <v>5418</v>
      </c>
      <c r="L28" s="139">
        <f t="shared" ref="L28:L31" si="1">J28-K28</f>
        <v>-1445.71</v>
      </c>
      <c r="O28" s="406"/>
      <c r="P28" s="406"/>
      <c r="Q28" s="347"/>
      <c r="R28" s="347"/>
    </row>
    <row r="29" spans="1:18" s="11" customFormat="1">
      <c r="A29" s="40">
        <f>A21</f>
        <v>2018</v>
      </c>
      <c r="B29" s="139">
        <f>B21/12</f>
        <v>28477.232377440003</v>
      </c>
      <c r="D29" s="139">
        <f>D21/12</f>
        <v>4404.1238203110397</v>
      </c>
      <c r="E29" s="40"/>
      <c r="F29" s="139">
        <f>F21/12</f>
        <v>24073.108557128959</v>
      </c>
      <c r="G29" s="41">
        <f>(D29+F29)-B29</f>
        <v>0</v>
      </c>
      <c r="I29" s="6" t="s">
        <v>25</v>
      </c>
      <c r="J29" s="139">
        <v>3972.29</v>
      </c>
      <c r="K29" s="139">
        <v>5418</v>
      </c>
      <c r="L29" s="139">
        <f t="shared" si="1"/>
        <v>-1445.71</v>
      </c>
      <c r="O29" s="406"/>
      <c r="P29" s="406"/>
      <c r="Q29" s="347"/>
      <c r="R29" s="347"/>
    </row>
    <row r="30" spans="1:18" s="11" customFormat="1">
      <c r="A30" s="40">
        <f>A22</f>
        <v>2019</v>
      </c>
      <c r="B30" s="139">
        <f>B22/12</f>
        <v>29360.026581140643</v>
      </c>
      <c r="D30" s="139">
        <f>D22/12</f>
        <v>4540.6516587406813</v>
      </c>
      <c r="E30" s="40"/>
      <c r="F30" s="139">
        <f>F22/12</f>
        <v>24819.374922399951</v>
      </c>
      <c r="G30" s="41">
        <f>(D30+F30)-B30</f>
        <v>0</v>
      </c>
      <c r="H30" s="93"/>
      <c r="I30" s="6" t="s">
        <v>26</v>
      </c>
      <c r="J30" s="139">
        <v>3972.29</v>
      </c>
      <c r="K30" s="139">
        <v>5418</v>
      </c>
      <c r="L30" s="139">
        <f t="shared" si="1"/>
        <v>-1445.71</v>
      </c>
      <c r="O30" s="406"/>
      <c r="P30" s="406"/>
      <c r="Q30" s="347"/>
      <c r="R30" s="347"/>
    </row>
    <row r="31" spans="1:18" s="11" customFormat="1">
      <c r="A31" s="40">
        <f>A23</f>
        <v>2020</v>
      </c>
      <c r="B31" s="139">
        <f>B23/12</f>
        <v>30182.10732541258</v>
      </c>
      <c r="D31" s="139">
        <f>D23/12</f>
        <v>4667.789905185421</v>
      </c>
      <c r="E31" s="40"/>
      <c r="F31" s="139">
        <f>F23/12</f>
        <v>25514.317420227151</v>
      </c>
      <c r="G31" s="41">
        <f>(D31+F31)-B31</f>
        <v>0</v>
      </c>
      <c r="I31" s="6" t="s">
        <v>27</v>
      </c>
      <c r="J31" s="139">
        <v>3972.29</v>
      </c>
      <c r="K31" s="139">
        <v>5418</v>
      </c>
      <c r="L31" s="139">
        <f t="shared" si="1"/>
        <v>-1445.71</v>
      </c>
      <c r="O31" s="406"/>
      <c r="P31" s="406"/>
      <c r="Q31" s="347"/>
      <c r="R31" s="347"/>
    </row>
    <row r="32" spans="1:18" s="11" customFormat="1">
      <c r="G32" s="139"/>
      <c r="I32" s="6" t="s">
        <v>28</v>
      </c>
      <c r="J32" s="358">
        <v>0</v>
      </c>
      <c r="K32" s="358">
        <v>5418</v>
      </c>
      <c r="L32" s="358"/>
      <c r="O32" s="406"/>
      <c r="P32" s="406"/>
      <c r="Q32" s="347"/>
      <c r="R32" s="347"/>
    </row>
    <row r="33" spans="1:18" s="11" customFormat="1">
      <c r="A33" s="4" t="s">
        <v>347</v>
      </c>
      <c r="G33" s="58"/>
      <c r="I33" s="6" t="s">
        <v>29</v>
      </c>
      <c r="J33" s="358">
        <v>0</v>
      </c>
      <c r="K33" s="358">
        <v>5418</v>
      </c>
      <c r="L33" s="358"/>
      <c r="O33" s="406"/>
      <c r="P33" s="406"/>
      <c r="Q33" s="347"/>
      <c r="R33" s="347"/>
    </row>
    <row r="34" spans="1:18" s="11" customFormat="1">
      <c r="A34" s="4" t="s">
        <v>761</v>
      </c>
      <c r="B34" s="7"/>
      <c r="G34" s="58"/>
      <c r="I34" s="6" t="s">
        <v>30</v>
      </c>
      <c r="J34" s="358">
        <v>0</v>
      </c>
      <c r="K34" s="358">
        <v>5418</v>
      </c>
      <c r="L34" s="358"/>
      <c r="O34" s="406"/>
      <c r="P34" s="406"/>
      <c r="Q34" s="347"/>
      <c r="R34" s="347"/>
    </row>
    <row r="35" spans="1:18" s="11" customFormat="1">
      <c r="A35" s="4" t="s">
        <v>826</v>
      </c>
      <c r="B35" s="139"/>
      <c r="C35" s="139"/>
      <c r="G35" s="58"/>
      <c r="I35" s="6" t="s">
        <v>31</v>
      </c>
      <c r="J35" s="358">
        <v>0</v>
      </c>
      <c r="K35" s="358">
        <v>5418</v>
      </c>
      <c r="L35" s="358"/>
      <c r="O35" s="406"/>
      <c r="P35" s="406"/>
      <c r="Q35" s="347"/>
      <c r="R35" s="347"/>
    </row>
    <row r="36" spans="1:18" s="11" customFormat="1">
      <c r="B36" s="139"/>
      <c r="C36" s="139"/>
      <c r="I36" s="9" t="s">
        <v>32</v>
      </c>
      <c r="J36" s="358">
        <v>0</v>
      </c>
      <c r="K36" s="358">
        <v>5418</v>
      </c>
      <c r="L36" s="358"/>
      <c r="O36" s="406"/>
      <c r="P36" s="406"/>
      <c r="Q36" s="347"/>
      <c r="R36" s="347"/>
    </row>
    <row r="37" spans="1:18" s="11" customFormat="1">
      <c r="A37" s="4" t="s">
        <v>172</v>
      </c>
      <c r="B37" s="139"/>
      <c r="C37" s="139"/>
      <c r="I37" s="6" t="s">
        <v>33</v>
      </c>
      <c r="J37" s="358">
        <v>0</v>
      </c>
      <c r="K37" s="358">
        <v>5418</v>
      </c>
      <c r="L37" s="358"/>
      <c r="O37" s="406"/>
      <c r="P37" s="406"/>
      <c r="Q37" s="347"/>
      <c r="R37" s="347"/>
    </row>
    <row r="38" spans="1:18" s="11" customFormat="1">
      <c r="A38" s="83" t="s">
        <v>420</v>
      </c>
      <c r="B38" s="97"/>
      <c r="C38" s="97"/>
      <c r="D38" s="97"/>
      <c r="E38" s="97"/>
      <c r="F38" s="97"/>
      <c r="I38" s="6" t="s">
        <v>22</v>
      </c>
      <c r="J38" s="358">
        <v>0</v>
      </c>
      <c r="K38" s="358">
        <v>5414</v>
      </c>
      <c r="L38" s="358"/>
      <c r="O38" s="406"/>
      <c r="P38" s="406"/>
      <c r="Q38" s="347"/>
      <c r="R38" s="347"/>
    </row>
    <row r="39" spans="1:18" s="11" customFormat="1" ht="15.75" thickBot="1">
      <c r="B39" s="97"/>
      <c r="C39" s="97"/>
      <c r="D39" s="97"/>
      <c r="E39" s="97"/>
      <c r="F39" s="97"/>
      <c r="G39" s="97"/>
      <c r="H39" s="97"/>
      <c r="I39" s="6" t="s">
        <v>20</v>
      </c>
      <c r="J39" s="10">
        <v>19861.45</v>
      </c>
      <c r="K39" s="10">
        <v>65012</v>
      </c>
      <c r="L39" s="10">
        <f>SUM(L27:L31)</f>
        <v>-7228.55</v>
      </c>
      <c r="O39" s="347"/>
      <c r="P39" s="347"/>
      <c r="Q39" s="347"/>
      <c r="R39" s="347"/>
    </row>
    <row r="40" spans="1:18" s="11" customFormat="1" ht="15.75" thickTop="1">
      <c r="A40" s="467" t="s">
        <v>818</v>
      </c>
      <c r="B40" s="511"/>
      <c r="C40" s="510"/>
      <c r="D40" s="510"/>
      <c r="E40" s="510"/>
      <c r="F40" s="510"/>
      <c r="G40" s="510"/>
      <c r="H40" s="97"/>
      <c r="I40" s="2" t="s">
        <v>55</v>
      </c>
      <c r="J40" s="2"/>
      <c r="K40" s="2"/>
      <c r="L40" s="2"/>
    </row>
    <row r="41" spans="1:18" s="11" customFormat="1">
      <c r="G41" s="97"/>
      <c r="H41" s="97"/>
      <c r="I41" s="2" t="s">
        <v>189</v>
      </c>
      <c r="J41" s="2"/>
      <c r="K41" s="2" t="s">
        <v>190</v>
      </c>
      <c r="L41" s="2"/>
    </row>
    <row r="42" spans="1:18" s="11" customFormat="1">
      <c r="I42" s="2" t="s">
        <v>191</v>
      </c>
      <c r="J42" s="2"/>
      <c r="K42" s="2" t="s">
        <v>221</v>
      </c>
      <c r="L42" s="2"/>
    </row>
    <row r="43" spans="1:18" s="11" customFormat="1">
      <c r="A43" s="83"/>
      <c r="I43" s="2" t="s">
        <v>194</v>
      </c>
      <c r="J43" s="2"/>
      <c r="K43" s="430" t="s">
        <v>743</v>
      </c>
      <c r="L43" s="2"/>
    </row>
    <row r="44" spans="1:18" s="11" customFormat="1">
      <c r="I44" s="2" t="s">
        <v>197</v>
      </c>
      <c r="J44" s="2"/>
      <c r="K44" s="2" t="s">
        <v>198</v>
      </c>
      <c r="L44" s="2"/>
    </row>
    <row r="45" spans="1:18" s="11" customFormat="1">
      <c r="I45" s="2"/>
      <c r="J45" s="2"/>
      <c r="K45" s="2"/>
      <c r="L45" s="2"/>
    </row>
    <row r="46" spans="1:18" s="11" customFormat="1">
      <c r="A46" s="4"/>
      <c r="I46" s="2"/>
      <c r="J46" s="2"/>
      <c r="K46" s="2"/>
      <c r="L46" s="2"/>
    </row>
    <row r="47" spans="1:18" s="11" customFormat="1">
      <c r="I47" s="2" t="s">
        <v>201</v>
      </c>
      <c r="J47" s="2"/>
      <c r="K47" s="2" t="s">
        <v>222</v>
      </c>
      <c r="L47" s="2"/>
    </row>
    <row r="48" spans="1:18" s="11" customFormat="1">
      <c r="A48" s="4"/>
      <c r="I48" s="2"/>
      <c r="J48" s="2"/>
      <c r="K48" s="2"/>
      <c r="L48" s="2"/>
    </row>
    <row r="49" spans="1:12" s="11" customFormat="1">
      <c r="A49" s="2"/>
      <c r="B49" s="2"/>
      <c r="C49" s="2"/>
      <c r="D49" s="2"/>
      <c r="E49" s="2"/>
      <c r="F49" s="2"/>
      <c r="G49" s="2"/>
      <c r="H49" s="2"/>
      <c r="I49" s="2"/>
      <c r="J49" s="2"/>
      <c r="K49" s="2"/>
      <c r="L49" s="2"/>
    </row>
    <row r="50" spans="1:12" s="11" customFormat="1">
      <c r="A50" s="2"/>
      <c r="B50" s="2"/>
      <c r="C50" s="2"/>
      <c r="D50" s="2"/>
      <c r="E50" s="2"/>
      <c r="F50" s="2"/>
      <c r="G50" s="2"/>
      <c r="H50" s="2"/>
      <c r="I50" s="2"/>
      <c r="J50" s="2"/>
      <c r="K50" s="2"/>
      <c r="L50" s="2"/>
    </row>
  </sheetData>
  <mergeCells count="1">
    <mergeCell ref="A5:G5"/>
  </mergeCells>
  <phoneticPr fontId="15" type="noConversion"/>
  <pageMargins left="0.75" right="0.75" top="1" bottom="1" header="0.5" footer="0.5"/>
  <pageSetup scale="90" orientation="portrait" r:id="rId1"/>
  <headerFooter alignWithMargins="0"/>
  <ignoredErrors>
    <ignoredError sqref="C10" numberStoredAsText="1"/>
  </ignoredError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34"/>
  <sheetViews>
    <sheetView workbookViewId="0">
      <pane ySplit="4" topLeftCell="A5" activePane="bottomLeft" state="frozen"/>
      <selection activeCell="G26" sqref="G26"/>
      <selection pane="bottomLeft"/>
    </sheetView>
  </sheetViews>
  <sheetFormatPr defaultRowHeight="15"/>
  <cols>
    <col min="1" max="1" width="13.42578125" style="2" customWidth="1"/>
    <col min="2" max="2" width="9.7109375" style="2" customWidth="1"/>
    <col min="3" max="3" width="9.28515625" style="2" customWidth="1"/>
    <col min="4" max="4" width="11.42578125" style="2" customWidth="1"/>
    <col min="5" max="5" width="1.7109375" style="26" customWidth="1"/>
    <col min="6" max="10" width="9.5703125" style="2" customWidth="1"/>
    <col min="11" max="16384" width="9.140625" style="2"/>
  </cols>
  <sheetData>
    <row r="1" spans="1:25">
      <c r="A1" s="1" t="s">
        <v>0</v>
      </c>
    </row>
    <row r="2" spans="1:25">
      <c r="A2" s="24" t="str">
        <f>Comparison!A2</f>
        <v>2016 Budget - 40990 Corporate</v>
      </c>
    </row>
    <row r="3" spans="1:25">
      <c r="A3" s="24" t="s">
        <v>16</v>
      </c>
    </row>
    <row r="4" spans="1:25">
      <c r="A4" s="24" t="s">
        <v>63</v>
      </c>
      <c r="H4" s="98"/>
    </row>
    <row r="5" spans="1:25">
      <c r="A5" s="104"/>
      <c r="B5" s="104"/>
      <c r="C5" s="104"/>
      <c r="D5" s="104"/>
      <c r="E5" s="115"/>
      <c r="F5" s="104"/>
      <c r="G5" s="104"/>
      <c r="H5" s="104"/>
      <c r="I5" s="104"/>
      <c r="J5" s="104"/>
    </row>
    <row r="6" spans="1:25">
      <c r="B6" s="19">
        <v>2015</v>
      </c>
      <c r="C6" s="19">
        <v>2015</v>
      </c>
      <c r="D6" s="19"/>
      <c r="E6" s="109"/>
      <c r="L6" s="547" t="s">
        <v>507</v>
      </c>
      <c r="M6" s="547"/>
      <c r="N6" s="547"/>
      <c r="O6" s="547"/>
      <c r="P6" s="547"/>
      <c r="R6" s="547" t="s">
        <v>508</v>
      </c>
      <c r="S6" s="547"/>
      <c r="T6" s="547"/>
      <c r="U6" s="547"/>
      <c r="V6" s="547"/>
    </row>
    <row r="7" spans="1:25" s="11" customFormat="1">
      <c r="A7" s="21"/>
      <c r="B7" s="14" t="s">
        <v>186</v>
      </c>
      <c r="C7" s="14" t="s">
        <v>2</v>
      </c>
      <c r="D7" s="14" t="s">
        <v>49</v>
      </c>
      <c r="E7" s="88"/>
      <c r="F7" s="14">
        <f>B6+1</f>
        <v>2016</v>
      </c>
      <c r="G7" s="14">
        <f>F7+1</f>
        <v>2017</v>
      </c>
      <c r="H7" s="14">
        <f>G7+1</f>
        <v>2018</v>
      </c>
      <c r="I7" s="14">
        <f>H7+1</f>
        <v>2019</v>
      </c>
      <c r="J7" s="14">
        <f>I7+1</f>
        <v>2020</v>
      </c>
      <c r="L7" s="14">
        <f>F7</f>
        <v>2016</v>
      </c>
      <c r="M7" s="14">
        <f>L7+1</f>
        <v>2017</v>
      </c>
      <c r="N7" s="14">
        <f t="shared" ref="N7:P7" si="0">M7+1</f>
        <v>2018</v>
      </c>
      <c r="O7" s="14">
        <f t="shared" si="0"/>
        <v>2019</v>
      </c>
      <c r="P7" s="14">
        <f t="shared" si="0"/>
        <v>2020</v>
      </c>
      <c r="R7" s="14">
        <f>F7</f>
        <v>2016</v>
      </c>
      <c r="S7" s="14">
        <f>R7+1</f>
        <v>2017</v>
      </c>
      <c r="T7" s="14">
        <f t="shared" ref="T7:V7" si="1">S7+1</f>
        <v>2018</v>
      </c>
      <c r="U7" s="14">
        <f t="shared" si="1"/>
        <v>2019</v>
      </c>
      <c r="V7" s="14">
        <f t="shared" si="1"/>
        <v>2020</v>
      </c>
      <c r="X7" s="15"/>
      <c r="Y7" s="15"/>
    </row>
    <row r="8" spans="1:25" s="11" customFormat="1">
      <c r="A8" s="95" t="s">
        <v>23</v>
      </c>
      <c r="B8" s="139">
        <v>0</v>
      </c>
      <c r="C8" s="139">
        <v>0</v>
      </c>
      <c r="D8" s="139">
        <f>B8-C8</f>
        <v>0</v>
      </c>
      <c r="E8" s="29"/>
      <c r="F8" s="7">
        <v>0</v>
      </c>
      <c r="G8" s="139">
        <v>0</v>
      </c>
      <c r="H8" s="139">
        <v>0</v>
      </c>
      <c r="I8" s="139">
        <v>0</v>
      </c>
      <c r="J8" s="139">
        <v>0</v>
      </c>
      <c r="L8" s="139">
        <v>0</v>
      </c>
      <c r="M8" s="139">
        <v>0</v>
      </c>
      <c r="N8" s="139">
        <v>0</v>
      </c>
      <c r="O8" s="139">
        <v>0</v>
      </c>
      <c r="P8" s="139">
        <v>0</v>
      </c>
      <c r="R8" s="139">
        <v>0</v>
      </c>
      <c r="S8" s="139">
        <v>0</v>
      </c>
      <c r="T8" s="139">
        <v>0</v>
      </c>
      <c r="U8" s="139">
        <v>0</v>
      </c>
      <c r="V8" s="139">
        <v>0</v>
      </c>
      <c r="X8" s="395"/>
      <c r="Y8" s="395"/>
    </row>
    <row r="9" spans="1:25" s="11" customFormat="1">
      <c r="A9" s="95" t="s">
        <v>24</v>
      </c>
      <c r="B9" s="139">
        <v>0</v>
      </c>
      <c r="C9" s="139">
        <v>0</v>
      </c>
      <c r="D9" s="139">
        <f t="shared" ref="D9:D14" si="2">B9-C9</f>
        <v>0</v>
      </c>
      <c r="E9" s="29"/>
      <c r="F9" s="7">
        <v>0</v>
      </c>
      <c r="G9" s="139">
        <v>0</v>
      </c>
      <c r="H9" s="139">
        <v>0</v>
      </c>
      <c r="I9" s="139">
        <v>0</v>
      </c>
      <c r="J9" s="139">
        <v>0</v>
      </c>
      <c r="L9" s="139">
        <v>0</v>
      </c>
      <c r="M9" s="139">
        <v>0</v>
      </c>
      <c r="N9" s="139">
        <v>0</v>
      </c>
      <c r="O9" s="139">
        <v>0</v>
      </c>
      <c r="P9" s="139">
        <v>0</v>
      </c>
      <c r="R9" s="139">
        <v>0</v>
      </c>
      <c r="S9" s="139">
        <v>0</v>
      </c>
      <c r="T9" s="139">
        <v>0</v>
      </c>
      <c r="U9" s="139">
        <v>0</v>
      </c>
      <c r="V9" s="139">
        <v>0</v>
      </c>
    </row>
    <row r="10" spans="1:25" s="11" customFormat="1">
      <c r="A10" s="95" t="s">
        <v>25</v>
      </c>
      <c r="B10" s="139">
        <v>-174828.78</v>
      </c>
      <c r="C10" s="139">
        <v>47501</v>
      </c>
      <c r="D10" s="139">
        <f t="shared" si="2"/>
        <v>-222329.78</v>
      </c>
      <c r="E10" s="29"/>
      <c r="F10" s="7">
        <f>L10+R10</f>
        <v>42500</v>
      </c>
      <c r="G10" s="139">
        <f t="shared" ref="G10:G19" si="3">M10+S10</f>
        <v>45000</v>
      </c>
      <c r="H10" s="139">
        <f t="shared" ref="H10:H19" si="4">N10+T10</f>
        <v>47500</v>
      </c>
      <c r="I10" s="139">
        <f t="shared" ref="I10:I19" si="5">O10+U10</f>
        <v>50000</v>
      </c>
      <c r="J10" s="139">
        <f t="shared" ref="J10:J19" si="6">P10+V10</f>
        <v>55000</v>
      </c>
      <c r="L10" s="139">
        <f>+L$20/4</f>
        <v>42500</v>
      </c>
      <c r="M10" s="139">
        <f>+M$20/4</f>
        <v>45000</v>
      </c>
      <c r="N10" s="139">
        <f>+N$20/4</f>
        <v>47500</v>
      </c>
      <c r="O10" s="139">
        <f>+O$20/4</f>
        <v>50000</v>
      </c>
      <c r="P10" s="139">
        <f>+P$20/4</f>
        <v>55000</v>
      </c>
      <c r="R10" s="139">
        <f>+R$20/4</f>
        <v>0</v>
      </c>
      <c r="S10" s="139">
        <f t="shared" ref="S10:V10" si="7">+S$20/4</f>
        <v>0</v>
      </c>
      <c r="T10" s="139">
        <f t="shared" si="7"/>
        <v>0</v>
      </c>
      <c r="U10" s="139">
        <f t="shared" si="7"/>
        <v>0</v>
      </c>
      <c r="V10" s="139">
        <f t="shared" si="7"/>
        <v>0</v>
      </c>
    </row>
    <row r="11" spans="1:25" s="11" customFormat="1">
      <c r="A11" s="95" t="s">
        <v>26</v>
      </c>
      <c r="B11" s="139">
        <v>0</v>
      </c>
      <c r="C11" s="139">
        <v>0</v>
      </c>
      <c r="D11" s="139">
        <f t="shared" si="2"/>
        <v>0</v>
      </c>
      <c r="E11" s="29"/>
      <c r="F11" s="7">
        <v>0</v>
      </c>
      <c r="G11" s="139">
        <f t="shared" si="3"/>
        <v>0</v>
      </c>
      <c r="H11" s="139">
        <f t="shared" si="4"/>
        <v>0</v>
      </c>
      <c r="I11" s="139">
        <f t="shared" si="5"/>
        <v>0</v>
      </c>
      <c r="J11" s="139">
        <f t="shared" si="6"/>
        <v>0</v>
      </c>
      <c r="L11" s="139">
        <v>0</v>
      </c>
      <c r="M11" s="139">
        <v>0</v>
      </c>
      <c r="N11" s="139">
        <v>0</v>
      </c>
      <c r="O11" s="139">
        <v>0</v>
      </c>
      <c r="P11" s="139">
        <v>0</v>
      </c>
      <c r="R11" s="139">
        <v>0</v>
      </c>
      <c r="S11" s="139">
        <v>0</v>
      </c>
      <c r="T11" s="139">
        <v>0</v>
      </c>
      <c r="U11" s="139">
        <v>0</v>
      </c>
      <c r="V11" s="139">
        <v>0</v>
      </c>
    </row>
    <row r="12" spans="1:25" s="11" customFormat="1">
      <c r="A12" s="95" t="s">
        <v>27</v>
      </c>
      <c r="B12" s="139">
        <v>0</v>
      </c>
      <c r="C12" s="139">
        <v>0</v>
      </c>
      <c r="D12" s="139">
        <f t="shared" si="2"/>
        <v>0</v>
      </c>
      <c r="E12" s="29"/>
      <c r="F12" s="7">
        <v>0</v>
      </c>
      <c r="G12" s="139">
        <f t="shared" si="3"/>
        <v>0</v>
      </c>
      <c r="H12" s="139">
        <f t="shared" si="4"/>
        <v>0</v>
      </c>
      <c r="I12" s="139">
        <f t="shared" si="5"/>
        <v>0</v>
      </c>
      <c r="J12" s="139">
        <f t="shared" si="6"/>
        <v>0</v>
      </c>
      <c r="L12" s="139">
        <v>0</v>
      </c>
      <c r="M12" s="139">
        <v>0</v>
      </c>
      <c r="N12" s="139">
        <v>0</v>
      </c>
      <c r="O12" s="139">
        <v>0</v>
      </c>
      <c r="P12" s="139">
        <v>0</v>
      </c>
      <c r="R12" s="139">
        <v>0</v>
      </c>
      <c r="S12" s="139">
        <v>0</v>
      </c>
      <c r="T12" s="139">
        <v>0</v>
      </c>
      <c r="U12" s="139">
        <v>0</v>
      </c>
      <c r="V12" s="139">
        <v>0</v>
      </c>
    </row>
    <row r="13" spans="1:25" s="11" customFormat="1">
      <c r="A13" s="95" t="s">
        <v>28</v>
      </c>
      <c r="B13" s="139">
        <v>-73116.240000000005</v>
      </c>
      <c r="C13" s="139">
        <v>47501</v>
      </c>
      <c r="D13" s="139">
        <f t="shared" si="2"/>
        <v>-120617.24</v>
      </c>
      <c r="E13" s="29"/>
      <c r="F13" s="139">
        <f>L13+R13</f>
        <v>42500</v>
      </c>
      <c r="G13" s="139">
        <f t="shared" si="3"/>
        <v>45000</v>
      </c>
      <c r="H13" s="139">
        <f t="shared" si="4"/>
        <v>47500</v>
      </c>
      <c r="I13" s="139">
        <f t="shared" si="5"/>
        <v>50000</v>
      </c>
      <c r="J13" s="139">
        <f t="shared" si="6"/>
        <v>55000</v>
      </c>
      <c r="L13" s="139">
        <f>+L$20/4</f>
        <v>42500</v>
      </c>
      <c r="M13" s="139">
        <f>+M$20/4</f>
        <v>45000</v>
      </c>
      <c r="N13" s="139">
        <f>+N$20/4</f>
        <v>47500</v>
      </c>
      <c r="O13" s="139">
        <f>+O$20/4</f>
        <v>50000</v>
      </c>
      <c r="P13" s="139">
        <f>+P$20/4</f>
        <v>55000</v>
      </c>
      <c r="R13" s="139">
        <f t="shared" ref="R13:V13" si="8">+R$20/4</f>
        <v>0</v>
      </c>
      <c r="S13" s="139">
        <f t="shared" si="8"/>
        <v>0</v>
      </c>
      <c r="T13" s="139">
        <f t="shared" si="8"/>
        <v>0</v>
      </c>
      <c r="U13" s="139">
        <f t="shared" si="8"/>
        <v>0</v>
      </c>
      <c r="V13" s="139">
        <f t="shared" si="8"/>
        <v>0</v>
      </c>
    </row>
    <row r="14" spans="1:25" s="11" customFormat="1">
      <c r="A14" s="95" t="s">
        <v>29</v>
      </c>
      <c r="B14" s="139">
        <v>0</v>
      </c>
      <c r="C14" s="139">
        <v>0</v>
      </c>
      <c r="D14" s="139">
        <f t="shared" si="2"/>
        <v>0</v>
      </c>
      <c r="E14" s="29"/>
      <c r="F14" s="7">
        <v>0</v>
      </c>
      <c r="G14" s="139">
        <f t="shared" si="3"/>
        <v>0</v>
      </c>
      <c r="H14" s="139">
        <f t="shared" si="4"/>
        <v>0</v>
      </c>
      <c r="I14" s="139">
        <f t="shared" si="5"/>
        <v>0</v>
      </c>
      <c r="J14" s="139">
        <f t="shared" si="6"/>
        <v>0</v>
      </c>
      <c r="L14" s="139">
        <v>0</v>
      </c>
      <c r="M14" s="139">
        <v>0</v>
      </c>
      <c r="N14" s="139">
        <v>0</v>
      </c>
      <c r="O14" s="139">
        <v>0</v>
      </c>
      <c r="P14" s="139">
        <v>0</v>
      </c>
      <c r="R14" s="139">
        <v>0</v>
      </c>
      <c r="S14" s="139">
        <v>0</v>
      </c>
      <c r="T14" s="139">
        <v>0</v>
      </c>
      <c r="U14" s="139">
        <v>0</v>
      </c>
      <c r="V14" s="139">
        <v>0</v>
      </c>
    </row>
    <row r="15" spans="1:25" s="11" customFormat="1">
      <c r="A15" s="95" t="s">
        <v>30</v>
      </c>
      <c r="B15" s="358">
        <v>0</v>
      </c>
      <c r="C15" s="358">
        <v>0</v>
      </c>
      <c r="D15" s="358"/>
      <c r="E15" s="29"/>
      <c r="F15" s="7">
        <v>0</v>
      </c>
      <c r="G15" s="139">
        <f t="shared" si="3"/>
        <v>0</v>
      </c>
      <c r="H15" s="139">
        <f t="shared" si="4"/>
        <v>0</v>
      </c>
      <c r="I15" s="139">
        <f t="shared" si="5"/>
        <v>0</v>
      </c>
      <c r="J15" s="139">
        <f t="shared" si="6"/>
        <v>0</v>
      </c>
      <c r="L15" s="139">
        <v>0</v>
      </c>
      <c r="M15" s="139">
        <v>0</v>
      </c>
      <c r="N15" s="139">
        <v>0</v>
      </c>
      <c r="O15" s="139">
        <v>0</v>
      </c>
      <c r="P15" s="139">
        <v>0</v>
      </c>
      <c r="R15" s="139">
        <v>0</v>
      </c>
      <c r="S15" s="139">
        <v>0</v>
      </c>
      <c r="T15" s="139">
        <v>0</v>
      </c>
      <c r="U15" s="139">
        <v>0</v>
      </c>
      <c r="V15" s="139">
        <v>0</v>
      </c>
    </row>
    <row r="16" spans="1:25" s="11" customFormat="1">
      <c r="A16" s="95" t="s">
        <v>31</v>
      </c>
      <c r="B16" s="358">
        <v>0</v>
      </c>
      <c r="C16" s="358">
        <v>47501</v>
      </c>
      <c r="D16" s="358"/>
      <c r="E16" s="29"/>
      <c r="F16" s="139">
        <f>L16+R16</f>
        <v>42500</v>
      </c>
      <c r="G16" s="139">
        <f t="shared" si="3"/>
        <v>45000</v>
      </c>
      <c r="H16" s="139">
        <f t="shared" si="4"/>
        <v>47500</v>
      </c>
      <c r="I16" s="139">
        <f t="shared" si="5"/>
        <v>50000</v>
      </c>
      <c r="J16" s="139">
        <f t="shared" si="6"/>
        <v>55000</v>
      </c>
      <c r="L16" s="139">
        <f>+L$20/4</f>
        <v>42500</v>
      </c>
      <c r="M16" s="139">
        <f>+M$20/4</f>
        <v>45000</v>
      </c>
      <c r="N16" s="139">
        <f>+N$20/4</f>
        <v>47500</v>
      </c>
      <c r="O16" s="139">
        <f>+O$20/4</f>
        <v>50000</v>
      </c>
      <c r="P16" s="139">
        <f>+P$20/4</f>
        <v>55000</v>
      </c>
      <c r="R16" s="139">
        <f t="shared" ref="R16:V16" si="9">+R$20/4</f>
        <v>0</v>
      </c>
      <c r="S16" s="139">
        <f t="shared" si="9"/>
        <v>0</v>
      </c>
      <c r="T16" s="139">
        <f t="shared" si="9"/>
        <v>0</v>
      </c>
      <c r="U16" s="139">
        <f t="shared" si="9"/>
        <v>0</v>
      </c>
      <c r="V16" s="139">
        <f t="shared" si="9"/>
        <v>0</v>
      </c>
    </row>
    <row r="17" spans="1:22" s="11" customFormat="1">
      <c r="A17" s="95" t="s">
        <v>32</v>
      </c>
      <c r="B17" s="358">
        <v>0</v>
      </c>
      <c r="C17" s="358">
        <v>0</v>
      </c>
      <c r="D17" s="358"/>
      <c r="E17" s="29"/>
      <c r="F17" s="7">
        <v>0</v>
      </c>
      <c r="G17" s="139">
        <f t="shared" si="3"/>
        <v>0</v>
      </c>
      <c r="H17" s="139">
        <f t="shared" si="4"/>
        <v>0</v>
      </c>
      <c r="I17" s="139">
        <f t="shared" si="5"/>
        <v>0</v>
      </c>
      <c r="J17" s="139">
        <f t="shared" si="6"/>
        <v>0</v>
      </c>
      <c r="L17" s="139">
        <v>0</v>
      </c>
      <c r="M17" s="139">
        <v>0</v>
      </c>
      <c r="N17" s="139">
        <v>0</v>
      </c>
      <c r="O17" s="139">
        <v>0</v>
      </c>
      <c r="P17" s="139">
        <v>0</v>
      </c>
      <c r="R17" s="139">
        <v>0</v>
      </c>
      <c r="S17" s="139">
        <v>0</v>
      </c>
      <c r="T17" s="139">
        <v>0</v>
      </c>
      <c r="U17" s="139">
        <v>0</v>
      </c>
      <c r="V17" s="139">
        <v>0</v>
      </c>
    </row>
    <row r="18" spans="1:22" s="11" customFormat="1">
      <c r="A18" s="95" t="s">
        <v>33</v>
      </c>
      <c r="B18" s="358">
        <v>0</v>
      </c>
      <c r="C18" s="358">
        <v>0</v>
      </c>
      <c r="D18" s="358"/>
      <c r="E18" s="29"/>
      <c r="F18" s="7">
        <v>0</v>
      </c>
      <c r="G18" s="139">
        <f t="shared" si="3"/>
        <v>0</v>
      </c>
      <c r="H18" s="139">
        <f t="shared" si="4"/>
        <v>0</v>
      </c>
      <c r="I18" s="139">
        <f t="shared" si="5"/>
        <v>0</v>
      </c>
      <c r="J18" s="139">
        <f t="shared" si="6"/>
        <v>0</v>
      </c>
      <c r="L18" s="139">
        <v>0</v>
      </c>
      <c r="M18" s="139">
        <v>0</v>
      </c>
      <c r="N18" s="139">
        <v>0</v>
      </c>
      <c r="O18" s="139">
        <v>0</v>
      </c>
      <c r="P18" s="139">
        <v>0</v>
      </c>
      <c r="R18" s="139">
        <v>0</v>
      </c>
      <c r="S18" s="139">
        <v>0</v>
      </c>
      <c r="T18" s="139">
        <v>0</v>
      </c>
      <c r="U18" s="139">
        <v>0</v>
      </c>
      <c r="V18" s="139">
        <v>0</v>
      </c>
    </row>
    <row r="19" spans="1:22" s="11" customFormat="1">
      <c r="A19" s="95" t="s">
        <v>22</v>
      </c>
      <c r="B19" s="358">
        <v>0</v>
      </c>
      <c r="C19" s="358">
        <v>47497</v>
      </c>
      <c r="D19" s="358"/>
      <c r="E19" s="29"/>
      <c r="F19" s="139">
        <f>L19+R19</f>
        <v>42500</v>
      </c>
      <c r="G19" s="139">
        <f t="shared" si="3"/>
        <v>45000</v>
      </c>
      <c r="H19" s="139">
        <f t="shared" si="4"/>
        <v>47500</v>
      </c>
      <c r="I19" s="139">
        <f t="shared" si="5"/>
        <v>50000</v>
      </c>
      <c r="J19" s="139">
        <f t="shared" si="6"/>
        <v>55000</v>
      </c>
      <c r="K19" s="33"/>
      <c r="L19" s="139">
        <f>+L$20/4</f>
        <v>42500</v>
      </c>
      <c r="M19" s="139">
        <f>+M$20/4</f>
        <v>45000</v>
      </c>
      <c r="N19" s="139">
        <f>+N$20/4</f>
        <v>47500</v>
      </c>
      <c r="O19" s="139">
        <f>+O$20/4</f>
        <v>50000</v>
      </c>
      <c r="P19" s="139">
        <f>+P$20/4</f>
        <v>55000</v>
      </c>
      <c r="R19" s="139">
        <f t="shared" ref="R19:V19" si="10">+R$20/4</f>
        <v>0</v>
      </c>
      <c r="S19" s="139">
        <f t="shared" si="10"/>
        <v>0</v>
      </c>
      <c r="T19" s="139">
        <f t="shared" si="10"/>
        <v>0</v>
      </c>
      <c r="U19" s="139">
        <f t="shared" si="10"/>
        <v>0</v>
      </c>
      <c r="V19" s="139">
        <f t="shared" si="10"/>
        <v>0</v>
      </c>
    </row>
    <row r="20" spans="1:22" s="11" customFormat="1" ht="15.75" thickBot="1">
      <c r="A20" s="21" t="s">
        <v>20</v>
      </c>
      <c r="B20" s="10">
        <f>SUM(B8:B19)</f>
        <v>-247945.02000000002</v>
      </c>
      <c r="C20" s="10">
        <f>SUM(C8:C14)</f>
        <v>95002</v>
      </c>
      <c r="D20" s="10">
        <f>SUM(D8:D14)</f>
        <v>-342947.02</v>
      </c>
      <c r="E20" s="35"/>
      <c r="F20" s="10">
        <f>SUM(F8:F19)</f>
        <v>170000</v>
      </c>
      <c r="G20" s="10">
        <f>SUM(G8:G19)</f>
        <v>180000</v>
      </c>
      <c r="H20" s="10">
        <f>SUM(H8:H19)</f>
        <v>190000</v>
      </c>
      <c r="I20" s="10">
        <f>SUM(I8:I19)</f>
        <v>200000</v>
      </c>
      <c r="J20" s="10">
        <f>SUM(J8:J19)</f>
        <v>220000</v>
      </c>
      <c r="L20" s="10">
        <v>170000</v>
      </c>
      <c r="M20" s="10">
        <v>180000</v>
      </c>
      <c r="N20" s="10">
        <v>190000</v>
      </c>
      <c r="O20" s="10">
        <v>200000</v>
      </c>
      <c r="P20" s="10">
        <v>220000</v>
      </c>
      <c r="R20" s="10"/>
      <c r="S20" s="10"/>
      <c r="T20" s="10"/>
      <c r="U20" s="10"/>
      <c r="V20" s="10"/>
    </row>
    <row r="21" spans="1:22" ht="15.75" thickTop="1">
      <c r="A21" s="99"/>
      <c r="B21" s="44"/>
      <c r="C21" s="44"/>
      <c r="D21" s="44"/>
      <c r="E21" s="27"/>
      <c r="F21" s="151">
        <f>+F20-L20-R20</f>
        <v>0</v>
      </c>
      <c r="G21" s="151">
        <f t="shared" ref="G21:J21" si="11">+G20-M20-S20</f>
        <v>0</v>
      </c>
      <c r="H21" s="151">
        <f t="shared" si="11"/>
        <v>0</v>
      </c>
      <c r="I21" s="151">
        <f t="shared" si="11"/>
        <v>0</v>
      </c>
      <c r="J21" s="151">
        <f t="shared" si="11"/>
        <v>0</v>
      </c>
      <c r="L21" s="48">
        <f>SUM(L8:L19)-L20</f>
        <v>0</v>
      </c>
      <c r="M21" s="48">
        <f t="shared" ref="M21:P21" si="12">SUM(M8:M19)-M20</f>
        <v>0</v>
      </c>
      <c r="N21" s="48">
        <f t="shared" si="12"/>
        <v>0</v>
      </c>
      <c r="O21" s="48">
        <f t="shared" si="12"/>
        <v>0</v>
      </c>
      <c r="P21" s="48">
        <f t="shared" si="12"/>
        <v>0</v>
      </c>
      <c r="R21" s="48">
        <f>SUM(R8:R19)-R20</f>
        <v>0</v>
      </c>
      <c r="S21" s="48">
        <f t="shared" ref="S21" si="13">SUM(S8:S19)-S20</f>
        <v>0</v>
      </c>
      <c r="T21" s="48">
        <f t="shared" ref="T21" si="14">SUM(T8:T19)-T20</f>
        <v>0</v>
      </c>
      <c r="U21" s="48">
        <f t="shared" ref="U21" si="15">SUM(U8:U19)-U20</f>
        <v>0</v>
      </c>
      <c r="V21" s="48">
        <f t="shared" ref="V21" si="16">SUM(V8:V19)-V20</f>
        <v>0</v>
      </c>
    </row>
    <row r="22" spans="1:22">
      <c r="A22" s="99"/>
      <c r="B22" s="44"/>
      <c r="C22" s="44"/>
      <c r="D22" s="44"/>
      <c r="E22" s="27"/>
      <c r="F22" s="44"/>
      <c r="G22" s="44"/>
      <c r="H22" s="44"/>
      <c r="I22" s="44"/>
      <c r="J22" s="44"/>
    </row>
    <row r="23" spans="1:22">
      <c r="A23" s="100" t="s">
        <v>65</v>
      </c>
      <c r="B23" s="44"/>
      <c r="C23" s="44"/>
      <c r="D23" s="44"/>
      <c r="E23" s="27"/>
      <c r="F23" s="44"/>
      <c r="G23" s="44"/>
      <c r="H23" s="44"/>
      <c r="I23" s="44"/>
      <c r="J23" s="44"/>
    </row>
    <row r="24" spans="1:22">
      <c r="A24" s="100" t="s">
        <v>765</v>
      </c>
      <c r="B24" s="44"/>
      <c r="C24" s="44"/>
      <c r="D24" s="44"/>
      <c r="E24" s="27"/>
      <c r="F24" s="44"/>
      <c r="G24" s="44"/>
      <c r="H24" s="44"/>
      <c r="I24" s="44"/>
      <c r="J24" s="44"/>
    </row>
    <row r="25" spans="1:22">
      <c r="A25" s="4" t="s">
        <v>826</v>
      </c>
      <c r="B25" s="44"/>
      <c r="C25" s="44"/>
      <c r="D25" s="44"/>
      <c r="E25" s="27"/>
      <c r="F25" s="44"/>
      <c r="G25" s="44"/>
      <c r="H25" s="44"/>
      <c r="I25" s="44"/>
      <c r="J25" s="44"/>
    </row>
    <row r="26" spans="1:22">
      <c r="A26" s="99"/>
      <c r="B26" s="44"/>
      <c r="C26" s="44"/>
      <c r="D26" s="44"/>
      <c r="E26" s="27"/>
      <c r="F26" s="44"/>
      <c r="G26" s="44"/>
      <c r="H26" s="44"/>
      <c r="I26" s="44"/>
      <c r="J26" s="44"/>
    </row>
    <row r="27" spans="1:22">
      <c r="A27" s="100" t="s">
        <v>172</v>
      </c>
      <c r="B27" s="44"/>
      <c r="C27" s="44"/>
      <c r="D27" s="44"/>
      <c r="E27" s="27"/>
      <c r="F27" s="44"/>
      <c r="G27" s="44"/>
      <c r="H27" s="44"/>
      <c r="I27" s="44"/>
      <c r="J27" s="44"/>
    </row>
    <row r="28" spans="1:22">
      <c r="A28" s="101" t="s">
        <v>179</v>
      </c>
      <c r="B28" s="44"/>
      <c r="C28" s="44"/>
      <c r="D28" s="44"/>
      <c r="E28" s="27"/>
      <c r="F28" s="44"/>
      <c r="G28" s="44"/>
      <c r="H28" s="44"/>
      <c r="I28" s="44"/>
      <c r="J28" s="44"/>
    </row>
    <row r="29" spans="1:22">
      <c r="A29" s="99"/>
      <c r="B29" s="44"/>
      <c r="C29" s="44"/>
      <c r="D29" s="44"/>
      <c r="E29" s="27"/>
      <c r="F29" s="44"/>
      <c r="G29" s="44"/>
      <c r="H29" s="44"/>
      <c r="I29" s="44"/>
      <c r="J29" s="44"/>
    </row>
    <row r="30" spans="1:22">
      <c r="A30" s="99"/>
      <c r="B30" s="44"/>
      <c r="C30" s="44"/>
      <c r="D30" s="44"/>
      <c r="E30" s="27"/>
      <c r="F30" s="44"/>
      <c r="G30" s="44"/>
      <c r="H30" s="44"/>
      <c r="I30" s="44"/>
      <c r="J30" s="44"/>
    </row>
    <row r="31" spans="1:22">
      <c r="B31" s="44"/>
      <c r="C31" s="44"/>
      <c r="D31" s="44"/>
      <c r="E31" s="27"/>
      <c r="F31" s="44"/>
      <c r="G31" s="44"/>
      <c r="H31" s="44"/>
      <c r="I31" s="44"/>
      <c r="J31" s="44"/>
    </row>
    <row r="32" spans="1:22">
      <c r="B32" s="44"/>
      <c r="C32" s="44"/>
      <c r="D32" s="44"/>
      <c r="E32" s="27"/>
      <c r="F32" s="44"/>
      <c r="G32" s="44"/>
      <c r="H32" s="44"/>
      <c r="I32" s="44"/>
      <c r="J32" s="44"/>
    </row>
    <row r="33" spans="2:10">
      <c r="B33" s="44"/>
      <c r="C33" s="44"/>
      <c r="D33" s="44"/>
      <c r="E33" s="27"/>
      <c r="F33" s="44"/>
      <c r="G33" s="44"/>
      <c r="H33" s="44"/>
      <c r="I33" s="44"/>
      <c r="J33" s="44"/>
    </row>
    <row r="34" spans="2:10">
      <c r="B34" s="44"/>
      <c r="C34" s="44"/>
      <c r="D34" s="44"/>
      <c r="E34" s="27"/>
      <c r="F34" s="44"/>
      <c r="G34" s="44"/>
      <c r="H34" s="44"/>
      <c r="I34" s="44"/>
      <c r="J34" s="44"/>
    </row>
  </sheetData>
  <mergeCells count="2">
    <mergeCell ref="L6:P6"/>
    <mergeCell ref="R6:V6"/>
  </mergeCells>
  <phoneticPr fontId="15" type="noConversion"/>
  <pageMargins left="0.75" right="0.75" top="1" bottom="1" header="0.5" footer="0.5"/>
  <pageSetup scale="9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P34"/>
  <sheetViews>
    <sheetView workbookViewId="0">
      <pane ySplit="4" topLeftCell="A5" activePane="bottomLeft" state="frozen"/>
      <selection activeCell="G26" sqref="G26"/>
      <selection pane="bottomLeft" activeCell="A32" sqref="A32"/>
    </sheetView>
  </sheetViews>
  <sheetFormatPr defaultRowHeight="15"/>
  <cols>
    <col min="1" max="1" width="14.42578125" style="2" customWidth="1"/>
    <col min="2" max="3" width="12" style="2" customWidth="1"/>
    <col min="4" max="4" width="10" style="2" customWidth="1"/>
    <col min="5" max="5" width="1.7109375" style="26" customWidth="1"/>
    <col min="6" max="10" width="10.28515625" style="2" customWidth="1"/>
    <col min="11" max="16384" width="9.140625" style="2"/>
  </cols>
  <sheetData>
    <row r="1" spans="1:16">
      <c r="A1" s="436" t="s">
        <v>0</v>
      </c>
    </row>
    <row r="2" spans="1:16">
      <c r="A2" s="24" t="str">
        <f>Comparison!A2</f>
        <v>2016 Budget - 40990 Corporate</v>
      </c>
    </row>
    <row r="3" spans="1:16">
      <c r="A3" s="24" t="s">
        <v>351</v>
      </c>
    </row>
    <row r="4" spans="1:16">
      <c r="A4" s="24" t="s">
        <v>187</v>
      </c>
      <c r="F4" s="1"/>
    </row>
    <row r="5" spans="1:16" s="11" customFormat="1">
      <c r="A5" s="18"/>
      <c r="E5" s="33"/>
    </row>
    <row r="6" spans="1:16" s="11" customFormat="1">
      <c r="A6" s="18"/>
      <c r="E6" s="33"/>
    </row>
    <row r="7" spans="1:16" s="11" customFormat="1">
      <c r="A7" s="18"/>
      <c r="B7" s="59">
        <v>2015</v>
      </c>
      <c r="C7" s="59">
        <v>2015</v>
      </c>
      <c r="D7" s="59"/>
      <c r="E7" s="33"/>
    </row>
    <row r="8" spans="1:16" s="11" customFormat="1">
      <c r="A8" s="2"/>
      <c r="B8" s="57" t="s">
        <v>355</v>
      </c>
      <c r="C8" s="57" t="s">
        <v>2</v>
      </c>
      <c r="D8" s="57" t="s">
        <v>49</v>
      </c>
      <c r="E8" s="116"/>
      <c r="F8" s="53">
        <v>2016</v>
      </c>
      <c r="G8" s="53">
        <f>F8+1</f>
        <v>2017</v>
      </c>
      <c r="H8" s="53">
        <f>G8+1</f>
        <v>2018</v>
      </c>
      <c r="I8" s="53">
        <f>H8+1</f>
        <v>2019</v>
      </c>
      <c r="J8" s="53">
        <f>I8+1</f>
        <v>2020</v>
      </c>
      <c r="O8" s="402"/>
      <c r="P8" s="402"/>
    </row>
    <row r="9" spans="1:16" s="11" customFormat="1">
      <c r="A9" s="112" t="s">
        <v>23</v>
      </c>
      <c r="B9" s="139">
        <v>-15030</v>
      </c>
      <c r="C9" s="139">
        <v>-46513</v>
      </c>
      <c r="D9" s="139">
        <f>B9-C9</f>
        <v>31483</v>
      </c>
      <c r="E9" s="26"/>
      <c r="F9" s="142">
        <v>-26528</v>
      </c>
      <c r="G9" s="142">
        <f>+F9</f>
        <v>-26528</v>
      </c>
      <c r="H9" s="142">
        <f t="shared" ref="H9:J9" si="0">+G9</f>
        <v>-26528</v>
      </c>
      <c r="I9" s="142">
        <f t="shared" si="0"/>
        <v>-26528</v>
      </c>
      <c r="J9" s="142">
        <f t="shared" si="0"/>
        <v>-26528</v>
      </c>
      <c r="O9" s="402"/>
      <c r="P9" s="402"/>
    </row>
    <row r="10" spans="1:16" s="11" customFormat="1">
      <c r="A10" s="112" t="s">
        <v>24</v>
      </c>
      <c r="B10" s="139">
        <v>-30710</v>
      </c>
      <c r="C10" s="139">
        <v>-49654</v>
      </c>
      <c r="D10" s="139">
        <f t="shared" ref="D10:D14" si="1">B10-C10</f>
        <v>18944</v>
      </c>
      <c r="E10" s="26"/>
      <c r="F10" s="142">
        <v>-27759</v>
      </c>
      <c r="G10" s="142">
        <f t="shared" ref="G10:J10" si="2">+F10</f>
        <v>-27759</v>
      </c>
      <c r="H10" s="142">
        <f t="shared" si="2"/>
        <v>-27759</v>
      </c>
      <c r="I10" s="142">
        <f t="shared" si="2"/>
        <v>-27759</v>
      </c>
      <c r="J10" s="142">
        <f t="shared" si="2"/>
        <v>-27759</v>
      </c>
      <c r="O10" s="402"/>
      <c r="P10" s="402"/>
    </row>
    <row r="11" spans="1:16" s="11" customFormat="1">
      <c r="A11" s="112" t="s">
        <v>25</v>
      </c>
      <c r="B11" s="139">
        <v>-17454</v>
      </c>
      <c r="C11" s="139">
        <v>-52628</v>
      </c>
      <c r="D11" s="139">
        <f t="shared" si="1"/>
        <v>35174</v>
      </c>
      <c r="E11" s="26"/>
      <c r="F11" s="142">
        <v>-27219</v>
      </c>
      <c r="G11" s="142">
        <f t="shared" ref="G11:J11" si="3">+F11</f>
        <v>-27219</v>
      </c>
      <c r="H11" s="142">
        <f t="shared" si="3"/>
        <v>-27219</v>
      </c>
      <c r="I11" s="142">
        <f t="shared" si="3"/>
        <v>-27219</v>
      </c>
      <c r="J11" s="142">
        <f t="shared" si="3"/>
        <v>-27219</v>
      </c>
      <c r="O11" s="402"/>
      <c r="P11" s="402"/>
    </row>
    <row r="12" spans="1:16" s="11" customFormat="1">
      <c r="A12" s="112" t="s">
        <v>26</v>
      </c>
      <c r="B12" s="139">
        <v>-11053</v>
      </c>
      <c r="C12" s="139">
        <v>-23547</v>
      </c>
      <c r="D12" s="139">
        <f t="shared" si="1"/>
        <v>12494</v>
      </c>
      <c r="E12" s="33"/>
      <c r="F12" s="139">
        <v>-21103</v>
      </c>
      <c r="G12" s="142">
        <f t="shared" ref="G12:J12" si="4">+F12</f>
        <v>-21103</v>
      </c>
      <c r="H12" s="142">
        <f t="shared" si="4"/>
        <v>-21103</v>
      </c>
      <c r="I12" s="142">
        <f t="shared" si="4"/>
        <v>-21103</v>
      </c>
      <c r="J12" s="142">
        <f t="shared" si="4"/>
        <v>-21103</v>
      </c>
      <c r="O12" s="402"/>
      <c r="P12" s="402"/>
    </row>
    <row r="13" spans="1:16" s="11" customFormat="1">
      <c r="A13" s="112" t="s">
        <v>27</v>
      </c>
      <c r="B13" s="139">
        <v>-13443</v>
      </c>
      <c r="C13" s="139">
        <v>-26885</v>
      </c>
      <c r="D13" s="139">
        <f t="shared" si="1"/>
        <v>13442</v>
      </c>
      <c r="E13" s="33"/>
      <c r="F13" s="139">
        <v>-31051</v>
      </c>
      <c r="G13" s="142">
        <f t="shared" ref="G13:J13" si="5">+F13</f>
        <v>-31051</v>
      </c>
      <c r="H13" s="142">
        <f t="shared" si="5"/>
        <v>-31051</v>
      </c>
      <c r="I13" s="142">
        <f t="shared" si="5"/>
        <v>-31051</v>
      </c>
      <c r="J13" s="142">
        <f t="shared" si="5"/>
        <v>-31051</v>
      </c>
      <c r="O13" s="402"/>
      <c r="P13" s="402"/>
    </row>
    <row r="14" spans="1:16" s="11" customFormat="1">
      <c r="A14" s="112" t="s">
        <v>28</v>
      </c>
      <c r="B14" s="139">
        <v>-12039</v>
      </c>
      <c r="C14" s="139">
        <v>-22725</v>
      </c>
      <c r="D14" s="139">
        <f t="shared" si="1"/>
        <v>10686</v>
      </c>
      <c r="E14" s="33"/>
      <c r="F14" s="139">
        <v>-21402</v>
      </c>
      <c r="G14" s="142">
        <f t="shared" ref="G14:J14" si="6">+F14</f>
        <v>-21402</v>
      </c>
      <c r="H14" s="142">
        <f t="shared" si="6"/>
        <v>-21402</v>
      </c>
      <c r="I14" s="142">
        <f t="shared" si="6"/>
        <v>-21402</v>
      </c>
      <c r="J14" s="142">
        <f t="shared" si="6"/>
        <v>-21402</v>
      </c>
      <c r="O14" s="402"/>
      <c r="P14" s="402"/>
    </row>
    <row r="15" spans="1:16">
      <c r="A15" s="112" t="s">
        <v>29</v>
      </c>
      <c r="B15" s="358"/>
      <c r="C15" s="358">
        <v>-40665</v>
      </c>
      <c r="D15" s="358"/>
      <c r="F15" s="142">
        <v>-27246</v>
      </c>
      <c r="G15" s="142">
        <f t="shared" ref="G15:J15" si="7">+F15</f>
        <v>-27246</v>
      </c>
      <c r="H15" s="142">
        <f t="shared" si="7"/>
        <v>-27246</v>
      </c>
      <c r="I15" s="142">
        <f t="shared" si="7"/>
        <v>-27246</v>
      </c>
      <c r="J15" s="142">
        <f t="shared" si="7"/>
        <v>-27246</v>
      </c>
      <c r="O15" s="402"/>
      <c r="P15" s="402"/>
    </row>
    <row r="16" spans="1:16">
      <c r="A16" s="112" t="s">
        <v>30</v>
      </c>
      <c r="B16" s="358"/>
      <c r="C16" s="358">
        <v>-18764</v>
      </c>
      <c r="D16" s="358"/>
      <c r="F16" s="142">
        <v>-14144</v>
      </c>
      <c r="G16" s="142">
        <f t="shared" ref="G16:J16" si="8">+F16</f>
        <v>-14144</v>
      </c>
      <c r="H16" s="142">
        <f t="shared" si="8"/>
        <v>-14144</v>
      </c>
      <c r="I16" s="142">
        <f t="shared" si="8"/>
        <v>-14144</v>
      </c>
      <c r="J16" s="142">
        <f t="shared" si="8"/>
        <v>-14144</v>
      </c>
      <c r="O16" s="402"/>
      <c r="P16" s="402"/>
    </row>
    <row r="17" spans="1:16">
      <c r="A17" s="112" t="s">
        <v>31</v>
      </c>
      <c r="B17" s="358"/>
      <c r="C17" s="358">
        <v>-20383</v>
      </c>
      <c r="D17" s="358"/>
      <c r="F17" s="142">
        <v>-16362</v>
      </c>
      <c r="G17" s="142">
        <f t="shared" ref="G17:J17" si="9">+F17</f>
        <v>-16362</v>
      </c>
      <c r="H17" s="142">
        <f t="shared" si="9"/>
        <v>-16362</v>
      </c>
      <c r="I17" s="142">
        <f t="shared" si="9"/>
        <v>-16362</v>
      </c>
      <c r="J17" s="142">
        <f t="shared" si="9"/>
        <v>-16362</v>
      </c>
      <c r="O17" s="402"/>
      <c r="P17" s="402"/>
    </row>
    <row r="18" spans="1:16">
      <c r="A18" s="113" t="s">
        <v>32</v>
      </c>
      <c r="B18" s="358"/>
      <c r="C18" s="358">
        <v>-19898</v>
      </c>
      <c r="D18" s="358"/>
      <c r="F18" s="142">
        <v>-15688</v>
      </c>
      <c r="G18" s="142">
        <f t="shared" ref="G18:J18" si="10">+F18</f>
        <v>-15688</v>
      </c>
      <c r="H18" s="142">
        <f t="shared" si="10"/>
        <v>-15688</v>
      </c>
      <c r="I18" s="142">
        <f t="shared" si="10"/>
        <v>-15688</v>
      </c>
      <c r="J18" s="142">
        <f t="shared" si="10"/>
        <v>-15688</v>
      </c>
      <c r="O18" s="402"/>
      <c r="P18" s="402"/>
    </row>
    <row r="19" spans="1:16">
      <c r="A19" s="112" t="s">
        <v>33</v>
      </c>
      <c r="B19" s="358"/>
      <c r="C19" s="358">
        <v>-24680</v>
      </c>
      <c r="D19" s="358"/>
      <c r="F19" s="142">
        <v>-18720</v>
      </c>
      <c r="G19" s="142">
        <f t="shared" ref="G19:J19" si="11">+F19</f>
        <v>-18720</v>
      </c>
      <c r="H19" s="142">
        <f t="shared" si="11"/>
        <v>-18720</v>
      </c>
      <c r="I19" s="142">
        <f t="shared" si="11"/>
        <v>-18720</v>
      </c>
      <c r="J19" s="142">
        <f t="shared" si="11"/>
        <v>-18720</v>
      </c>
      <c r="O19" s="402"/>
      <c r="P19" s="402"/>
    </row>
    <row r="20" spans="1:16">
      <c r="A20" s="112" t="s">
        <v>22</v>
      </c>
      <c r="B20" s="358"/>
      <c r="C20" s="358">
        <v>-25941</v>
      </c>
      <c r="D20" s="358"/>
      <c r="F20" s="142">
        <v>-16544</v>
      </c>
      <c r="G20" s="142">
        <f t="shared" ref="G20:J20" si="12">+F20</f>
        <v>-16544</v>
      </c>
      <c r="H20" s="142">
        <f t="shared" si="12"/>
        <v>-16544</v>
      </c>
      <c r="I20" s="142">
        <f t="shared" si="12"/>
        <v>-16544</v>
      </c>
      <c r="J20" s="142">
        <f t="shared" si="12"/>
        <v>-16544</v>
      </c>
    </row>
    <row r="21" spans="1:16" ht="15.75" thickBot="1">
      <c r="A21" s="6" t="s">
        <v>20</v>
      </c>
      <c r="B21" s="117">
        <f>SUM(B9:B14)</f>
        <v>-99729</v>
      </c>
      <c r="C21" s="117">
        <f>SUM(C9:C14)</f>
        <v>-221952</v>
      </c>
      <c r="D21" s="117">
        <f>B21-C21</f>
        <v>122223</v>
      </c>
      <c r="F21" s="177">
        <f>SUM(F9:F20)</f>
        <v>-263766</v>
      </c>
      <c r="G21" s="177">
        <f>SUM(G9:G20)</f>
        <v>-263766</v>
      </c>
      <c r="H21" s="177">
        <f>SUM(H9:H20)</f>
        <v>-263766</v>
      </c>
      <c r="I21" s="177">
        <f>SUM(I9:I20)</f>
        <v>-263766</v>
      </c>
      <c r="J21" s="177">
        <f>SUM(J9:J20)</f>
        <v>-263766</v>
      </c>
    </row>
    <row r="22" spans="1:16" ht="15.75" thickTop="1"/>
    <row r="23" spans="1:16">
      <c r="B23" s="171"/>
      <c r="C23" s="142"/>
    </row>
    <row r="24" spans="1:16">
      <c r="C24" s="142"/>
    </row>
    <row r="25" spans="1:16">
      <c r="C25" s="142"/>
    </row>
    <row r="26" spans="1:16">
      <c r="A26" s="24" t="s">
        <v>350</v>
      </c>
    </row>
    <row r="27" spans="1:16">
      <c r="A27" s="4" t="s">
        <v>767</v>
      </c>
    </row>
    <row r="28" spans="1:16">
      <c r="A28" s="4" t="s">
        <v>826</v>
      </c>
    </row>
    <row r="31" spans="1:16">
      <c r="A31" s="24" t="s">
        <v>172</v>
      </c>
    </row>
    <row r="32" spans="1:16">
      <c r="A32" s="2" t="s">
        <v>180</v>
      </c>
    </row>
    <row r="33" spans="1:1">
      <c r="A33" s="2" t="s">
        <v>819</v>
      </c>
    </row>
    <row r="34" spans="1:1">
      <c r="A34" s="2" t="s">
        <v>494</v>
      </c>
    </row>
  </sheetData>
  <pageMargins left="0.75" right="0.75" top="1" bottom="1" header="0.5" footer="0.5"/>
  <pageSetup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P67"/>
  <sheetViews>
    <sheetView workbookViewId="0">
      <pane ySplit="1" topLeftCell="A11" activePane="bottomLeft" state="frozen"/>
      <selection pane="bottomLeft" activeCell="F35" sqref="F35:F37"/>
    </sheetView>
  </sheetViews>
  <sheetFormatPr defaultRowHeight="12.75"/>
  <cols>
    <col min="1" max="1" width="11.140625" customWidth="1"/>
    <col min="2" max="2" width="38.7109375" bestFit="1" customWidth="1"/>
    <col min="3" max="7" width="16.5703125" customWidth="1"/>
  </cols>
  <sheetData>
    <row r="1" spans="1:16" ht="45">
      <c r="A1" s="270" t="s">
        <v>146</v>
      </c>
      <c r="B1" s="269" t="s">
        <v>218</v>
      </c>
      <c r="C1" s="266" t="s">
        <v>795</v>
      </c>
      <c r="D1" s="266" t="s">
        <v>796</v>
      </c>
      <c r="E1" s="266" t="s">
        <v>797</v>
      </c>
      <c r="F1" s="266" t="s">
        <v>49</v>
      </c>
      <c r="G1" s="266" t="s">
        <v>742</v>
      </c>
      <c r="K1" s="300"/>
      <c r="L1" s="299"/>
      <c r="M1" s="299"/>
      <c r="N1" s="299"/>
      <c r="O1" s="299"/>
      <c r="P1" s="299"/>
    </row>
    <row r="2" spans="1:16" ht="15">
      <c r="A2" s="292" t="s">
        <v>226</v>
      </c>
      <c r="B2" s="282" t="s">
        <v>227</v>
      </c>
      <c r="C2" s="271">
        <v>26541.82</v>
      </c>
      <c r="D2" s="271">
        <v>320.04000000000002</v>
      </c>
      <c r="E2" s="271">
        <v>287</v>
      </c>
      <c r="F2" s="271">
        <f t="shared" ref="F2:F45" si="0">D2-E2</f>
        <v>33.04000000000002</v>
      </c>
      <c r="G2" s="271">
        <v>490</v>
      </c>
      <c r="K2" s="300"/>
      <c r="L2" s="299"/>
      <c r="M2" s="299"/>
      <c r="N2" s="299"/>
      <c r="O2" s="299"/>
      <c r="P2" s="299"/>
    </row>
    <row r="3" spans="1:16" ht="15">
      <c r="A3" s="292" t="s">
        <v>228</v>
      </c>
      <c r="B3" s="282" t="s">
        <v>229</v>
      </c>
      <c r="C3" s="271">
        <v>15334.43</v>
      </c>
      <c r="D3" s="271">
        <v>8798.08</v>
      </c>
      <c r="E3" s="271">
        <v>7861</v>
      </c>
      <c r="F3" s="271">
        <f t="shared" si="0"/>
        <v>937.07999999999993</v>
      </c>
      <c r="G3" s="271">
        <v>13470</v>
      </c>
      <c r="K3" s="300"/>
      <c r="L3" s="299"/>
      <c r="M3" s="299"/>
      <c r="N3" s="299"/>
      <c r="O3" s="299"/>
      <c r="P3" s="299"/>
    </row>
    <row r="4" spans="1:16" ht="15">
      <c r="A4" s="292" t="s">
        <v>230</v>
      </c>
      <c r="B4" s="282" t="s">
        <v>231</v>
      </c>
      <c r="C4" s="271">
        <v>2252.9899999999998</v>
      </c>
      <c r="D4" s="271">
        <v>1292.6300000000001</v>
      </c>
      <c r="E4" s="271">
        <v>1155</v>
      </c>
      <c r="F4" s="271">
        <f t="shared" si="0"/>
        <v>137.63000000000011</v>
      </c>
      <c r="G4" s="271">
        <v>1979</v>
      </c>
      <c r="K4" s="300"/>
      <c r="L4" s="299"/>
      <c r="M4" s="299"/>
      <c r="N4" s="299"/>
      <c r="O4" s="299"/>
      <c r="P4" s="299"/>
    </row>
    <row r="5" spans="1:16" ht="15">
      <c r="A5" s="292" t="s">
        <v>232</v>
      </c>
      <c r="B5" s="282" t="s">
        <v>233</v>
      </c>
      <c r="C5" s="271">
        <v>93194.43</v>
      </c>
      <c r="D5" s="271">
        <v>52644.58</v>
      </c>
      <c r="E5" s="271">
        <v>47012</v>
      </c>
      <c r="F5" s="271">
        <f t="shared" si="0"/>
        <v>5632.5800000000017</v>
      </c>
      <c r="G5" s="271">
        <v>80600</v>
      </c>
      <c r="K5" s="300"/>
      <c r="L5" s="299"/>
      <c r="M5" s="299"/>
      <c r="N5" s="299"/>
      <c r="O5" s="299"/>
      <c r="P5" s="299"/>
    </row>
    <row r="6" spans="1:16" ht="15">
      <c r="A6" s="292" t="s">
        <v>234</v>
      </c>
      <c r="B6" s="282" t="s">
        <v>235</v>
      </c>
      <c r="C6" s="271">
        <v>513802.18</v>
      </c>
      <c r="D6" s="271">
        <v>304730.58</v>
      </c>
      <c r="E6" s="271">
        <v>304717</v>
      </c>
      <c r="F6" s="271">
        <f t="shared" si="0"/>
        <v>13.580000000016298</v>
      </c>
      <c r="G6" s="271">
        <v>522395</v>
      </c>
      <c r="K6" s="300"/>
      <c r="L6" s="299"/>
      <c r="M6" s="299"/>
      <c r="N6" s="299"/>
      <c r="O6" s="299"/>
      <c r="P6" s="299"/>
    </row>
    <row r="7" spans="1:16" ht="15">
      <c r="A7" s="292" t="s">
        <v>535</v>
      </c>
      <c r="B7" s="282" t="s">
        <v>536</v>
      </c>
      <c r="C7" s="451">
        <v>16332.58</v>
      </c>
      <c r="D7" s="271">
        <v>0</v>
      </c>
      <c r="E7" s="271">
        <v>0</v>
      </c>
      <c r="F7" s="271">
        <f t="shared" si="0"/>
        <v>0</v>
      </c>
      <c r="G7" s="271">
        <v>0</v>
      </c>
      <c r="K7" s="300"/>
      <c r="L7" s="299"/>
      <c r="M7" s="299"/>
      <c r="N7" s="299"/>
      <c r="O7" s="299"/>
      <c r="P7" s="299"/>
    </row>
    <row r="8" spans="1:16" ht="15">
      <c r="A8" s="292" t="s">
        <v>236</v>
      </c>
      <c r="B8" s="282" t="s">
        <v>237</v>
      </c>
      <c r="C8" s="271">
        <v>558.14</v>
      </c>
      <c r="D8" s="271">
        <v>320.04000000000002</v>
      </c>
      <c r="E8" s="271">
        <v>287</v>
      </c>
      <c r="F8" s="271">
        <f t="shared" si="0"/>
        <v>33.04000000000002</v>
      </c>
      <c r="G8" s="271">
        <v>490</v>
      </c>
      <c r="K8" s="300"/>
      <c r="L8" s="299"/>
      <c r="M8" s="299"/>
      <c r="N8" s="299"/>
      <c r="O8" s="299"/>
      <c r="P8" s="299"/>
    </row>
    <row r="9" spans="1:16" ht="15">
      <c r="A9" s="292" t="s">
        <v>238</v>
      </c>
      <c r="B9" s="282" t="s">
        <v>239</v>
      </c>
      <c r="C9" s="271">
        <v>61920.03</v>
      </c>
      <c r="D9" s="271">
        <v>35527.24</v>
      </c>
      <c r="E9" s="271">
        <v>31717</v>
      </c>
      <c r="F9" s="271">
        <f t="shared" si="0"/>
        <v>3810.239999999998</v>
      </c>
      <c r="G9" s="271">
        <v>54393</v>
      </c>
      <c r="K9" s="300"/>
      <c r="L9" s="299"/>
      <c r="M9" s="299"/>
      <c r="N9" s="299"/>
      <c r="O9" s="299"/>
      <c r="P9" s="299"/>
    </row>
    <row r="10" spans="1:16" ht="15">
      <c r="A10" s="292" t="s">
        <v>240</v>
      </c>
      <c r="B10" s="282" t="s">
        <v>241</v>
      </c>
      <c r="C10" s="271">
        <v>421928.86</v>
      </c>
      <c r="D10" s="271">
        <v>242204.63</v>
      </c>
      <c r="E10" s="271">
        <v>216195</v>
      </c>
      <c r="F10" s="271">
        <f t="shared" si="0"/>
        <v>26009.630000000005</v>
      </c>
      <c r="G10" s="271">
        <v>370639</v>
      </c>
      <c r="K10" s="300"/>
      <c r="L10" s="299"/>
      <c r="M10" s="299"/>
      <c r="N10" s="299"/>
      <c r="O10" s="299"/>
      <c r="P10" s="299"/>
    </row>
    <row r="11" spans="1:16" ht="15">
      <c r="A11" s="292" t="s">
        <v>242</v>
      </c>
      <c r="B11" s="282" t="s">
        <v>243</v>
      </c>
      <c r="C11" s="271">
        <v>156823.64000000001</v>
      </c>
      <c r="D11" s="271">
        <v>89979.1</v>
      </c>
      <c r="E11" s="271">
        <v>80360</v>
      </c>
      <c r="F11" s="271">
        <f t="shared" si="0"/>
        <v>9619.1000000000058</v>
      </c>
      <c r="G11" s="271">
        <v>137760</v>
      </c>
      <c r="K11" s="300"/>
      <c r="L11" s="299"/>
      <c r="M11" s="299"/>
      <c r="N11" s="299"/>
      <c r="O11" s="299"/>
      <c r="P11" s="299"/>
    </row>
    <row r="12" spans="1:16" ht="15">
      <c r="A12" s="292" t="s">
        <v>244</v>
      </c>
      <c r="B12" s="282" t="s">
        <v>245</v>
      </c>
      <c r="C12" s="271">
        <v>51710.36</v>
      </c>
      <c r="D12" s="271">
        <v>29669.07</v>
      </c>
      <c r="E12" s="271">
        <v>26495</v>
      </c>
      <c r="F12" s="271">
        <f t="shared" si="0"/>
        <v>3174.0699999999997</v>
      </c>
      <c r="G12" s="271">
        <v>45424</v>
      </c>
      <c r="K12" s="300"/>
      <c r="L12" s="299"/>
      <c r="M12" s="299"/>
      <c r="N12" s="299"/>
      <c r="O12" s="299"/>
      <c r="P12" s="299"/>
    </row>
    <row r="13" spans="1:16" ht="15">
      <c r="A13" s="292" t="s">
        <v>246</v>
      </c>
      <c r="B13" s="282" t="s">
        <v>247</v>
      </c>
      <c r="C13" s="271">
        <v>40063.68</v>
      </c>
      <c r="D13" s="271">
        <v>22401.05</v>
      </c>
      <c r="E13" s="271">
        <v>22400</v>
      </c>
      <c r="F13" s="271">
        <f t="shared" si="0"/>
        <v>1.0499999999992724</v>
      </c>
      <c r="G13" s="271">
        <v>38402</v>
      </c>
      <c r="K13" s="300"/>
      <c r="L13" s="299"/>
      <c r="M13" s="299"/>
      <c r="N13" s="299"/>
      <c r="O13" s="299"/>
      <c r="P13" s="299"/>
    </row>
    <row r="14" spans="1:16" ht="15">
      <c r="A14" s="283" t="s">
        <v>248</v>
      </c>
      <c r="B14" s="282" t="s">
        <v>249</v>
      </c>
      <c r="C14" s="271">
        <v>484.35</v>
      </c>
      <c r="D14" s="271">
        <v>278.20999999999998</v>
      </c>
      <c r="E14" s="271">
        <v>245</v>
      </c>
      <c r="F14" s="271">
        <f t="shared" si="0"/>
        <v>33.20999999999998</v>
      </c>
      <c r="G14" s="271">
        <v>426</v>
      </c>
      <c r="K14" s="300"/>
      <c r="L14" s="299"/>
      <c r="M14" s="299"/>
      <c r="N14" s="299"/>
      <c r="O14" s="299"/>
      <c r="P14" s="299"/>
    </row>
    <row r="15" spans="1:16" ht="15">
      <c r="A15" s="283" t="s">
        <v>250</v>
      </c>
      <c r="B15" s="282" t="s">
        <v>251</v>
      </c>
      <c r="C15" s="451">
        <v>1300.1500000000001</v>
      </c>
      <c r="D15" s="451">
        <v>1063.24</v>
      </c>
      <c r="E15" s="271">
        <v>0</v>
      </c>
      <c r="F15" s="271">
        <f t="shared" si="0"/>
        <v>1063.24</v>
      </c>
      <c r="G15" s="271">
        <v>0</v>
      </c>
      <c r="K15" s="300"/>
      <c r="L15" s="299"/>
      <c r="M15" s="299"/>
      <c r="N15" s="299"/>
      <c r="O15" s="299"/>
      <c r="P15" s="299"/>
    </row>
    <row r="16" spans="1:16" ht="15">
      <c r="A16" s="283" t="s">
        <v>537</v>
      </c>
      <c r="B16" s="282" t="s">
        <v>538</v>
      </c>
      <c r="C16" s="451">
        <v>5939.13</v>
      </c>
      <c r="D16" s="271">
        <v>0</v>
      </c>
      <c r="E16" s="271">
        <v>0</v>
      </c>
      <c r="F16" s="271">
        <f t="shared" si="0"/>
        <v>0</v>
      </c>
      <c r="G16" s="271">
        <v>0</v>
      </c>
      <c r="K16" s="300"/>
      <c r="L16" s="299"/>
      <c r="M16" s="299"/>
      <c r="N16" s="299"/>
      <c r="O16" s="299"/>
      <c r="P16" s="299"/>
    </row>
    <row r="17" spans="1:16" ht="15">
      <c r="A17" s="283" t="s">
        <v>219</v>
      </c>
      <c r="B17" s="282" t="s">
        <v>220</v>
      </c>
      <c r="C17" s="271">
        <v>496646.40000000002</v>
      </c>
      <c r="D17" s="271">
        <v>148687.22</v>
      </c>
      <c r="E17" s="271">
        <v>393183</v>
      </c>
      <c r="F17" s="271">
        <f t="shared" si="0"/>
        <v>-244495.78</v>
      </c>
      <c r="G17" s="271">
        <v>591437</v>
      </c>
      <c r="K17" s="300"/>
      <c r="L17" s="299"/>
      <c r="M17" s="299"/>
      <c r="N17" s="299"/>
      <c r="O17" s="299"/>
      <c r="P17" s="299"/>
    </row>
    <row r="18" spans="1:16" ht="15">
      <c r="A18" s="292" t="s">
        <v>252</v>
      </c>
      <c r="B18" s="371" t="s">
        <v>253</v>
      </c>
      <c r="C18" s="372">
        <v>-308220.01</v>
      </c>
      <c r="D18" s="372">
        <v>-110560.36</v>
      </c>
      <c r="E18" s="372">
        <v>-262617</v>
      </c>
      <c r="F18" s="372">
        <f t="shared" si="0"/>
        <v>152056.64000000001</v>
      </c>
      <c r="G18" s="372">
        <v>-372283</v>
      </c>
      <c r="K18" s="300"/>
      <c r="L18" s="299"/>
      <c r="M18" s="299"/>
      <c r="N18" s="299"/>
      <c r="O18" s="299"/>
      <c r="P18" s="299"/>
    </row>
    <row r="19" spans="1:16" ht="15">
      <c r="A19" s="292" t="s">
        <v>254</v>
      </c>
      <c r="B19" s="371" t="s">
        <v>255</v>
      </c>
      <c r="C19" s="372">
        <v>183775.64</v>
      </c>
      <c r="D19" s="372">
        <v>115027.64</v>
      </c>
      <c r="E19" s="372">
        <v>115024</v>
      </c>
      <c r="F19" s="372">
        <f t="shared" si="0"/>
        <v>3.6399999999994179</v>
      </c>
      <c r="G19" s="372">
        <v>197190</v>
      </c>
      <c r="K19" s="300"/>
      <c r="L19" s="299"/>
      <c r="M19" s="299"/>
      <c r="N19" s="299"/>
      <c r="O19" s="299"/>
      <c r="P19" s="299"/>
    </row>
    <row r="20" spans="1:16" ht="15">
      <c r="A20" s="292" t="s">
        <v>256</v>
      </c>
      <c r="B20" s="371" t="s">
        <v>257</v>
      </c>
      <c r="C20" s="372">
        <v>12899596.67</v>
      </c>
      <c r="D20" s="372">
        <v>7996419.8600000003</v>
      </c>
      <c r="E20" s="372">
        <v>7964792</v>
      </c>
      <c r="F20" s="372">
        <f t="shared" si="0"/>
        <v>31627.860000000335</v>
      </c>
      <c r="G20" s="372">
        <v>13544298</v>
      </c>
      <c r="K20" s="300"/>
      <c r="L20" s="299"/>
      <c r="M20" s="299"/>
      <c r="N20" s="299"/>
      <c r="O20" s="299"/>
      <c r="P20" s="299"/>
    </row>
    <row r="21" spans="1:16" ht="15">
      <c r="A21" s="292" t="s">
        <v>258</v>
      </c>
      <c r="B21" s="371" t="s">
        <v>259</v>
      </c>
      <c r="C21" s="372">
        <v>67068.789999999994</v>
      </c>
      <c r="D21" s="372">
        <v>42608.37</v>
      </c>
      <c r="E21" s="372">
        <v>42609</v>
      </c>
      <c r="F21" s="372">
        <f t="shared" si="0"/>
        <v>-0.62999999999738066</v>
      </c>
      <c r="G21" s="372">
        <v>73043</v>
      </c>
      <c r="K21" s="300"/>
      <c r="L21" s="299"/>
      <c r="M21" s="299"/>
      <c r="N21" s="299"/>
      <c r="O21" s="299"/>
      <c r="P21" s="299"/>
    </row>
    <row r="22" spans="1:16" ht="15">
      <c r="A22" s="292" t="s">
        <v>798</v>
      </c>
      <c r="B22" s="371" t="s">
        <v>799</v>
      </c>
      <c r="C22" s="451">
        <v>0</v>
      </c>
      <c r="D22" s="451">
        <v>70.3</v>
      </c>
      <c r="E22" s="372">
        <v>0</v>
      </c>
      <c r="F22" s="372">
        <f t="shared" si="0"/>
        <v>70.3</v>
      </c>
      <c r="G22" s="372">
        <v>0</v>
      </c>
      <c r="K22" s="300"/>
      <c r="L22" s="299"/>
      <c r="M22" s="299"/>
      <c r="N22" s="299"/>
      <c r="O22" s="299"/>
      <c r="P22" s="299"/>
    </row>
    <row r="23" spans="1:16" ht="15">
      <c r="A23" s="292" t="s">
        <v>539</v>
      </c>
      <c r="B23" s="371" t="s">
        <v>540</v>
      </c>
      <c r="C23" s="451">
        <v>299.61</v>
      </c>
      <c r="D23" s="372">
        <v>0</v>
      </c>
      <c r="E23" s="372">
        <v>0</v>
      </c>
      <c r="F23" s="372">
        <f t="shared" si="0"/>
        <v>0</v>
      </c>
      <c r="G23" s="372">
        <v>0</v>
      </c>
      <c r="K23" s="300"/>
      <c r="L23" s="299"/>
      <c r="M23" s="299"/>
      <c r="N23" s="299"/>
      <c r="O23" s="299"/>
      <c r="P23" s="299"/>
    </row>
    <row r="24" spans="1:16" ht="15">
      <c r="A24" s="292" t="s">
        <v>541</v>
      </c>
      <c r="B24" s="371" t="s">
        <v>542</v>
      </c>
      <c r="C24" s="451">
        <v>11135.85</v>
      </c>
      <c r="D24" s="372">
        <v>0</v>
      </c>
      <c r="E24" s="372">
        <v>0</v>
      </c>
      <c r="F24" s="372">
        <f t="shared" si="0"/>
        <v>0</v>
      </c>
      <c r="G24" s="372">
        <v>0</v>
      </c>
      <c r="H24" s="282"/>
      <c r="I24" s="282"/>
      <c r="K24" s="300"/>
      <c r="L24" s="299"/>
      <c r="M24" s="299"/>
      <c r="N24" s="299"/>
      <c r="O24" s="299"/>
      <c r="P24" s="299"/>
    </row>
    <row r="25" spans="1:16" ht="15">
      <c r="A25" s="292" t="s">
        <v>260</v>
      </c>
      <c r="B25" s="371" t="s">
        <v>261</v>
      </c>
      <c r="C25" s="451">
        <v>18560.11</v>
      </c>
      <c r="D25" s="451">
        <v>1.36</v>
      </c>
      <c r="E25" s="372">
        <v>0</v>
      </c>
      <c r="F25" s="372">
        <f t="shared" si="0"/>
        <v>1.36</v>
      </c>
      <c r="G25" s="372">
        <v>0</v>
      </c>
      <c r="H25" s="282"/>
      <c r="I25" s="282"/>
      <c r="K25" s="300"/>
      <c r="L25" s="299"/>
      <c r="M25" s="299"/>
      <c r="N25" s="299"/>
      <c r="O25" s="299"/>
      <c r="P25" s="299"/>
    </row>
    <row r="26" spans="1:16" ht="15">
      <c r="A26" s="292" t="s">
        <v>262</v>
      </c>
      <c r="B26" s="371" t="s">
        <v>263</v>
      </c>
      <c r="C26" s="372">
        <v>4303740.6900000004</v>
      </c>
      <c r="D26" s="372">
        <v>1168577.07</v>
      </c>
      <c r="E26" s="372">
        <v>1343205</v>
      </c>
      <c r="F26" s="372">
        <f t="shared" si="0"/>
        <v>-174627.92999999993</v>
      </c>
      <c r="G26" s="372">
        <v>3179050</v>
      </c>
      <c r="H26" s="282"/>
      <c r="I26" s="282"/>
      <c r="K26" s="300"/>
      <c r="L26" s="299"/>
      <c r="M26" s="299"/>
      <c r="N26" s="299"/>
      <c r="O26" s="299"/>
      <c r="P26" s="299"/>
    </row>
    <row r="27" spans="1:16" ht="15">
      <c r="A27" s="292" t="s">
        <v>543</v>
      </c>
      <c r="B27" s="371" t="s">
        <v>544</v>
      </c>
      <c r="C27" s="451">
        <v>460.58</v>
      </c>
      <c r="D27" s="372">
        <v>0</v>
      </c>
      <c r="E27" s="372">
        <v>0</v>
      </c>
      <c r="F27" s="372">
        <f t="shared" si="0"/>
        <v>0</v>
      </c>
      <c r="G27" s="372">
        <v>0</v>
      </c>
      <c r="H27" s="282"/>
      <c r="I27" s="282"/>
      <c r="K27" s="300"/>
      <c r="L27" s="299"/>
      <c r="M27" s="299"/>
      <c r="N27" s="299"/>
      <c r="O27" s="299"/>
      <c r="P27" s="299"/>
    </row>
    <row r="28" spans="1:16" ht="15">
      <c r="A28" s="292" t="s">
        <v>545</v>
      </c>
      <c r="B28" s="371" t="s">
        <v>546</v>
      </c>
      <c r="C28" s="451">
        <v>17442.46</v>
      </c>
      <c r="D28" s="372">
        <v>0</v>
      </c>
      <c r="E28" s="372">
        <v>0</v>
      </c>
      <c r="F28" s="372">
        <f t="shared" si="0"/>
        <v>0</v>
      </c>
      <c r="G28" s="372">
        <v>0</v>
      </c>
      <c r="H28" s="282"/>
      <c r="I28" s="282"/>
      <c r="K28" s="300"/>
      <c r="L28" s="299"/>
      <c r="M28" s="299"/>
      <c r="N28" s="299"/>
      <c r="O28" s="299"/>
      <c r="P28" s="299"/>
    </row>
    <row r="29" spans="1:16" ht="15">
      <c r="A29" s="292" t="s">
        <v>264</v>
      </c>
      <c r="B29" s="371" t="s">
        <v>265</v>
      </c>
      <c r="C29" s="372">
        <v>72827.179999999993</v>
      </c>
      <c r="D29" s="372">
        <v>41798.47</v>
      </c>
      <c r="E29" s="372">
        <v>41797</v>
      </c>
      <c r="F29" s="372">
        <f t="shared" si="0"/>
        <v>1.4700000000011642</v>
      </c>
      <c r="G29" s="372">
        <v>71654</v>
      </c>
      <c r="H29" s="282"/>
      <c r="I29" s="282"/>
      <c r="K29" s="300"/>
      <c r="L29" s="299"/>
      <c r="M29" s="299"/>
      <c r="N29" s="299"/>
      <c r="O29" s="299"/>
      <c r="P29" s="299"/>
    </row>
    <row r="30" spans="1:16" ht="15">
      <c r="A30" s="292" t="s">
        <v>547</v>
      </c>
      <c r="B30" s="371" t="s">
        <v>548</v>
      </c>
      <c r="C30" s="451">
        <v>-124294.66</v>
      </c>
      <c r="D30" s="372">
        <v>0</v>
      </c>
      <c r="E30" s="372">
        <v>0</v>
      </c>
      <c r="F30" s="372">
        <f t="shared" si="0"/>
        <v>0</v>
      </c>
      <c r="G30" s="372">
        <v>0</v>
      </c>
      <c r="H30" s="282"/>
      <c r="I30" s="282"/>
      <c r="K30" s="300"/>
      <c r="L30" s="299"/>
      <c r="M30" s="299"/>
      <c r="N30" s="299"/>
      <c r="O30" s="299"/>
      <c r="P30" s="299"/>
    </row>
    <row r="31" spans="1:16" ht="15">
      <c r="A31" s="292" t="s">
        <v>266</v>
      </c>
      <c r="B31" s="371" t="s">
        <v>267</v>
      </c>
      <c r="C31" s="372">
        <v>-321650.58</v>
      </c>
      <c r="D31" s="372">
        <v>-214738.23</v>
      </c>
      <c r="E31" s="372">
        <v>-183981</v>
      </c>
      <c r="F31" s="372">
        <f t="shared" si="0"/>
        <v>-30757.23000000001</v>
      </c>
      <c r="G31" s="372">
        <v>-315397</v>
      </c>
      <c r="H31" s="282"/>
      <c r="I31" s="282"/>
      <c r="K31" s="300"/>
      <c r="L31" s="299"/>
      <c r="M31" s="299"/>
      <c r="N31" s="299"/>
      <c r="O31" s="299"/>
      <c r="P31" s="299"/>
    </row>
    <row r="32" spans="1:16" ht="15">
      <c r="A32" s="292" t="s">
        <v>268</v>
      </c>
      <c r="B32" s="371" t="s">
        <v>269</v>
      </c>
      <c r="C32" s="372">
        <v>36376.870000000003</v>
      </c>
      <c r="D32" s="372">
        <v>21980</v>
      </c>
      <c r="E32" s="372">
        <v>25130</v>
      </c>
      <c r="F32" s="372">
        <f t="shared" si="0"/>
        <v>-3150</v>
      </c>
      <c r="G32" s="372">
        <v>43080</v>
      </c>
      <c r="H32" s="282"/>
      <c r="I32" s="282"/>
      <c r="K32" s="300"/>
      <c r="L32" s="299"/>
      <c r="M32" s="299"/>
      <c r="N32" s="299"/>
      <c r="O32" s="299"/>
      <c r="P32" s="299"/>
    </row>
    <row r="33" spans="1:16" ht="15">
      <c r="A33" s="292" t="s">
        <v>270</v>
      </c>
      <c r="B33" s="282" t="s">
        <v>271</v>
      </c>
      <c r="C33" s="271">
        <v>4221849.04</v>
      </c>
      <c r="D33" s="271">
        <v>2390764.64</v>
      </c>
      <c r="E33" s="271">
        <v>2870336</v>
      </c>
      <c r="F33" s="271">
        <f t="shared" si="0"/>
        <v>-479571.35999999987</v>
      </c>
      <c r="G33" s="271">
        <v>4872380</v>
      </c>
      <c r="H33" s="282"/>
      <c r="I33" s="282"/>
      <c r="K33" s="300"/>
      <c r="L33" s="299"/>
      <c r="M33" s="299"/>
      <c r="N33" s="299"/>
      <c r="O33" s="299"/>
      <c r="P33" s="299"/>
    </row>
    <row r="34" spans="1:16" ht="15">
      <c r="A34" s="292" t="s">
        <v>272</v>
      </c>
      <c r="B34" s="282" t="s">
        <v>273</v>
      </c>
      <c r="C34" s="271">
        <v>3500000</v>
      </c>
      <c r="D34" s="271">
        <v>2041669</v>
      </c>
      <c r="E34" s="271">
        <v>2041669</v>
      </c>
      <c r="F34" s="271">
        <f t="shared" si="0"/>
        <v>0</v>
      </c>
      <c r="G34" s="271">
        <v>3500000</v>
      </c>
      <c r="H34" s="282"/>
      <c r="I34" s="282"/>
      <c r="K34" s="300"/>
      <c r="L34" s="299"/>
      <c r="M34" s="299"/>
      <c r="N34" s="299"/>
      <c r="O34" s="299"/>
      <c r="P34" s="299"/>
    </row>
    <row r="35" spans="1:16" ht="15">
      <c r="A35" s="292" t="s">
        <v>274</v>
      </c>
      <c r="B35" s="301" t="s">
        <v>275</v>
      </c>
      <c r="C35" s="271">
        <v>2815075.05</v>
      </c>
      <c r="D35" s="271">
        <v>1632245.84</v>
      </c>
      <c r="E35" s="271">
        <v>1777152</v>
      </c>
      <c r="F35" s="271">
        <f t="shared" si="0"/>
        <v>-144906.15999999992</v>
      </c>
      <c r="G35" s="271">
        <v>3062699</v>
      </c>
      <c r="H35" s="301"/>
      <c r="I35" s="301"/>
      <c r="K35" s="302"/>
      <c r="L35" s="301"/>
      <c r="M35" s="301"/>
      <c r="N35" s="301"/>
      <c r="O35" s="301"/>
      <c r="P35" s="301"/>
    </row>
    <row r="36" spans="1:16" ht="15">
      <c r="A36" s="292" t="s">
        <v>800</v>
      </c>
      <c r="B36" s="301" t="s">
        <v>801</v>
      </c>
      <c r="C36" s="451">
        <v>2.93</v>
      </c>
      <c r="D36" s="451">
        <v>-2.93</v>
      </c>
      <c r="E36" s="271">
        <v>0</v>
      </c>
      <c r="F36" s="271">
        <f t="shared" si="0"/>
        <v>-2.93</v>
      </c>
      <c r="G36" s="271">
        <v>0</v>
      </c>
      <c r="H36" s="301"/>
      <c r="I36" s="301"/>
      <c r="K36" s="302"/>
      <c r="L36" s="301"/>
      <c r="M36" s="301"/>
      <c r="N36" s="301"/>
      <c r="O36" s="301"/>
      <c r="P36" s="301"/>
    </row>
    <row r="37" spans="1:16" ht="15">
      <c r="A37" s="292" t="s">
        <v>549</v>
      </c>
      <c r="B37" s="301" t="s">
        <v>550</v>
      </c>
      <c r="C37" s="451">
        <v>3092.15</v>
      </c>
      <c r="D37" s="271">
        <v>0</v>
      </c>
      <c r="E37" s="271">
        <v>0</v>
      </c>
      <c r="F37" s="271">
        <f t="shared" si="0"/>
        <v>0</v>
      </c>
      <c r="G37" s="271">
        <v>0</v>
      </c>
      <c r="H37" s="301"/>
      <c r="I37" s="301"/>
      <c r="K37" s="302"/>
      <c r="L37" s="301"/>
      <c r="M37" s="301"/>
      <c r="N37" s="301"/>
      <c r="O37" s="301"/>
      <c r="P37" s="301"/>
    </row>
    <row r="38" spans="1:16" ht="15">
      <c r="A38" s="292" t="s">
        <v>802</v>
      </c>
      <c r="B38" s="282" t="s">
        <v>803</v>
      </c>
      <c r="C38" s="451">
        <v>0</v>
      </c>
      <c r="D38" s="451">
        <v>-10202.14</v>
      </c>
      <c r="E38" s="271">
        <v>0</v>
      </c>
      <c r="F38" s="271">
        <f t="shared" si="0"/>
        <v>-10202.14</v>
      </c>
      <c r="G38" s="271">
        <v>0</v>
      </c>
      <c r="H38" s="282"/>
      <c r="I38" s="282"/>
      <c r="K38" s="300"/>
      <c r="L38" s="299"/>
      <c r="M38" s="299"/>
      <c r="N38" s="299"/>
      <c r="O38" s="299"/>
      <c r="P38" s="299"/>
    </row>
    <row r="39" spans="1:16" ht="15">
      <c r="A39" s="292" t="s">
        <v>804</v>
      </c>
      <c r="B39" s="301" t="s">
        <v>805</v>
      </c>
      <c r="C39" s="451">
        <v>-572.65</v>
      </c>
      <c r="D39" s="271">
        <v>0</v>
      </c>
      <c r="E39" s="271">
        <v>0</v>
      </c>
      <c r="F39" s="271">
        <f t="shared" si="0"/>
        <v>0</v>
      </c>
      <c r="G39" s="271">
        <v>0</v>
      </c>
      <c r="H39" s="301"/>
      <c r="I39" s="301"/>
      <c r="K39" s="302"/>
      <c r="L39" s="301"/>
      <c r="M39" s="301"/>
      <c r="N39" s="301"/>
      <c r="O39" s="301"/>
      <c r="P39" s="301"/>
    </row>
    <row r="40" spans="1:16" ht="15">
      <c r="A40" s="292" t="s">
        <v>417</v>
      </c>
      <c r="B40" s="301" t="s">
        <v>418</v>
      </c>
      <c r="C40" s="271">
        <v>1596079.96</v>
      </c>
      <c r="D40" s="271">
        <v>958770.75</v>
      </c>
      <c r="E40" s="271">
        <v>950894</v>
      </c>
      <c r="F40" s="271">
        <f t="shared" si="0"/>
        <v>7876.75</v>
      </c>
      <c r="G40" s="271">
        <v>1630104</v>
      </c>
      <c r="H40" s="301"/>
      <c r="I40" s="301"/>
      <c r="K40" s="302"/>
      <c r="L40" s="301"/>
      <c r="M40" s="301"/>
      <c r="N40" s="301"/>
      <c r="O40" s="301"/>
      <c r="P40" s="301"/>
    </row>
    <row r="41" spans="1:16" ht="15">
      <c r="A41" s="292" t="s">
        <v>276</v>
      </c>
      <c r="B41" s="301" t="s">
        <v>277</v>
      </c>
      <c r="C41" s="271">
        <v>331748</v>
      </c>
      <c r="D41" s="271">
        <v>219387</v>
      </c>
      <c r="E41" s="271">
        <v>219387</v>
      </c>
      <c r="F41" s="271">
        <f t="shared" si="0"/>
        <v>0</v>
      </c>
      <c r="G41" s="271">
        <v>380470</v>
      </c>
      <c r="H41" s="301"/>
      <c r="I41" s="301"/>
      <c r="K41" s="302"/>
      <c r="L41" s="301"/>
      <c r="M41" s="301"/>
      <c r="N41" s="301"/>
      <c r="O41" s="301"/>
      <c r="P41" s="301"/>
    </row>
    <row r="42" spans="1:16" ht="15">
      <c r="A42" s="292" t="s">
        <v>278</v>
      </c>
      <c r="B42" s="301" t="s">
        <v>279</v>
      </c>
      <c r="C42" s="271">
        <v>-981301.51</v>
      </c>
      <c r="D42" s="271">
        <v>-634526.18000000005</v>
      </c>
      <c r="E42" s="271">
        <v>-505777.98</v>
      </c>
      <c r="F42" s="271">
        <f t="shared" si="0"/>
        <v>-128748.20000000007</v>
      </c>
      <c r="G42" s="271">
        <v>-870652.3</v>
      </c>
      <c r="H42" s="301"/>
      <c r="I42" s="301"/>
      <c r="K42" s="302"/>
      <c r="L42" s="301"/>
      <c r="M42" s="301"/>
      <c r="N42" s="301"/>
      <c r="O42" s="301"/>
      <c r="P42" s="301"/>
    </row>
    <row r="43" spans="1:16" ht="15">
      <c r="A43" s="292" t="s">
        <v>280</v>
      </c>
      <c r="B43" s="301" t="s">
        <v>281</v>
      </c>
      <c r="C43" s="271">
        <v>232797.92</v>
      </c>
      <c r="D43" s="271">
        <v>151988.97</v>
      </c>
      <c r="E43" s="271">
        <v>139734</v>
      </c>
      <c r="F43" s="271">
        <f t="shared" si="0"/>
        <v>12254.970000000001</v>
      </c>
      <c r="G43" s="271">
        <v>239549</v>
      </c>
      <c r="H43" s="301"/>
      <c r="I43" s="301"/>
      <c r="K43" s="302"/>
      <c r="L43" s="301"/>
      <c r="M43" s="301"/>
      <c r="N43" s="301"/>
      <c r="O43" s="301"/>
      <c r="P43" s="301"/>
    </row>
    <row r="44" spans="1:16" ht="15">
      <c r="A44" s="292" t="s">
        <v>282</v>
      </c>
      <c r="B44" s="301" t="s">
        <v>283</v>
      </c>
      <c r="C44" s="271">
        <v>429100.59</v>
      </c>
      <c r="D44" s="271">
        <v>-247945.02</v>
      </c>
      <c r="E44" s="271">
        <v>95002</v>
      </c>
      <c r="F44" s="271">
        <f t="shared" si="0"/>
        <v>-342947.02</v>
      </c>
      <c r="G44" s="271">
        <v>190000</v>
      </c>
      <c r="H44" s="301"/>
      <c r="I44" s="301"/>
      <c r="K44" s="302"/>
      <c r="L44" s="301"/>
      <c r="M44" s="301"/>
      <c r="N44" s="301"/>
      <c r="O44" s="301"/>
      <c r="P44" s="301"/>
    </row>
    <row r="45" spans="1:16" ht="15">
      <c r="A45" s="292" t="s">
        <v>284</v>
      </c>
      <c r="B45" s="301" t="s">
        <v>285</v>
      </c>
      <c r="C45" s="271">
        <v>64574.78</v>
      </c>
      <c r="D45" s="271">
        <v>13303.16</v>
      </c>
      <c r="E45" s="271">
        <v>38227</v>
      </c>
      <c r="F45" s="271">
        <f t="shared" si="0"/>
        <v>-24923.84</v>
      </c>
      <c r="G45" s="271">
        <v>65750</v>
      </c>
      <c r="H45" s="301"/>
      <c r="I45" s="301"/>
      <c r="K45" s="302"/>
      <c r="L45" s="301"/>
      <c r="M45" s="301"/>
      <c r="N45" s="301"/>
      <c r="O45" s="301"/>
      <c r="P45" s="301"/>
    </row>
    <row r="46" spans="1:16" ht="15.75" thickBot="1">
      <c r="A46" s="272" t="s">
        <v>20</v>
      </c>
      <c r="B46" s="263" t="s">
        <v>20</v>
      </c>
      <c r="C46" s="268">
        <v>30974398.629999999</v>
      </c>
      <c r="D46" s="268">
        <v>16514553.279999999</v>
      </c>
      <c r="E46" s="268">
        <v>17844496.02</v>
      </c>
      <c r="F46" s="268">
        <f>SUM(F2:F45)</f>
        <v>-1329942.7399999995</v>
      </c>
      <c r="G46" s="268">
        <v>31348839.699999999</v>
      </c>
      <c r="H46" s="282"/>
      <c r="I46" s="282"/>
      <c r="K46" s="300"/>
      <c r="L46" s="299"/>
      <c r="M46" s="299"/>
      <c r="N46" s="299"/>
      <c r="O46" s="299"/>
      <c r="P46" s="299"/>
    </row>
    <row r="47" spans="1:16" ht="15.75" thickTop="1">
      <c r="A47" s="283" t="s">
        <v>55</v>
      </c>
      <c r="B47" s="282"/>
      <c r="C47" s="282"/>
      <c r="D47" s="282"/>
      <c r="E47" s="282"/>
      <c r="F47" s="282"/>
      <c r="G47" s="282"/>
      <c r="H47" s="282"/>
      <c r="I47" s="282"/>
    </row>
    <row r="48" spans="1:16" ht="15">
      <c r="A48" s="283" t="s">
        <v>55</v>
      </c>
      <c r="B48" s="282"/>
      <c r="C48" s="282"/>
      <c r="D48" s="282"/>
      <c r="E48" s="282"/>
      <c r="F48" s="282"/>
      <c r="G48" s="282"/>
      <c r="H48" s="282"/>
    </row>
    <row r="49" spans="1:14" ht="15">
      <c r="A49" s="302" t="s">
        <v>189</v>
      </c>
      <c r="B49" s="301"/>
      <c r="C49" s="301" t="s">
        <v>190</v>
      </c>
      <c r="D49" s="301"/>
      <c r="E49" s="301"/>
      <c r="F49" s="301" t="s">
        <v>286</v>
      </c>
      <c r="G49" s="301" t="s">
        <v>286</v>
      </c>
      <c r="I49" s="301" t="s">
        <v>287</v>
      </c>
    </row>
    <row r="50" spans="1:14" ht="15">
      <c r="A50" s="302" t="s">
        <v>191</v>
      </c>
      <c r="B50" s="301"/>
      <c r="C50" s="301" t="s">
        <v>527</v>
      </c>
      <c r="D50" s="301"/>
      <c r="E50" s="301"/>
      <c r="F50" s="301" t="s">
        <v>288</v>
      </c>
      <c r="G50" s="301" t="s">
        <v>288</v>
      </c>
      <c r="I50" s="301" t="s">
        <v>287</v>
      </c>
      <c r="J50" s="282"/>
      <c r="K50" s="282"/>
      <c r="L50" s="282"/>
      <c r="M50" s="282"/>
      <c r="N50" s="282"/>
    </row>
    <row r="51" spans="1:14" ht="15">
      <c r="A51" s="283" t="s">
        <v>193</v>
      </c>
      <c r="B51" s="282"/>
      <c r="C51" s="282" t="s">
        <v>55</v>
      </c>
      <c r="D51" s="282"/>
      <c r="E51" s="282"/>
      <c r="F51" s="282"/>
      <c r="G51" s="282" t="s">
        <v>289</v>
      </c>
      <c r="H51" s="282"/>
      <c r="I51" s="282" t="s">
        <v>290</v>
      </c>
      <c r="J51" s="282"/>
      <c r="K51" s="282" t="s">
        <v>291</v>
      </c>
      <c r="L51" s="282" t="s">
        <v>292</v>
      </c>
      <c r="M51" s="282" t="s">
        <v>352</v>
      </c>
      <c r="N51" s="282" t="s">
        <v>352</v>
      </c>
    </row>
    <row r="52" spans="1:14" ht="15">
      <c r="A52" s="283" t="s">
        <v>194</v>
      </c>
      <c r="B52" s="282"/>
      <c r="C52" s="282" t="s">
        <v>806</v>
      </c>
      <c r="D52" s="282" t="s">
        <v>807</v>
      </c>
      <c r="E52" s="282" t="s">
        <v>807</v>
      </c>
      <c r="F52" s="282"/>
      <c r="G52" s="282" t="s">
        <v>689</v>
      </c>
      <c r="H52" s="282"/>
      <c r="I52" s="282"/>
      <c r="J52" s="282"/>
      <c r="K52" s="282"/>
      <c r="L52" s="282"/>
      <c r="M52" s="282"/>
      <c r="N52" s="282"/>
    </row>
    <row r="53" spans="1:14" ht="15">
      <c r="A53" s="283" t="s">
        <v>55</v>
      </c>
      <c r="B53" s="282"/>
      <c r="C53" s="282"/>
      <c r="D53" s="282"/>
      <c r="E53" s="282"/>
      <c r="F53" s="282"/>
      <c r="G53" s="282"/>
      <c r="H53" s="282"/>
      <c r="I53" s="282"/>
      <c r="J53" s="282"/>
      <c r="K53" s="282"/>
      <c r="L53" s="282"/>
      <c r="M53" s="282"/>
      <c r="N53" s="282"/>
    </row>
    <row r="54" spans="1:14" ht="15">
      <c r="A54" s="283" t="s">
        <v>197</v>
      </c>
      <c r="B54" s="282"/>
      <c r="C54" s="282" t="s">
        <v>198</v>
      </c>
      <c r="D54" s="282"/>
      <c r="E54" s="282"/>
      <c r="F54" s="282"/>
      <c r="G54" s="282"/>
      <c r="H54" s="282"/>
      <c r="I54" s="282"/>
      <c r="J54" s="282"/>
      <c r="K54" s="282"/>
      <c r="L54" s="282"/>
      <c r="M54" s="282"/>
      <c r="N54" s="282"/>
    </row>
    <row r="55" spans="1:14" ht="15">
      <c r="A55" s="283" t="s">
        <v>199</v>
      </c>
      <c r="B55" s="282"/>
      <c r="C55" s="282"/>
      <c r="D55" s="282"/>
      <c r="E55" s="282"/>
      <c r="F55" s="282"/>
      <c r="G55" s="282"/>
      <c r="H55" s="282"/>
      <c r="I55" s="282"/>
      <c r="J55" s="282"/>
      <c r="K55" s="282"/>
      <c r="L55" s="282"/>
      <c r="M55" s="282"/>
      <c r="N55" s="282"/>
    </row>
    <row r="56" spans="1:14" ht="15">
      <c r="A56" s="283" t="s">
        <v>200</v>
      </c>
      <c r="B56" s="282"/>
      <c r="C56" s="282"/>
      <c r="D56" s="282"/>
      <c r="E56" s="282"/>
      <c r="F56" s="282"/>
      <c r="G56" s="282"/>
      <c r="H56" s="282"/>
      <c r="I56" s="282"/>
      <c r="J56" s="282"/>
      <c r="K56" s="282"/>
      <c r="L56" s="282"/>
      <c r="M56" s="282"/>
      <c r="N56" s="282"/>
    </row>
    <row r="57" spans="1:14" ht="15">
      <c r="A57" s="283" t="s">
        <v>201</v>
      </c>
      <c r="B57" s="282"/>
      <c r="C57" s="282"/>
      <c r="D57" s="282"/>
      <c r="E57" s="282"/>
      <c r="F57" s="282"/>
      <c r="G57" s="282"/>
      <c r="H57" s="282"/>
      <c r="I57" s="282"/>
      <c r="J57" s="282"/>
      <c r="K57" s="282"/>
      <c r="L57" s="282"/>
      <c r="M57" s="282"/>
      <c r="N57" s="282"/>
    </row>
    <row r="58" spans="1:14" ht="15">
      <c r="A58" s="283" t="s">
        <v>293</v>
      </c>
      <c r="B58" s="282"/>
      <c r="C58" s="282"/>
      <c r="D58" s="282"/>
      <c r="E58" s="282"/>
      <c r="F58" s="282"/>
      <c r="G58" s="282"/>
      <c r="H58" s="282"/>
      <c r="I58" s="282"/>
      <c r="J58" s="282"/>
      <c r="K58" s="282"/>
      <c r="L58" s="282"/>
      <c r="M58" s="282"/>
      <c r="N58" s="282"/>
    </row>
    <row r="59" spans="1:14" ht="15">
      <c r="A59" s="283" t="s">
        <v>294</v>
      </c>
      <c r="B59" s="282"/>
      <c r="C59" s="282"/>
      <c r="D59" s="282"/>
      <c r="E59" s="282"/>
      <c r="F59" s="282"/>
      <c r="G59" s="282"/>
      <c r="H59" s="282"/>
      <c r="I59" s="282"/>
      <c r="J59" s="282"/>
      <c r="K59" s="282"/>
      <c r="L59" s="282"/>
      <c r="M59" s="282"/>
      <c r="N59" s="282"/>
    </row>
    <row r="60" spans="1:14" ht="15">
      <c r="A60" s="283" t="s">
        <v>295</v>
      </c>
      <c r="B60" s="282"/>
      <c r="C60" s="282"/>
      <c r="D60" s="282"/>
      <c r="E60" s="282"/>
      <c r="F60" s="282"/>
      <c r="G60" s="282"/>
      <c r="H60" s="282"/>
      <c r="I60" s="282"/>
      <c r="J60" s="282"/>
      <c r="K60" s="282"/>
      <c r="L60" s="282"/>
      <c r="M60" s="282"/>
      <c r="N60" s="282"/>
    </row>
    <row r="61" spans="1:14" ht="15">
      <c r="A61" s="283" t="s">
        <v>296</v>
      </c>
      <c r="B61" s="282"/>
      <c r="C61" s="282"/>
      <c r="D61" s="282"/>
      <c r="E61" s="282"/>
      <c r="F61" s="282"/>
      <c r="G61" s="282"/>
      <c r="H61" s="282"/>
      <c r="I61" s="282"/>
      <c r="J61" s="282"/>
      <c r="K61" s="282"/>
      <c r="L61" s="282"/>
      <c r="M61" s="282"/>
      <c r="N61" s="282"/>
    </row>
    <row r="62" spans="1:14" ht="15">
      <c r="A62" s="283" t="s">
        <v>297</v>
      </c>
      <c r="B62" s="282"/>
      <c r="C62" s="282"/>
      <c r="D62" s="282"/>
      <c r="E62" s="282"/>
      <c r="F62" s="282"/>
      <c r="G62" s="282"/>
      <c r="H62" s="282"/>
      <c r="I62" s="282"/>
      <c r="J62" s="282"/>
      <c r="K62" s="282"/>
      <c r="L62" s="282"/>
      <c r="M62" s="282"/>
      <c r="N62" s="282"/>
    </row>
    <row r="63" spans="1:14" ht="15">
      <c r="A63" s="283" t="s">
        <v>298</v>
      </c>
      <c r="B63" s="282"/>
      <c r="C63" s="282"/>
      <c r="D63" s="282"/>
      <c r="E63" s="282"/>
      <c r="F63" s="282"/>
      <c r="G63" s="282"/>
      <c r="H63" s="282"/>
      <c r="I63" s="282"/>
      <c r="J63" s="282"/>
      <c r="K63" s="282"/>
      <c r="L63" s="282"/>
      <c r="M63" s="282"/>
      <c r="N63" s="282"/>
    </row>
    <row r="64" spans="1:14" ht="15">
      <c r="A64" s="283" t="s">
        <v>299</v>
      </c>
      <c r="B64" s="282"/>
      <c r="C64" s="282"/>
      <c r="D64" s="282"/>
      <c r="E64" s="282"/>
      <c r="F64" s="282"/>
      <c r="G64" s="282"/>
      <c r="H64" s="282"/>
      <c r="I64" s="282"/>
      <c r="J64" s="282"/>
      <c r="K64" s="282"/>
      <c r="L64" s="282"/>
      <c r="M64" s="282"/>
      <c r="N64" s="282"/>
    </row>
    <row r="65" spans="1:14" ht="15">
      <c r="A65" s="283" t="s">
        <v>55</v>
      </c>
      <c r="B65" s="282"/>
      <c r="C65" s="282"/>
      <c r="D65" s="282"/>
      <c r="E65" s="282"/>
      <c r="F65" s="282"/>
      <c r="G65" s="282"/>
      <c r="H65" s="282"/>
      <c r="I65" s="282"/>
      <c r="J65" s="282"/>
      <c r="K65" s="282"/>
      <c r="L65" s="282"/>
      <c r="M65" s="282"/>
      <c r="N65" s="282"/>
    </row>
    <row r="66" spans="1:14" ht="15">
      <c r="A66" s="283" t="s">
        <v>300</v>
      </c>
      <c r="B66" s="282"/>
      <c r="C66" s="282"/>
      <c r="D66" s="282"/>
      <c r="E66" s="282"/>
      <c r="F66" s="282"/>
      <c r="G66" s="282"/>
      <c r="H66" s="282"/>
      <c r="I66" s="282"/>
      <c r="J66" s="282"/>
      <c r="K66" s="282"/>
      <c r="L66" s="282"/>
      <c r="M66" s="282"/>
    </row>
    <row r="67" spans="1:14" ht="15">
      <c r="A67" s="282"/>
      <c r="B67" s="282" t="s">
        <v>301</v>
      </c>
      <c r="C67" s="282" t="s">
        <v>302</v>
      </c>
      <c r="D67" s="282" t="s">
        <v>303</v>
      </c>
      <c r="E67" s="282" t="s">
        <v>304</v>
      </c>
      <c r="F67" s="282"/>
      <c r="G67" s="282" t="s">
        <v>305</v>
      </c>
      <c r="H67" s="282" t="s">
        <v>306</v>
      </c>
      <c r="I67" s="282" t="s">
        <v>307</v>
      </c>
      <c r="J67" s="282" t="s">
        <v>308</v>
      </c>
      <c r="K67" s="282" t="s">
        <v>309</v>
      </c>
      <c r="L67" s="282" t="s">
        <v>310</v>
      </c>
      <c r="M67" s="282" t="s">
        <v>311</v>
      </c>
    </row>
  </sheetData>
  <autoFilter ref="A1:G67"/>
  <sortState ref="A2:G35">
    <sortCondition ref="A2:A35"/>
  </sortState>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P29"/>
  <sheetViews>
    <sheetView workbookViewId="0">
      <pane ySplit="4" topLeftCell="A5" activePane="bottomLeft" state="frozen"/>
      <selection activeCell="G26" sqref="G26"/>
      <selection pane="bottomLeft" activeCell="A25" sqref="A25"/>
    </sheetView>
  </sheetViews>
  <sheetFormatPr defaultRowHeight="15"/>
  <cols>
    <col min="1" max="1" width="7.42578125" style="2" customWidth="1"/>
    <col min="2" max="2" width="12.5703125" style="2" customWidth="1"/>
    <col min="3" max="3" width="11.85546875" style="2" customWidth="1"/>
    <col min="4" max="5" width="10.140625" style="2" customWidth="1"/>
    <col min="6" max="6" width="11.140625" style="26" customWidth="1"/>
    <col min="7" max="11" width="11.7109375" style="2" customWidth="1"/>
    <col min="12" max="16384" width="9.140625" style="2"/>
  </cols>
  <sheetData>
    <row r="1" spans="1:16">
      <c r="A1" s="1" t="s">
        <v>0</v>
      </c>
      <c r="B1" s="1"/>
    </row>
    <row r="2" spans="1:16">
      <c r="A2" s="24" t="str">
        <f>Comparison!A2</f>
        <v>2016 Budget - 40990 Corporate</v>
      </c>
      <c r="B2" s="24"/>
    </row>
    <row r="3" spans="1:16">
      <c r="A3" s="24" t="s">
        <v>66</v>
      </c>
      <c r="B3" s="24"/>
    </row>
    <row r="4" spans="1:16">
      <c r="A4" s="24" t="s">
        <v>94</v>
      </c>
      <c r="B4" s="24"/>
      <c r="G4" s="1"/>
    </row>
    <row r="5" spans="1:16" s="11" customFormat="1">
      <c r="A5" s="18"/>
      <c r="B5" s="18"/>
      <c r="F5" s="33"/>
    </row>
    <row r="6" spans="1:16" s="11" customFormat="1">
      <c r="A6" s="18"/>
      <c r="B6" s="18"/>
      <c r="F6" s="33"/>
    </row>
    <row r="7" spans="1:16" s="11" customFormat="1" ht="15" customHeight="1">
      <c r="A7" s="18"/>
      <c r="B7" s="109"/>
      <c r="C7" s="59">
        <v>2015</v>
      </c>
      <c r="D7" s="59">
        <v>2015</v>
      </c>
      <c r="E7" s="59"/>
      <c r="F7" s="33"/>
    </row>
    <row r="8" spans="1:16" s="11" customFormat="1">
      <c r="A8" s="2"/>
      <c r="B8" s="59"/>
      <c r="C8" s="57" t="s">
        <v>186</v>
      </c>
      <c r="D8" s="57" t="s">
        <v>2</v>
      </c>
      <c r="E8" s="57" t="s">
        <v>49</v>
      </c>
      <c r="G8" s="57">
        <v>2016</v>
      </c>
      <c r="H8" s="57">
        <f>G8+1</f>
        <v>2017</v>
      </c>
      <c r="I8" s="102">
        <f>H8+1</f>
        <v>2018</v>
      </c>
      <c r="J8" s="53">
        <f>I8+1</f>
        <v>2019</v>
      </c>
      <c r="K8" s="53">
        <f>J8+1</f>
        <v>2020</v>
      </c>
    </row>
    <row r="9" spans="1:16" s="11" customFormat="1">
      <c r="B9" s="100" t="s">
        <v>23</v>
      </c>
      <c r="C9" s="351">
        <v>25074</v>
      </c>
      <c r="D9" s="139">
        <v>62581</v>
      </c>
      <c r="E9" s="139">
        <f>C9-D9</f>
        <v>-37507</v>
      </c>
      <c r="F9" s="26"/>
      <c r="G9" s="139">
        <v>38945</v>
      </c>
      <c r="H9" s="139">
        <f>+G9</f>
        <v>38945</v>
      </c>
      <c r="I9" s="139">
        <f t="shared" ref="I9:K9" si="0">+H9</f>
        <v>38945</v>
      </c>
      <c r="J9" s="139">
        <f t="shared" si="0"/>
        <v>38945</v>
      </c>
      <c r="K9" s="139">
        <f t="shared" si="0"/>
        <v>38945</v>
      </c>
      <c r="O9" s="403"/>
      <c r="P9" s="403"/>
    </row>
    <row r="10" spans="1:16" s="11" customFormat="1">
      <c r="B10" s="100" t="s">
        <v>24</v>
      </c>
      <c r="C10" s="140">
        <v>43104</v>
      </c>
      <c r="D10" s="139">
        <v>71156</v>
      </c>
      <c r="E10" s="139">
        <f t="shared" ref="E10:E14" si="1">C10-D10</f>
        <v>-28052</v>
      </c>
      <c r="F10" s="26"/>
      <c r="G10" s="139">
        <v>43906</v>
      </c>
      <c r="H10" s="139">
        <f t="shared" ref="H10:K10" si="2">+G10</f>
        <v>43906</v>
      </c>
      <c r="I10" s="139">
        <f t="shared" si="2"/>
        <v>43906</v>
      </c>
      <c r="J10" s="139">
        <f t="shared" si="2"/>
        <v>43906</v>
      </c>
      <c r="K10" s="139">
        <f t="shared" si="2"/>
        <v>43906</v>
      </c>
      <c r="O10" s="403"/>
      <c r="P10" s="403"/>
    </row>
    <row r="11" spans="1:16" s="11" customFormat="1">
      <c r="B11" s="100" t="s">
        <v>25</v>
      </c>
      <c r="C11" s="140">
        <v>23833</v>
      </c>
      <c r="D11" s="139">
        <v>79758</v>
      </c>
      <c r="E11" s="139">
        <f t="shared" si="1"/>
        <v>-55925</v>
      </c>
      <c r="F11" s="26"/>
      <c r="G11" s="139">
        <v>43314</v>
      </c>
      <c r="H11" s="139">
        <f t="shared" ref="H11:K11" si="3">+G11</f>
        <v>43314</v>
      </c>
      <c r="I11" s="139">
        <f t="shared" si="3"/>
        <v>43314</v>
      </c>
      <c r="J11" s="139">
        <f t="shared" si="3"/>
        <v>43314</v>
      </c>
      <c r="K11" s="139">
        <f t="shared" si="3"/>
        <v>43314</v>
      </c>
      <c r="O11" s="403"/>
      <c r="P11" s="403"/>
    </row>
    <row r="12" spans="1:16" s="11" customFormat="1">
      <c r="B12" s="100" t="s">
        <v>26</v>
      </c>
      <c r="C12" s="140">
        <v>19370</v>
      </c>
      <c r="D12" s="139">
        <v>34902</v>
      </c>
      <c r="E12" s="139">
        <f t="shared" si="1"/>
        <v>-15532</v>
      </c>
      <c r="F12" s="33"/>
      <c r="G12" s="139">
        <v>30461</v>
      </c>
      <c r="H12" s="139">
        <f t="shared" ref="H12:K12" si="4">+G12</f>
        <v>30461</v>
      </c>
      <c r="I12" s="139">
        <f t="shared" si="4"/>
        <v>30461</v>
      </c>
      <c r="J12" s="139">
        <f t="shared" si="4"/>
        <v>30461</v>
      </c>
      <c r="K12" s="139">
        <f t="shared" si="4"/>
        <v>30461</v>
      </c>
      <c r="O12" s="403"/>
      <c r="P12" s="403"/>
    </row>
    <row r="13" spans="1:16" s="11" customFormat="1">
      <c r="B13" s="100" t="s">
        <v>27</v>
      </c>
      <c r="C13" s="140">
        <v>19442</v>
      </c>
      <c r="D13" s="139">
        <v>47416</v>
      </c>
      <c r="E13" s="139">
        <f t="shared" si="1"/>
        <v>-27974</v>
      </c>
      <c r="F13" s="33"/>
      <c r="G13" s="139">
        <v>45693</v>
      </c>
      <c r="H13" s="139">
        <f t="shared" ref="H13:K13" si="5">+G13</f>
        <v>45693</v>
      </c>
      <c r="I13" s="139">
        <f t="shared" si="5"/>
        <v>45693</v>
      </c>
      <c r="J13" s="139">
        <f t="shared" si="5"/>
        <v>45693</v>
      </c>
      <c r="K13" s="139">
        <f t="shared" si="5"/>
        <v>45693</v>
      </c>
      <c r="O13" s="403"/>
      <c r="P13" s="403"/>
    </row>
    <row r="14" spans="1:16" s="11" customFormat="1">
      <c r="B14" s="100" t="s">
        <v>28</v>
      </c>
      <c r="C14" s="140">
        <v>15220</v>
      </c>
      <c r="D14" s="139">
        <v>41961</v>
      </c>
      <c r="E14" s="139">
        <f t="shared" si="1"/>
        <v>-26741</v>
      </c>
      <c r="F14" s="33"/>
      <c r="G14" s="139">
        <v>34122</v>
      </c>
      <c r="H14" s="139">
        <f t="shared" ref="H14:K14" si="6">+G14</f>
        <v>34122</v>
      </c>
      <c r="I14" s="139">
        <f t="shared" si="6"/>
        <v>34122</v>
      </c>
      <c r="J14" s="139">
        <f t="shared" si="6"/>
        <v>34122</v>
      </c>
      <c r="K14" s="139">
        <f t="shared" si="6"/>
        <v>34122</v>
      </c>
      <c r="O14" s="403"/>
      <c r="P14" s="403"/>
    </row>
    <row r="15" spans="1:16">
      <c r="B15" s="100" t="s">
        <v>29</v>
      </c>
      <c r="C15" s="242"/>
      <c r="D15" s="358">
        <v>55409</v>
      </c>
      <c r="E15" s="358"/>
      <c r="G15" s="139">
        <v>42022</v>
      </c>
      <c r="H15" s="139">
        <f t="shared" ref="H15:K15" si="7">+G15</f>
        <v>42022</v>
      </c>
      <c r="I15" s="139">
        <f t="shared" si="7"/>
        <v>42022</v>
      </c>
      <c r="J15" s="139">
        <f t="shared" si="7"/>
        <v>42022</v>
      </c>
      <c r="K15" s="139">
        <f t="shared" si="7"/>
        <v>42022</v>
      </c>
      <c r="O15" s="403"/>
      <c r="P15" s="403"/>
    </row>
    <row r="16" spans="1:16">
      <c r="B16" s="100" t="s">
        <v>30</v>
      </c>
      <c r="C16" s="242"/>
      <c r="D16" s="358">
        <v>34921</v>
      </c>
      <c r="E16" s="358"/>
      <c r="G16" s="139">
        <v>26786</v>
      </c>
      <c r="H16" s="139">
        <f t="shared" ref="H16:K16" si="8">+G16</f>
        <v>26786</v>
      </c>
      <c r="I16" s="139">
        <f t="shared" si="8"/>
        <v>26786</v>
      </c>
      <c r="J16" s="139">
        <f t="shared" si="8"/>
        <v>26786</v>
      </c>
      <c r="K16" s="139">
        <f t="shared" si="8"/>
        <v>26786</v>
      </c>
      <c r="O16" s="403"/>
      <c r="P16" s="403"/>
    </row>
    <row r="17" spans="1:16">
      <c r="B17" s="100" t="s">
        <v>31</v>
      </c>
      <c r="C17" s="242"/>
      <c r="D17" s="358">
        <v>37917</v>
      </c>
      <c r="E17" s="358"/>
      <c r="G17" s="139">
        <v>28278</v>
      </c>
      <c r="H17" s="139">
        <f t="shared" ref="H17:K17" si="9">+G17</f>
        <v>28278</v>
      </c>
      <c r="I17" s="139">
        <f t="shared" si="9"/>
        <v>28278</v>
      </c>
      <c r="J17" s="139">
        <f t="shared" si="9"/>
        <v>28278</v>
      </c>
      <c r="K17" s="139">
        <f t="shared" si="9"/>
        <v>28278</v>
      </c>
      <c r="O17" s="403"/>
      <c r="P17" s="403"/>
    </row>
    <row r="18" spans="1:16">
      <c r="B18" s="72" t="s">
        <v>32</v>
      </c>
      <c r="C18" s="242"/>
      <c r="D18" s="358">
        <v>35980</v>
      </c>
      <c r="E18" s="358"/>
      <c r="G18" s="139">
        <v>26185</v>
      </c>
      <c r="H18" s="139">
        <f t="shared" ref="H18:K18" si="10">+G18</f>
        <v>26185</v>
      </c>
      <c r="I18" s="139">
        <f t="shared" si="10"/>
        <v>26185</v>
      </c>
      <c r="J18" s="139">
        <f t="shared" si="10"/>
        <v>26185</v>
      </c>
      <c r="K18" s="139">
        <f t="shared" si="10"/>
        <v>26185</v>
      </c>
      <c r="O18" s="403"/>
      <c r="P18" s="403"/>
    </row>
    <row r="19" spans="1:16">
      <c r="B19" s="100" t="s">
        <v>33</v>
      </c>
      <c r="C19" s="242"/>
      <c r="D19" s="358">
        <v>46617</v>
      </c>
      <c r="E19" s="358"/>
      <c r="G19" s="139">
        <v>35388</v>
      </c>
      <c r="H19" s="139">
        <f t="shared" ref="H19:K19" si="11">+G19</f>
        <v>35388</v>
      </c>
      <c r="I19" s="139">
        <f t="shared" si="11"/>
        <v>35388</v>
      </c>
      <c r="J19" s="139">
        <f t="shared" si="11"/>
        <v>35388</v>
      </c>
      <c r="K19" s="139">
        <f t="shared" si="11"/>
        <v>35388</v>
      </c>
      <c r="O19" s="403"/>
      <c r="P19" s="403"/>
    </row>
    <row r="20" spans="1:16">
      <c r="B20" s="100" t="s">
        <v>22</v>
      </c>
      <c r="C20" s="242"/>
      <c r="D20" s="358">
        <v>42819</v>
      </c>
      <c r="E20" s="358"/>
      <c r="G20" s="139">
        <v>28856</v>
      </c>
      <c r="H20" s="139">
        <f t="shared" ref="H20:K20" si="12">+G20</f>
        <v>28856</v>
      </c>
      <c r="I20" s="139">
        <f t="shared" si="12"/>
        <v>28856</v>
      </c>
      <c r="J20" s="139">
        <f t="shared" si="12"/>
        <v>28856</v>
      </c>
      <c r="K20" s="139">
        <f t="shared" si="12"/>
        <v>28856</v>
      </c>
      <c r="O20" s="403"/>
      <c r="P20" s="403"/>
    </row>
    <row r="21" spans="1:16" ht="15.75" thickBot="1">
      <c r="B21" s="6" t="s">
        <v>20</v>
      </c>
      <c r="C21" s="117">
        <f>SUM(C9:C14)</f>
        <v>146043</v>
      </c>
      <c r="D21" s="117">
        <f>SUM(D9:D14)</f>
        <v>337774</v>
      </c>
      <c r="E21" s="117">
        <f>C21-D21</f>
        <v>-191731</v>
      </c>
      <c r="F21" s="178" t="s">
        <v>128</v>
      </c>
      <c r="G21" s="177">
        <f>SUM(G9:G20)</f>
        <v>423956</v>
      </c>
      <c r="H21" s="177">
        <f>SUM(H9:H20)</f>
        <v>423956</v>
      </c>
      <c r="I21" s="177">
        <f>SUM(I9:I20)</f>
        <v>423956</v>
      </c>
      <c r="J21" s="177">
        <f>SUM(J9:J20)</f>
        <v>423956</v>
      </c>
      <c r="K21" s="177">
        <f>SUM(K9:K20)</f>
        <v>423956</v>
      </c>
      <c r="O21" s="403"/>
      <c r="P21" s="403"/>
    </row>
    <row r="22" spans="1:16" ht="15.75" thickTop="1"/>
    <row r="23" spans="1:16">
      <c r="A23" s="24" t="s">
        <v>350</v>
      </c>
    </row>
    <row r="24" spans="1:16">
      <c r="A24" s="4" t="s">
        <v>767</v>
      </c>
      <c r="B24" s="4"/>
    </row>
    <row r="25" spans="1:16">
      <c r="A25" s="4" t="s">
        <v>826</v>
      </c>
      <c r="B25" s="112"/>
    </row>
    <row r="26" spans="1:16">
      <c r="A26" s="4"/>
      <c r="B26" s="112"/>
    </row>
    <row r="27" spans="1:16">
      <c r="A27" s="24" t="s">
        <v>172</v>
      </c>
      <c r="B27" s="24"/>
    </row>
    <row r="28" spans="1:16">
      <c r="A28" s="2" t="s">
        <v>819</v>
      </c>
      <c r="L28" s="142"/>
    </row>
    <row r="29" spans="1:16">
      <c r="A29" s="2" t="s">
        <v>181</v>
      </c>
    </row>
  </sheetData>
  <phoneticPr fontId="15" type="noConversion"/>
  <pageMargins left="0.75" right="0.75" top="1" bottom="1" header="0.5" footer="0.5"/>
  <pageSetup scale="74" orientation="portrait"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O94"/>
  <sheetViews>
    <sheetView workbookViewId="0">
      <pane ySplit="4" topLeftCell="A10" activePane="bottomLeft" state="frozen"/>
      <selection activeCell="G26" sqref="G26"/>
      <selection pane="bottomLeft" activeCell="A36" sqref="A36"/>
    </sheetView>
  </sheetViews>
  <sheetFormatPr defaultRowHeight="15"/>
  <cols>
    <col min="1" max="1" width="14.140625" style="2" customWidth="1"/>
    <col min="2" max="4" width="16.140625" style="2" customWidth="1"/>
    <col min="5" max="5" width="16.140625" style="26" customWidth="1"/>
    <col min="6" max="6" width="16.140625" style="2" customWidth="1"/>
    <col min="7" max="7" width="10.28515625" style="2" customWidth="1"/>
    <col min="8" max="10" width="16" style="2" customWidth="1"/>
    <col min="11" max="15" width="34.5703125" style="2" customWidth="1"/>
    <col min="16" max="16384" width="9.140625" style="2"/>
  </cols>
  <sheetData>
    <row r="1" spans="1:15">
      <c r="A1" s="1" t="s">
        <v>0</v>
      </c>
    </row>
    <row r="2" spans="1:15">
      <c r="A2" s="1" t="str">
        <f>Comparison!A2</f>
        <v>2016 Budget - 40990 Corporate</v>
      </c>
      <c r="M2" s="213"/>
    </row>
    <row r="3" spans="1:15">
      <c r="A3" s="1" t="s">
        <v>386</v>
      </c>
      <c r="H3" s="253" t="s">
        <v>443</v>
      </c>
      <c r="I3" s="253" t="s">
        <v>444</v>
      </c>
      <c r="J3" s="214" t="s">
        <v>445</v>
      </c>
      <c r="K3" s="253" t="s">
        <v>446</v>
      </c>
      <c r="L3" s="253" t="s">
        <v>447</v>
      </c>
      <c r="M3" s="253" t="s">
        <v>447</v>
      </c>
      <c r="N3" s="253" t="s">
        <v>447</v>
      </c>
      <c r="O3" s="253" t="s">
        <v>448</v>
      </c>
    </row>
    <row r="4" spans="1:15">
      <c r="A4" s="6" t="s">
        <v>390</v>
      </c>
      <c r="H4" s="254"/>
      <c r="I4" s="254"/>
      <c r="J4" s="215"/>
      <c r="K4" s="254" t="s">
        <v>745</v>
      </c>
      <c r="L4" s="256" t="s">
        <v>514</v>
      </c>
      <c r="M4" s="256" t="s">
        <v>746</v>
      </c>
      <c r="N4" s="257" t="s">
        <v>747</v>
      </c>
      <c r="O4" s="257" t="s">
        <v>748</v>
      </c>
    </row>
    <row r="5" spans="1:15">
      <c r="A5" s="107"/>
      <c r="B5" s="107"/>
      <c r="C5" s="107"/>
      <c r="D5" s="107"/>
      <c r="E5" s="110"/>
      <c r="F5" s="107"/>
      <c r="G5" s="107"/>
      <c r="H5" s="254" t="s">
        <v>449</v>
      </c>
      <c r="I5" s="255">
        <v>42401</v>
      </c>
      <c r="J5" s="216">
        <v>1097276.67</v>
      </c>
      <c r="K5" s="258">
        <v>458625.25</v>
      </c>
      <c r="L5" s="258">
        <v>31577.08</v>
      </c>
      <c r="M5" s="258">
        <v>219712.42</v>
      </c>
      <c r="N5" s="258">
        <v>7561</v>
      </c>
      <c r="O5" s="258">
        <v>379800.92</v>
      </c>
    </row>
    <row r="6" spans="1:15">
      <c r="A6" s="107"/>
      <c r="B6" s="107"/>
      <c r="C6" s="107"/>
      <c r="D6" s="107"/>
      <c r="E6" s="110"/>
      <c r="F6" s="107"/>
      <c r="G6" s="107"/>
      <c r="H6" s="254" t="s">
        <v>450</v>
      </c>
      <c r="I6" s="255">
        <v>42430</v>
      </c>
      <c r="J6" s="216">
        <v>1097276.67</v>
      </c>
      <c r="K6" s="258">
        <v>458625.25</v>
      </c>
      <c r="L6" s="258">
        <v>31577.08</v>
      </c>
      <c r="M6" s="258">
        <v>219712.42</v>
      </c>
      <c r="N6" s="258">
        <v>7561</v>
      </c>
      <c r="O6" s="258">
        <v>379800.92</v>
      </c>
    </row>
    <row r="7" spans="1:15">
      <c r="A7" s="548" t="s">
        <v>710</v>
      </c>
      <c r="B7" s="548"/>
      <c r="C7" s="107"/>
      <c r="D7" s="114"/>
      <c r="E7" s="110"/>
      <c r="F7" s="107"/>
      <c r="G7" s="107"/>
      <c r="H7" s="254" t="s">
        <v>451</v>
      </c>
      <c r="I7" s="255">
        <v>42461</v>
      </c>
      <c r="J7" s="216">
        <v>1097276.67</v>
      </c>
      <c r="K7" s="258">
        <v>458625.25</v>
      </c>
      <c r="L7" s="258">
        <v>31577.08</v>
      </c>
      <c r="M7" s="258">
        <v>219712.42</v>
      </c>
      <c r="N7" s="258">
        <v>7561</v>
      </c>
      <c r="O7" s="258">
        <v>379800.92</v>
      </c>
    </row>
    <row r="8" spans="1:15">
      <c r="A8" s="199">
        <v>2016</v>
      </c>
      <c r="B8" s="205">
        <f>SUM(J5:J16)</f>
        <v>12977650.18</v>
      </c>
      <c r="C8" s="198"/>
      <c r="D8" s="27"/>
      <c r="E8" s="201"/>
      <c r="F8" s="198"/>
      <c r="G8" s="198"/>
      <c r="H8" s="254" t="s">
        <v>452</v>
      </c>
      <c r="I8" s="255">
        <v>42491</v>
      </c>
      <c r="J8" s="216">
        <v>1096398.67</v>
      </c>
      <c r="K8" s="258">
        <v>458625.25</v>
      </c>
      <c r="L8" s="258">
        <v>30699.08</v>
      </c>
      <c r="M8" s="258">
        <v>219712.42</v>
      </c>
      <c r="N8" s="258">
        <v>7561</v>
      </c>
      <c r="O8" s="258">
        <v>379800.92</v>
      </c>
    </row>
    <row r="9" spans="1:15">
      <c r="A9" s="199">
        <f>A8+1</f>
        <v>2017</v>
      </c>
      <c r="B9" s="205">
        <f>SUM(J17:J28)</f>
        <v>12648585.59</v>
      </c>
      <c r="D9" s="27"/>
      <c r="H9" s="254" t="s">
        <v>453</v>
      </c>
      <c r="I9" s="255">
        <v>42522</v>
      </c>
      <c r="J9" s="216">
        <v>1096398.67</v>
      </c>
      <c r="K9" s="258">
        <v>458625.25</v>
      </c>
      <c r="L9" s="258">
        <v>30699.08</v>
      </c>
      <c r="M9" s="258">
        <v>219712.42</v>
      </c>
      <c r="N9" s="258">
        <v>7561</v>
      </c>
      <c r="O9" s="258">
        <v>379800.92</v>
      </c>
    </row>
    <row r="10" spans="1:15">
      <c r="A10" s="199">
        <f t="shared" ref="A10:A12" si="0">A9+1</f>
        <v>2018</v>
      </c>
      <c r="B10" s="205">
        <f>SUM(J29:J40)</f>
        <v>12339380.68</v>
      </c>
      <c r="D10" s="27"/>
      <c r="H10" s="254" t="s">
        <v>454</v>
      </c>
      <c r="I10" s="255">
        <v>42552</v>
      </c>
      <c r="J10" s="216">
        <v>1080368.33</v>
      </c>
      <c r="K10" s="258">
        <v>458625.25</v>
      </c>
      <c r="L10" s="258">
        <v>30699.08</v>
      </c>
      <c r="M10" s="258">
        <v>213604.08</v>
      </c>
      <c r="N10" s="258">
        <v>7561</v>
      </c>
      <c r="O10" s="258">
        <v>369878.92</v>
      </c>
    </row>
    <row r="11" spans="1:15">
      <c r="A11" s="199">
        <f t="shared" si="0"/>
        <v>2019</v>
      </c>
      <c r="B11" s="205">
        <f>SUM(J41:J52)</f>
        <v>12038939.16</v>
      </c>
      <c r="D11" s="27"/>
      <c r="H11" s="254" t="s">
        <v>455</v>
      </c>
      <c r="I11" s="255">
        <v>42583</v>
      </c>
      <c r="J11" s="216">
        <v>1068868.17</v>
      </c>
      <c r="K11" s="258">
        <v>447125.08</v>
      </c>
      <c r="L11" s="258">
        <v>30699.08</v>
      </c>
      <c r="M11" s="258">
        <v>213604.08</v>
      </c>
      <c r="N11" s="258">
        <v>7561</v>
      </c>
      <c r="O11" s="258">
        <v>369878.92</v>
      </c>
    </row>
    <row r="12" spans="1:15">
      <c r="A12" s="200">
        <f t="shared" si="0"/>
        <v>2020</v>
      </c>
      <c r="B12" s="206">
        <f>SUM(J53:J64)</f>
        <v>11740597.77</v>
      </c>
      <c r="D12" s="27"/>
      <c r="H12" s="254" t="s">
        <v>456</v>
      </c>
      <c r="I12" s="255">
        <v>42614</v>
      </c>
      <c r="J12" s="216">
        <v>1068868.17</v>
      </c>
      <c r="K12" s="258">
        <v>447125.08</v>
      </c>
      <c r="L12" s="258">
        <v>30699.08</v>
      </c>
      <c r="M12" s="258">
        <v>213604.08</v>
      </c>
      <c r="N12" s="258">
        <v>7561</v>
      </c>
      <c r="O12" s="258">
        <v>369878.92</v>
      </c>
    </row>
    <row r="13" spans="1:15">
      <c r="B13" s="190">
        <f>SUM(B8:B12)</f>
        <v>61745153.379999995</v>
      </c>
      <c r="C13" s="246">
        <f>B13-SUM(J5:J64)</f>
        <v>0</v>
      </c>
      <c r="D13" s="105" t="s">
        <v>515</v>
      </c>
      <c r="H13" s="254" t="s">
        <v>457</v>
      </c>
      <c r="I13" s="255">
        <v>42644</v>
      </c>
      <c r="J13" s="216">
        <v>1068868.17</v>
      </c>
      <c r="K13" s="258">
        <v>447125.08</v>
      </c>
      <c r="L13" s="258">
        <v>30699.08</v>
      </c>
      <c r="M13" s="258">
        <v>213604.08</v>
      </c>
      <c r="N13" s="258">
        <v>7561</v>
      </c>
      <c r="O13" s="258">
        <v>369878.92</v>
      </c>
    </row>
    <row r="14" spans="1:15">
      <c r="H14" s="254" t="s">
        <v>458</v>
      </c>
      <c r="I14" s="255">
        <v>42675</v>
      </c>
      <c r="J14" s="216">
        <v>1068683.33</v>
      </c>
      <c r="K14" s="258">
        <v>447125.08</v>
      </c>
      <c r="L14" s="258">
        <v>30699.08</v>
      </c>
      <c r="M14" s="258">
        <v>213604.08</v>
      </c>
      <c r="N14" s="258">
        <v>7376.17</v>
      </c>
      <c r="O14" s="258">
        <v>369878.92</v>
      </c>
    </row>
    <row r="15" spans="1:15">
      <c r="H15" s="254" t="s">
        <v>459</v>
      </c>
      <c r="I15" s="255">
        <v>42705</v>
      </c>
      <c r="J15" s="216">
        <v>1068683.33</v>
      </c>
      <c r="K15" s="258">
        <v>447125.08</v>
      </c>
      <c r="L15" s="258">
        <v>30699.08</v>
      </c>
      <c r="M15" s="258">
        <v>213604.08</v>
      </c>
      <c r="N15" s="258">
        <v>7376.17</v>
      </c>
      <c r="O15" s="258">
        <v>369878.92</v>
      </c>
    </row>
    <row r="16" spans="1:15">
      <c r="B16" s="53">
        <v>2016</v>
      </c>
      <c r="C16" s="53">
        <f>B16+1</f>
        <v>2017</v>
      </c>
      <c r="D16" s="53">
        <f t="shared" ref="D16:F16" si="1">C16+1</f>
        <v>2018</v>
      </c>
      <c r="E16" s="53">
        <f t="shared" si="1"/>
        <v>2019</v>
      </c>
      <c r="F16" s="53">
        <f t="shared" si="1"/>
        <v>2020</v>
      </c>
      <c r="H16" s="254" t="s">
        <v>460</v>
      </c>
      <c r="I16" s="255">
        <v>42736</v>
      </c>
      <c r="J16" s="216">
        <v>1068683.33</v>
      </c>
      <c r="K16" s="258">
        <v>447125.08</v>
      </c>
      <c r="L16" s="258">
        <v>30699.08</v>
      </c>
      <c r="M16" s="258">
        <v>213604.08</v>
      </c>
      <c r="N16" s="258">
        <v>7376.17</v>
      </c>
      <c r="O16" s="258">
        <v>369878.92</v>
      </c>
    </row>
    <row r="17" spans="1:15">
      <c r="A17" s="250" t="s">
        <v>23</v>
      </c>
      <c r="B17" s="205">
        <f>J5</f>
        <v>1097276.67</v>
      </c>
      <c r="C17" s="205">
        <f>J17</f>
        <v>1068683.33</v>
      </c>
      <c r="D17" s="205">
        <f>J29</f>
        <v>1042206.92</v>
      </c>
      <c r="E17" s="252">
        <f>J41</f>
        <v>1016991.75</v>
      </c>
      <c r="F17" s="205">
        <f>J53</f>
        <v>992080.08</v>
      </c>
      <c r="H17" s="254" t="s">
        <v>461</v>
      </c>
      <c r="I17" s="255">
        <v>42767</v>
      </c>
      <c r="J17" s="216">
        <v>1068683.33</v>
      </c>
      <c r="K17" s="258">
        <v>447125.08</v>
      </c>
      <c r="L17" s="258">
        <v>30699.08</v>
      </c>
      <c r="M17" s="258">
        <v>213604.08</v>
      </c>
      <c r="N17" s="258">
        <v>7376.17</v>
      </c>
      <c r="O17" s="258">
        <v>369878.92</v>
      </c>
    </row>
    <row r="18" spans="1:15">
      <c r="A18" s="250" t="s">
        <v>24</v>
      </c>
      <c r="B18" s="205">
        <f t="shared" ref="B18:B28" si="2">J6</f>
        <v>1097276.67</v>
      </c>
      <c r="C18" s="205">
        <f t="shared" ref="C18:C28" si="3">J18</f>
        <v>1068683.33</v>
      </c>
      <c r="D18" s="205">
        <f t="shared" ref="D18:D28" si="4">J30</f>
        <v>1042206.92</v>
      </c>
      <c r="E18" s="252">
        <f t="shared" ref="E18:E28" si="5">J42</f>
        <v>1016991.75</v>
      </c>
      <c r="F18" s="205">
        <f t="shared" ref="F18:F28" si="6">J54</f>
        <v>992080.08</v>
      </c>
      <c r="H18" s="254" t="s">
        <v>462</v>
      </c>
      <c r="I18" s="255">
        <v>42795</v>
      </c>
      <c r="J18" s="216">
        <v>1068683.33</v>
      </c>
      <c r="K18" s="258">
        <v>447125.08</v>
      </c>
      <c r="L18" s="258">
        <v>30699.08</v>
      </c>
      <c r="M18" s="258">
        <v>213604.08</v>
      </c>
      <c r="N18" s="258">
        <v>7376.17</v>
      </c>
      <c r="O18" s="258">
        <v>369878.92</v>
      </c>
    </row>
    <row r="19" spans="1:15">
      <c r="A19" s="250" t="s">
        <v>25</v>
      </c>
      <c r="B19" s="205">
        <f t="shared" si="2"/>
        <v>1097276.67</v>
      </c>
      <c r="C19" s="205">
        <f t="shared" si="3"/>
        <v>1068683.33</v>
      </c>
      <c r="D19" s="205">
        <f t="shared" si="4"/>
        <v>1042206.92</v>
      </c>
      <c r="E19" s="252">
        <f t="shared" si="5"/>
        <v>1016991.75</v>
      </c>
      <c r="F19" s="205">
        <f t="shared" si="6"/>
        <v>992080.08</v>
      </c>
      <c r="H19" s="254" t="s">
        <v>463</v>
      </c>
      <c r="I19" s="255">
        <v>42826</v>
      </c>
      <c r="J19" s="216">
        <v>1068683.33</v>
      </c>
      <c r="K19" s="258">
        <v>447125.08</v>
      </c>
      <c r="L19" s="258">
        <v>30699.08</v>
      </c>
      <c r="M19" s="258">
        <v>213604.08</v>
      </c>
      <c r="N19" s="258">
        <v>7376.17</v>
      </c>
      <c r="O19" s="258">
        <v>369878.92</v>
      </c>
    </row>
    <row r="20" spans="1:15">
      <c r="A20" s="250" t="s">
        <v>26</v>
      </c>
      <c r="B20" s="205">
        <f t="shared" si="2"/>
        <v>1096398.67</v>
      </c>
      <c r="C20" s="205">
        <f t="shared" si="3"/>
        <v>1067871.17</v>
      </c>
      <c r="D20" s="205">
        <f t="shared" si="4"/>
        <v>1041454</v>
      </c>
      <c r="E20" s="252">
        <f t="shared" si="5"/>
        <v>1016268.25</v>
      </c>
      <c r="F20" s="205">
        <f t="shared" si="6"/>
        <v>991359.17</v>
      </c>
      <c r="H20" s="254" t="s">
        <v>464</v>
      </c>
      <c r="I20" s="255">
        <v>42856</v>
      </c>
      <c r="J20" s="216">
        <v>1067871.17</v>
      </c>
      <c r="K20" s="258">
        <v>447125.08</v>
      </c>
      <c r="L20" s="258">
        <v>29886.92</v>
      </c>
      <c r="M20" s="258">
        <v>213604.08</v>
      </c>
      <c r="N20" s="258">
        <v>7376.17</v>
      </c>
      <c r="O20" s="258">
        <v>369878.92</v>
      </c>
    </row>
    <row r="21" spans="1:15">
      <c r="A21" s="250" t="s">
        <v>27</v>
      </c>
      <c r="B21" s="205">
        <f t="shared" si="2"/>
        <v>1096398.67</v>
      </c>
      <c r="C21" s="205">
        <f t="shared" si="3"/>
        <v>1067871.17</v>
      </c>
      <c r="D21" s="205">
        <f t="shared" si="4"/>
        <v>1041454</v>
      </c>
      <c r="E21" s="252">
        <f t="shared" si="5"/>
        <v>1016268.25</v>
      </c>
      <c r="F21" s="205">
        <f t="shared" si="6"/>
        <v>991359.17</v>
      </c>
      <c r="H21" s="254" t="s">
        <v>465</v>
      </c>
      <c r="I21" s="255">
        <v>42887</v>
      </c>
      <c r="J21" s="216">
        <v>1067871.17</v>
      </c>
      <c r="K21" s="258">
        <v>447125.08</v>
      </c>
      <c r="L21" s="258">
        <v>29886.92</v>
      </c>
      <c r="M21" s="258">
        <v>213604.08</v>
      </c>
      <c r="N21" s="258">
        <v>7376.17</v>
      </c>
      <c r="O21" s="258">
        <v>369878.92</v>
      </c>
    </row>
    <row r="22" spans="1:15">
      <c r="A22" s="250" t="s">
        <v>28</v>
      </c>
      <c r="B22" s="205">
        <f t="shared" si="2"/>
        <v>1080368.33</v>
      </c>
      <c r="C22" s="205">
        <f t="shared" si="3"/>
        <v>1053018.25</v>
      </c>
      <c r="D22" s="205">
        <f t="shared" si="4"/>
        <v>1027370.42</v>
      </c>
      <c r="E22" s="252">
        <f t="shared" si="5"/>
        <v>1002417.67</v>
      </c>
      <c r="F22" s="205">
        <f t="shared" si="6"/>
        <v>977554.67</v>
      </c>
      <c r="H22" s="254" t="s">
        <v>466</v>
      </c>
      <c r="I22" s="255">
        <v>42917</v>
      </c>
      <c r="J22" s="216">
        <v>1053018.25</v>
      </c>
      <c r="K22" s="258">
        <v>447125.08</v>
      </c>
      <c r="L22" s="258">
        <v>29886.92</v>
      </c>
      <c r="M22" s="258">
        <v>207952.33</v>
      </c>
      <c r="N22" s="258">
        <v>7376.17</v>
      </c>
      <c r="O22" s="258">
        <v>360677.75</v>
      </c>
    </row>
    <row r="23" spans="1:15">
      <c r="A23" s="250" t="s">
        <v>29</v>
      </c>
      <c r="B23" s="205">
        <f t="shared" si="2"/>
        <v>1068868.17</v>
      </c>
      <c r="C23" s="205">
        <f t="shared" si="3"/>
        <v>1042384.75</v>
      </c>
      <c r="D23" s="205">
        <f t="shared" si="4"/>
        <v>1017168.75</v>
      </c>
      <c r="E23" s="252">
        <f t="shared" si="5"/>
        <v>992256.5</v>
      </c>
      <c r="F23" s="205">
        <f t="shared" si="6"/>
        <v>967435.42</v>
      </c>
      <c r="H23" s="254" t="s">
        <v>467</v>
      </c>
      <c r="I23" s="255">
        <v>42948</v>
      </c>
      <c r="J23" s="216">
        <v>1042384.75</v>
      </c>
      <c r="K23" s="258">
        <v>436491.58</v>
      </c>
      <c r="L23" s="258">
        <v>29886.92</v>
      </c>
      <c r="M23" s="258">
        <v>207952.33</v>
      </c>
      <c r="N23" s="258">
        <v>7376.17</v>
      </c>
      <c r="O23" s="258">
        <v>360677.75</v>
      </c>
    </row>
    <row r="24" spans="1:15">
      <c r="A24" s="250" t="s">
        <v>30</v>
      </c>
      <c r="B24" s="205">
        <f t="shared" si="2"/>
        <v>1068868.17</v>
      </c>
      <c r="C24" s="205">
        <f t="shared" si="3"/>
        <v>1042384.75</v>
      </c>
      <c r="D24" s="205">
        <f t="shared" si="4"/>
        <v>1017168.75</v>
      </c>
      <c r="E24" s="252">
        <f t="shared" si="5"/>
        <v>992256.5</v>
      </c>
      <c r="F24" s="205">
        <f t="shared" si="6"/>
        <v>967435.42</v>
      </c>
      <c r="H24" s="254" t="s">
        <v>468</v>
      </c>
      <c r="I24" s="255">
        <v>42979</v>
      </c>
      <c r="J24" s="216">
        <v>1042384.75</v>
      </c>
      <c r="K24" s="258">
        <v>436491.58</v>
      </c>
      <c r="L24" s="258">
        <v>29886.92</v>
      </c>
      <c r="M24" s="258">
        <v>207952.33</v>
      </c>
      <c r="N24" s="258">
        <v>7376.17</v>
      </c>
      <c r="O24" s="258">
        <v>360677.75</v>
      </c>
    </row>
    <row r="25" spans="1:15">
      <c r="A25" s="250" t="s">
        <v>31</v>
      </c>
      <c r="B25" s="205">
        <f t="shared" si="2"/>
        <v>1068868.17</v>
      </c>
      <c r="C25" s="205">
        <f t="shared" si="3"/>
        <v>1042384.75</v>
      </c>
      <c r="D25" s="205">
        <f t="shared" si="4"/>
        <v>1017168.75</v>
      </c>
      <c r="E25" s="252">
        <f t="shared" si="5"/>
        <v>992256.5</v>
      </c>
      <c r="F25" s="205">
        <f t="shared" si="6"/>
        <v>967435.42</v>
      </c>
      <c r="H25" s="254" t="s">
        <v>469</v>
      </c>
      <c r="I25" s="255">
        <v>43009</v>
      </c>
      <c r="J25" s="216">
        <v>1042384.75</v>
      </c>
      <c r="K25" s="258">
        <v>436491.58</v>
      </c>
      <c r="L25" s="258">
        <v>29886.92</v>
      </c>
      <c r="M25" s="258">
        <v>207952.33</v>
      </c>
      <c r="N25" s="258">
        <v>7376.17</v>
      </c>
      <c r="O25" s="258">
        <v>360677.75</v>
      </c>
    </row>
    <row r="26" spans="1:15">
      <c r="A26" s="250" t="s">
        <v>32</v>
      </c>
      <c r="B26" s="205">
        <f t="shared" si="2"/>
        <v>1068683.33</v>
      </c>
      <c r="C26" s="205">
        <f t="shared" si="3"/>
        <v>1042206.92</v>
      </c>
      <c r="D26" s="205">
        <f t="shared" si="4"/>
        <v>1016991.75</v>
      </c>
      <c r="E26" s="252">
        <f t="shared" si="5"/>
        <v>992080.08</v>
      </c>
      <c r="F26" s="205">
        <f t="shared" si="6"/>
        <v>967259.42</v>
      </c>
      <c r="H26" s="254" t="s">
        <v>470</v>
      </c>
      <c r="I26" s="255">
        <v>43040</v>
      </c>
      <c r="J26" s="216">
        <v>1042206.92</v>
      </c>
      <c r="K26" s="258">
        <v>436491.58</v>
      </c>
      <c r="L26" s="258">
        <v>29886.92</v>
      </c>
      <c r="M26" s="258">
        <v>207952.33</v>
      </c>
      <c r="N26" s="258">
        <v>7198.33</v>
      </c>
      <c r="O26" s="258">
        <v>360677.75</v>
      </c>
    </row>
    <row r="27" spans="1:15">
      <c r="A27" s="250" t="s">
        <v>33</v>
      </c>
      <c r="B27" s="205">
        <f t="shared" si="2"/>
        <v>1068683.33</v>
      </c>
      <c r="C27" s="205">
        <f t="shared" si="3"/>
        <v>1042206.92</v>
      </c>
      <c r="D27" s="205">
        <f t="shared" si="4"/>
        <v>1016991.75</v>
      </c>
      <c r="E27" s="252">
        <f t="shared" si="5"/>
        <v>992080.08</v>
      </c>
      <c r="F27" s="205">
        <f t="shared" si="6"/>
        <v>967259.42</v>
      </c>
      <c r="H27" s="254" t="s">
        <v>471</v>
      </c>
      <c r="I27" s="255">
        <v>43070</v>
      </c>
      <c r="J27" s="216">
        <v>1042206.92</v>
      </c>
      <c r="K27" s="258">
        <v>436491.58</v>
      </c>
      <c r="L27" s="258">
        <v>29886.92</v>
      </c>
      <c r="M27" s="258">
        <v>207952.33</v>
      </c>
      <c r="N27" s="258">
        <v>7198.33</v>
      </c>
      <c r="O27" s="258">
        <v>360677.75</v>
      </c>
    </row>
    <row r="28" spans="1:15">
      <c r="A28" s="250" t="s">
        <v>22</v>
      </c>
      <c r="B28" s="205">
        <f t="shared" si="2"/>
        <v>1068683.33</v>
      </c>
      <c r="C28" s="205">
        <f t="shared" si="3"/>
        <v>1042206.92</v>
      </c>
      <c r="D28" s="205">
        <f t="shared" si="4"/>
        <v>1016991.75</v>
      </c>
      <c r="E28" s="252">
        <f t="shared" si="5"/>
        <v>992080.08</v>
      </c>
      <c r="F28" s="205">
        <f t="shared" si="6"/>
        <v>967259.42</v>
      </c>
      <c r="H28" s="254" t="s">
        <v>472</v>
      </c>
      <c r="I28" s="255">
        <v>43101</v>
      </c>
      <c r="J28" s="216">
        <v>1042206.92</v>
      </c>
      <c r="K28" s="258">
        <v>436491.58</v>
      </c>
      <c r="L28" s="258">
        <v>29886.92</v>
      </c>
      <c r="M28" s="258">
        <v>207952.33</v>
      </c>
      <c r="N28" s="258">
        <v>7198.33</v>
      </c>
      <c r="O28" s="258">
        <v>360677.75</v>
      </c>
    </row>
    <row r="29" spans="1:15" ht="15.75" thickBot="1">
      <c r="A29" s="251" t="s">
        <v>20</v>
      </c>
      <c r="B29" s="177">
        <f>SUM(B17:B28)</f>
        <v>12977650.18</v>
      </c>
      <c r="C29" s="177">
        <f t="shared" ref="C29:F29" si="7">SUM(C17:C28)</f>
        <v>12648585.59</v>
      </c>
      <c r="D29" s="177">
        <f t="shared" si="7"/>
        <v>12339380.68</v>
      </c>
      <c r="E29" s="177">
        <f t="shared" si="7"/>
        <v>12038939.16</v>
      </c>
      <c r="F29" s="177">
        <f t="shared" si="7"/>
        <v>11740597.77</v>
      </c>
      <c r="H29" s="254" t="s">
        <v>473</v>
      </c>
      <c r="I29" s="255">
        <v>43132</v>
      </c>
      <c r="J29" s="216">
        <v>1042206.92</v>
      </c>
      <c r="K29" s="258">
        <v>436491.58</v>
      </c>
      <c r="L29" s="258">
        <v>29886.92</v>
      </c>
      <c r="M29" s="258">
        <v>207952.33</v>
      </c>
      <c r="N29" s="258">
        <v>7198.33</v>
      </c>
      <c r="O29" s="258">
        <v>360677.75</v>
      </c>
    </row>
    <row r="30" spans="1:15" ht="15.75" thickTop="1">
      <c r="A30" s="247" t="s">
        <v>515</v>
      </c>
      <c r="B30" s="248">
        <f>B29-B8</f>
        <v>0</v>
      </c>
      <c r="C30" s="248">
        <f>C29-B9</f>
        <v>0</v>
      </c>
      <c r="D30" s="248">
        <f>D29-B10</f>
        <v>0</v>
      </c>
      <c r="E30" s="249">
        <f>E29-B11</f>
        <v>0</v>
      </c>
      <c r="F30" s="248">
        <f>F29-B12</f>
        <v>0</v>
      </c>
      <c r="H30" s="254" t="s">
        <v>474</v>
      </c>
      <c r="I30" s="255">
        <v>43160</v>
      </c>
      <c r="J30" s="216">
        <v>1042206.92</v>
      </c>
      <c r="K30" s="258">
        <v>436491.58</v>
      </c>
      <c r="L30" s="258">
        <v>29886.92</v>
      </c>
      <c r="M30" s="258">
        <v>207952.33</v>
      </c>
      <c r="N30" s="258">
        <v>7198.33</v>
      </c>
      <c r="O30" s="258">
        <v>360677.75</v>
      </c>
    </row>
    <row r="31" spans="1:15">
      <c r="H31" s="254" t="s">
        <v>475</v>
      </c>
      <c r="I31" s="255">
        <v>43191</v>
      </c>
      <c r="J31" s="216">
        <v>1042206.92</v>
      </c>
      <c r="K31" s="258">
        <v>436491.58</v>
      </c>
      <c r="L31" s="258">
        <v>29886.92</v>
      </c>
      <c r="M31" s="258">
        <v>207952.33</v>
      </c>
      <c r="N31" s="258">
        <v>7198.33</v>
      </c>
      <c r="O31" s="258">
        <v>360677.75</v>
      </c>
    </row>
    <row r="32" spans="1:15">
      <c r="H32" s="254" t="s">
        <v>476</v>
      </c>
      <c r="I32" s="255">
        <v>43221</v>
      </c>
      <c r="J32" s="216">
        <v>1041454</v>
      </c>
      <c r="K32" s="258">
        <v>436491.58</v>
      </c>
      <c r="L32" s="258">
        <v>29134</v>
      </c>
      <c r="M32" s="258">
        <v>207952.33</v>
      </c>
      <c r="N32" s="258">
        <v>7198.33</v>
      </c>
      <c r="O32" s="258">
        <v>360677.75</v>
      </c>
    </row>
    <row r="33" spans="1:15">
      <c r="H33" s="254" t="s">
        <v>477</v>
      </c>
      <c r="I33" s="255">
        <v>43252</v>
      </c>
      <c r="J33" s="216">
        <v>1041454</v>
      </c>
      <c r="K33" s="258">
        <v>436491.58</v>
      </c>
      <c r="L33" s="258">
        <v>29134</v>
      </c>
      <c r="M33" s="258">
        <v>207952.33</v>
      </c>
      <c r="N33" s="258">
        <v>7198.33</v>
      </c>
      <c r="O33" s="258">
        <v>360677.75</v>
      </c>
    </row>
    <row r="34" spans="1:15">
      <c r="A34" s="6" t="s">
        <v>147</v>
      </c>
      <c r="H34" s="254" t="s">
        <v>478</v>
      </c>
      <c r="I34" s="255">
        <v>43282</v>
      </c>
      <c r="J34" s="216">
        <v>1027370.42</v>
      </c>
      <c r="K34" s="258">
        <v>436491.58</v>
      </c>
      <c r="L34" s="258">
        <v>29134</v>
      </c>
      <c r="M34" s="258">
        <v>202714</v>
      </c>
      <c r="N34" s="258">
        <v>7198.33</v>
      </c>
      <c r="O34" s="258">
        <v>351832.5</v>
      </c>
    </row>
    <row r="35" spans="1:15">
      <c r="A35" s="6" t="s">
        <v>761</v>
      </c>
      <c r="H35" s="254" t="s">
        <v>479</v>
      </c>
      <c r="I35" s="255">
        <v>43313</v>
      </c>
      <c r="J35" s="216">
        <v>1017168.75</v>
      </c>
      <c r="K35" s="258">
        <v>426289.91999999998</v>
      </c>
      <c r="L35" s="258">
        <v>29134</v>
      </c>
      <c r="M35" s="258">
        <v>202714</v>
      </c>
      <c r="N35" s="258">
        <v>7198.33</v>
      </c>
      <c r="O35" s="258">
        <v>351832.5</v>
      </c>
    </row>
    <row r="36" spans="1:15">
      <c r="A36" s="4" t="s">
        <v>826</v>
      </c>
      <c r="E36" s="2"/>
      <c r="H36" s="254" t="s">
        <v>480</v>
      </c>
      <c r="I36" s="255">
        <v>43344</v>
      </c>
      <c r="J36" s="216">
        <v>1017168.75</v>
      </c>
      <c r="K36" s="258">
        <v>426289.91999999998</v>
      </c>
      <c r="L36" s="258">
        <v>29134</v>
      </c>
      <c r="M36" s="258">
        <v>202714</v>
      </c>
      <c r="N36" s="258">
        <v>7198.33</v>
      </c>
      <c r="O36" s="258">
        <v>351832.5</v>
      </c>
    </row>
    <row r="37" spans="1:15">
      <c r="E37" s="2"/>
      <c r="H37" s="254" t="s">
        <v>481</v>
      </c>
      <c r="I37" s="255">
        <v>43374</v>
      </c>
      <c r="J37" s="216">
        <v>1017168.75</v>
      </c>
      <c r="K37" s="258">
        <v>426289.91999999998</v>
      </c>
      <c r="L37" s="258">
        <v>29134</v>
      </c>
      <c r="M37" s="258">
        <v>202714</v>
      </c>
      <c r="N37" s="258">
        <v>7198.33</v>
      </c>
      <c r="O37" s="258">
        <v>351832.5</v>
      </c>
    </row>
    <row r="38" spans="1:15">
      <c r="A38" s="24" t="s">
        <v>172</v>
      </c>
      <c r="E38" s="2"/>
      <c r="H38" s="254" t="s">
        <v>482</v>
      </c>
      <c r="I38" s="255">
        <v>43405</v>
      </c>
      <c r="J38" s="216">
        <v>1016991.75</v>
      </c>
      <c r="K38" s="258">
        <v>426289.91999999998</v>
      </c>
      <c r="L38" s="258">
        <v>29134</v>
      </c>
      <c r="M38" s="258">
        <v>202714</v>
      </c>
      <c r="N38" s="258">
        <v>7021.33</v>
      </c>
      <c r="O38" s="258">
        <v>351832.5</v>
      </c>
    </row>
    <row r="39" spans="1:15">
      <c r="A39" s="2" t="s">
        <v>387</v>
      </c>
      <c r="H39" s="254" t="s">
        <v>483</v>
      </c>
      <c r="I39" s="255">
        <v>43435</v>
      </c>
      <c r="J39" s="216">
        <v>1016991.75</v>
      </c>
      <c r="K39" s="258">
        <v>426289.91999999998</v>
      </c>
      <c r="L39" s="258">
        <v>29134</v>
      </c>
      <c r="M39" s="258">
        <v>202714</v>
      </c>
      <c r="N39" s="258">
        <v>7021.33</v>
      </c>
      <c r="O39" s="258">
        <v>351832.5</v>
      </c>
    </row>
    <row r="40" spans="1:15">
      <c r="A40" s="2" t="s">
        <v>492</v>
      </c>
      <c r="E40" s="2"/>
      <c r="H40" s="254" t="s">
        <v>484</v>
      </c>
      <c r="I40" s="255">
        <v>43466</v>
      </c>
      <c r="J40" s="216">
        <v>1016991.75</v>
      </c>
      <c r="K40" s="258">
        <v>426289.91999999998</v>
      </c>
      <c r="L40" s="258">
        <v>29134</v>
      </c>
      <c r="M40" s="258">
        <v>202714</v>
      </c>
      <c r="N40" s="258">
        <v>7021.33</v>
      </c>
      <c r="O40" s="258">
        <v>351832.5</v>
      </c>
    </row>
    <row r="41" spans="1:15">
      <c r="A41" s="2" t="s">
        <v>493</v>
      </c>
      <c r="E41" s="2"/>
      <c r="H41" s="254" t="s">
        <v>699</v>
      </c>
      <c r="I41" s="255">
        <v>43497</v>
      </c>
      <c r="J41" s="216">
        <v>1016991.75</v>
      </c>
      <c r="K41" s="258">
        <v>426289.91999999998</v>
      </c>
      <c r="L41" s="258">
        <v>29134</v>
      </c>
      <c r="M41" s="258">
        <v>202714</v>
      </c>
      <c r="N41" s="258">
        <v>7021.33</v>
      </c>
      <c r="O41" s="258">
        <v>351832.5</v>
      </c>
    </row>
    <row r="42" spans="1:15">
      <c r="A42" s="40" t="s">
        <v>486</v>
      </c>
      <c r="E42" s="2"/>
      <c r="H42" s="254" t="s">
        <v>700</v>
      </c>
      <c r="I42" s="255">
        <v>43525</v>
      </c>
      <c r="J42" s="216">
        <v>1016991.75</v>
      </c>
      <c r="K42" s="258">
        <v>426289.91999999998</v>
      </c>
      <c r="L42" s="258">
        <v>29134</v>
      </c>
      <c r="M42" s="258">
        <v>202714</v>
      </c>
      <c r="N42" s="258">
        <v>7021.33</v>
      </c>
      <c r="O42" s="258">
        <v>351832.5</v>
      </c>
    </row>
    <row r="43" spans="1:15">
      <c r="A43" s="2" t="s">
        <v>485</v>
      </c>
      <c r="H43" s="254" t="s">
        <v>701</v>
      </c>
      <c r="I43" s="255">
        <v>43556</v>
      </c>
      <c r="J43" s="216">
        <v>1016991.75</v>
      </c>
      <c r="K43" s="258">
        <v>426289.91999999998</v>
      </c>
      <c r="L43" s="258">
        <v>29134</v>
      </c>
      <c r="M43" s="258">
        <v>202714</v>
      </c>
      <c r="N43" s="258">
        <v>7021.33</v>
      </c>
      <c r="O43" s="258">
        <v>351832.5</v>
      </c>
    </row>
    <row r="44" spans="1:15">
      <c r="A44" s="2" t="s">
        <v>487</v>
      </c>
      <c r="E44" s="2"/>
      <c r="H44" s="254" t="s">
        <v>702</v>
      </c>
      <c r="I44" s="255">
        <v>43586</v>
      </c>
      <c r="J44" s="216">
        <v>1016268.25</v>
      </c>
      <c r="K44" s="258">
        <v>426289.91999999998</v>
      </c>
      <c r="L44" s="258">
        <v>28410.5</v>
      </c>
      <c r="M44" s="258">
        <v>202714</v>
      </c>
      <c r="N44" s="258">
        <v>7021.33</v>
      </c>
      <c r="O44" s="258">
        <v>351832.5</v>
      </c>
    </row>
    <row r="45" spans="1:15">
      <c r="A45" s="2" t="s">
        <v>488</v>
      </c>
      <c r="E45" s="2"/>
      <c r="H45" s="254" t="s">
        <v>703</v>
      </c>
      <c r="I45" s="255">
        <v>43617</v>
      </c>
      <c r="J45" s="216">
        <v>1016268.25</v>
      </c>
      <c r="K45" s="258">
        <v>426289.91999999998</v>
      </c>
      <c r="L45" s="258">
        <v>28410.5</v>
      </c>
      <c r="M45" s="258">
        <v>202714</v>
      </c>
      <c r="N45" s="258">
        <v>7021.33</v>
      </c>
      <c r="O45" s="258">
        <v>351832.5</v>
      </c>
    </row>
    <row r="46" spans="1:15">
      <c r="A46" s="2" t="s">
        <v>489</v>
      </c>
      <c r="H46" s="254" t="s">
        <v>704</v>
      </c>
      <c r="I46" s="255">
        <v>43647</v>
      </c>
      <c r="J46" s="216">
        <v>1002417.67</v>
      </c>
      <c r="K46" s="258">
        <v>426289.91999999998</v>
      </c>
      <c r="L46" s="258">
        <v>28410.5</v>
      </c>
      <c r="M46" s="258">
        <v>197680.25</v>
      </c>
      <c r="N46" s="258">
        <v>7021.33</v>
      </c>
      <c r="O46" s="258">
        <v>343015.67</v>
      </c>
    </row>
    <row r="47" spans="1:15">
      <c r="A47" s="2" t="s">
        <v>490</v>
      </c>
      <c r="H47" s="254" t="s">
        <v>705</v>
      </c>
      <c r="I47" s="255">
        <v>43678</v>
      </c>
      <c r="J47" s="216">
        <v>992256.5</v>
      </c>
      <c r="K47" s="258">
        <v>416128.75</v>
      </c>
      <c r="L47" s="258">
        <v>28410.5</v>
      </c>
      <c r="M47" s="258">
        <v>197680.25</v>
      </c>
      <c r="N47" s="258">
        <v>7021.33</v>
      </c>
      <c r="O47" s="258">
        <v>343015.67</v>
      </c>
    </row>
    <row r="48" spans="1:15">
      <c r="A48" s="2" t="s">
        <v>491</v>
      </c>
      <c r="E48" s="2"/>
      <c r="H48" s="254" t="s">
        <v>706</v>
      </c>
      <c r="I48" s="255">
        <v>43709</v>
      </c>
      <c r="J48" s="216">
        <v>992256.5</v>
      </c>
      <c r="K48" s="258">
        <v>416128.75</v>
      </c>
      <c r="L48" s="258">
        <v>28410.5</v>
      </c>
      <c r="M48" s="258">
        <v>197680.25</v>
      </c>
      <c r="N48" s="258">
        <v>7021.33</v>
      </c>
      <c r="O48" s="258">
        <v>343015.67</v>
      </c>
    </row>
    <row r="49" spans="8:15">
      <c r="H49" s="254" t="s">
        <v>707</v>
      </c>
      <c r="I49" s="255">
        <v>43739</v>
      </c>
      <c r="J49" s="216">
        <v>992256.5</v>
      </c>
      <c r="K49" s="258">
        <v>416128.75</v>
      </c>
      <c r="L49" s="258">
        <v>28410.5</v>
      </c>
      <c r="M49" s="258">
        <v>197680.25</v>
      </c>
      <c r="N49" s="258">
        <v>7021.33</v>
      </c>
      <c r="O49" s="258">
        <v>343015.67</v>
      </c>
    </row>
    <row r="50" spans="8:15">
      <c r="H50" s="254" t="s">
        <v>708</v>
      </c>
      <c r="I50" s="255">
        <v>43770</v>
      </c>
      <c r="J50" s="216">
        <v>992080.08</v>
      </c>
      <c r="K50" s="258">
        <v>416128.75</v>
      </c>
      <c r="L50" s="258">
        <v>28410.5</v>
      </c>
      <c r="M50" s="258">
        <v>197680.25</v>
      </c>
      <c r="N50" s="258">
        <v>6844.92</v>
      </c>
      <c r="O50" s="258">
        <v>343015.67</v>
      </c>
    </row>
    <row r="51" spans="8:15">
      <c r="H51" s="254" t="s">
        <v>709</v>
      </c>
      <c r="I51" s="255">
        <v>43800</v>
      </c>
      <c r="J51" s="216">
        <v>992080.08</v>
      </c>
      <c r="K51" s="258">
        <v>416128.75</v>
      </c>
      <c r="L51" s="258">
        <v>28410.5</v>
      </c>
      <c r="M51" s="258">
        <v>197680.25</v>
      </c>
      <c r="N51" s="258">
        <v>6844.92</v>
      </c>
      <c r="O51" s="258">
        <v>343015.67</v>
      </c>
    </row>
    <row r="52" spans="8:15">
      <c r="H52" s="254" t="s">
        <v>698</v>
      </c>
      <c r="I52" s="255">
        <v>43831</v>
      </c>
      <c r="J52" s="216">
        <v>992080.08</v>
      </c>
      <c r="K52" s="258">
        <v>416128.75</v>
      </c>
      <c r="L52" s="258">
        <v>28410.5</v>
      </c>
      <c r="M52" s="258">
        <v>197680.25</v>
      </c>
      <c r="N52" s="258">
        <v>6844.92</v>
      </c>
      <c r="O52" s="258">
        <v>343015.67</v>
      </c>
    </row>
    <row r="53" spans="8:15">
      <c r="H53" s="394" t="s">
        <v>749</v>
      </c>
      <c r="I53" s="255">
        <v>43862</v>
      </c>
      <c r="J53" s="216">
        <v>992080.08</v>
      </c>
      <c r="K53" s="258">
        <v>416128.75</v>
      </c>
      <c r="L53" s="258">
        <v>28410.5</v>
      </c>
      <c r="M53" s="258">
        <v>197680.25</v>
      </c>
      <c r="N53" s="258">
        <v>6844.92</v>
      </c>
      <c r="O53" s="258">
        <v>343015.67</v>
      </c>
    </row>
    <row r="54" spans="8:15">
      <c r="H54" s="394" t="s">
        <v>750</v>
      </c>
      <c r="I54" s="255">
        <v>43891</v>
      </c>
      <c r="J54" s="216">
        <v>992080.08</v>
      </c>
      <c r="K54" s="258">
        <v>416128.75</v>
      </c>
      <c r="L54" s="258">
        <v>28410.5</v>
      </c>
      <c r="M54" s="258">
        <v>197680.25</v>
      </c>
      <c r="N54" s="258">
        <v>6844.92</v>
      </c>
      <c r="O54" s="258">
        <v>343015.67</v>
      </c>
    </row>
    <row r="55" spans="8:15">
      <c r="H55" s="394" t="s">
        <v>751</v>
      </c>
      <c r="I55" s="255">
        <v>43922</v>
      </c>
      <c r="J55" s="216">
        <v>992080.08</v>
      </c>
      <c r="K55" s="258">
        <v>416128.75</v>
      </c>
      <c r="L55" s="258">
        <v>28410.5</v>
      </c>
      <c r="M55" s="258">
        <v>197680.25</v>
      </c>
      <c r="N55" s="258">
        <v>6844.92</v>
      </c>
      <c r="O55" s="258">
        <v>343015.67</v>
      </c>
    </row>
    <row r="56" spans="8:15">
      <c r="H56" s="394" t="s">
        <v>752</v>
      </c>
      <c r="I56" s="255">
        <v>43952</v>
      </c>
      <c r="J56" s="216">
        <v>991359.17</v>
      </c>
      <c r="K56" s="258">
        <v>416128.75</v>
      </c>
      <c r="L56" s="258">
        <v>27689.58</v>
      </c>
      <c r="M56" s="258">
        <v>197680.25</v>
      </c>
      <c r="N56" s="258">
        <v>6844.92</v>
      </c>
      <c r="O56" s="258">
        <v>343015.67</v>
      </c>
    </row>
    <row r="57" spans="8:15">
      <c r="H57" s="394" t="s">
        <v>753</v>
      </c>
      <c r="I57" s="255">
        <v>43983</v>
      </c>
      <c r="J57" s="216">
        <v>991359.17</v>
      </c>
      <c r="K57" s="258">
        <v>416128.75</v>
      </c>
      <c r="L57" s="258">
        <v>27689.58</v>
      </c>
      <c r="M57" s="258">
        <v>197680.25</v>
      </c>
      <c r="N57" s="258">
        <v>6844.92</v>
      </c>
      <c r="O57" s="258">
        <v>343015.67</v>
      </c>
    </row>
    <row r="58" spans="8:15">
      <c r="H58" s="394" t="s">
        <v>754</v>
      </c>
      <c r="I58" s="255">
        <v>44013</v>
      </c>
      <c r="J58" s="216">
        <v>977554.67</v>
      </c>
      <c r="K58" s="258">
        <v>416128.75</v>
      </c>
      <c r="L58" s="258">
        <v>27689.58</v>
      </c>
      <c r="M58" s="258">
        <v>192663.42</v>
      </c>
      <c r="N58" s="258">
        <v>6844.92</v>
      </c>
      <c r="O58" s="258">
        <v>334228</v>
      </c>
    </row>
    <row r="59" spans="8:15">
      <c r="H59" s="394" t="s">
        <v>755</v>
      </c>
      <c r="I59" s="255">
        <v>44044</v>
      </c>
      <c r="J59" s="216">
        <v>967435.42</v>
      </c>
      <c r="K59" s="258">
        <v>406009.5</v>
      </c>
      <c r="L59" s="258">
        <v>27689.58</v>
      </c>
      <c r="M59" s="258">
        <v>192663.42</v>
      </c>
      <c r="N59" s="258">
        <v>6844.92</v>
      </c>
      <c r="O59" s="258">
        <v>334228</v>
      </c>
    </row>
    <row r="60" spans="8:15">
      <c r="H60" s="394" t="s">
        <v>756</v>
      </c>
      <c r="I60" s="255">
        <v>44075</v>
      </c>
      <c r="J60" s="216">
        <v>967435.42</v>
      </c>
      <c r="K60" s="258">
        <v>406009.5</v>
      </c>
      <c r="L60" s="258">
        <v>27689.58</v>
      </c>
      <c r="M60" s="258">
        <v>192663.42</v>
      </c>
      <c r="N60" s="258">
        <v>6844.92</v>
      </c>
      <c r="O60" s="258">
        <v>334228</v>
      </c>
    </row>
    <row r="61" spans="8:15">
      <c r="H61" s="394" t="s">
        <v>757</v>
      </c>
      <c r="I61" s="255">
        <v>44105</v>
      </c>
      <c r="J61" s="216">
        <v>967435.42</v>
      </c>
      <c r="K61" s="258">
        <v>406009.5</v>
      </c>
      <c r="L61" s="258">
        <v>27689.58</v>
      </c>
      <c r="M61" s="258">
        <v>192663.42</v>
      </c>
      <c r="N61" s="258">
        <v>6844.92</v>
      </c>
      <c r="O61" s="258">
        <v>334228</v>
      </c>
    </row>
    <row r="62" spans="8:15">
      <c r="H62" s="394" t="s">
        <v>758</v>
      </c>
      <c r="I62" s="255">
        <v>44136</v>
      </c>
      <c r="J62" s="216">
        <v>967259.42</v>
      </c>
      <c r="K62" s="258">
        <v>406009.5</v>
      </c>
      <c r="L62" s="258">
        <v>27689.58</v>
      </c>
      <c r="M62" s="258">
        <v>192663.42</v>
      </c>
      <c r="N62" s="258">
        <v>6668.92</v>
      </c>
      <c r="O62" s="258">
        <v>334228</v>
      </c>
    </row>
    <row r="63" spans="8:15">
      <c r="H63" s="394" t="s">
        <v>759</v>
      </c>
      <c r="I63" s="255">
        <v>44166</v>
      </c>
      <c r="J63" s="216">
        <v>967259.42</v>
      </c>
      <c r="K63" s="258">
        <v>406009.5</v>
      </c>
      <c r="L63" s="258">
        <v>27689.58</v>
      </c>
      <c r="M63" s="258">
        <v>192663.42</v>
      </c>
      <c r="N63" s="258">
        <v>6668.92</v>
      </c>
      <c r="O63" s="258">
        <v>334228</v>
      </c>
    </row>
    <row r="64" spans="8:15">
      <c r="H64" s="394" t="s">
        <v>760</v>
      </c>
      <c r="I64" s="255">
        <v>44197</v>
      </c>
      <c r="J64" s="216">
        <v>967259.42</v>
      </c>
      <c r="K64" s="258">
        <v>406009.5</v>
      </c>
      <c r="L64" s="258">
        <v>27689.58</v>
      </c>
      <c r="M64" s="258">
        <v>192663.42</v>
      </c>
      <c r="N64" s="258">
        <v>6668.92</v>
      </c>
      <c r="O64" s="258">
        <v>334228</v>
      </c>
    </row>
    <row r="65" spans="8:13">
      <c r="H65" s="212"/>
      <c r="I65" s="243"/>
      <c r="J65" s="244"/>
      <c r="K65" s="245"/>
      <c r="L65" s="245"/>
      <c r="M65" s="245"/>
    </row>
    <row r="66" spans="8:13">
      <c r="H66" s="212"/>
      <c r="I66" s="243"/>
      <c r="J66" s="244"/>
      <c r="K66" s="245"/>
      <c r="L66" s="245"/>
      <c r="M66" s="245"/>
    </row>
    <row r="67" spans="8:13">
      <c r="H67" s="212"/>
      <c r="I67" s="243"/>
      <c r="J67" s="244"/>
      <c r="K67" s="245"/>
      <c r="L67" s="245"/>
      <c r="M67" s="245"/>
    </row>
    <row r="68" spans="8:13">
      <c r="H68" s="212"/>
      <c r="I68" s="243"/>
      <c r="J68" s="244"/>
      <c r="K68" s="245"/>
      <c r="L68" s="245"/>
      <c r="M68" s="245"/>
    </row>
    <row r="69" spans="8:13">
      <c r="H69" s="212"/>
      <c r="I69" s="243"/>
      <c r="J69" s="244"/>
      <c r="K69" s="245"/>
      <c r="L69" s="245"/>
      <c r="M69" s="245"/>
    </row>
    <row r="70" spans="8:13">
      <c r="H70" s="212"/>
      <c r="I70" s="243"/>
      <c r="J70" s="244"/>
      <c r="K70" s="245"/>
      <c r="L70" s="245"/>
      <c r="M70" s="245"/>
    </row>
    <row r="71" spans="8:13">
      <c r="H71" s="212"/>
      <c r="I71" s="243"/>
      <c r="J71" s="244"/>
      <c r="K71" s="245"/>
      <c r="L71" s="245"/>
      <c r="M71" s="245"/>
    </row>
    <row r="72" spans="8:13">
      <c r="H72" s="212"/>
      <c r="I72" s="243"/>
      <c r="J72" s="244"/>
      <c r="K72" s="245"/>
      <c r="L72" s="245"/>
      <c r="M72" s="245"/>
    </row>
    <row r="73" spans="8:13">
      <c r="H73" s="212"/>
      <c r="I73" s="243"/>
      <c r="J73" s="244"/>
      <c r="K73" s="245"/>
      <c r="L73" s="245"/>
      <c r="M73" s="245"/>
    </row>
    <row r="74" spans="8:13">
      <c r="H74" s="212"/>
      <c r="I74" s="243"/>
      <c r="J74" s="244"/>
      <c r="K74" s="245"/>
      <c r="L74" s="245"/>
      <c r="M74" s="245"/>
    </row>
    <row r="75" spans="8:13">
      <c r="H75" s="212"/>
      <c r="I75" s="243"/>
      <c r="J75" s="244"/>
      <c r="K75" s="245"/>
      <c r="L75" s="245"/>
      <c r="M75" s="245"/>
    </row>
    <row r="76" spans="8:13">
      <c r="H76" s="212"/>
      <c r="I76" s="243"/>
      <c r="J76" s="244"/>
      <c r="K76" s="245"/>
      <c r="L76" s="245"/>
      <c r="M76" s="245"/>
    </row>
    <row r="77" spans="8:13">
      <c r="H77" s="212"/>
      <c r="I77" s="243"/>
      <c r="J77" s="244"/>
      <c r="K77" s="245"/>
      <c r="L77" s="245"/>
      <c r="M77" s="245"/>
    </row>
    <row r="78" spans="8:13">
      <c r="H78" s="212"/>
      <c r="I78" s="243"/>
      <c r="J78" s="244"/>
      <c r="K78" s="245"/>
      <c r="L78" s="245"/>
      <c r="M78" s="245"/>
    </row>
    <row r="79" spans="8:13">
      <c r="H79" s="212"/>
      <c r="I79" s="243"/>
      <c r="J79" s="244"/>
      <c r="K79" s="245"/>
      <c r="L79" s="245"/>
      <c r="M79" s="245"/>
    </row>
    <row r="80" spans="8:13">
      <c r="H80" s="212"/>
      <c r="I80" s="243"/>
      <c r="J80" s="244"/>
      <c r="K80" s="245"/>
      <c r="L80" s="245"/>
      <c r="M80" s="245"/>
    </row>
    <row r="81" spans="8:13">
      <c r="H81" s="212"/>
      <c r="I81" s="243"/>
      <c r="J81" s="244"/>
      <c r="K81" s="245"/>
      <c r="L81" s="245"/>
      <c r="M81" s="245"/>
    </row>
    <row r="82" spans="8:13">
      <c r="H82" s="212"/>
      <c r="I82" s="243"/>
      <c r="J82" s="244"/>
      <c r="K82" s="245"/>
      <c r="L82" s="245"/>
      <c r="M82" s="245"/>
    </row>
    <row r="83" spans="8:13">
      <c r="H83" s="212"/>
      <c r="I83" s="243"/>
      <c r="J83" s="244"/>
      <c r="K83" s="245"/>
      <c r="L83" s="245"/>
      <c r="M83" s="245"/>
    </row>
    <row r="84" spans="8:13">
      <c r="H84" s="212"/>
      <c r="I84" s="243"/>
      <c r="J84" s="244"/>
      <c r="K84" s="245"/>
      <c r="L84" s="245"/>
      <c r="M84" s="245"/>
    </row>
    <row r="85" spans="8:13">
      <c r="H85" s="212"/>
      <c r="I85" s="243"/>
      <c r="J85" s="244"/>
      <c r="K85" s="245"/>
      <c r="L85" s="245"/>
      <c r="M85" s="245"/>
    </row>
    <row r="86" spans="8:13">
      <c r="H86" s="212"/>
      <c r="I86" s="243"/>
      <c r="J86" s="244"/>
      <c r="K86" s="245"/>
      <c r="L86" s="245"/>
      <c r="M86" s="245"/>
    </row>
    <row r="87" spans="8:13">
      <c r="H87" s="212"/>
      <c r="I87" s="243"/>
      <c r="J87" s="244"/>
      <c r="K87" s="245"/>
      <c r="L87" s="245"/>
      <c r="M87" s="245"/>
    </row>
    <row r="88" spans="8:13">
      <c r="H88" s="212"/>
      <c r="I88" s="243"/>
      <c r="J88" s="244"/>
      <c r="K88" s="245"/>
      <c r="L88" s="245"/>
      <c r="M88" s="245"/>
    </row>
    <row r="89" spans="8:13">
      <c r="H89" s="212"/>
      <c r="I89" s="243"/>
      <c r="J89" s="244"/>
      <c r="K89" s="245"/>
      <c r="L89" s="245"/>
      <c r="M89" s="245"/>
    </row>
    <row r="90" spans="8:13">
      <c r="H90" s="212"/>
      <c r="I90" s="243"/>
      <c r="J90" s="244"/>
      <c r="K90" s="245"/>
      <c r="L90" s="245"/>
      <c r="M90" s="245"/>
    </row>
    <row r="91" spans="8:13">
      <c r="H91" s="212"/>
      <c r="I91" s="243"/>
      <c r="J91" s="244"/>
      <c r="K91" s="245"/>
      <c r="L91" s="245"/>
      <c r="M91" s="245"/>
    </row>
    <row r="92" spans="8:13">
      <c r="H92" s="212"/>
      <c r="I92" s="243"/>
      <c r="J92" s="244"/>
      <c r="K92" s="245"/>
      <c r="L92" s="245"/>
      <c r="M92" s="245"/>
    </row>
    <row r="93" spans="8:13">
      <c r="H93" s="212"/>
      <c r="I93" s="243"/>
      <c r="J93" s="244"/>
      <c r="K93" s="245"/>
      <c r="L93" s="245"/>
      <c r="M93" s="245"/>
    </row>
    <row r="94" spans="8:13">
      <c r="H94" s="212"/>
      <c r="I94" s="243"/>
      <c r="J94" s="245"/>
      <c r="K94" s="245"/>
      <c r="L94" s="245"/>
      <c r="M94" s="245"/>
    </row>
  </sheetData>
  <mergeCells count="1">
    <mergeCell ref="A7:B7"/>
  </mergeCells>
  <pageMargins left="0.75" right="0.75" top="1" bottom="1" header="0.5" footer="0.5"/>
  <pageSetup orientation="portrait"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25"/>
  <sheetViews>
    <sheetView topLeftCell="A10" workbookViewId="0">
      <selection activeCell="A25" sqref="A25"/>
    </sheetView>
  </sheetViews>
  <sheetFormatPr defaultRowHeight="15"/>
  <cols>
    <col min="1" max="1" width="17.5703125" style="2" customWidth="1"/>
    <col min="2" max="4" width="9.85546875" style="2" customWidth="1"/>
    <col min="5" max="5" width="1.7109375" style="26" customWidth="1"/>
    <col min="6" max="10" width="8.85546875" style="2" customWidth="1"/>
    <col min="11" max="16384" width="9.140625" style="2"/>
  </cols>
  <sheetData>
    <row r="1" spans="1:16">
      <c r="A1" s="1" t="s">
        <v>0</v>
      </c>
    </row>
    <row r="2" spans="1:16">
      <c r="A2" s="1" t="str">
        <f>Comparison!A2</f>
        <v>2016 Budget - 40990 Corporate</v>
      </c>
    </row>
    <row r="3" spans="1:16">
      <c r="A3" s="1" t="s">
        <v>149</v>
      </c>
      <c r="H3" s="1"/>
    </row>
    <row r="4" spans="1:16">
      <c r="A4" s="6" t="s">
        <v>217</v>
      </c>
    </row>
    <row r="5" spans="1:16">
      <c r="A5" s="6"/>
    </row>
    <row r="6" spans="1:16">
      <c r="A6" s="107"/>
      <c r="B6" s="138"/>
      <c r="C6" s="138"/>
      <c r="D6" s="107"/>
      <c r="E6" s="110"/>
      <c r="F6" s="107"/>
      <c r="G6" s="107"/>
      <c r="H6" s="107"/>
      <c r="I6" s="107"/>
      <c r="J6" s="107"/>
    </row>
    <row r="7" spans="1:16">
      <c r="B7" s="21">
        <v>2015</v>
      </c>
      <c r="C7" s="21">
        <f>B7</f>
        <v>2015</v>
      </c>
      <c r="D7" s="21"/>
      <c r="E7" s="114"/>
      <c r="F7" s="108"/>
      <c r="G7" s="108"/>
      <c r="H7" s="108"/>
      <c r="I7" s="108"/>
      <c r="J7" s="108"/>
    </row>
    <row r="8" spans="1:16">
      <c r="B8" s="14" t="s">
        <v>38</v>
      </c>
      <c r="C8" s="14" t="s">
        <v>2</v>
      </c>
      <c r="D8" s="14" t="s">
        <v>49</v>
      </c>
      <c r="E8" s="114"/>
      <c r="F8" s="25">
        <f>B7+1</f>
        <v>2016</v>
      </c>
      <c r="G8" s="25">
        <f>F8+1</f>
        <v>2017</v>
      </c>
      <c r="H8" s="25">
        <f>G8+1</f>
        <v>2018</v>
      </c>
      <c r="I8" s="25">
        <f>H8+1</f>
        <v>2019</v>
      </c>
      <c r="J8" s="25">
        <f>I8+1</f>
        <v>2020</v>
      </c>
    </row>
    <row r="9" spans="1:16">
      <c r="A9" s="1" t="s">
        <v>23</v>
      </c>
      <c r="B9" s="7">
        <v>3140</v>
      </c>
      <c r="C9" s="7">
        <v>3590</v>
      </c>
      <c r="D9" s="7">
        <f>B9-C9</f>
        <v>-450</v>
      </c>
      <c r="E9" s="29"/>
      <c r="F9" s="7">
        <v>3140</v>
      </c>
      <c r="G9" s="139">
        <v>3140</v>
      </c>
      <c r="H9" s="139">
        <v>3140</v>
      </c>
      <c r="I9" s="139">
        <v>3140</v>
      </c>
      <c r="J9" s="139">
        <v>3140</v>
      </c>
      <c r="K9" s="7"/>
      <c r="L9" s="7"/>
      <c r="O9" s="233"/>
      <c r="P9" s="233"/>
    </row>
    <row r="10" spans="1:16">
      <c r="A10" s="1" t="s">
        <v>24</v>
      </c>
      <c r="B10" s="7">
        <v>3140</v>
      </c>
      <c r="C10" s="7">
        <v>3590</v>
      </c>
      <c r="D10" s="7">
        <f t="shared" ref="D10:D14" si="0">B10-C10</f>
        <v>-450</v>
      </c>
      <c r="E10" s="29"/>
      <c r="F10" s="139">
        <v>3140</v>
      </c>
      <c r="G10" s="139">
        <v>3140</v>
      </c>
      <c r="H10" s="139">
        <v>3140</v>
      </c>
      <c r="I10" s="139">
        <v>3140</v>
      </c>
      <c r="J10" s="139">
        <v>3140</v>
      </c>
      <c r="K10" s="11"/>
      <c r="M10" s="401"/>
      <c r="N10" s="401"/>
      <c r="O10" s="233"/>
      <c r="P10" s="233"/>
    </row>
    <row r="11" spans="1:16">
      <c r="A11" s="1" t="s">
        <v>25</v>
      </c>
      <c r="B11" s="7">
        <v>3140</v>
      </c>
      <c r="C11" s="7">
        <v>3590</v>
      </c>
      <c r="D11" s="7">
        <f t="shared" si="0"/>
        <v>-450</v>
      </c>
      <c r="E11" s="29"/>
      <c r="F11" s="139">
        <v>3140</v>
      </c>
      <c r="G11" s="139">
        <v>3140</v>
      </c>
      <c r="H11" s="139">
        <v>3140</v>
      </c>
      <c r="I11" s="139">
        <v>3140</v>
      </c>
      <c r="J11" s="139">
        <v>3140</v>
      </c>
      <c r="K11" s="11"/>
      <c r="M11" s="401"/>
      <c r="N11" s="401"/>
      <c r="O11" s="233"/>
      <c r="P11" s="233"/>
    </row>
    <row r="12" spans="1:16">
      <c r="A12" s="1" t="s">
        <v>26</v>
      </c>
      <c r="B12" s="7">
        <v>3140</v>
      </c>
      <c r="C12" s="7">
        <v>3590</v>
      </c>
      <c r="D12" s="7">
        <f t="shared" si="0"/>
        <v>-450</v>
      </c>
      <c r="E12" s="29"/>
      <c r="F12" s="139">
        <v>3140</v>
      </c>
      <c r="G12" s="139">
        <v>3140</v>
      </c>
      <c r="H12" s="139">
        <v>3140</v>
      </c>
      <c r="I12" s="139">
        <v>3140</v>
      </c>
      <c r="J12" s="139">
        <v>3140</v>
      </c>
      <c r="K12" s="11"/>
      <c r="M12" s="401"/>
      <c r="N12" s="401"/>
      <c r="O12" s="233"/>
      <c r="P12" s="233"/>
    </row>
    <row r="13" spans="1:16">
      <c r="A13" s="1" t="s">
        <v>27</v>
      </c>
      <c r="B13" s="7">
        <v>3140</v>
      </c>
      <c r="C13" s="7">
        <v>3590</v>
      </c>
      <c r="D13" s="7">
        <f t="shared" si="0"/>
        <v>-450</v>
      </c>
      <c r="E13" s="29"/>
      <c r="F13" s="139">
        <v>3140</v>
      </c>
      <c r="G13" s="139">
        <v>3140</v>
      </c>
      <c r="H13" s="139">
        <v>3140</v>
      </c>
      <c r="I13" s="139">
        <v>3140</v>
      </c>
      <c r="J13" s="139">
        <v>3140</v>
      </c>
      <c r="K13" s="11"/>
      <c r="M13" s="401"/>
      <c r="N13" s="401"/>
      <c r="O13" s="233"/>
      <c r="P13" s="233"/>
    </row>
    <row r="14" spans="1:16">
      <c r="A14" s="1" t="s">
        <v>28</v>
      </c>
      <c r="B14" s="7">
        <v>3140</v>
      </c>
      <c r="C14" s="7">
        <v>3590</v>
      </c>
      <c r="D14" s="7">
        <f t="shared" si="0"/>
        <v>-450</v>
      </c>
      <c r="E14" s="29"/>
      <c r="F14" s="139">
        <v>3140</v>
      </c>
      <c r="G14" s="139">
        <v>3140</v>
      </c>
      <c r="H14" s="139">
        <v>3140</v>
      </c>
      <c r="I14" s="139">
        <v>3140</v>
      </c>
      <c r="J14" s="139">
        <v>3140</v>
      </c>
      <c r="K14" s="11"/>
      <c r="M14" s="401"/>
      <c r="N14" s="401"/>
      <c r="O14" s="233"/>
      <c r="P14" s="233"/>
    </row>
    <row r="15" spans="1:16">
      <c r="A15" s="1" t="s">
        <v>29</v>
      </c>
      <c r="B15" s="358"/>
      <c r="C15" s="358">
        <v>3590</v>
      </c>
      <c r="D15" s="358"/>
      <c r="E15" s="29"/>
      <c r="F15" s="139">
        <v>3140</v>
      </c>
      <c r="G15" s="139">
        <v>3140</v>
      </c>
      <c r="H15" s="139">
        <v>3140</v>
      </c>
      <c r="I15" s="139">
        <v>3140</v>
      </c>
      <c r="J15" s="139">
        <v>3140</v>
      </c>
      <c r="K15" s="11"/>
      <c r="M15" s="401"/>
      <c r="N15" s="401"/>
      <c r="O15" s="233"/>
      <c r="P15" s="233"/>
    </row>
    <row r="16" spans="1:16">
      <c r="A16" s="1" t="s">
        <v>30</v>
      </c>
      <c r="B16" s="358"/>
      <c r="C16" s="358">
        <v>3590</v>
      </c>
      <c r="D16" s="358"/>
      <c r="E16" s="29"/>
      <c r="F16" s="139">
        <v>3140</v>
      </c>
      <c r="G16" s="139">
        <v>3140</v>
      </c>
      <c r="H16" s="139">
        <v>3140</v>
      </c>
      <c r="I16" s="139">
        <v>3140</v>
      </c>
      <c r="J16" s="139">
        <v>3140</v>
      </c>
      <c r="K16" s="11"/>
      <c r="M16" s="401"/>
      <c r="N16" s="401"/>
      <c r="O16" s="233"/>
      <c r="P16" s="233"/>
    </row>
    <row r="17" spans="1:17">
      <c r="A17" s="1" t="s">
        <v>31</v>
      </c>
      <c r="B17" s="358"/>
      <c r="C17" s="358">
        <v>3590</v>
      </c>
      <c r="D17" s="358"/>
      <c r="E17" s="29"/>
      <c r="F17" s="139">
        <v>3140</v>
      </c>
      <c r="G17" s="139">
        <v>3140</v>
      </c>
      <c r="H17" s="139">
        <v>3140</v>
      </c>
      <c r="I17" s="139">
        <v>3140</v>
      </c>
      <c r="J17" s="139">
        <v>3140</v>
      </c>
      <c r="K17" s="11"/>
      <c r="O17" s="233"/>
      <c r="P17" s="233"/>
    </row>
    <row r="18" spans="1:17">
      <c r="A18" s="72" t="s">
        <v>32</v>
      </c>
      <c r="B18" s="358"/>
      <c r="C18" s="358">
        <v>3590</v>
      </c>
      <c r="D18" s="358"/>
      <c r="E18" s="29"/>
      <c r="F18" s="139">
        <v>3140</v>
      </c>
      <c r="G18" s="139">
        <v>3140</v>
      </c>
      <c r="H18" s="139">
        <v>3140</v>
      </c>
      <c r="I18" s="139">
        <v>3140</v>
      </c>
      <c r="J18" s="139">
        <v>3140</v>
      </c>
      <c r="K18" s="11"/>
      <c r="O18" s="233"/>
      <c r="P18" s="233"/>
    </row>
    <row r="19" spans="1:17">
      <c r="A19" s="1" t="s">
        <v>33</v>
      </c>
      <c r="B19" s="358"/>
      <c r="C19" s="358">
        <v>3590</v>
      </c>
      <c r="D19" s="358"/>
      <c r="E19" s="29"/>
      <c r="F19" s="139">
        <v>3140</v>
      </c>
      <c r="G19" s="139">
        <v>3140</v>
      </c>
      <c r="H19" s="139">
        <v>3140</v>
      </c>
      <c r="I19" s="139">
        <v>3140</v>
      </c>
      <c r="J19" s="139">
        <v>3140</v>
      </c>
      <c r="K19" s="11"/>
      <c r="O19" s="233"/>
      <c r="P19" s="233"/>
    </row>
    <row r="20" spans="1:17">
      <c r="A20" s="1" t="s">
        <v>22</v>
      </c>
      <c r="B20" s="358"/>
      <c r="C20" s="358">
        <v>3590</v>
      </c>
      <c r="D20" s="358"/>
      <c r="E20" s="29"/>
      <c r="F20" s="139">
        <v>3140</v>
      </c>
      <c r="G20" s="139">
        <v>3140</v>
      </c>
      <c r="H20" s="139">
        <v>3140</v>
      </c>
      <c r="I20" s="139">
        <v>3140</v>
      </c>
      <c r="J20" s="139">
        <v>3140</v>
      </c>
      <c r="K20" s="11"/>
      <c r="O20" s="233"/>
      <c r="P20" s="233"/>
    </row>
    <row r="21" spans="1:17" s="11" customFormat="1" ht="15.75" thickBot="1">
      <c r="A21" s="6" t="s">
        <v>20</v>
      </c>
      <c r="B21" s="103">
        <f>SUM(B9:B14)</f>
        <v>18840</v>
      </c>
      <c r="C21" s="103">
        <f>SUM(C9:C14)</f>
        <v>21540</v>
      </c>
      <c r="D21" s="103">
        <f>B21-C21</f>
        <v>-2700</v>
      </c>
      <c r="E21" s="38"/>
      <c r="F21" s="103">
        <f>SUM(F9:F20)</f>
        <v>37680</v>
      </c>
      <c r="G21" s="103">
        <f>SUM(G9:G20)</f>
        <v>37680</v>
      </c>
      <c r="H21" s="103">
        <f>SUM(H9:H20)</f>
        <v>37680</v>
      </c>
      <c r="I21" s="103">
        <f>SUM(I9:I20)</f>
        <v>37680</v>
      </c>
      <c r="J21" s="103">
        <f>SUM(J9:J20)</f>
        <v>37680</v>
      </c>
      <c r="O21" s="233"/>
      <c r="P21" s="233"/>
    </row>
    <row r="22" spans="1:17" ht="15.75" thickTop="1"/>
    <row r="23" spans="1:17">
      <c r="A23" s="6" t="s">
        <v>347</v>
      </c>
    </row>
    <row r="24" spans="1:17">
      <c r="A24" s="6" t="s">
        <v>744</v>
      </c>
      <c r="D24" s="467" t="s">
        <v>820</v>
      </c>
      <c r="E24" s="509"/>
      <c r="F24" s="467"/>
      <c r="G24" s="467"/>
      <c r="H24" s="467"/>
      <c r="I24" s="467"/>
      <c r="J24" s="467"/>
      <c r="K24" s="467"/>
      <c r="L24" s="467"/>
      <c r="M24" s="467"/>
      <c r="N24" s="467"/>
      <c r="O24" s="467"/>
      <c r="P24" s="467"/>
      <c r="Q24" s="467"/>
    </row>
    <row r="25" spans="1:17">
      <c r="A25" s="4" t="s">
        <v>826</v>
      </c>
    </row>
  </sheetData>
  <pageMargins left="0.75" right="0.75" top="1" bottom="1" header="0.5" footer="0.5"/>
  <pageSetup scale="9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O38"/>
  <sheetViews>
    <sheetView zoomScale="90" zoomScaleNormal="90" workbookViewId="0"/>
  </sheetViews>
  <sheetFormatPr defaultRowHeight="15"/>
  <cols>
    <col min="1" max="1" width="16.85546875" style="2" customWidth="1"/>
    <col min="2" max="6" width="12.42578125" style="2" customWidth="1"/>
    <col min="7" max="7" width="9.140625" style="2"/>
    <col min="8" max="8" width="20.7109375" style="2" customWidth="1"/>
    <col min="9" max="9" width="11.85546875" style="2" customWidth="1"/>
    <col min="10" max="10" width="9.140625" style="2"/>
    <col min="11" max="11" width="27.7109375" style="2" bestFit="1" customWidth="1"/>
    <col min="12" max="12" width="12.140625" style="2" bestFit="1" customWidth="1"/>
    <col min="13" max="16384" width="9.140625" style="2"/>
  </cols>
  <sheetData>
    <row r="1" spans="1:12">
      <c r="A1" s="1" t="s">
        <v>0</v>
      </c>
    </row>
    <row r="2" spans="1:12">
      <c r="A2" s="1" t="str">
        <f>Comparison!A2</f>
        <v>2016 Budget - 40990 Corporate</v>
      </c>
    </row>
    <row r="3" spans="1:12">
      <c r="A3" s="1" t="s">
        <v>394</v>
      </c>
      <c r="C3" s="1"/>
    </row>
    <row r="4" spans="1:12">
      <c r="A4" s="6" t="s">
        <v>393</v>
      </c>
    </row>
    <row r="5" spans="1:12">
      <c r="A5" s="107"/>
      <c r="B5" s="107"/>
      <c r="C5" s="107"/>
      <c r="D5" s="107"/>
      <c r="E5" s="107"/>
    </row>
    <row r="7" spans="1:12">
      <c r="B7" s="207">
        <v>2016</v>
      </c>
      <c r="C7" s="207">
        <f>B7+1</f>
        <v>2017</v>
      </c>
      <c r="D7" s="207">
        <f>C7+1</f>
        <v>2018</v>
      </c>
      <c r="E7" s="207">
        <f>D7+1</f>
        <v>2019</v>
      </c>
      <c r="F7" s="210">
        <f>E7+1</f>
        <v>2020</v>
      </c>
    </row>
    <row r="8" spans="1:12">
      <c r="A8" s="1" t="s">
        <v>23</v>
      </c>
      <c r="B8" s="139">
        <f>+$I$11</f>
        <v>202637.75</v>
      </c>
      <c r="C8" s="139">
        <v>0</v>
      </c>
      <c r="D8" s="139">
        <v>0</v>
      </c>
      <c r="E8" s="139">
        <v>0</v>
      </c>
      <c r="F8" s="139">
        <v>0</v>
      </c>
      <c r="G8" s="139"/>
    </row>
    <row r="9" spans="1:12">
      <c r="A9" s="1" t="s">
        <v>24</v>
      </c>
      <c r="B9" s="139">
        <f t="shared" ref="B9:B19" si="0">+$I$11</f>
        <v>202637.75</v>
      </c>
      <c r="C9" s="139">
        <v>0</v>
      </c>
      <c r="D9" s="139">
        <v>0</v>
      </c>
      <c r="E9" s="139">
        <v>0</v>
      </c>
      <c r="F9" s="139">
        <v>0</v>
      </c>
    </row>
    <row r="10" spans="1:12">
      <c r="A10" s="1" t="s">
        <v>25</v>
      </c>
      <c r="B10" s="139">
        <f t="shared" si="0"/>
        <v>202637.75</v>
      </c>
      <c r="C10" s="139">
        <v>0</v>
      </c>
      <c r="D10" s="139">
        <v>0</v>
      </c>
      <c r="E10" s="139">
        <v>0</v>
      </c>
      <c r="F10" s="139">
        <v>0</v>
      </c>
      <c r="H10" s="2" t="s">
        <v>822</v>
      </c>
      <c r="I10" s="48">
        <f>1643607+788046</f>
        <v>2431653</v>
      </c>
    </row>
    <row r="11" spans="1:12">
      <c r="A11" s="1" t="s">
        <v>26</v>
      </c>
      <c r="B11" s="139">
        <f t="shared" si="0"/>
        <v>202637.75</v>
      </c>
      <c r="C11" s="139">
        <v>0</v>
      </c>
      <c r="D11" s="139">
        <v>0</v>
      </c>
      <c r="E11" s="139">
        <v>0</v>
      </c>
      <c r="F11" s="139">
        <v>0</v>
      </c>
      <c r="H11" s="2" t="s">
        <v>823</v>
      </c>
      <c r="I11" s="512">
        <f>+I10/12</f>
        <v>202637.75</v>
      </c>
    </row>
    <row r="12" spans="1:12">
      <c r="A12" s="1" t="s">
        <v>27</v>
      </c>
      <c r="B12" s="139">
        <f t="shared" si="0"/>
        <v>202637.75</v>
      </c>
      <c r="C12" s="139">
        <v>0</v>
      </c>
      <c r="D12" s="139">
        <v>0</v>
      </c>
      <c r="E12" s="139">
        <v>0</v>
      </c>
      <c r="F12" s="139">
        <v>0</v>
      </c>
      <c r="L12" s="48"/>
    </row>
    <row r="13" spans="1:12">
      <c r="A13" s="1" t="s">
        <v>28</v>
      </c>
      <c r="B13" s="139">
        <f t="shared" si="0"/>
        <v>202637.75</v>
      </c>
      <c r="C13" s="139">
        <v>0</v>
      </c>
      <c r="D13" s="139">
        <v>0</v>
      </c>
      <c r="E13" s="139">
        <v>0</v>
      </c>
      <c r="F13" s="139">
        <v>0</v>
      </c>
    </row>
    <row r="14" spans="1:12">
      <c r="A14" s="1" t="s">
        <v>29</v>
      </c>
      <c r="B14" s="139">
        <f t="shared" si="0"/>
        <v>202637.75</v>
      </c>
      <c r="C14" s="139">
        <v>0</v>
      </c>
      <c r="D14" s="139">
        <v>0</v>
      </c>
      <c r="E14" s="139">
        <v>0</v>
      </c>
      <c r="F14" s="139">
        <v>0</v>
      </c>
    </row>
    <row r="15" spans="1:12">
      <c r="A15" s="1" t="s">
        <v>30</v>
      </c>
      <c r="B15" s="139">
        <f t="shared" si="0"/>
        <v>202637.75</v>
      </c>
      <c r="C15" s="139">
        <v>0</v>
      </c>
      <c r="D15" s="139">
        <v>0</v>
      </c>
      <c r="E15" s="139">
        <v>0</v>
      </c>
      <c r="F15" s="139">
        <v>0</v>
      </c>
    </row>
    <row r="16" spans="1:12">
      <c r="A16" s="1" t="s">
        <v>31</v>
      </c>
      <c r="B16" s="139">
        <f t="shared" si="0"/>
        <v>202637.75</v>
      </c>
      <c r="C16" s="139">
        <v>0</v>
      </c>
      <c r="D16" s="139">
        <v>0</v>
      </c>
      <c r="E16" s="139">
        <v>0</v>
      </c>
      <c r="F16" s="139">
        <v>0</v>
      </c>
    </row>
    <row r="17" spans="1:15">
      <c r="A17" s="72" t="s">
        <v>32</v>
      </c>
      <c r="B17" s="139">
        <f t="shared" si="0"/>
        <v>202637.75</v>
      </c>
      <c r="C17" s="139">
        <v>0</v>
      </c>
      <c r="D17" s="139">
        <v>0</v>
      </c>
      <c r="E17" s="139">
        <v>0</v>
      </c>
      <c r="F17" s="139">
        <v>0</v>
      </c>
      <c r="H17" s="265"/>
      <c r="I17" s="265"/>
      <c r="J17" s="265"/>
      <c r="K17" s="265"/>
      <c r="L17" s="265"/>
      <c r="M17" s="265"/>
      <c r="N17" s="11"/>
      <c r="O17" s="11"/>
    </row>
    <row r="18" spans="1:15">
      <c r="A18" s="1" t="s">
        <v>33</v>
      </c>
      <c r="B18" s="139">
        <f t="shared" si="0"/>
        <v>202637.75</v>
      </c>
      <c r="C18" s="139">
        <v>0</v>
      </c>
      <c r="D18" s="139">
        <v>0</v>
      </c>
      <c r="E18" s="139">
        <v>0</v>
      </c>
      <c r="F18" s="139">
        <v>0</v>
      </c>
    </row>
    <row r="19" spans="1:15">
      <c r="A19" s="1" t="s">
        <v>22</v>
      </c>
      <c r="B19" s="139">
        <f t="shared" si="0"/>
        <v>202637.75</v>
      </c>
      <c r="C19" s="139">
        <v>0</v>
      </c>
      <c r="D19" s="139">
        <v>0</v>
      </c>
      <c r="E19" s="139">
        <v>0</v>
      </c>
      <c r="F19" s="139">
        <v>0</v>
      </c>
    </row>
    <row r="20" spans="1:15" s="11" customFormat="1" ht="15.75" thickBot="1">
      <c r="A20" s="6" t="s">
        <v>20</v>
      </c>
      <c r="B20" s="103">
        <f>SUM(B8:B19)</f>
        <v>2431653</v>
      </c>
      <c r="C20" s="103">
        <f>SUM(C8:C19)</f>
        <v>0</v>
      </c>
      <c r="D20" s="103">
        <f>SUM(D8:D19)</f>
        <v>0</v>
      </c>
      <c r="E20" s="103">
        <f>SUM(E8:E19)</f>
        <v>0</v>
      </c>
      <c r="F20" s="103">
        <f>SUM(F8:F19)</f>
        <v>0</v>
      </c>
    </row>
    <row r="21" spans="1:15" ht="15.75" thickTop="1"/>
    <row r="22" spans="1:15">
      <c r="A22" s="6" t="s">
        <v>690</v>
      </c>
    </row>
    <row r="23" spans="1:15">
      <c r="A23" s="6" t="s">
        <v>825</v>
      </c>
    </row>
    <row r="24" spans="1:15">
      <c r="A24" s="6" t="s">
        <v>828</v>
      </c>
    </row>
    <row r="26" spans="1:15">
      <c r="A26" s="4" t="s">
        <v>172</v>
      </c>
    </row>
    <row r="27" spans="1:15">
      <c r="A27" s="4" t="s">
        <v>691</v>
      </c>
    </row>
    <row r="28" spans="1:15">
      <c r="A28" s="24" t="s">
        <v>524</v>
      </c>
    </row>
    <row r="29" spans="1:15">
      <c r="A29" s="24"/>
    </row>
    <row r="30" spans="1:15">
      <c r="A30" s="393" t="s">
        <v>824</v>
      </c>
      <c r="B30" s="393"/>
      <c r="C30" s="393"/>
      <c r="D30" s="393"/>
      <c r="E30" s="393"/>
      <c r="F30" s="393"/>
      <c r="G30" s="393"/>
      <c r="H30" s="393"/>
      <c r="I30" s="393"/>
      <c r="J30" s="393"/>
      <c r="K30" s="393"/>
    </row>
    <row r="31" spans="1:15">
      <c r="A31" s="24"/>
    </row>
    <row r="32" spans="1:15">
      <c r="A32" s="11" t="s">
        <v>812</v>
      </c>
      <c r="B32" s="11"/>
      <c r="C32" s="11"/>
      <c r="D32" s="11"/>
      <c r="E32" s="11"/>
      <c r="F32" s="11"/>
      <c r="G32" s="11"/>
      <c r="H32" s="11"/>
      <c r="I32" s="11"/>
      <c r="J32" s="11"/>
      <c r="K32" s="11"/>
      <c r="L32" s="11"/>
      <c r="M32" s="11"/>
      <c r="N32" s="2" t="s">
        <v>808</v>
      </c>
      <c r="O32" s="139">
        <v>135842</v>
      </c>
    </row>
    <row r="33" spans="1:15">
      <c r="A33" s="24"/>
      <c r="N33" s="2" t="s">
        <v>809</v>
      </c>
      <c r="O33" s="139">
        <v>136967.25</v>
      </c>
    </row>
    <row r="34" spans="1:15">
      <c r="A34" s="2" t="s">
        <v>692</v>
      </c>
      <c r="N34" s="2" t="s">
        <v>810</v>
      </c>
      <c r="O34" s="48">
        <f>+O32-O33</f>
        <v>-1125.25</v>
      </c>
    </row>
    <row r="35" spans="1:15">
      <c r="A35" s="11" t="s">
        <v>693</v>
      </c>
      <c r="B35" s="11"/>
      <c r="C35" s="11"/>
      <c r="D35" s="11"/>
      <c r="E35" s="11"/>
      <c r="F35" s="11"/>
      <c r="G35" s="11"/>
      <c r="H35" s="11"/>
      <c r="I35" s="11"/>
      <c r="J35" s="11"/>
      <c r="K35" s="11"/>
    </row>
    <row r="36" spans="1:15">
      <c r="A36" s="11"/>
      <c r="B36" s="11"/>
      <c r="C36" s="11"/>
      <c r="D36" s="11"/>
      <c r="E36" s="11"/>
      <c r="F36" s="11"/>
      <c r="G36" s="11"/>
      <c r="H36" s="11"/>
      <c r="I36" s="11"/>
      <c r="J36" s="11"/>
      <c r="K36" s="11"/>
      <c r="N36" s="2" t="s">
        <v>811</v>
      </c>
      <c r="O36" s="48">
        <f>+O34*30</f>
        <v>-33757.5</v>
      </c>
    </row>
    <row r="37" spans="1:15">
      <c r="A37" s="11" t="s">
        <v>694</v>
      </c>
      <c r="B37" s="11"/>
      <c r="C37" s="11"/>
      <c r="D37" s="11"/>
      <c r="E37" s="11"/>
      <c r="F37" s="11"/>
      <c r="G37" s="11"/>
      <c r="H37" s="11"/>
      <c r="I37" s="11"/>
      <c r="J37" s="11"/>
      <c r="K37" s="11"/>
    </row>
    <row r="38" spans="1:15">
      <c r="A38" s="11" t="s">
        <v>695</v>
      </c>
      <c r="B38" s="11"/>
      <c r="C38" s="11"/>
      <c r="D38" s="11"/>
      <c r="E38" s="11"/>
      <c r="F38" s="11"/>
      <c r="G38" s="11"/>
      <c r="H38" s="11"/>
      <c r="I38" s="11"/>
    </row>
  </sheetData>
  <pageMargins left="0.75" right="0.75" top="1" bottom="1" header="0.5" footer="0.5"/>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S31"/>
  <sheetViews>
    <sheetView zoomScaleNormal="100" workbookViewId="0">
      <pane xSplit="2" ySplit="7" topLeftCell="C8" activePane="bottomRight" state="frozen"/>
      <selection activeCell="G26" sqref="G26"/>
      <selection pane="topRight" activeCell="G26" sqref="G26"/>
      <selection pane="bottomLeft" activeCell="G26" sqref="G26"/>
      <selection pane="bottomRight" activeCell="H36" sqref="H36"/>
    </sheetView>
  </sheetViews>
  <sheetFormatPr defaultRowHeight="15"/>
  <cols>
    <col min="1" max="1" width="18.85546875" style="2" customWidth="1"/>
    <col min="2" max="2" width="7.85546875" style="2" bestFit="1" customWidth="1"/>
    <col min="3" max="14" width="9.7109375" style="2" customWidth="1"/>
    <col min="15" max="15" width="11" style="24" customWidth="1"/>
    <col min="16" max="17" width="9.140625" style="2"/>
    <col min="18" max="18" width="16.42578125" style="2" bestFit="1" customWidth="1"/>
    <col min="19" max="19" width="10.85546875" style="2" bestFit="1" customWidth="1"/>
    <col min="20" max="16384" width="9.140625" style="2"/>
  </cols>
  <sheetData>
    <row r="1" spans="1:19">
      <c r="A1" s="1" t="s">
        <v>0</v>
      </c>
    </row>
    <row r="2" spans="1:19">
      <c r="A2" s="1" t="str">
        <f>Comparison!A2</f>
        <v>2016 Budget - 40990 Corporate</v>
      </c>
    </row>
    <row r="3" spans="1:19">
      <c r="A3" s="1" t="s">
        <v>148</v>
      </c>
    </row>
    <row r="4" spans="1:19">
      <c r="A4" s="1" t="s">
        <v>62</v>
      </c>
    </row>
    <row r="5" spans="1:19">
      <c r="A5" s="107"/>
      <c r="B5" s="107"/>
      <c r="C5" s="107"/>
      <c r="D5" s="107"/>
      <c r="E5" s="107"/>
      <c r="F5" s="107"/>
      <c r="G5" s="107"/>
      <c r="H5" s="107"/>
      <c r="I5" s="107"/>
      <c r="J5" s="107"/>
      <c r="K5" s="107"/>
      <c r="L5" s="107"/>
      <c r="M5" s="107"/>
      <c r="N5" s="107"/>
      <c r="O5" s="107"/>
    </row>
    <row r="7" spans="1:19">
      <c r="A7" s="14" t="s">
        <v>107</v>
      </c>
      <c r="B7" s="53" t="s">
        <v>108</v>
      </c>
      <c r="C7" s="53" t="s">
        <v>109</v>
      </c>
      <c r="D7" s="53" t="s">
        <v>110</v>
      </c>
      <c r="E7" s="53" t="s">
        <v>111</v>
      </c>
      <c r="F7" s="53" t="s">
        <v>112</v>
      </c>
      <c r="G7" s="53" t="s">
        <v>27</v>
      </c>
      <c r="H7" s="53" t="s">
        <v>113</v>
      </c>
      <c r="I7" s="53" t="s">
        <v>114</v>
      </c>
      <c r="J7" s="53" t="s">
        <v>115</v>
      </c>
      <c r="K7" s="53" t="s">
        <v>116</v>
      </c>
      <c r="L7" s="53" t="s">
        <v>117</v>
      </c>
      <c r="M7" s="53" t="s">
        <v>118</v>
      </c>
      <c r="N7" s="53" t="s">
        <v>119</v>
      </c>
      <c r="O7" s="53" t="s">
        <v>20</v>
      </c>
    </row>
    <row r="8" spans="1:19">
      <c r="A8" s="54">
        <v>2016</v>
      </c>
    </row>
    <row r="9" spans="1:19">
      <c r="A9" s="2" t="s">
        <v>105</v>
      </c>
      <c r="B9" s="2" t="s">
        <v>106</v>
      </c>
      <c r="C9" s="159">
        <v>6583.86</v>
      </c>
      <c r="D9" s="159">
        <v>6583.86</v>
      </c>
      <c r="E9" s="159">
        <v>6583.86</v>
      </c>
      <c r="F9" s="159">
        <v>6583.86</v>
      </c>
      <c r="G9" s="159">
        <v>6583.86</v>
      </c>
      <c r="H9" s="159">
        <v>6583.86</v>
      </c>
      <c r="I9" s="159">
        <v>6655.24</v>
      </c>
      <c r="J9" s="159">
        <v>6583.86</v>
      </c>
      <c r="K9" s="159">
        <v>6583.86</v>
      </c>
      <c r="L9" s="159">
        <v>6583.86</v>
      </c>
      <c r="M9" s="159">
        <v>7626.67</v>
      </c>
      <c r="N9" s="159">
        <v>7626.67</v>
      </c>
      <c r="O9" s="51">
        <f>SUM(C9:N9)</f>
        <v>81163.319999999992</v>
      </c>
      <c r="P9" s="11"/>
      <c r="R9" s="2" t="s">
        <v>714</v>
      </c>
      <c r="S9" s="418">
        <v>4634066</v>
      </c>
    </row>
    <row r="10" spans="1:19">
      <c r="C10" s="159"/>
      <c r="D10" s="159"/>
      <c r="E10" s="159"/>
      <c r="F10" s="159"/>
      <c r="G10" s="159"/>
      <c r="H10" s="159"/>
      <c r="I10" s="159"/>
      <c r="J10" s="159"/>
      <c r="K10" s="159"/>
      <c r="L10" s="159"/>
      <c r="M10" s="159"/>
      <c r="N10" s="159"/>
      <c r="O10" s="51"/>
      <c r="R10" s="2" t="s">
        <v>715</v>
      </c>
      <c r="S10" s="418">
        <v>4865800</v>
      </c>
    </row>
    <row r="11" spans="1:19">
      <c r="A11" s="54">
        <f>A8+1</f>
        <v>2017</v>
      </c>
      <c r="C11" s="159"/>
      <c r="D11" s="159"/>
      <c r="E11" s="159"/>
      <c r="F11" s="159"/>
      <c r="G11" s="159"/>
      <c r="H11" s="159"/>
      <c r="I11" s="159"/>
      <c r="J11" s="159"/>
      <c r="K11" s="159"/>
      <c r="L11" s="159"/>
      <c r="M11" s="159"/>
      <c r="N11" s="159"/>
      <c r="O11" s="51"/>
      <c r="R11" s="2" t="s">
        <v>716</v>
      </c>
      <c r="S11" s="418">
        <v>5011800</v>
      </c>
    </row>
    <row r="12" spans="1:19">
      <c r="A12" s="2" t="s">
        <v>105</v>
      </c>
      <c r="B12" s="2" t="s">
        <v>106</v>
      </c>
      <c r="C12" s="159">
        <v>7626.67</v>
      </c>
      <c r="D12" s="159">
        <v>7626.67</v>
      </c>
      <c r="E12" s="159">
        <v>7626.67</v>
      </c>
      <c r="F12" s="159">
        <v>7626.67</v>
      </c>
      <c r="G12" s="159">
        <v>7626.67</v>
      </c>
      <c r="H12" s="159">
        <v>7626.67</v>
      </c>
      <c r="I12" s="159">
        <v>7698.05</v>
      </c>
      <c r="J12" s="159">
        <v>7626.67</v>
      </c>
      <c r="K12" s="159">
        <v>7626.67</v>
      </c>
      <c r="L12" s="159">
        <v>7626.67</v>
      </c>
      <c r="M12" s="159">
        <v>7855.5</v>
      </c>
      <c r="N12" s="159">
        <v>7855.5</v>
      </c>
      <c r="O12" s="51">
        <f>SUM(C12:N12)</f>
        <v>92049.08</v>
      </c>
      <c r="R12" s="2" t="s">
        <v>717</v>
      </c>
      <c r="S12" s="418">
        <v>5162200</v>
      </c>
    </row>
    <row r="13" spans="1:19">
      <c r="C13" s="51"/>
      <c r="D13" s="51"/>
      <c r="E13" s="51"/>
      <c r="F13" s="51"/>
      <c r="G13" s="51"/>
      <c r="H13" s="51"/>
      <c r="I13" s="51"/>
      <c r="J13" s="51"/>
      <c r="K13" s="51"/>
      <c r="L13" s="51"/>
      <c r="M13" s="51"/>
      <c r="N13" s="51"/>
      <c r="O13" s="51"/>
      <c r="R13" s="2" t="s">
        <v>718</v>
      </c>
      <c r="S13" s="418">
        <v>5162200</v>
      </c>
    </row>
    <row r="14" spans="1:19">
      <c r="A14" s="54">
        <f>A11+1</f>
        <v>2018</v>
      </c>
      <c r="C14" s="51"/>
      <c r="D14" s="51"/>
      <c r="E14" s="51"/>
      <c r="F14" s="51"/>
      <c r="G14" s="51"/>
      <c r="H14" s="51"/>
      <c r="I14" s="51"/>
      <c r="J14" s="51"/>
      <c r="K14" s="51"/>
      <c r="L14" s="51"/>
      <c r="M14" s="51"/>
      <c r="N14" s="51"/>
      <c r="O14" s="51"/>
    </row>
    <row r="15" spans="1:19">
      <c r="A15" s="2" t="s">
        <v>105</v>
      </c>
      <c r="B15" s="2" t="s">
        <v>106</v>
      </c>
      <c r="C15" s="159">
        <v>7855.5</v>
      </c>
      <c r="D15" s="159">
        <v>7855.5</v>
      </c>
      <c r="E15" s="159">
        <v>7855.5</v>
      </c>
      <c r="F15" s="159">
        <v>7855.5</v>
      </c>
      <c r="G15" s="159">
        <v>7855.5</v>
      </c>
      <c r="H15" s="159">
        <v>7855.5</v>
      </c>
      <c r="I15" s="159">
        <v>7958.6</v>
      </c>
      <c r="J15" s="159">
        <v>7855.5</v>
      </c>
      <c r="K15" s="159">
        <v>7855.5</v>
      </c>
      <c r="L15" s="159">
        <v>7855.5</v>
      </c>
      <c r="M15" s="159">
        <v>7855.5</v>
      </c>
      <c r="N15" s="159">
        <v>7855.5</v>
      </c>
      <c r="O15" s="51">
        <f>SUM(C15:N15)</f>
        <v>94369.1</v>
      </c>
    </row>
    <row r="16" spans="1:19">
      <c r="C16" s="51"/>
      <c r="D16" s="51"/>
      <c r="E16" s="51"/>
      <c r="F16" s="51"/>
      <c r="G16" s="51"/>
      <c r="H16" s="51"/>
      <c r="I16" s="51"/>
      <c r="J16" s="51"/>
      <c r="K16" s="51"/>
      <c r="L16" s="51"/>
      <c r="M16" s="51"/>
      <c r="N16" s="51"/>
      <c r="O16" s="51"/>
    </row>
    <row r="17" spans="1:15">
      <c r="A17" s="54">
        <f>A14+1</f>
        <v>2019</v>
      </c>
      <c r="C17" s="51"/>
      <c r="D17" s="51"/>
      <c r="E17" s="51"/>
      <c r="F17" s="51"/>
      <c r="G17" s="51"/>
      <c r="H17" s="51"/>
      <c r="I17" s="51"/>
      <c r="J17" s="51"/>
      <c r="K17" s="51"/>
      <c r="L17" s="51"/>
      <c r="M17" s="51"/>
      <c r="N17" s="51"/>
      <c r="O17" s="51"/>
    </row>
    <row r="18" spans="1:15">
      <c r="A18" s="2" t="s">
        <v>105</v>
      </c>
      <c r="B18" s="2" t="s">
        <v>106</v>
      </c>
      <c r="C18" s="159">
        <v>7855.5</v>
      </c>
      <c r="D18" s="159">
        <v>7855.5</v>
      </c>
      <c r="E18" s="159">
        <v>7855.5</v>
      </c>
      <c r="F18" s="159">
        <v>7855.5</v>
      </c>
      <c r="G18" s="159">
        <v>7855.5</v>
      </c>
      <c r="H18" s="159">
        <v>7855.5</v>
      </c>
      <c r="I18" s="159">
        <v>7931.64</v>
      </c>
      <c r="J18" s="159">
        <v>7855.5</v>
      </c>
      <c r="K18" s="159">
        <v>7855.5</v>
      </c>
      <c r="L18" s="159">
        <v>7855.5</v>
      </c>
      <c r="M18" s="159">
        <v>7855.5</v>
      </c>
      <c r="N18" s="159">
        <v>7855.5</v>
      </c>
      <c r="O18" s="51">
        <f>SUM(C18:N18)</f>
        <v>94342.14</v>
      </c>
    </row>
    <row r="19" spans="1:15">
      <c r="C19" s="51"/>
      <c r="D19" s="51"/>
      <c r="E19" s="51"/>
      <c r="F19" s="51"/>
      <c r="G19" s="51"/>
      <c r="H19" s="51"/>
      <c r="I19" s="51"/>
      <c r="J19" s="51"/>
      <c r="K19" s="51"/>
      <c r="L19" s="51"/>
      <c r="M19" s="51"/>
      <c r="N19" s="51"/>
      <c r="O19" s="51"/>
    </row>
    <row r="20" spans="1:15">
      <c r="A20" s="54">
        <f>A17+1</f>
        <v>2020</v>
      </c>
      <c r="C20" s="51"/>
      <c r="D20" s="51"/>
      <c r="E20" s="51"/>
      <c r="F20" s="51"/>
      <c r="G20" s="51"/>
      <c r="H20" s="51"/>
      <c r="I20" s="51"/>
      <c r="J20" s="51"/>
      <c r="K20" s="51"/>
      <c r="L20" s="51"/>
      <c r="M20" s="51"/>
      <c r="N20" s="51"/>
      <c r="O20" s="51"/>
    </row>
    <row r="21" spans="1:15">
      <c r="A21" s="2" t="s">
        <v>105</v>
      </c>
      <c r="B21" s="2" t="s">
        <v>106</v>
      </c>
      <c r="C21" s="159">
        <v>7855.5</v>
      </c>
      <c r="D21" s="159">
        <v>7855.5</v>
      </c>
      <c r="E21" s="159">
        <v>7855.5</v>
      </c>
      <c r="F21" s="159">
        <v>7855.5</v>
      </c>
      <c r="G21" s="159">
        <v>7855.5</v>
      </c>
      <c r="H21" s="159">
        <v>7855.5</v>
      </c>
      <c r="I21" s="159">
        <v>7931.64</v>
      </c>
      <c r="J21" s="159">
        <v>7855.5</v>
      </c>
      <c r="K21" s="159">
        <v>7855.5</v>
      </c>
      <c r="L21" s="159">
        <v>7855.5</v>
      </c>
      <c r="M21" s="159">
        <v>7855.5</v>
      </c>
      <c r="N21" s="159">
        <v>7855.5</v>
      </c>
      <c r="O21" s="51">
        <f>SUM(C21:N21)</f>
        <v>94342.14</v>
      </c>
    </row>
    <row r="22" spans="1:15">
      <c r="C22" s="26"/>
      <c r="D22" s="26"/>
      <c r="E22" s="26"/>
      <c r="F22" s="26"/>
      <c r="G22" s="26"/>
      <c r="H22" s="26"/>
      <c r="I22" s="26"/>
      <c r="J22" s="26"/>
      <c r="K22" s="26"/>
      <c r="L22" s="26"/>
      <c r="M22" s="26"/>
      <c r="N22" s="26"/>
      <c r="O22" s="185"/>
    </row>
    <row r="23" spans="1:15">
      <c r="C23" s="26"/>
      <c r="D23" s="26"/>
      <c r="E23" s="26"/>
      <c r="F23" s="26"/>
      <c r="G23" s="26"/>
      <c r="H23" s="26"/>
      <c r="I23" s="26"/>
      <c r="J23" s="26"/>
      <c r="K23" s="26"/>
      <c r="L23" s="26"/>
      <c r="M23" s="26"/>
      <c r="N23" s="26"/>
      <c r="O23" s="185"/>
    </row>
    <row r="24" spans="1:15">
      <c r="A24" s="4" t="s">
        <v>861</v>
      </c>
    </row>
    <row r="25" spans="1:15">
      <c r="A25" s="4" t="s">
        <v>862</v>
      </c>
    </row>
    <row r="26" spans="1:15">
      <c r="A26" s="4" t="s">
        <v>863</v>
      </c>
    </row>
    <row r="28" spans="1:15">
      <c r="A28" s="52" t="s">
        <v>172</v>
      </c>
    </row>
    <row r="29" spans="1:15">
      <c r="A29" s="2" t="s">
        <v>207</v>
      </c>
    </row>
    <row r="30" spans="1:15">
      <c r="A30" s="2" t="s">
        <v>208</v>
      </c>
    </row>
    <row r="31" spans="1:15">
      <c r="A31" s="11" t="s">
        <v>383</v>
      </c>
    </row>
  </sheetData>
  <pageMargins left="0.28999999999999998" right="0.25" top="0.5" bottom="0.5" header="0.5" footer="0.5"/>
  <pageSetup scale="8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workbookViewId="0"/>
  </sheetViews>
  <sheetFormatPr defaultRowHeight="12.75"/>
  <cols>
    <col min="1" max="1" width="13.7109375" customWidth="1"/>
    <col min="2" max="2" width="10.28515625" bestFit="1" customWidth="1"/>
  </cols>
  <sheetData>
    <row r="1" spans="1:6" ht="15.75">
      <c r="A1" s="528" t="s">
        <v>842</v>
      </c>
    </row>
    <row r="2" spans="1:6">
      <c r="A2" s="529" t="s">
        <v>843</v>
      </c>
    </row>
    <row r="6" spans="1:6">
      <c r="B6" s="527">
        <v>2016</v>
      </c>
      <c r="C6" s="527">
        <v>2017</v>
      </c>
      <c r="D6" s="527">
        <v>2018</v>
      </c>
      <c r="E6" s="527">
        <v>2019</v>
      </c>
      <c r="F6" s="527">
        <v>2020</v>
      </c>
    </row>
    <row r="7" spans="1:6" ht="15">
      <c r="A7" s="477" t="s">
        <v>23</v>
      </c>
      <c r="B7" s="526">
        <v>0</v>
      </c>
      <c r="C7" s="526">
        <v>0</v>
      </c>
      <c r="D7" s="526">
        <v>0</v>
      </c>
      <c r="E7" s="526">
        <v>0</v>
      </c>
      <c r="F7" s="526">
        <v>0</v>
      </c>
    </row>
    <row r="8" spans="1:6" ht="15">
      <c r="A8" s="477" t="s">
        <v>24</v>
      </c>
      <c r="B8" s="526">
        <v>0</v>
      </c>
      <c r="C8" s="526">
        <v>0</v>
      </c>
      <c r="D8" s="526">
        <v>0</v>
      </c>
      <c r="E8" s="526">
        <v>0</v>
      </c>
      <c r="F8" s="526">
        <v>0</v>
      </c>
    </row>
    <row r="9" spans="1:6" ht="15">
      <c r="A9" s="477" t="s">
        <v>25</v>
      </c>
      <c r="B9" s="526">
        <v>0</v>
      </c>
      <c r="C9" s="526">
        <v>0</v>
      </c>
      <c r="D9" s="526">
        <v>0</v>
      </c>
      <c r="E9" s="526">
        <v>0</v>
      </c>
      <c r="F9" s="526">
        <v>0</v>
      </c>
    </row>
    <row r="10" spans="1:6" ht="15">
      <c r="A10" s="477" t="s">
        <v>26</v>
      </c>
      <c r="B10" s="526">
        <v>0</v>
      </c>
      <c r="C10" s="526">
        <v>0</v>
      </c>
      <c r="D10" s="526">
        <v>0</v>
      </c>
      <c r="E10" s="526">
        <v>0</v>
      </c>
      <c r="F10" s="526">
        <v>0</v>
      </c>
    </row>
    <row r="11" spans="1:6" ht="15">
      <c r="A11" s="477" t="s">
        <v>27</v>
      </c>
      <c r="B11" s="526">
        <v>0</v>
      </c>
      <c r="C11" s="526">
        <v>0</v>
      </c>
      <c r="D11" s="526">
        <v>0</v>
      </c>
      <c r="E11" s="526">
        <v>0</v>
      </c>
      <c r="F11" s="526">
        <v>0</v>
      </c>
    </row>
    <row r="12" spans="1:6" ht="15">
      <c r="A12" s="477" t="s">
        <v>28</v>
      </c>
      <c r="B12" s="526">
        <v>0</v>
      </c>
      <c r="C12" s="526">
        <v>0</v>
      </c>
      <c r="D12" s="526">
        <v>0</v>
      </c>
      <c r="E12" s="526">
        <v>0</v>
      </c>
      <c r="F12" s="526">
        <v>0</v>
      </c>
    </row>
    <row r="13" spans="1:6" ht="15">
      <c r="A13" s="477" t="s">
        <v>29</v>
      </c>
      <c r="B13" s="526">
        <v>1750000</v>
      </c>
      <c r="C13" s="526">
        <v>0</v>
      </c>
      <c r="D13" s="526">
        <v>0</v>
      </c>
      <c r="E13" s="526">
        <v>0</v>
      </c>
      <c r="F13" s="526">
        <v>0</v>
      </c>
    </row>
    <row r="14" spans="1:6" ht="15">
      <c r="A14" s="477" t="s">
        <v>30</v>
      </c>
      <c r="B14" s="526">
        <v>250000</v>
      </c>
      <c r="C14" s="526">
        <v>0</v>
      </c>
      <c r="D14" s="526">
        <v>0</v>
      </c>
      <c r="E14" s="526">
        <v>0</v>
      </c>
      <c r="F14" s="526">
        <v>0</v>
      </c>
    </row>
    <row r="15" spans="1:6" ht="15">
      <c r="A15" s="477" t="s">
        <v>31</v>
      </c>
      <c r="B15" s="526">
        <v>250000</v>
      </c>
      <c r="C15" s="526">
        <v>0</v>
      </c>
      <c r="D15" s="526">
        <v>0</v>
      </c>
      <c r="E15" s="526">
        <v>0</v>
      </c>
      <c r="F15" s="526">
        <v>0</v>
      </c>
    </row>
    <row r="16" spans="1:6" ht="15">
      <c r="A16" s="480" t="s">
        <v>32</v>
      </c>
      <c r="B16" s="526">
        <v>250000</v>
      </c>
      <c r="C16" s="526">
        <v>0</v>
      </c>
      <c r="D16" s="526">
        <v>0</v>
      </c>
      <c r="E16" s="526">
        <v>0</v>
      </c>
      <c r="F16" s="526">
        <v>0</v>
      </c>
    </row>
    <row r="17" spans="1:6" ht="15">
      <c r="A17" s="477" t="s">
        <v>33</v>
      </c>
      <c r="B17" s="526">
        <v>250000</v>
      </c>
      <c r="C17" s="526">
        <v>0</v>
      </c>
      <c r="D17" s="526">
        <v>0</v>
      </c>
      <c r="E17" s="526">
        <v>0</v>
      </c>
      <c r="F17" s="526">
        <v>0</v>
      </c>
    </row>
    <row r="18" spans="1:6" ht="15">
      <c r="A18" s="477" t="s">
        <v>22</v>
      </c>
      <c r="B18" s="526">
        <v>250000</v>
      </c>
      <c r="C18" s="526">
        <v>0</v>
      </c>
      <c r="D18" s="526">
        <v>0</v>
      </c>
      <c r="E18" s="526">
        <v>0</v>
      </c>
      <c r="F18" s="526">
        <v>0</v>
      </c>
    </row>
    <row r="19" spans="1:6" ht="15">
      <c r="A19" s="477" t="s">
        <v>20</v>
      </c>
      <c r="B19" s="526">
        <f>SUM(B7:B18)</f>
        <v>3000000</v>
      </c>
      <c r="C19" s="526">
        <f>SUM(C7:C18)</f>
        <v>0</v>
      </c>
      <c r="D19" s="526">
        <f>SUM(D7:D18)</f>
        <v>0</v>
      </c>
      <c r="E19" s="526">
        <f>SUM(E7:E18)</f>
        <v>0</v>
      </c>
      <c r="F19" s="526">
        <f>SUM(F7:F18)</f>
        <v>0</v>
      </c>
    </row>
    <row r="34" spans="3:7">
      <c r="C34" s="425" t="s">
        <v>151</v>
      </c>
      <c r="D34" s="425" t="s">
        <v>152</v>
      </c>
      <c r="E34" s="422" t="s">
        <v>845</v>
      </c>
      <c r="F34" s="425" t="s">
        <v>847</v>
      </c>
      <c r="G34" s="425" t="s">
        <v>146</v>
      </c>
    </row>
    <row r="35" spans="3:7">
      <c r="C35">
        <v>40990</v>
      </c>
      <c r="D35" s="425" t="s">
        <v>844</v>
      </c>
      <c r="E35" s="422" t="s">
        <v>846</v>
      </c>
      <c r="F35" s="425" t="s">
        <v>848</v>
      </c>
      <c r="G35">
        <v>93020000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pageSetUpPr fitToPage="1"/>
  </sheetPr>
  <dimension ref="A1:R269"/>
  <sheetViews>
    <sheetView zoomScale="90" zoomScaleNormal="90" zoomScaleSheetLayoutView="65" workbookViewId="0">
      <pane xSplit="1" ySplit="6" topLeftCell="B64" activePane="bottomRight" state="frozen"/>
      <selection activeCell="C9" sqref="C9"/>
      <selection pane="topRight" activeCell="C9" sqref="C9"/>
      <selection pane="bottomLeft" activeCell="C9" sqref="C9"/>
      <selection pane="bottomRight" activeCell="L89" sqref="L89"/>
    </sheetView>
  </sheetViews>
  <sheetFormatPr defaultRowHeight="15"/>
  <cols>
    <col min="1" max="1" width="38.5703125" style="40" customWidth="1"/>
    <col min="2" max="2" width="13" style="11" customWidth="1"/>
    <col min="3" max="4" width="13.28515625" style="33" customWidth="1"/>
    <col min="5" max="5" width="11.42578125" style="33" customWidth="1"/>
    <col min="6" max="6" width="12.28515625" style="11" bestFit="1" customWidth="1"/>
    <col min="7" max="7" width="12.85546875" style="11" customWidth="1"/>
    <col min="8" max="8" width="11.85546875" style="11" customWidth="1"/>
    <col min="9" max="9" width="12" style="11" customWidth="1"/>
    <col min="10" max="10" width="12.42578125" style="11" customWidth="1"/>
    <col min="11" max="11" width="8.28515625" style="11" customWidth="1"/>
    <col min="12" max="16384" width="9.140625" style="11"/>
  </cols>
  <sheetData>
    <row r="1" spans="1:18" s="4" customFormat="1">
      <c r="A1" s="6" t="s">
        <v>0</v>
      </c>
      <c r="B1" s="11"/>
      <c r="C1" s="33"/>
      <c r="D1" s="33"/>
      <c r="E1" s="33"/>
      <c r="F1" s="11"/>
      <c r="G1" s="11"/>
      <c r="H1" s="11"/>
      <c r="I1" s="11"/>
      <c r="J1" s="11"/>
    </row>
    <row r="2" spans="1:18" s="4" customFormat="1">
      <c r="A2" s="6" t="s">
        <v>724</v>
      </c>
      <c r="B2" s="265"/>
      <c r="C2" s="264"/>
      <c r="D2" s="33"/>
      <c r="E2" s="33"/>
      <c r="F2" s="11"/>
      <c r="G2" s="11"/>
      <c r="H2" s="11"/>
      <c r="I2" s="11"/>
      <c r="J2" s="11"/>
    </row>
    <row r="3" spans="1:18" s="4" customFormat="1">
      <c r="A3" s="6" t="s">
        <v>165</v>
      </c>
      <c r="B3" s="11"/>
      <c r="C3" s="33"/>
      <c r="D3" s="33"/>
      <c r="E3" s="33"/>
      <c r="F3" s="11"/>
      <c r="G3" s="11"/>
      <c r="H3" s="11"/>
      <c r="I3" s="11"/>
      <c r="J3" s="11"/>
    </row>
    <row r="4" spans="1:18" s="4" customFormat="1">
      <c r="A4" s="123" t="s">
        <v>526</v>
      </c>
      <c r="B4" s="11"/>
      <c r="C4" s="267"/>
      <c r="D4" s="267"/>
      <c r="E4" s="267"/>
      <c r="F4" s="11"/>
      <c r="G4" s="11"/>
      <c r="H4" s="11"/>
      <c r="I4" s="11"/>
      <c r="J4" s="11"/>
    </row>
    <row r="5" spans="1:18" s="4" customFormat="1">
      <c r="A5" s="124"/>
      <c r="B5" s="379">
        <v>2014</v>
      </c>
      <c r="C5" s="275" t="s">
        <v>725</v>
      </c>
      <c r="D5" s="275" t="str">
        <f>C5</f>
        <v>July YTD 2015</v>
      </c>
      <c r="E5" s="359"/>
      <c r="F5" s="118" t="s">
        <v>726</v>
      </c>
      <c r="G5" s="118" t="str">
        <f>F5</f>
        <v>2016 Budget</v>
      </c>
      <c r="H5" s="118" t="str">
        <f>F5</f>
        <v>2016 Budget</v>
      </c>
      <c r="I5" s="118" t="str">
        <f>F5</f>
        <v>2016 Budget</v>
      </c>
      <c r="J5" s="119" t="str">
        <f>F5</f>
        <v>2016 Budget</v>
      </c>
      <c r="L5" s="390" t="s">
        <v>552</v>
      </c>
      <c r="M5" s="390"/>
      <c r="N5" s="390"/>
      <c r="O5" s="390"/>
      <c r="P5" s="390"/>
      <c r="Q5" s="390"/>
      <c r="R5" s="390"/>
    </row>
    <row r="6" spans="1:18" s="4" customFormat="1">
      <c r="A6" s="120" t="s">
        <v>1</v>
      </c>
      <c r="B6" s="377" t="s">
        <v>38</v>
      </c>
      <c r="C6" s="355" t="s">
        <v>38</v>
      </c>
      <c r="D6" s="355" t="s">
        <v>2</v>
      </c>
      <c r="E6" s="360" t="s">
        <v>49</v>
      </c>
      <c r="F6" s="321">
        <v>2016</v>
      </c>
      <c r="G6" s="321">
        <f>F6+1</f>
        <v>2017</v>
      </c>
      <c r="H6" s="321">
        <f>G6+1</f>
        <v>2018</v>
      </c>
      <c r="I6" s="321">
        <f>H6+1</f>
        <v>2019</v>
      </c>
      <c r="J6" s="352">
        <f>I6+1</f>
        <v>2020</v>
      </c>
    </row>
    <row r="7" spans="1:18">
      <c r="A7" s="132"/>
      <c r="B7" s="375"/>
      <c r="C7" s="280"/>
      <c r="D7" s="280"/>
      <c r="E7" s="361"/>
      <c r="F7" s="322"/>
      <c r="G7" s="322"/>
      <c r="H7" s="322"/>
      <c r="I7" s="322"/>
      <c r="J7" s="134"/>
    </row>
    <row r="8" spans="1:18">
      <c r="A8" s="392" t="s">
        <v>377</v>
      </c>
      <c r="B8" s="373"/>
      <c r="C8" s="280"/>
      <c r="D8" s="280"/>
      <c r="E8" s="361"/>
      <c r="F8" s="33"/>
      <c r="G8" s="33"/>
      <c r="H8" s="33"/>
      <c r="I8" s="33"/>
      <c r="J8" s="34"/>
    </row>
    <row r="9" spans="1:18" s="33" customFormat="1">
      <c r="A9" s="391" t="s">
        <v>69</v>
      </c>
      <c r="B9" s="382">
        <f>SUMIF(Actuals!A:A,"90400000",Actuals!C:C)</f>
        <v>4303740.6900000004</v>
      </c>
      <c r="C9" s="242">
        <f>SUMIF(Actuals!A:A,"90400000",Actuals!D:D)</f>
        <v>1168577.07</v>
      </c>
      <c r="D9" s="242">
        <f>SUMIF(Actuals!A:A,"90400000",Actuals!E:E)</f>
        <v>1343205</v>
      </c>
      <c r="E9" s="362">
        <f>C9-D9</f>
        <v>-174627.92999999993</v>
      </c>
      <c r="F9" s="140">
        <f>Uncollectibles!B20</f>
        <v>3891539.919958456</v>
      </c>
      <c r="G9" s="140">
        <f>Uncollectibles!C20</f>
        <v>3994413.956872128</v>
      </c>
      <c r="H9" s="140">
        <f>Uncollectibles!D20</f>
        <v>4038910.7688137162</v>
      </c>
      <c r="I9" s="140">
        <f>Uncollectibles!E20</f>
        <v>4086815.1662378712</v>
      </c>
      <c r="J9" s="141">
        <f>Uncollectibles!F20</f>
        <v>4149592.6178543377</v>
      </c>
      <c r="K9" s="223"/>
    </row>
    <row r="10" spans="1:18" s="33" customFormat="1">
      <c r="A10" s="133"/>
      <c r="B10" s="382"/>
      <c r="C10" s="242"/>
      <c r="D10" s="242"/>
      <c r="E10" s="362"/>
      <c r="F10" s="140"/>
      <c r="G10" s="140"/>
      <c r="H10" s="140"/>
      <c r="I10" s="140"/>
      <c r="J10" s="141"/>
      <c r="K10" s="223"/>
    </row>
    <row r="11" spans="1:18" s="33" customFormat="1">
      <c r="A11" s="47" t="s">
        <v>4</v>
      </c>
      <c r="B11" s="382"/>
      <c r="C11" s="242"/>
      <c r="D11" s="242"/>
      <c r="E11" s="362"/>
      <c r="F11" s="140"/>
      <c r="G11" s="140"/>
      <c r="H11" s="140"/>
      <c r="I11" s="140"/>
      <c r="J11" s="141"/>
      <c r="K11" s="223"/>
    </row>
    <row r="12" spans="1:18" s="33" customFormat="1">
      <c r="A12" s="227" t="s">
        <v>57</v>
      </c>
      <c r="B12" s="382">
        <f>SUMIF(Actuals!A:A,"92200200",Actuals!C:C)</f>
        <v>-321650.58</v>
      </c>
      <c r="C12" s="242">
        <f>SUMIF(Actuals!A:A,"92200200",Actuals!D:D)</f>
        <v>-214738.23</v>
      </c>
      <c r="D12" s="242">
        <f>SUMIF(Actuals!A:A,"92200200",Actuals!E:E)</f>
        <v>-183981</v>
      </c>
      <c r="E12" s="362">
        <f>C12-D12</f>
        <v>-30757.23000000001</v>
      </c>
      <c r="F12" s="140">
        <f>'Admin Exp Trans'!C17</f>
        <v>-385178</v>
      </c>
      <c r="G12" s="140">
        <f>'Admin Exp Trans'!D17</f>
        <v>-396758</v>
      </c>
      <c r="H12" s="140">
        <f>'Admin Exp Trans'!E17</f>
        <v>-408683</v>
      </c>
      <c r="I12" s="140">
        <f>'Admin Exp Trans'!F17</f>
        <v>-420947</v>
      </c>
      <c r="J12" s="141">
        <f>'Admin Exp Trans'!G17</f>
        <v>-433568</v>
      </c>
      <c r="K12" s="223"/>
    </row>
    <row r="13" spans="1:18" s="33" customFormat="1">
      <c r="A13" s="45"/>
      <c r="B13" s="382"/>
      <c r="C13" s="242"/>
      <c r="D13" s="242"/>
      <c r="E13" s="362"/>
      <c r="F13" s="140"/>
      <c r="G13" s="140"/>
      <c r="H13" s="140"/>
      <c r="I13" s="140"/>
      <c r="J13" s="141"/>
      <c r="K13" s="223"/>
    </row>
    <row r="14" spans="1:18" s="33" customFormat="1">
      <c r="A14" s="47" t="s">
        <v>41</v>
      </c>
      <c r="B14" s="382"/>
      <c r="C14" s="242"/>
      <c r="D14" s="242"/>
      <c r="E14" s="362"/>
      <c r="F14" s="140"/>
      <c r="G14" s="140"/>
      <c r="H14" s="140"/>
      <c r="I14" s="140"/>
      <c r="J14" s="141"/>
      <c r="K14" s="223"/>
    </row>
    <row r="15" spans="1:18" s="33" customFormat="1">
      <c r="A15" s="45" t="s">
        <v>80</v>
      </c>
      <c r="B15" s="382">
        <f>SUMIF(Actuals!A:A,"92400020",Actuals!C:C)</f>
        <v>3500000</v>
      </c>
      <c r="C15" s="242">
        <f>SUMIF(Actuals!A:A,"92400020",Actuals!D:D)</f>
        <v>2041669</v>
      </c>
      <c r="D15" s="242">
        <f>SUMIF(Actuals!A:A,"92400020",Actuals!E:E)</f>
        <v>2041669</v>
      </c>
      <c r="E15" s="362">
        <f>C15-D15</f>
        <v>0</v>
      </c>
      <c r="F15" s="140">
        <f>'Prop Dam Res'!B9</f>
        <v>3500000</v>
      </c>
      <c r="G15" s="140">
        <f>'Prop Dam Res'!C9</f>
        <v>3500000</v>
      </c>
      <c r="H15" s="140">
        <f>'Prop Dam Res'!D9</f>
        <v>3500000</v>
      </c>
      <c r="I15" s="140">
        <f>'Prop Dam Res'!E9</f>
        <v>3500000</v>
      </c>
      <c r="J15" s="141">
        <f>'Prop Dam Res'!F9</f>
        <v>3500000</v>
      </c>
      <c r="K15" s="223"/>
    </row>
    <row r="16" spans="1:18" s="33" customFormat="1">
      <c r="A16" s="45"/>
      <c r="B16" s="382"/>
      <c r="C16" s="242"/>
      <c r="D16" s="242"/>
      <c r="E16" s="362"/>
      <c r="F16" s="140"/>
      <c r="G16" s="140"/>
      <c r="H16" s="140"/>
      <c r="I16" s="140"/>
      <c r="J16" s="141"/>
      <c r="K16" s="223"/>
    </row>
    <row r="17" spans="1:11" s="33" customFormat="1">
      <c r="A17" s="47" t="s">
        <v>40</v>
      </c>
      <c r="B17" s="382"/>
      <c r="C17" s="242"/>
      <c r="D17" s="242"/>
      <c r="E17" s="362"/>
      <c r="F17" s="140"/>
      <c r="G17" s="140"/>
      <c r="H17" s="140"/>
      <c r="I17" s="140"/>
      <c r="J17" s="141"/>
      <c r="K17" s="223"/>
    </row>
    <row r="18" spans="1:11" s="33" customFormat="1">
      <c r="A18" s="45" t="s">
        <v>81</v>
      </c>
      <c r="B18" s="382">
        <v>1600000</v>
      </c>
      <c r="C18" s="356">
        <f>1466666.67</f>
        <v>1466666.67</v>
      </c>
      <c r="D18" s="356">
        <f>1466663</f>
        <v>1466663</v>
      </c>
      <c r="E18" s="362">
        <f>C18-D18</f>
        <v>3.6699999999254942</v>
      </c>
      <c r="F18" s="140">
        <f>'I&amp;D Ins'!B9</f>
        <v>1600000</v>
      </c>
      <c r="G18" s="140">
        <f>'I&amp;D Ins'!C9</f>
        <v>1600000</v>
      </c>
      <c r="H18" s="140">
        <f>'I&amp;D Ins'!D9</f>
        <v>1600000</v>
      </c>
      <c r="I18" s="140">
        <f>'I&amp;D Ins'!E9</f>
        <v>1600000</v>
      </c>
      <c r="J18" s="141">
        <f>'I&amp;D Ins'!F9</f>
        <v>1600000</v>
      </c>
      <c r="K18" s="223"/>
    </row>
    <row r="19" spans="1:11" s="33" customFormat="1">
      <c r="A19" s="45"/>
      <c r="B19" s="382"/>
      <c r="C19" s="242"/>
      <c r="D19" s="242"/>
      <c r="E19" s="362"/>
      <c r="F19" s="140"/>
      <c r="G19" s="140"/>
      <c r="H19" s="140"/>
      <c r="I19" s="140"/>
      <c r="J19" s="141"/>
      <c r="K19" s="223"/>
    </row>
    <row r="20" spans="1:11">
      <c r="A20" s="47" t="s">
        <v>42</v>
      </c>
      <c r="B20" s="382"/>
      <c r="C20" s="242"/>
      <c r="D20" s="242"/>
      <c r="E20" s="362"/>
      <c r="F20" s="140"/>
      <c r="G20" s="140"/>
      <c r="H20" s="140"/>
      <c r="I20" s="140"/>
      <c r="J20" s="141"/>
      <c r="K20" s="223"/>
    </row>
    <row r="21" spans="1:11">
      <c r="A21" s="45" t="s">
        <v>82</v>
      </c>
      <c r="B21" s="382">
        <f>SUMIF(Actuals!A:A,"92400010",Actuals!C:C)</f>
        <v>4221849.04</v>
      </c>
      <c r="C21" s="242">
        <f>SUMIF(Actuals!A:A,"92400010",Actuals!D:D)</f>
        <v>2390764.64</v>
      </c>
      <c r="D21" s="242">
        <f>SUMIF(Actuals!A:A,"92400010",Actuals!E:E)</f>
        <v>2870336</v>
      </c>
      <c r="E21" s="362">
        <f>C21-D21</f>
        <v>-479571.35999999987</v>
      </c>
      <c r="F21" s="140">
        <f>+'Corp Ins 924'!O11</f>
        <v>4169003.3199999994</v>
      </c>
      <c r="G21" s="140">
        <f>+'Corp Ins 924'!O16</f>
        <v>4708403.32</v>
      </c>
      <c r="H21" s="140">
        <f>+'Corp Ins 924'!O21</f>
        <v>4828085.9000000004</v>
      </c>
      <c r="I21" s="140">
        <f>+'Corp Ins 924'!O26</f>
        <v>4832764.8599999994</v>
      </c>
      <c r="J21" s="141">
        <f>+'Corp Ins 924'!O31</f>
        <v>4838764.8599999994</v>
      </c>
      <c r="K21" s="223"/>
    </row>
    <row r="22" spans="1:11">
      <c r="A22" s="45" t="s">
        <v>81</v>
      </c>
      <c r="B22" s="382">
        <f>SUMIF(Actuals!A:A,"92500010",Actuals!C:C)-B18</f>
        <v>1215075.0499999998</v>
      </c>
      <c r="C22" s="242">
        <f>SUMIF(Actuals!A:A,"92500010",Actuals!D:D)-C18</f>
        <v>165579.17000000016</v>
      </c>
      <c r="D22" s="293">
        <f>SUMIF(Actuals!A:A,"92500010",Actuals!E:E)-D18</f>
        <v>310489</v>
      </c>
      <c r="E22" s="362">
        <f>C22-D22</f>
        <v>-144909.82999999984</v>
      </c>
      <c r="F22" s="140">
        <f>'Corp Ins 925'!O11+'Travel Ins 925'!D7</f>
        <v>1325751.0899999999</v>
      </c>
      <c r="G22" s="140">
        <f>'Corp Ins 925'!O17+'Travel Ins 925'!E7</f>
        <v>1378320.6800000002</v>
      </c>
      <c r="H22" s="140">
        <f>'Corp Ins 925'!O23+'Travel Ins 925'!F7</f>
        <v>1424625.0299999998</v>
      </c>
      <c r="I22" s="140">
        <f>'Corp Ins 925'!O29+'Travel Ins 925'!G7</f>
        <v>1448191.3900000001</v>
      </c>
      <c r="J22" s="141">
        <f>'Corp Ins 925'!O35+'Travel Ins 925'!H7</f>
        <v>1461158.0800000003</v>
      </c>
      <c r="K22" s="223"/>
    </row>
    <row r="23" spans="1:11">
      <c r="A23" s="45" t="s">
        <v>5</v>
      </c>
      <c r="B23" s="381">
        <f>SUM(B21:B22)</f>
        <v>5436924.0899999999</v>
      </c>
      <c r="C23" s="279">
        <f>SUM(C21:C22)</f>
        <v>2556343.8100000005</v>
      </c>
      <c r="D23" s="293">
        <f>SUM(D21:D22)</f>
        <v>3180825</v>
      </c>
      <c r="E23" s="363">
        <f>C23-D23</f>
        <v>-624481.18999999948</v>
      </c>
      <c r="F23" s="31">
        <f>SUM(F21:F22)</f>
        <v>5494754.4099999992</v>
      </c>
      <c r="G23" s="31">
        <f>SUM(G21:G22)</f>
        <v>6086724</v>
      </c>
      <c r="H23" s="31">
        <f>SUM(H21:H22)</f>
        <v>6252710.9299999997</v>
      </c>
      <c r="I23" s="31">
        <f>SUM(I21:I22)</f>
        <v>6280956.25</v>
      </c>
      <c r="J23" s="32">
        <f>SUM(J21:J22)</f>
        <v>6299922.9399999995</v>
      </c>
    </row>
    <row r="24" spans="1:11">
      <c r="A24" s="45"/>
      <c r="B24" s="382"/>
      <c r="C24" s="242"/>
      <c r="D24" s="242"/>
      <c r="E24" s="362"/>
      <c r="F24" s="140"/>
      <c r="G24" s="140"/>
      <c r="H24" s="140"/>
      <c r="I24" s="140"/>
      <c r="J24" s="141"/>
    </row>
    <row r="25" spans="1:11">
      <c r="A25" s="47" t="s">
        <v>39</v>
      </c>
      <c r="B25" s="373"/>
      <c r="C25" s="280"/>
      <c r="D25" s="280"/>
      <c r="E25" s="361"/>
      <c r="F25" s="33"/>
      <c r="G25" s="33"/>
      <c r="H25" s="33"/>
      <c r="I25" s="33"/>
      <c r="J25" s="34"/>
    </row>
    <row r="26" spans="1:11" s="33" customFormat="1">
      <c r="A26" s="227" t="s">
        <v>58</v>
      </c>
      <c r="B26" s="382">
        <f>SUMIF(Actuals!A:A,"92800200",Actuals!C:C)</f>
        <v>331748</v>
      </c>
      <c r="C26" s="242">
        <f>SUMIF(Actuals!A:A,"92800200",Actuals!D:D)</f>
        <v>219387</v>
      </c>
      <c r="D26" s="242">
        <f>SUMIF(Actuals!A:A,"92800200",Actuals!E:E)</f>
        <v>219387</v>
      </c>
      <c r="E26" s="362">
        <f>C26-D26</f>
        <v>0</v>
      </c>
      <c r="F26" s="140">
        <f>'FERC Fee'!B20</f>
        <v>424098</v>
      </c>
      <c r="G26" s="140">
        <f>'FERC Fee'!C20</f>
        <v>450543</v>
      </c>
      <c r="H26" s="140">
        <f>'FERC Fee'!D20</f>
        <v>478632</v>
      </c>
      <c r="I26" s="140">
        <f>'FERC Fee'!E20</f>
        <v>508470</v>
      </c>
      <c r="J26" s="141">
        <f>'FERC Fee'!F20</f>
        <v>540177</v>
      </c>
      <c r="K26" s="223"/>
    </row>
    <row r="27" spans="1:11">
      <c r="A27" s="45"/>
      <c r="B27" s="382"/>
      <c r="C27" s="242"/>
      <c r="D27" s="242"/>
      <c r="E27" s="362"/>
      <c r="F27" s="140"/>
      <c r="G27" s="140"/>
      <c r="H27" s="140"/>
      <c r="I27" s="140"/>
      <c r="J27" s="141"/>
      <c r="K27" s="223"/>
    </row>
    <row r="28" spans="1:11">
      <c r="A28" s="392" t="s">
        <v>36</v>
      </c>
      <c r="B28" s="382"/>
      <c r="C28" s="242"/>
      <c r="D28" s="242"/>
      <c r="E28" s="362"/>
      <c r="F28" s="140"/>
      <c r="G28" s="140"/>
      <c r="H28" s="140"/>
      <c r="I28" s="140"/>
      <c r="J28" s="141"/>
      <c r="K28" s="223"/>
    </row>
    <row r="29" spans="1:11">
      <c r="A29" s="389" t="s">
        <v>214</v>
      </c>
      <c r="B29" s="382">
        <v>-449356.65</v>
      </c>
      <c r="C29" s="242">
        <v>-338711.86</v>
      </c>
      <c r="D29" s="242">
        <v>-195110.98</v>
      </c>
      <c r="E29" s="362">
        <f>C29-D29</f>
        <v>-143600.87999999998</v>
      </c>
      <c r="F29" s="140">
        <f>'Duplicate Chrgs'!F30</f>
        <v>-329443.55486159201</v>
      </c>
      <c r="G29" s="140">
        <f>'Duplicate Chrgs'!G30</f>
        <v>-373531.22970744001</v>
      </c>
      <c r="H29" s="140">
        <f>'Duplicate Chrgs'!H30</f>
        <v>-384738.95369866298</v>
      </c>
      <c r="I29" s="140">
        <f>'Duplicate Chrgs'!I30</f>
        <v>-396287.53820962296</v>
      </c>
      <c r="J29" s="141">
        <f>'Duplicate Chrgs'!J30</f>
        <v>-408163.94775591197</v>
      </c>
      <c r="K29" s="223"/>
    </row>
    <row r="30" spans="1:11">
      <c r="A30" s="389" t="s">
        <v>83</v>
      </c>
      <c r="B30" s="380">
        <v>-531944.86</v>
      </c>
      <c r="C30" s="293">
        <v>-295814.32</v>
      </c>
      <c r="D30" s="357">
        <v>-310667</v>
      </c>
      <c r="E30" s="362">
        <f>C30-D30</f>
        <v>14852.679999999993</v>
      </c>
      <c r="F30" s="28">
        <f>'Duplicate Chrgs'!F21</f>
        <v>-541421.00832000014</v>
      </c>
      <c r="G30" s="28">
        <f>'Duplicate Chrgs'!G21</f>
        <v>-561453.58562783978</v>
      </c>
      <c r="H30" s="28">
        <f>'Duplicate Chrgs'!H21</f>
        <v>-581665.9147104423</v>
      </c>
      <c r="I30" s="28">
        <f>'Duplicate Chrgs'!I21</f>
        <v>-599697.55806646578</v>
      </c>
      <c r="J30" s="192">
        <f>'Duplicate Chrgs'!J21</f>
        <v>-616489.08969232684</v>
      </c>
      <c r="K30" s="223"/>
    </row>
    <row r="31" spans="1:11">
      <c r="A31" s="45" t="s">
        <v>216</v>
      </c>
      <c r="B31" s="381">
        <f>SUM(B29:B30)</f>
        <v>-981301.51</v>
      </c>
      <c r="C31" s="279">
        <f>SUM(C29:C30)</f>
        <v>-634526.17999999993</v>
      </c>
      <c r="D31" s="293">
        <f>SUM(D29:D30)</f>
        <v>-505777.98</v>
      </c>
      <c r="E31" s="363">
        <f>C31-D31</f>
        <v>-128748.19999999995</v>
      </c>
      <c r="F31" s="31">
        <f>SUM(F29:F30)</f>
        <v>-870864.56318159215</v>
      </c>
      <c r="G31" s="31">
        <f>SUM(G29:G30)</f>
        <v>-934984.8153352798</v>
      </c>
      <c r="H31" s="31">
        <f>SUM(H29:H30)</f>
        <v>-966404.86840910534</v>
      </c>
      <c r="I31" s="31">
        <f>SUM(I29:I30)</f>
        <v>-995985.09627608873</v>
      </c>
      <c r="J31" s="32">
        <f>SUM(J29:J30)</f>
        <v>-1024653.0374482388</v>
      </c>
    </row>
    <row r="32" spans="1:11">
      <c r="A32" s="45"/>
      <c r="B32" s="382"/>
      <c r="C32" s="242"/>
      <c r="D32" s="242"/>
      <c r="E32" s="362"/>
      <c r="F32" s="140"/>
      <c r="G32" s="140"/>
      <c r="H32" s="140"/>
      <c r="I32" s="140"/>
      <c r="J32" s="141"/>
    </row>
    <row r="33" spans="1:11">
      <c r="A33" s="47" t="s">
        <v>34</v>
      </c>
      <c r="B33" s="382"/>
      <c r="C33" s="242"/>
      <c r="D33" s="242"/>
      <c r="E33" s="362"/>
      <c r="F33" s="140"/>
      <c r="G33" s="140"/>
      <c r="H33" s="140"/>
      <c r="I33" s="140"/>
      <c r="J33" s="141"/>
    </row>
    <row r="34" spans="1:11" s="33" customFormat="1">
      <c r="A34" s="227" t="s">
        <v>56</v>
      </c>
      <c r="B34" s="382">
        <f>SUMIF(Actuals!A:A,"93100004",Actuals!C:C)</f>
        <v>64574.78</v>
      </c>
      <c r="C34" s="242">
        <f>SUMIF(Actuals!A:A,"93100004",Actuals!D:D)</f>
        <v>13303.16</v>
      </c>
      <c r="D34" s="242">
        <f>SUMIF(Actuals!A:A,"93100004",Actuals!E:E)</f>
        <v>38227</v>
      </c>
      <c r="E34" s="362">
        <f>C34-D34</f>
        <v>-24923.84</v>
      </c>
      <c r="F34" s="140">
        <f>'Tower Lease'!F20</f>
        <v>23412</v>
      </c>
      <c r="G34" s="140">
        <f>'Tower Lease'!G20</f>
        <v>23412</v>
      </c>
      <c r="H34" s="140">
        <f>'Tower Lease'!H20</f>
        <v>23412</v>
      </c>
      <c r="I34" s="140">
        <f>'Tower Lease'!I20</f>
        <v>23412</v>
      </c>
      <c r="J34" s="141">
        <f>'Tower Lease'!J20</f>
        <v>23412</v>
      </c>
      <c r="K34" s="223"/>
    </row>
    <row r="35" spans="1:11">
      <c r="A35" s="45"/>
      <c r="B35" s="382"/>
      <c r="C35" s="242"/>
      <c r="D35" s="242"/>
      <c r="E35" s="362"/>
      <c r="F35" s="140"/>
      <c r="G35" s="140"/>
      <c r="H35" s="140"/>
      <c r="I35" s="140"/>
      <c r="J35" s="141"/>
      <c r="K35" s="223"/>
    </row>
    <row r="36" spans="1:11">
      <c r="A36" s="47" t="s">
        <v>37</v>
      </c>
      <c r="B36" s="382"/>
      <c r="C36" s="242"/>
      <c r="D36" s="242"/>
      <c r="E36" s="362"/>
      <c r="F36" s="140"/>
      <c r="G36" s="140"/>
      <c r="H36" s="140"/>
      <c r="I36" s="140"/>
      <c r="J36" s="141"/>
      <c r="K36" s="223"/>
    </row>
    <row r="37" spans="1:11">
      <c r="A37" s="45" t="s">
        <v>84</v>
      </c>
      <c r="B37" s="382">
        <f>SUMIF(Actuals!A:A,"50000000",Actuals!C:C)</f>
        <v>26541.82</v>
      </c>
      <c r="C37" s="242">
        <f>SUMIF(Actuals!A:A,"50000000",Actuals!D:D)</f>
        <v>320.04000000000002</v>
      </c>
      <c r="D37" s="242">
        <f>SUMIF(Actuals!A:A,"50000000",Actuals!E:E)</f>
        <v>287</v>
      </c>
      <c r="E37" s="362">
        <f t="shared" ref="E37:E47" si="0">C37-D37</f>
        <v>33.04000000000002</v>
      </c>
      <c r="F37" s="140">
        <f>'Stores Handling'!D9</f>
        <v>383</v>
      </c>
      <c r="G37" s="140">
        <f>'Stores Handling'!E9</f>
        <v>393</v>
      </c>
      <c r="H37" s="140">
        <f>'Stores Handling'!F9</f>
        <v>399</v>
      </c>
      <c r="I37" s="140">
        <f>'Stores Handling'!G9</f>
        <v>418</v>
      </c>
      <c r="J37" s="141">
        <f>'Stores Handling'!H9</f>
        <v>426</v>
      </c>
      <c r="K37" s="223"/>
    </row>
    <row r="38" spans="1:11">
      <c r="A38" s="45" t="s">
        <v>85</v>
      </c>
      <c r="B38" s="382">
        <f>SUMIF(Actuals!A:A,"50200000",Actuals!C:C)</f>
        <v>15334.43</v>
      </c>
      <c r="C38" s="242">
        <f>SUMIF(Actuals!A:A,"50200000",Actuals!D:D)</f>
        <v>8798.08</v>
      </c>
      <c r="D38" s="242">
        <f>SUMIF(Actuals!A:A,"50200000",Actuals!E:E)</f>
        <v>7861</v>
      </c>
      <c r="E38" s="362">
        <f t="shared" si="0"/>
        <v>937.07999999999993</v>
      </c>
      <c r="F38" s="140">
        <f>'Stores Handling'!D10</f>
        <v>10523</v>
      </c>
      <c r="G38" s="140">
        <f>'Stores Handling'!E10</f>
        <v>10801</v>
      </c>
      <c r="H38" s="140">
        <f>'Stores Handling'!F10</f>
        <v>10975</v>
      </c>
      <c r="I38" s="140">
        <f>'Stores Handling'!G10</f>
        <v>11499</v>
      </c>
      <c r="J38" s="141">
        <f>'Stores Handling'!H10</f>
        <v>11722</v>
      </c>
      <c r="K38" s="223"/>
    </row>
    <row r="39" spans="1:11">
      <c r="A39" s="45" t="s">
        <v>86</v>
      </c>
      <c r="B39" s="382">
        <f>SUMIF(Actuals!A:A,"50500000",Actuals!C:C)</f>
        <v>2252.9899999999998</v>
      </c>
      <c r="C39" s="242">
        <f>SUMIF(Actuals!A:A,"50500000",Actuals!D:D)</f>
        <v>1292.6300000000001</v>
      </c>
      <c r="D39" s="242">
        <f>SUMIF(Actuals!A:A,"50500000",Actuals!E:E)</f>
        <v>1155</v>
      </c>
      <c r="E39" s="362">
        <f t="shared" si="0"/>
        <v>137.63000000000011</v>
      </c>
      <c r="F39" s="140">
        <f>'Stores Handling'!D11</f>
        <v>1546</v>
      </c>
      <c r="G39" s="140">
        <f>'Stores Handling'!E11</f>
        <v>1587</v>
      </c>
      <c r="H39" s="140">
        <f>'Stores Handling'!F11</f>
        <v>1612</v>
      </c>
      <c r="I39" s="140">
        <f>'Stores Handling'!G11</f>
        <v>1689</v>
      </c>
      <c r="J39" s="141">
        <f>'Stores Handling'!H11</f>
        <v>1722</v>
      </c>
      <c r="K39" s="223"/>
    </row>
    <row r="40" spans="1:11">
      <c r="A40" s="45" t="s">
        <v>87</v>
      </c>
      <c r="B40" s="382">
        <f>SUMIF(Actuals!A:A,"50600000",Actuals!C:C)</f>
        <v>93194.43</v>
      </c>
      <c r="C40" s="242">
        <f>SUMIF(Actuals!A:A,"50600000",Actuals!D:D)</f>
        <v>52644.58</v>
      </c>
      <c r="D40" s="242">
        <f>SUMIF(Actuals!A:A,"50600000",Actuals!E:E)</f>
        <v>47012</v>
      </c>
      <c r="E40" s="362">
        <f t="shared" si="0"/>
        <v>5632.5800000000017</v>
      </c>
      <c r="F40" s="140">
        <f>'Stores Handling'!D12</f>
        <v>62965</v>
      </c>
      <c r="G40" s="140">
        <f>'Stores Handling'!E12</f>
        <v>64632</v>
      </c>
      <c r="H40" s="140">
        <f>'Stores Handling'!F12</f>
        <v>65669</v>
      </c>
      <c r="I40" s="140">
        <f>'Stores Handling'!G12</f>
        <v>68803</v>
      </c>
      <c r="J40" s="141">
        <f>'Stores Handling'!H12</f>
        <v>70137</v>
      </c>
      <c r="K40" s="223"/>
    </row>
    <row r="41" spans="1:11">
      <c r="A41" s="45" t="s">
        <v>88</v>
      </c>
      <c r="B41" s="382">
        <f>SUMIF(Actuals!A:A,"51000000",Actuals!C:C)</f>
        <v>558.14</v>
      </c>
      <c r="C41" s="242">
        <f>SUMIF(Actuals!A:A,"51000000",Actuals!D:D)</f>
        <v>320.04000000000002</v>
      </c>
      <c r="D41" s="242">
        <f>SUMIF(Actuals!A:A,"51000000",Actuals!E:E)</f>
        <v>287</v>
      </c>
      <c r="E41" s="362">
        <f t="shared" si="0"/>
        <v>33.04000000000002</v>
      </c>
      <c r="F41" s="140">
        <f>'Stores Handling'!D13</f>
        <v>383</v>
      </c>
      <c r="G41" s="140">
        <f>'Stores Handling'!E13</f>
        <v>393</v>
      </c>
      <c r="H41" s="140">
        <f>'Stores Handling'!F13</f>
        <v>399</v>
      </c>
      <c r="I41" s="140">
        <f>'Stores Handling'!G13</f>
        <v>418</v>
      </c>
      <c r="J41" s="141">
        <f>'Stores Handling'!H13</f>
        <v>426</v>
      </c>
      <c r="K41" s="223"/>
    </row>
    <row r="42" spans="1:11">
      <c r="A42" s="45" t="s">
        <v>89</v>
      </c>
      <c r="B42" s="382">
        <f>SUMIF(Actuals!A:A,"51100000",Actuals!C:C)</f>
        <v>61920.03</v>
      </c>
      <c r="C42" s="242">
        <f>SUMIF(Actuals!A:A,"51100000",Actuals!D:D)</f>
        <v>35527.24</v>
      </c>
      <c r="D42" s="242">
        <f>SUMIF(Actuals!A:A,"51100000",Actuals!E:E)</f>
        <v>31717</v>
      </c>
      <c r="E42" s="362">
        <f t="shared" si="0"/>
        <v>3810.239999999998</v>
      </c>
      <c r="F42" s="140">
        <f>'Stores Handling'!D14</f>
        <v>42492</v>
      </c>
      <c r="G42" s="140">
        <f>'Stores Handling'!E14</f>
        <v>43617</v>
      </c>
      <c r="H42" s="140">
        <f>'Stores Handling'!F14</f>
        <v>44317</v>
      </c>
      <c r="I42" s="140">
        <f>'Stores Handling'!G14</f>
        <v>46432</v>
      </c>
      <c r="J42" s="141">
        <f>'Stores Handling'!H14</f>
        <v>47332</v>
      </c>
      <c r="K42" s="223"/>
    </row>
    <row r="43" spans="1:11">
      <c r="A43" s="45" t="s">
        <v>90</v>
      </c>
      <c r="B43" s="382">
        <f>SUMIF(Actuals!A:A,"51200000",Actuals!C:C)</f>
        <v>421928.86</v>
      </c>
      <c r="C43" s="242">
        <f>SUMIF(Actuals!A:A,"51200000",Actuals!D:D)</f>
        <v>242204.63</v>
      </c>
      <c r="D43" s="242">
        <f>SUMIF(Actuals!A:A,"51200000",Actuals!E:E)</f>
        <v>216195</v>
      </c>
      <c r="E43" s="362">
        <f t="shared" si="0"/>
        <v>26009.630000000005</v>
      </c>
      <c r="F43" s="140">
        <f>'Stores Handling'!D15</f>
        <v>289543</v>
      </c>
      <c r="G43" s="140">
        <f>'Stores Handling'!E15</f>
        <v>297209</v>
      </c>
      <c r="H43" s="140">
        <f>'Stores Handling'!F15</f>
        <v>301980</v>
      </c>
      <c r="I43" s="140">
        <f>'Stores Handling'!G15</f>
        <v>316390</v>
      </c>
      <c r="J43" s="141">
        <f>'Stores Handling'!H15</f>
        <v>322527</v>
      </c>
      <c r="K43" s="223"/>
    </row>
    <row r="44" spans="1:11">
      <c r="A44" s="45" t="s">
        <v>91</v>
      </c>
      <c r="B44" s="382">
        <f>SUMIF(Actuals!A:A,"51300000",Actuals!C:C)</f>
        <v>156823.64000000001</v>
      </c>
      <c r="C44" s="242">
        <f>SUMIF(Actuals!A:A,"51300000",Actuals!D:D)</f>
        <v>89979.1</v>
      </c>
      <c r="D44" s="242">
        <f>SUMIF(Actuals!A:A,"51300000",Actuals!E:E)</f>
        <v>80360</v>
      </c>
      <c r="E44" s="362">
        <f t="shared" si="0"/>
        <v>9619.1000000000058</v>
      </c>
      <c r="F44" s="140">
        <f>'Stores Handling'!D16</f>
        <v>107618</v>
      </c>
      <c r="G44" s="140">
        <f>'Stores Handling'!E16</f>
        <v>110468</v>
      </c>
      <c r="H44" s="140">
        <f>'Stores Handling'!F16</f>
        <v>112241</v>
      </c>
      <c r="I44" s="140">
        <f>'Stores Handling'!G16</f>
        <v>117597</v>
      </c>
      <c r="J44" s="141">
        <f>'Stores Handling'!H16</f>
        <v>119878</v>
      </c>
      <c r="K44" s="223"/>
    </row>
    <row r="45" spans="1:11">
      <c r="A45" s="45" t="s">
        <v>92</v>
      </c>
      <c r="B45" s="382">
        <f>SUMIF(Actuals!A:A,"51400000",Actuals!C:C)</f>
        <v>51710.36</v>
      </c>
      <c r="C45" s="242">
        <f>SUMIF(Actuals!A:A,"51400000",Actuals!D:D)</f>
        <v>29669.07</v>
      </c>
      <c r="D45" s="242">
        <f>SUMIF(Actuals!A:A,"51400000",Actuals!E:E)</f>
        <v>26495</v>
      </c>
      <c r="E45" s="362">
        <f t="shared" si="0"/>
        <v>3174.0699999999997</v>
      </c>
      <c r="F45" s="140">
        <f>'Stores Handling'!D17</f>
        <v>35485</v>
      </c>
      <c r="G45" s="140">
        <f>'Stores Handling'!E17</f>
        <v>36425</v>
      </c>
      <c r="H45" s="140">
        <f>'Stores Handling'!F17</f>
        <v>37009</v>
      </c>
      <c r="I45" s="140">
        <f>'Stores Handling'!G17</f>
        <v>38775</v>
      </c>
      <c r="J45" s="141">
        <f>'Stores Handling'!H17</f>
        <v>39528</v>
      </c>
      <c r="K45" s="223"/>
    </row>
    <row r="46" spans="1:11">
      <c r="A46" s="45" t="s">
        <v>93</v>
      </c>
      <c r="B46" s="382">
        <f>SUMIF(Actuals!A:A,"55300000",Actuals!C:C)</f>
        <v>484.35</v>
      </c>
      <c r="C46" s="242">
        <f>SUMIF(Actuals!A:A,"55300000",Actuals!D:D)</f>
        <v>278.20999999999998</v>
      </c>
      <c r="D46" s="242">
        <f>SUMIF(Actuals!A:A,"55300000",Actuals!E:E)</f>
        <v>245</v>
      </c>
      <c r="E46" s="362">
        <f t="shared" si="0"/>
        <v>33.20999999999998</v>
      </c>
      <c r="F46" s="140">
        <f>'Stores Handling'!D18</f>
        <v>333</v>
      </c>
      <c r="G46" s="140">
        <f>'Stores Handling'!E18</f>
        <v>342</v>
      </c>
      <c r="H46" s="140">
        <f>'Stores Handling'!F18</f>
        <v>347</v>
      </c>
      <c r="I46" s="140">
        <f>'Stores Handling'!G18</f>
        <v>364</v>
      </c>
      <c r="J46" s="141">
        <f>'Stores Handling'!H18</f>
        <v>371</v>
      </c>
      <c r="K46" s="223"/>
    </row>
    <row r="47" spans="1:11">
      <c r="A47" s="45" t="s">
        <v>48</v>
      </c>
      <c r="B47" s="381">
        <f>SUM(B37:B46)</f>
        <v>830749.04999999993</v>
      </c>
      <c r="C47" s="279">
        <f>SUM(C37:C46)</f>
        <v>461033.62</v>
      </c>
      <c r="D47" s="279">
        <f>SUM(D37:D46)</f>
        <v>411614</v>
      </c>
      <c r="E47" s="363">
        <f t="shared" si="0"/>
        <v>49419.619999999995</v>
      </c>
      <c r="F47" s="31">
        <f>SUM(F37:F46)</f>
        <v>551271</v>
      </c>
      <c r="G47" s="31">
        <f>SUM(G37:G46)</f>
        <v>565867</v>
      </c>
      <c r="H47" s="31">
        <f>SUM(H37:H46)</f>
        <v>574948</v>
      </c>
      <c r="I47" s="31">
        <f>SUM(I37:I46)</f>
        <v>602385</v>
      </c>
      <c r="J47" s="32">
        <f>SUM(J37:J46)</f>
        <v>614069</v>
      </c>
    </row>
    <row r="48" spans="1:11" ht="10.5" customHeight="1">
      <c r="A48" s="45"/>
      <c r="B48" s="382"/>
      <c r="C48" s="242"/>
      <c r="D48" s="242"/>
      <c r="E48" s="362"/>
      <c r="F48" s="140"/>
      <c r="G48" s="140"/>
      <c r="H48" s="140"/>
      <c r="I48" s="140"/>
      <c r="J48" s="141"/>
    </row>
    <row r="49" spans="1:11">
      <c r="A49" s="47" t="s">
        <v>35</v>
      </c>
      <c r="B49" s="382"/>
      <c r="C49" s="242"/>
      <c r="D49" s="242"/>
      <c r="E49" s="362"/>
      <c r="F49" s="140"/>
      <c r="G49" s="140"/>
      <c r="H49" s="140"/>
      <c r="I49" s="140"/>
      <c r="J49" s="141"/>
    </row>
    <row r="50" spans="1:11">
      <c r="A50" s="389" t="s">
        <v>95</v>
      </c>
      <c r="B50" s="382">
        <f>SUMIF(Actuals!A:A,"50600001",Actuals!C:C)</f>
        <v>513802.18</v>
      </c>
      <c r="C50" s="242">
        <f>SUMIF(Actuals!A:A,"50600001",Actuals!D:D)</f>
        <v>304730.58</v>
      </c>
      <c r="D50" s="242">
        <f>SUMIF(Actuals!A:A,"50600001",Actuals!E:E)</f>
        <v>304717</v>
      </c>
      <c r="E50" s="362">
        <f t="shared" ref="E50:E55" si="1">C50-D50</f>
        <v>13.580000000016298</v>
      </c>
      <c r="F50" s="140">
        <f>'EPRI Dues'!I8</f>
        <v>636637.8764193001</v>
      </c>
      <c r="G50" s="140">
        <f>'EPRI Dues'!J8</f>
        <v>660193.4778468142</v>
      </c>
      <c r="H50" s="140">
        <f>'EPRI Dues'!K8</f>
        <v>683960.44304929953</v>
      </c>
      <c r="I50" s="140">
        <f>'EPRI Dues'!L8</f>
        <v>705163.21678382775</v>
      </c>
      <c r="J50" s="141">
        <f>'EPRI Dues'!M8</f>
        <v>724907.78685377492</v>
      </c>
      <c r="K50" s="223"/>
    </row>
    <row r="51" spans="1:11">
      <c r="A51" s="389" t="s">
        <v>358</v>
      </c>
      <c r="B51" s="382">
        <f>SUMIF(Actuals!A:A,"54900000",Actuals!C:C)</f>
        <v>40063.68</v>
      </c>
      <c r="C51" s="242">
        <f>SUMIF(Actuals!A:A,"54900000",Actuals!D:D)</f>
        <v>22401.05</v>
      </c>
      <c r="D51" s="242">
        <f>SUMIF(Actuals!A:A,"54900000",Actuals!E:E)</f>
        <v>22400</v>
      </c>
      <c r="E51" s="362">
        <f t="shared" si="1"/>
        <v>1.0499999999992724</v>
      </c>
      <c r="F51" s="140">
        <f>'EPRI Dues'!I9</f>
        <v>34860</v>
      </c>
      <c r="G51" s="140">
        <f>'EPRI Dues'!J9</f>
        <v>36149.82</v>
      </c>
      <c r="H51" s="140">
        <f>'EPRI Dues'!K9</f>
        <v>37451.213519999998</v>
      </c>
      <c r="I51" s="140">
        <f>'EPRI Dues'!L9</f>
        <v>38612.201139119992</v>
      </c>
      <c r="J51" s="141">
        <f>'EPRI Dues'!M9</f>
        <v>39693.342771015356</v>
      </c>
      <c r="K51" s="223"/>
    </row>
    <row r="52" spans="1:11">
      <c r="A52" s="388" t="s">
        <v>96</v>
      </c>
      <c r="B52" s="382">
        <f>SUMIF(Actuals!A:A,"56600000",Actuals!C:C)</f>
        <v>183775.64</v>
      </c>
      <c r="C52" s="242">
        <f>SUMIF(Actuals!A:A,"56600000",Actuals!D:D)</f>
        <v>115027.64</v>
      </c>
      <c r="D52" s="242">
        <f>SUMIF(Actuals!A:A,"56600000",Actuals!E:E)</f>
        <v>115024</v>
      </c>
      <c r="E52" s="362">
        <f t="shared" si="1"/>
        <v>3.6399999999994179</v>
      </c>
      <c r="F52" s="140">
        <f>'EPRI Dues'!I10</f>
        <v>205835.51985479999</v>
      </c>
      <c r="G52" s="140">
        <f>'EPRI Dues'!J10</f>
        <v>213451.43408942758</v>
      </c>
      <c r="H52" s="140">
        <f>'EPRI Dues'!K10</f>
        <v>221135.68571664699</v>
      </c>
      <c r="I52" s="140">
        <f>'EPRI Dues'!L10</f>
        <v>227990.89197386304</v>
      </c>
      <c r="J52" s="141">
        <f>'EPRI Dues'!M10</f>
        <v>234374.63694913121</v>
      </c>
      <c r="K52" s="223"/>
    </row>
    <row r="53" spans="1:11">
      <c r="A53" s="388" t="s">
        <v>97</v>
      </c>
      <c r="B53" s="382">
        <f>SUMIF(Actuals!A:A,"58800000",Actuals!C:C)</f>
        <v>67068.789999999994</v>
      </c>
      <c r="C53" s="242">
        <f>SUMIF(Actuals!A:A,"58800000",Actuals!D:D)</f>
        <v>42608.37</v>
      </c>
      <c r="D53" s="242">
        <f>SUMIF(Actuals!A:A,"58800000",Actuals!E:E)</f>
        <v>42609</v>
      </c>
      <c r="E53" s="362">
        <f t="shared" si="1"/>
        <v>-0.62999999999738066</v>
      </c>
      <c r="F53" s="140">
        <f>'EPRI Dues'!I11</f>
        <v>76431.556475999998</v>
      </c>
      <c r="G53" s="140">
        <f>'EPRI Dues'!J11</f>
        <v>79259.524065611986</v>
      </c>
      <c r="H53" s="140">
        <f>'EPRI Dues'!K11</f>
        <v>82112.866931974015</v>
      </c>
      <c r="I53" s="140">
        <f>'EPRI Dues'!L11</f>
        <v>84658.3658068652</v>
      </c>
      <c r="J53" s="141">
        <f>'EPRI Dues'!M11</f>
        <v>87028.800049457423</v>
      </c>
      <c r="K53" s="223"/>
    </row>
    <row r="54" spans="1:11">
      <c r="A54" s="388" t="s">
        <v>340</v>
      </c>
      <c r="B54" s="382">
        <f>SUMIF(Actuals!A:A,"91000000",Actuals!C:C)</f>
        <v>72827.179999999993</v>
      </c>
      <c r="C54" s="242">
        <f>SUMIF(Actuals!A:A,"91000000",Actuals!D:D)</f>
        <v>41798.47</v>
      </c>
      <c r="D54" s="293">
        <f>SUMIF(Actuals!A:A,"91000000",Actuals!E:E)</f>
        <v>41797</v>
      </c>
      <c r="E54" s="362">
        <f t="shared" si="1"/>
        <v>1.4700000000011642</v>
      </c>
      <c r="F54" s="140">
        <f>'EPRI Dues'!I12</f>
        <v>86143.991009999998</v>
      </c>
      <c r="G54" s="140">
        <f>'EPRI Dues'!J12</f>
        <v>89331.318677369985</v>
      </c>
      <c r="H54" s="140">
        <f>'EPRI Dues'!K12</f>
        <v>92547.246149755301</v>
      </c>
      <c r="I54" s="140">
        <f>'EPRI Dues'!L12</f>
        <v>95416.210780397712</v>
      </c>
      <c r="J54" s="141">
        <f>'EPRI Dues'!M12</f>
        <v>98087.864682248852</v>
      </c>
      <c r="K54" s="223"/>
    </row>
    <row r="55" spans="1:11">
      <c r="A55" s="45" t="s">
        <v>130</v>
      </c>
      <c r="B55" s="381">
        <f>SUM(B50:B54)</f>
        <v>877537.47</v>
      </c>
      <c r="C55" s="279">
        <f>SUM(C50:C54)</f>
        <v>526566.11</v>
      </c>
      <c r="D55" s="293">
        <f>SUM(D50:D54)</f>
        <v>526547</v>
      </c>
      <c r="E55" s="363">
        <f t="shared" si="1"/>
        <v>19.10999999998603</v>
      </c>
      <c r="F55" s="31">
        <f>SUM(F50:F54)</f>
        <v>1039908.9437601001</v>
      </c>
      <c r="G55" s="31">
        <f>SUM(G50:G54)</f>
        <v>1078385.5746792238</v>
      </c>
      <c r="H55" s="31">
        <f>SUM(H50:H54)</f>
        <v>1117207.4553676757</v>
      </c>
      <c r="I55" s="31">
        <f>SUM(I50:I54)</f>
        <v>1151840.8864840737</v>
      </c>
      <c r="J55" s="32">
        <f>SUM(J50:J54)</f>
        <v>1184092.4313056278</v>
      </c>
    </row>
    <row r="56" spans="1:11" ht="10.5" customHeight="1">
      <c r="A56" s="45"/>
      <c r="B56" s="382"/>
      <c r="C56" s="242"/>
      <c r="D56" s="242"/>
      <c r="E56" s="362"/>
      <c r="F56" s="140"/>
      <c r="G56" s="140"/>
      <c r="H56" s="140"/>
      <c r="I56" s="140"/>
      <c r="J56" s="141"/>
    </row>
    <row r="57" spans="1:11">
      <c r="A57" s="193" t="s">
        <v>53</v>
      </c>
      <c r="B57" s="382"/>
      <c r="C57" s="242"/>
      <c r="D57" s="242"/>
      <c r="E57" s="362"/>
      <c r="F57" s="140"/>
      <c r="G57" s="140"/>
      <c r="H57" s="140"/>
      <c r="I57" s="140"/>
      <c r="J57" s="141"/>
    </row>
    <row r="58" spans="1:11" s="33" customFormat="1">
      <c r="A58" s="227" t="s">
        <v>60</v>
      </c>
      <c r="B58" s="382">
        <f>SUMIF(Actuals!A:A,"93020000",Actuals!C:C)</f>
        <v>232797.92</v>
      </c>
      <c r="C58" s="242">
        <f>SUMIF(Actuals!A:A,"93020000",Actuals!D:D)</f>
        <v>151988.97</v>
      </c>
      <c r="D58" s="242">
        <f>SUMIF(Actuals!A:A,"93020000",Actuals!E:E)</f>
        <v>139734</v>
      </c>
      <c r="E58" s="362">
        <f>C58-D58</f>
        <v>12254.970000000001</v>
      </c>
      <c r="F58" s="140">
        <f>'EEI Dues'!F19</f>
        <v>268890.15935999999</v>
      </c>
      <c r="G58" s="140">
        <f>'EEI Dues'!F20</f>
        <v>278839.09525631997</v>
      </c>
      <c r="H58" s="140">
        <f>'EEI Dues'!F21</f>
        <v>288877.3026855475</v>
      </c>
      <c r="I58" s="140">
        <f>'EEI Dues'!F22</f>
        <v>297832.49906879943</v>
      </c>
      <c r="J58" s="141">
        <f>'EEI Dues'!F23</f>
        <v>306171.80904272583</v>
      </c>
      <c r="K58" s="223"/>
    </row>
    <row r="59" spans="1:11" s="33" customFormat="1" ht="10.5" customHeight="1">
      <c r="A59" s="45"/>
      <c r="B59" s="382"/>
      <c r="C59" s="242"/>
      <c r="D59" s="242"/>
      <c r="E59" s="362"/>
      <c r="F59" s="140"/>
      <c r="G59" s="140"/>
      <c r="H59" s="140"/>
      <c r="I59" s="140"/>
      <c r="J59" s="141"/>
      <c r="K59" s="223"/>
    </row>
    <row r="60" spans="1:11" s="33" customFormat="1">
      <c r="A60" s="47" t="s">
        <v>16</v>
      </c>
      <c r="B60" s="373"/>
      <c r="C60" s="280"/>
      <c r="D60" s="280"/>
      <c r="E60" s="361"/>
      <c r="J60" s="34"/>
      <c r="K60" s="223"/>
    </row>
    <row r="61" spans="1:11" s="33" customFormat="1">
      <c r="A61" s="45" t="s">
        <v>63</v>
      </c>
      <c r="B61" s="382">
        <f>SUMIF(Actuals!A:A,"93020801",Actuals!C:C)</f>
        <v>429100.59</v>
      </c>
      <c r="C61" s="242">
        <f>SUMIF(Actuals!A:A,"93020801",Actuals!D:D)</f>
        <v>-247945.02</v>
      </c>
      <c r="D61" s="242">
        <f>SUMIF(Actuals!A:A,"93020801",Actuals!E:E)</f>
        <v>95002</v>
      </c>
      <c r="E61" s="362">
        <f>C61-D61</f>
        <v>-342947.02</v>
      </c>
      <c r="F61" s="140">
        <f>'Def Comp'!F20</f>
        <v>170000</v>
      </c>
      <c r="G61" s="140">
        <f>'Def Comp'!G20</f>
        <v>180000</v>
      </c>
      <c r="H61" s="140">
        <f>'Def Comp'!H20</f>
        <v>190000</v>
      </c>
      <c r="I61" s="140">
        <f>'Def Comp'!I20</f>
        <v>200000</v>
      </c>
      <c r="J61" s="141">
        <f>'Def Comp'!J20</f>
        <v>220000</v>
      </c>
      <c r="K61" s="223"/>
    </row>
    <row r="62" spans="1:11" s="33" customFormat="1" ht="10.5" customHeight="1">
      <c r="A62" s="45"/>
      <c r="B62" s="382"/>
      <c r="C62" s="242"/>
      <c r="D62" s="242"/>
      <c r="E62" s="362"/>
      <c r="F62" s="140"/>
      <c r="G62" s="140"/>
      <c r="H62" s="140"/>
      <c r="I62" s="140"/>
      <c r="J62" s="141"/>
      <c r="K62" s="223"/>
    </row>
    <row r="63" spans="1:11" s="33" customFormat="1">
      <c r="A63" s="47" t="s">
        <v>17</v>
      </c>
      <c r="B63" s="382"/>
      <c r="C63" s="242"/>
      <c r="D63" s="242"/>
      <c r="E63" s="362"/>
      <c r="F63" s="140"/>
      <c r="G63" s="140"/>
      <c r="H63" s="140"/>
      <c r="I63" s="140"/>
      <c r="J63" s="141"/>
      <c r="K63" s="223"/>
    </row>
    <row r="64" spans="1:11" s="33" customFormat="1">
      <c r="A64" s="46" t="s">
        <v>187</v>
      </c>
      <c r="B64" s="382">
        <f>SUMIF(Actuals!A:A,"56500940",Actuals!C:C)</f>
        <v>-308220.01</v>
      </c>
      <c r="C64" s="242">
        <f>SUMIF(Actuals!A:A,"56500940",Actuals!D:D)</f>
        <v>-110560.36</v>
      </c>
      <c r="D64" s="242">
        <f>SUMIF(Actuals!A:A,"56500940",Actuals!E:E)</f>
        <v>-262617</v>
      </c>
      <c r="E64" s="362">
        <f>C64-D64</f>
        <v>152056.64000000001</v>
      </c>
      <c r="F64" s="140">
        <f>Trans!F21</f>
        <v>-263766</v>
      </c>
      <c r="G64" s="140">
        <f>Trans!G21</f>
        <v>-263766</v>
      </c>
      <c r="H64" s="140">
        <f>Trans!H21</f>
        <v>-263766</v>
      </c>
      <c r="I64" s="140">
        <f>Trans!I21</f>
        <v>-263766</v>
      </c>
      <c r="J64" s="141">
        <f>Trans!J21</f>
        <v>-263766</v>
      </c>
      <c r="K64" s="223"/>
    </row>
    <row r="65" spans="1:11" s="33" customFormat="1" ht="10.5" customHeight="1">
      <c r="A65" s="45"/>
      <c r="B65" s="382"/>
      <c r="C65" s="242"/>
      <c r="D65" s="242"/>
      <c r="E65" s="362"/>
      <c r="F65" s="140"/>
      <c r="G65" s="140"/>
      <c r="H65" s="140"/>
      <c r="I65" s="140"/>
      <c r="J65" s="141"/>
      <c r="K65" s="223"/>
    </row>
    <row r="66" spans="1:11" s="33" customFormat="1">
      <c r="A66" s="47" t="s">
        <v>66</v>
      </c>
      <c r="B66" s="382"/>
      <c r="C66" s="242"/>
      <c r="D66" s="242"/>
      <c r="E66" s="362"/>
      <c r="F66" s="140"/>
      <c r="G66" s="140"/>
      <c r="H66" s="140"/>
      <c r="I66" s="140"/>
      <c r="J66" s="141"/>
      <c r="K66" s="223"/>
    </row>
    <row r="67" spans="1:11" s="33" customFormat="1">
      <c r="A67" s="227" t="s">
        <v>215</v>
      </c>
      <c r="B67" s="382">
        <f>SUMIF(Actuals!A:A,"56500200",Actuals!C:C)</f>
        <v>496646.40000000002</v>
      </c>
      <c r="C67" s="242">
        <f>SUMIF(Actuals!A:A,"56500200",Actuals!D:D)</f>
        <v>148687.22</v>
      </c>
      <c r="D67" s="242">
        <f>SUMIF(Actuals!A:A,"56500200",Actuals!E:E)</f>
        <v>393183</v>
      </c>
      <c r="E67" s="362">
        <f>C67-D67</f>
        <v>-244495.78</v>
      </c>
      <c r="F67" s="140">
        <f>'Trans Clause'!G21</f>
        <v>423956</v>
      </c>
      <c r="G67" s="140">
        <f>'Trans Clause'!H21</f>
        <v>423956</v>
      </c>
      <c r="H67" s="140">
        <f>'Trans Clause'!I21</f>
        <v>423956</v>
      </c>
      <c r="I67" s="140">
        <f>'Trans Clause'!J21</f>
        <v>423956</v>
      </c>
      <c r="J67" s="141">
        <f>'Trans Clause'!K21</f>
        <v>423956</v>
      </c>
      <c r="K67" s="223"/>
    </row>
    <row r="68" spans="1:11" s="33" customFormat="1" ht="10.5" customHeight="1">
      <c r="A68" s="45"/>
      <c r="B68" s="382"/>
      <c r="C68" s="242"/>
      <c r="D68" s="242"/>
      <c r="E68" s="362"/>
      <c r="F68" s="140"/>
      <c r="G68" s="140"/>
      <c r="H68" s="140"/>
      <c r="I68" s="140"/>
      <c r="J68" s="141"/>
      <c r="K68" s="223"/>
    </row>
    <row r="69" spans="1:11" s="33" customFormat="1">
      <c r="A69" s="392" t="s">
        <v>385</v>
      </c>
      <c r="B69" s="382"/>
      <c r="C69" s="242"/>
      <c r="D69" s="242"/>
      <c r="E69" s="362"/>
      <c r="F69" s="140"/>
      <c r="G69" s="140"/>
      <c r="H69" s="140"/>
      <c r="I69" s="140"/>
      <c r="J69" s="141"/>
      <c r="K69" s="223"/>
    </row>
    <row r="70" spans="1:11" s="33" customFormat="1">
      <c r="A70" s="389" t="s">
        <v>389</v>
      </c>
      <c r="B70" s="382">
        <v>981895</v>
      </c>
      <c r="C70" s="242">
        <v>0</v>
      </c>
      <c r="D70" s="242">
        <v>0</v>
      </c>
      <c r="E70" s="362">
        <f>C70-D70</f>
        <v>0</v>
      </c>
      <c r="F70" s="140">
        <v>0</v>
      </c>
      <c r="G70" s="140">
        <v>0</v>
      </c>
      <c r="H70" s="140">
        <v>0</v>
      </c>
      <c r="I70" s="140">
        <v>0</v>
      </c>
      <c r="J70" s="141">
        <v>0</v>
      </c>
      <c r="K70" s="223"/>
    </row>
    <row r="71" spans="1:11" s="33" customFormat="1">
      <c r="A71" s="389" t="s">
        <v>388</v>
      </c>
      <c r="B71" s="380">
        <v>11917701.67</v>
      </c>
      <c r="C71" s="293">
        <v>7996419.8600000003</v>
      </c>
      <c r="D71" s="293">
        <v>7964792</v>
      </c>
      <c r="E71" s="364">
        <f>C71-D71</f>
        <v>31627.860000000335</v>
      </c>
      <c r="F71" s="28">
        <f>'APC Fac Charge'!B8</f>
        <v>12977650.18</v>
      </c>
      <c r="G71" s="28">
        <f>'APC Fac Charge'!B9</f>
        <v>12648585.59</v>
      </c>
      <c r="H71" s="28">
        <f>'APC Fac Charge'!B10</f>
        <v>12339380.68</v>
      </c>
      <c r="I71" s="28">
        <f>'APC Fac Charge'!B11</f>
        <v>12038939.16</v>
      </c>
      <c r="J71" s="192">
        <f>'APC Fac Charge'!B12</f>
        <v>11740597.77</v>
      </c>
      <c r="K71" s="223"/>
    </row>
    <row r="72" spans="1:11" s="33" customFormat="1">
      <c r="A72" s="45"/>
      <c r="B72" s="382">
        <f>SUM(B70:B71)</f>
        <v>12899596.67</v>
      </c>
      <c r="C72" s="242">
        <f>SUM(C70:C71)</f>
        <v>7996419.8600000003</v>
      </c>
      <c r="D72" s="242">
        <f>SUM(D70:D71)</f>
        <v>7964792</v>
      </c>
      <c r="E72" s="362">
        <f>C72-D72</f>
        <v>31627.860000000335</v>
      </c>
      <c r="F72" s="140">
        <f>SUM(F70:F71)</f>
        <v>12977650.18</v>
      </c>
      <c r="G72" s="140">
        <f>SUM(G70:G71)</f>
        <v>12648585.59</v>
      </c>
      <c r="H72" s="140">
        <f>SUM(H70:H71)</f>
        <v>12339380.68</v>
      </c>
      <c r="I72" s="140">
        <f>SUM(I70:I71)</f>
        <v>12038939.16</v>
      </c>
      <c r="J72" s="141">
        <f>SUM(J70:J71)</f>
        <v>11740597.77</v>
      </c>
    </row>
    <row r="73" spans="1:11" ht="10.5" customHeight="1">
      <c r="A73" s="45"/>
      <c r="B73" s="382"/>
      <c r="C73" s="242"/>
      <c r="D73" s="242"/>
      <c r="E73" s="362"/>
      <c r="F73" s="140"/>
      <c r="G73" s="140"/>
      <c r="H73" s="140"/>
      <c r="I73" s="140"/>
      <c r="J73" s="141"/>
    </row>
    <row r="74" spans="1:11">
      <c r="A74" s="194" t="s">
        <v>78</v>
      </c>
      <c r="B74" s="382"/>
      <c r="C74" s="242"/>
      <c r="D74" s="242"/>
      <c r="E74" s="362"/>
      <c r="F74" s="140"/>
      <c r="G74" s="140"/>
      <c r="H74" s="140"/>
      <c r="I74" s="140"/>
      <c r="J74" s="141"/>
    </row>
    <row r="75" spans="1:11" s="33" customFormat="1">
      <c r="A75" s="45" t="s">
        <v>79</v>
      </c>
      <c r="B75" s="382">
        <f>SUMIF(Actuals!A:A,"93100000",Actuals!C:C)</f>
        <v>0</v>
      </c>
      <c r="C75" s="242">
        <f>SUMIF(Actuals!A:A,"93100000",Actuals!D:D)</f>
        <v>0</v>
      </c>
      <c r="D75" s="242">
        <f>SUMIF(Actuals!A:A,"93100000",Actuals!E:E)</f>
        <v>0</v>
      </c>
      <c r="E75" s="362">
        <f>C75-D75</f>
        <v>0</v>
      </c>
      <c r="F75" s="140">
        <v>0</v>
      </c>
      <c r="G75" s="140">
        <v>0</v>
      </c>
      <c r="H75" s="140">
        <v>0</v>
      </c>
      <c r="I75" s="140">
        <v>0</v>
      </c>
      <c r="J75" s="141">
        <v>0</v>
      </c>
    </row>
    <row r="76" spans="1:11" s="33" customFormat="1" ht="10.5" customHeight="1">
      <c r="A76" s="45"/>
      <c r="B76" s="382"/>
      <c r="C76" s="242"/>
      <c r="D76" s="242"/>
      <c r="E76" s="362"/>
      <c r="F76" s="140"/>
      <c r="G76" s="140"/>
      <c r="H76" s="140"/>
      <c r="I76" s="140"/>
      <c r="J76" s="141"/>
    </row>
    <row r="77" spans="1:11" s="33" customFormat="1">
      <c r="A77" s="194" t="s">
        <v>150</v>
      </c>
      <c r="B77" s="378"/>
      <c r="C77" s="277"/>
      <c r="D77" s="277"/>
      <c r="E77" s="365"/>
      <c r="F77" s="35"/>
      <c r="G77" s="35"/>
      <c r="H77" s="35"/>
      <c r="I77" s="35"/>
      <c r="J77" s="195"/>
    </row>
    <row r="78" spans="1:11" s="33" customFormat="1">
      <c r="A78" s="45" t="s">
        <v>217</v>
      </c>
      <c r="B78" s="376">
        <f>SUMIF(Actuals!A:A,"92300700",Actuals!C:C)</f>
        <v>36376.870000000003</v>
      </c>
      <c r="C78" s="276">
        <f>SUMIF(Actuals!A:A,"92300700",Actuals!D:D)</f>
        <v>21980</v>
      </c>
      <c r="D78" s="276">
        <f>SUMIF(Actuals!A:A,"92300700",Actuals!E:E)</f>
        <v>25130</v>
      </c>
      <c r="E78" s="362">
        <f>C78-D78</f>
        <v>-3150</v>
      </c>
      <c r="F78" s="131">
        <f>'SCS Early Retire'!F21</f>
        <v>37680</v>
      </c>
      <c r="G78" s="131">
        <f>'SCS Early Retire'!G21</f>
        <v>37680</v>
      </c>
      <c r="H78" s="131">
        <f>'SCS Early Retire'!H21</f>
        <v>37680</v>
      </c>
      <c r="I78" s="131">
        <f>'SCS Early Retire'!I21</f>
        <v>37680</v>
      </c>
      <c r="J78" s="353">
        <f>'SCS Early Retire'!J21</f>
        <v>37680</v>
      </c>
      <c r="K78" s="223"/>
    </row>
    <row r="79" spans="1:11" s="33" customFormat="1" ht="10.5" customHeight="1">
      <c r="A79" s="45"/>
      <c r="B79" s="374"/>
      <c r="C79" s="276"/>
      <c r="D79" s="276"/>
      <c r="E79" s="366"/>
      <c r="F79" s="38"/>
      <c r="G79" s="38"/>
      <c r="H79" s="38"/>
      <c r="I79" s="38"/>
      <c r="J79" s="156"/>
    </row>
    <row r="80" spans="1:11" s="33" customFormat="1">
      <c r="A80" s="194" t="s">
        <v>392</v>
      </c>
      <c r="B80" s="376"/>
      <c r="C80" s="276"/>
      <c r="D80" s="276"/>
      <c r="E80" s="362"/>
      <c r="F80" s="131"/>
      <c r="G80" s="131"/>
      <c r="H80" s="131"/>
      <c r="I80" s="131"/>
      <c r="J80" s="353"/>
    </row>
    <row r="81" spans="1:11" s="33" customFormat="1">
      <c r="A81" s="45" t="s">
        <v>393</v>
      </c>
      <c r="B81" s="376">
        <f>SUMIF(Actuals!A:A,"92800101",Actuals!C:C)</f>
        <v>1596079.96</v>
      </c>
      <c r="C81" s="276">
        <f>SUMIF(Actuals!A:A,"92800101",Actuals!D:D)</f>
        <v>958770.75</v>
      </c>
      <c r="D81" s="276">
        <f>SUMIF(Actuals!A:A,"92800101",Actuals!E:E)</f>
        <v>950894</v>
      </c>
      <c r="E81" s="362">
        <f>C81-D81</f>
        <v>7876.75</v>
      </c>
      <c r="F81" s="131">
        <f>'Rate Case Exp'!B20</f>
        <v>2431653</v>
      </c>
      <c r="G81" s="131">
        <f>'Rate Case Exp'!C20</f>
        <v>0</v>
      </c>
      <c r="H81" s="131">
        <f>'Rate Case Exp'!D20</f>
        <v>0</v>
      </c>
      <c r="I81" s="131">
        <f>'Rate Case Exp'!E20</f>
        <v>0</v>
      </c>
      <c r="J81" s="353">
        <f>'Rate Case Exp'!F20</f>
        <v>0</v>
      </c>
      <c r="K81" s="223"/>
    </row>
    <row r="82" spans="1:11" s="33" customFormat="1" ht="10.5" customHeight="1">
      <c r="A82" s="45"/>
      <c r="B82" s="374"/>
      <c r="C82" s="276"/>
      <c r="D82" s="276"/>
      <c r="E82" s="366"/>
      <c r="F82" s="131"/>
      <c r="G82" s="38"/>
      <c r="H82" s="38"/>
      <c r="I82" s="38"/>
      <c r="J82" s="156"/>
    </row>
    <row r="83" spans="1:11" s="33" customFormat="1">
      <c r="A83" s="47" t="s">
        <v>225</v>
      </c>
      <c r="B83" s="374"/>
      <c r="C83" s="276"/>
      <c r="D83" s="276"/>
      <c r="E83" s="366"/>
      <c r="F83" s="131"/>
      <c r="G83" s="38"/>
      <c r="H83" s="38"/>
      <c r="I83" s="38"/>
      <c r="J83" s="156"/>
    </row>
    <row r="84" spans="1:11" s="33" customFormat="1">
      <c r="A84" s="450" t="s">
        <v>357</v>
      </c>
      <c r="B84" s="376">
        <f>+Actuals!C7+Actuals!C15+Actuals!C16+Actuals!C22+Actuals!C23+Actuals!C24+Actuals!C25+Actuals!C27+Actuals!C28+Actuals!C30+Actuals!C36+Actuals!C37+Actuals!C38+Actuals!C39</f>
        <v>-50301.760000000002</v>
      </c>
      <c r="C84" s="276">
        <f>+Actuals!D15+Actuals!D22+Actuals!D25+Actuals!D36+Actuals!D38</f>
        <v>-9070.17</v>
      </c>
      <c r="D84" s="276"/>
      <c r="E84" s="362"/>
      <c r="F84" s="131">
        <f>+Misc!B7</f>
        <v>0</v>
      </c>
      <c r="G84" s="131">
        <f>+Misc!C7</f>
        <v>0</v>
      </c>
      <c r="H84" s="131">
        <f>+Misc!D7</f>
        <v>0</v>
      </c>
      <c r="I84" s="131">
        <f>+Misc!E7</f>
        <v>0</v>
      </c>
      <c r="J84" s="353">
        <f>+Misc!F7</f>
        <v>0</v>
      </c>
    </row>
    <row r="85" spans="1:11" s="33" customFormat="1">
      <c r="A85" s="157" t="s">
        <v>359</v>
      </c>
      <c r="B85" s="376"/>
      <c r="C85" s="242"/>
      <c r="D85" s="242"/>
      <c r="E85" s="362"/>
      <c r="F85" s="131">
        <v>0</v>
      </c>
      <c r="G85" s="38">
        <v>0</v>
      </c>
      <c r="H85" s="38">
        <v>0</v>
      </c>
      <c r="I85" s="38">
        <v>0</v>
      </c>
      <c r="J85" s="156">
        <v>0</v>
      </c>
    </row>
    <row r="86" spans="1:11" s="33" customFormat="1">
      <c r="A86" s="157" t="s">
        <v>353</v>
      </c>
      <c r="B86" s="376"/>
      <c r="C86" s="358"/>
      <c r="D86" s="358"/>
      <c r="E86" s="362"/>
      <c r="F86" s="131">
        <v>0</v>
      </c>
      <c r="G86" s="38">
        <v>0</v>
      </c>
      <c r="H86" s="38">
        <v>0</v>
      </c>
      <c r="I86" s="38">
        <v>0</v>
      </c>
      <c r="J86" s="156">
        <v>0</v>
      </c>
    </row>
    <row r="87" spans="1:11" ht="10.5" customHeight="1">
      <c r="A87" s="45"/>
      <c r="B87" s="374"/>
      <c r="C87" s="274"/>
      <c r="D87" s="274"/>
      <c r="E87" s="367"/>
      <c r="F87" s="38"/>
      <c r="G87" s="38"/>
      <c r="H87" s="38"/>
      <c r="I87" s="38"/>
      <c r="J87" s="156"/>
      <c r="K87" s="33"/>
    </row>
    <row r="88" spans="1:11" ht="10.5" customHeight="1">
      <c r="A88" s="45"/>
      <c r="B88" s="383"/>
      <c r="C88" s="274"/>
      <c r="D88" s="274"/>
      <c r="E88" s="367"/>
      <c r="F88" s="36"/>
      <c r="G88" s="36"/>
      <c r="H88" s="36"/>
      <c r="I88" s="36"/>
      <c r="J88" s="37"/>
      <c r="K88" s="33"/>
    </row>
    <row r="89" spans="1:11" s="40" customFormat="1" ht="15.75" thickBot="1">
      <c r="A89" s="47" t="s">
        <v>64</v>
      </c>
      <c r="B89" s="384">
        <f>B9+B12+B15+B18+B23+B26+B31+B34+B47+B55+B58+B61+B67+B72+B75+B78+B64+B81+B84+B86+B85</f>
        <v>30974398.629999999</v>
      </c>
      <c r="C89" s="285">
        <f>C9+C12+C15+C18+C23+C26+C31+C34+C47+C55+C58+C61+C67+C72+C75+C78+C64+C81+C84+C86+C85</f>
        <v>16514553.280000003</v>
      </c>
      <c r="D89" s="285">
        <f>D9+D12+D15+D18+D23+D26+D31+D34+D47+D55+D58+D61+D67+D72+D75+D78+D64+D81+D84+D86+D85</f>
        <v>17844496.02</v>
      </c>
      <c r="E89" s="368">
        <f>C89-D89</f>
        <v>-1329942.7399999965</v>
      </c>
      <c r="F89" s="103">
        <f>F9+F12+F15+F18+F23+F26+F31+F34+F47+F55+F58+F61+F67+F72+F75+F78+F64+F81</f>
        <v>31315005.049896963</v>
      </c>
      <c r="G89" s="103">
        <f>G9+G12+G15+G18+G23+G26+G31+G34+G47+G55+G58+G61+G67+G72+G75+G78+G64+G81</f>
        <v>29272897.401472393</v>
      </c>
      <c r="H89" s="103">
        <f>H9+H12+H15+H18+H23+H26+H31+H34+H47+H55+H58+H61+H67+H72+H75+H78+H64+H81</f>
        <v>29226861.268457834</v>
      </c>
      <c r="I89" s="103">
        <f>I9+I12+I15+I18+I23+I26+I31+I34+I47+I55+I58+I61+I67+I72+I75+I78+I64+I81</f>
        <v>29071588.865514655</v>
      </c>
      <c r="J89" s="125">
        <f>J9+J12+J15+J18+J23+J26+J31+J34+J47+J55+J58+J61+J67+J72+J75+J78+J64+J81</f>
        <v>28917684.530754451</v>
      </c>
      <c r="K89" s="39"/>
    </row>
    <row r="90" spans="1:11" s="40" customFormat="1" ht="15.75" customHeight="1" thickTop="1">
      <c r="A90" s="47"/>
      <c r="B90" s="385"/>
      <c r="C90" s="274"/>
      <c r="D90" s="274"/>
      <c r="E90" s="367"/>
      <c r="F90" s="288"/>
      <c r="G90" s="38"/>
      <c r="H90" s="38"/>
      <c r="I90" s="38"/>
      <c r="J90" s="156"/>
      <c r="K90" s="39"/>
    </row>
    <row r="91" spans="1:11" s="33" customFormat="1">
      <c r="A91" s="228" t="s">
        <v>374</v>
      </c>
      <c r="B91" s="376">
        <v>113069.77</v>
      </c>
      <c r="C91" s="276">
        <v>26665.86</v>
      </c>
      <c r="D91" s="276">
        <v>73672</v>
      </c>
      <c r="E91" s="362">
        <f>C91-D91</f>
        <v>-47006.14</v>
      </c>
      <c r="F91" s="131">
        <f>'Corp Ins 737'!O9</f>
        <v>81163.319999999992</v>
      </c>
      <c r="G91" s="131">
        <f>'Corp Ins 737'!O12</f>
        <v>92049.08</v>
      </c>
      <c r="H91" s="131">
        <f>'Corp Ins 737'!O15</f>
        <v>94369.1</v>
      </c>
      <c r="I91" s="131">
        <f>'Corp Ins 737'!O18</f>
        <v>94342.14</v>
      </c>
      <c r="J91" s="353">
        <f>'Corp Ins 737'!O21</f>
        <v>94342.14</v>
      </c>
    </row>
    <row r="92" spans="1:11" s="33" customFormat="1">
      <c r="A92" s="228" t="s">
        <v>360</v>
      </c>
      <c r="B92" s="376">
        <v>66851.55</v>
      </c>
      <c r="C92" s="276">
        <v>60196.29</v>
      </c>
      <c r="D92" s="276">
        <v>66187</v>
      </c>
      <c r="E92" s="362">
        <f>C92-D92</f>
        <v>-5990.7099999999991</v>
      </c>
      <c r="F92" s="131">
        <f>'EEI Dues'!D19</f>
        <v>49192.880640000003</v>
      </c>
      <c r="G92" s="131">
        <f>'EEI Dues'!D20</f>
        <v>51013.017223679999</v>
      </c>
      <c r="H92" s="131">
        <f>'EEI Dues'!D21</f>
        <v>52849.48584373248</v>
      </c>
      <c r="I92" s="131">
        <f>'EEI Dues'!D22</f>
        <v>54487.81990488818</v>
      </c>
      <c r="J92" s="353">
        <f>'EEI Dues'!D23</f>
        <v>56013.478862225049</v>
      </c>
    </row>
    <row r="93" spans="1:11" ht="10.5" customHeight="1">
      <c r="A93" s="135"/>
      <c r="B93" s="386"/>
      <c r="C93" s="296"/>
      <c r="D93" s="296"/>
      <c r="E93" s="369"/>
      <c r="F93" s="289"/>
      <c r="G93" s="33"/>
      <c r="H93" s="33"/>
      <c r="I93" s="33"/>
      <c r="J93" s="34"/>
      <c r="K93" s="33"/>
    </row>
    <row r="94" spans="1:11" s="4" customFormat="1" ht="15.75" thickBot="1">
      <c r="A94" s="136" t="s">
        <v>99</v>
      </c>
      <c r="B94" s="387">
        <f t="shared" ref="B94:F94" si="2">B89+B91+B92</f>
        <v>31154319.949999999</v>
      </c>
      <c r="C94" s="286">
        <f t="shared" si="2"/>
        <v>16601415.430000002</v>
      </c>
      <c r="D94" s="286">
        <f t="shared" si="2"/>
        <v>17984355.02</v>
      </c>
      <c r="E94" s="370">
        <f t="shared" si="2"/>
        <v>-1382939.5899999964</v>
      </c>
      <c r="F94" s="10">
        <f t="shared" si="2"/>
        <v>31445361.250536963</v>
      </c>
      <c r="G94" s="10">
        <f>G89+G91+G92</f>
        <v>29415959.49869607</v>
      </c>
      <c r="H94" s="10">
        <f>H89+H91+H92</f>
        <v>29374079.854301568</v>
      </c>
      <c r="I94" s="10">
        <f>I89+I91+I92</f>
        <v>29220418.825419545</v>
      </c>
      <c r="J94" s="126">
        <f>J89+J91+J92</f>
        <v>29068040.149616677</v>
      </c>
      <c r="K94" s="127"/>
    </row>
    <row r="95" spans="1:11" ht="15.75" thickTop="1">
      <c r="A95" s="128"/>
      <c r="B95" s="139"/>
      <c r="C95" s="140"/>
      <c r="D95" s="140"/>
      <c r="E95" s="140"/>
      <c r="F95" s="139"/>
      <c r="G95" s="41"/>
      <c r="H95" s="41"/>
      <c r="I95" s="41"/>
      <c r="J95" s="41"/>
    </row>
    <row r="96" spans="1:11">
      <c r="A96" s="42"/>
      <c r="B96" s="139"/>
      <c r="C96" s="140"/>
      <c r="D96" s="140"/>
      <c r="E96" s="140"/>
      <c r="F96" s="139"/>
    </row>
    <row r="97" spans="1:10">
      <c r="A97" s="43" t="s">
        <v>224</v>
      </c>
      <c r="B97" s="139">
        <f>SUMIF(Actuals!A:A,"Total",Actuals!C:C)</f>
        <v>30974398.629999999</v>
      </c>
      <c r="C97" s="139">
        <f>SUMIF(Actuals!A:A,"Total",Actuals!D:D)</f>
        <v>16514553.279999999</v>
      </c>
      <c r="D97" s="139">
        <f>SUMIF(Actuals!A:A,"Total",Actuals!E:E)</f>
        <v>17844496.02</v>
      </c>
      <c r="E97" s="139">
        <f>SUMIF(Actuals!A:A,"Total",Actuals!F:F)</f>
        <v>-1329942.7399999995</v>
      </c>
      <c r="F97" s="139"/>
    </row>
    <row r="98" spans="1:10">
      <c r="A98" s="12" t="s">
        <v>525</v>
      </c>
      <c r="B98" s="290">
        <f>B97-B89</f>
        <v>0</v>
      </c>
      <c r="C98" s="291">
        <f>C97-C89</f>
        <v>0</v>
      </c>
      <c r="D98" s="291">
        <f>D97-D89</f>
        <v>0</v>
      </c>
      <c r="E98" s="291">
        <f>E97-E89</f>
        <v>-3.0267983675003052E-9</v>
      </c>
      <c r="F98" s="139"/>
    </row>
    <row r="99" spans="1:10">
      <c r="B99" s="40"/>
      <c r="C99" s="39"/>
      <c r="D99" s="39"/>
      <c r="E99" s="39"/>
      <c r="F99" s="40"/>
    </row>
    <row r="100" spans="1:10">
      <c r="A100" s="6" t="s">
        <v>391</v>
      </c>
      <c r="B100" s="79"/>
      <c r="C100" s="39"/>
      <c r="D100" s="39"/>
      <c r="E100" s="39"/>
      <c r="F100" s="79">
        <f>F94-F29+'Duplicate Chrgs'!F29</f>
        <v>31672161.310536962</v>
      </c>
      <c r="G100" s="79">
        <f>G94-G29+'Duplicate Chrgs'!G29</f>
        <v>29683767.92869607</v>
      </c>
      <c r="H100" s="79">
        <f>H94-H29+'Duplicate Chrgs'!H29</f>
        <v>29649924.324301567</v>
      </c>
      <c r="I100" s="79">
        <f>I94-I29+'Duplicate Chrgs'!I29</f>
        <v>29504545.045419548</v>
      </c>
      <c r="J100" s="79">
        <f>J94-J29+'Duplicate Chrgs'!J29</f>
        <v>29360677.939616676</v>
      </c>
    </row>
    <row r="101" spans="1:10">
      <c r="A101" s="230">
        <v>41872</v>
      </c>
      <c r="B101" s="40"/>
      <c r="C101" s="39"/>
      <c r="D101" s="39"/>
      <c r="E101" s="39"/>
      <c r="F101" s="74" t="s">
        <v>498</v>
      </c>
      <c r="G101" s="15" t="s">
        <v>498</v>
      </c>
      <c r="H101" s="15" t="s">
        <v>498</v>
      </c>
      <c r="I101" s="15" t="s">
        <v>498</v>
      </c>
      <c r="J101" s="15" t="s">
        <v>498</v>
      </c>
    </row>
    <row r="102" spans="1:10">
      <c r="A102" s="40" t="s">
        <v>503</v>
      </c>
      <c r="B102" s="40"/>
      <c r="C102" s="39"/>
      <c r="D102" s="39"/>
      <c r="E102" s="39"/>
      <c r="F102" s="40"/>
    </row>
    <row r="103" spans="1:10">
      <c r="B103" s="40"/>
      <c r="C103" s="39"/>
      <c r="D103" s="39"/>
      <c r="E103" s="39"/>
      <c r="F103" s="40"/>
    </row>
    <row r="104" spans="1:10">
      <c r="B104" s="40"/>
      <c r="C104" s="39"/>
      <c r="D104" s="39"/>
      <c r="E104" s="39"/>
      <c r="F104" s="40"/>
    </row>
    <row r="105" spans="1:10">
      <c r="B105" s="40"/>
      <c r="C105" s="39"/>
      <c r="D105" s="39"/>
      <c r="E105" s="39"/>
      <c r="F105" s="40"/>
    </row>
    <row r="106" spans="1:10">
      <c r="B106" s="40"/>
      <c r="C106" s="39"/>
      <c r="D106" s="39"/>
      <c r="E106" s="39"/>
      <c r="F106" s="40"/>
    </row>
    <row r="107" spans="1:10">
      <c r="B107" s="40"/>
      <c r="C107" s="39"/>
      <c r="D107" s="39"/>
      <c r="E107" s="39"/>
      <c r="F107" s="40"/>
    </row>
    <row r="108" spans="1:10">
      <c r="B108" s="40"/>
      <c r="C108" s="39"/>
      <c r="D108" s="39"/>
      <c r="E108" s="39"/>
      <c r="F108" s="40"/>
    </row>
    <row r="109" spans="1:10">
      <c r="B109" s="40"/>
      <c r="C109" s="39"/>
      <c r="D109" s="39"/>
      <c r="E109" s="39"/>
      <c r="F109" s="40"/>
    </row>
    <row r="110" spans="1:10">
      <c r="B110" s="40"/>
      <c r="C110" s="39"/>
      <c r="D110" s="39"/>
      <c r="E110" s="39"/>
      <c r="F110" s="40"/>
    </row>
    <row r="111" spans="1:10">
      <c r="B111" s="40"/>
      <c r="C111" s="39"/>
      <c r="D111" s="39"/>
      <c r="E111" s="39"/>
      <c r="F111" s="40"/>
    </row>
    <row r="112" spans="1:10">
      <c r="B112" s="40"/>
      <c r="C112" s="39"/>
      <c r="D112" s="39"/>
      <c r="E112" s="39"/>
      <c r="F112" s="40"/>
    </row>
    <row r="113" spans="2:6">
      <c r="B113" s="40"/>
      <c r="C113" s="39"/>
      <c r="D113" s="39"/>
      <c r="E113" s="39"/>
      <c r="F113" s="40"/>
    </row>
    <row r="114" spans="2:6">
      <c r="B114" s="40"/>
      <c r="C114" s="39"/>
      <c r="D114" s="39"/>
      <c r="E114" s="39"/>
      <c r="F114" s="40"/>
    </row>
    <row r="115" spans="2:6">
      <c r="B115" s="40"/>
      <c r="C115" s="39"/>
      <c r="D115" s="39"/>
      <c r="E115" s="39"/>
      <c r="F115" s="40"/>
    </row>
    <row r="116" spans="2:6">
      <c r="B116" s="40"/>
      <c r="C116" s="39"/>
      <c r="D116" s="39"/>
      <c r="E116" s="39"/>
      <c r="F116" s="40"/>
    </row>
    <row r="117" spans="2:6">
      <c r="B117" s="40"/>
      <c r="C117" s="39"/>
      <c r="D117" s="39"/>
      <c r="E117" s="39"/>
      <c r="F117" s="40"/>
    </row>
    <row r="118" spans="2:6">
      <c r="B118" s="40"/>
      <c r="C118" s="39"/>
      <c r="D118" s="39"/>
      <c r="E118" s="39"/>
      <c r="F118" s="40"/>
    </row>
    <row r="119" spans="2:6">
      <c r="B119" s="40"/>
      <c r="C119" s="39"/>
      <c r="D119" s="39"/>
      <c r="E119" s="39"/>
      <c r="F119" s="40"/>
    </row>
    <row r="120" spans="2:6">
      <c r="B120" s="40"/>
      <c r="C120" s="39"/>
      <c r="D120" s="39"/>
      <c r="E120" s="39"/>
      <c r="F120" s="40"/>
    </row>
    <row r="121" spans="2:6">
      <c r="B121" s="40"/>
      <c r="C121" s="39"/>
      <c r="D121" s="39"/>
      <c r="E121" s="39"/>
      <c r="F121" s="40"/>
    </row>
    <row r="122" spans="2:6">
      <c r="B122" s="40"/>
      <c r="C122" s="39"/>
      <c r="D122" s="39"/>
      <c r="E122" s="39"/>
      <c r="F122" s="40"/>
    </row>
    <row r="123" spans="2:6">
      <c r="B123" s="40"/>
      <c r="C123" s="39"/>
      <c r="D123" s="39"/>
      <c r="E123" s="39"/>
      <c r="F123" s="40"/>
    </row>
    <row r="124" spans="2:6">
      <c r="B124" s="40"/>
      <c r="C124" s="39"/>
      <c r="D124" s="39"/>
      <c r="E124" s="39"/>
      <c r="F124" s="40"/>
    </row>
    <row r="125" spans="2:6">
      <c r="B125" s="40"/>
      <c r="C125" s="39"/>
      <c r="D125" s="39"/>
      <c r="E125" s="39"/>
      <c r="F125" s="40"/>
    </row>
    <row r="126" spans="2:6">
      <c r="B126" s="40"/>
      <c r="C126" s="39"/>
      <c r="D126" s="39"/>
      <c r="E126" s="39"/>
      <c r="F126" s="40"/>
    </row>
    <row r="127" spans="2:6">
      <c r="B127" s="40"/>
      <c r="C127" s="39"/>
      <c r="D127" s="39"/>
      <c r="E127" s="39"/>
      <c r="F127" s="40"/>
    </row>
    <row r="128" spans="2:6">
      <c r="B128" s="40"/>
      <c r="C128" s="39"/>
      <c r="D128" s="39"/>
      <c r="E128" s="39"/>
      <c r="F128" s="40"/>
    </row>
    <row r="129" spans="2:6">
      <c r="B129" s="40"/>
      <c r="C129" s="39"/>
      <c r="D129" s="39"/>
      <c r="E129" s="39"/>
      <c r="F129" s="40"/>
    </row>
    <row r="130" spans="2:6">
      <c r="B130" s="40"/>
      <c r="C130" s="39"/>
      <c r="D130" s="39"/>
      <c r="E130" s="39"/>
      <c r="F130" s="40"/>
    </row>
    <row r="131" spans="2:6">
      <c r="B131" s="40"/>
      <c r="C131" s="39"/>
      <c r="D131" s="39"/>
      <c r="E131" s="39"/>
      <c r="F131" s="40"/>
    </row>
    <row r="132" spans="2:6">
      <c r="B132" s="40"/>
      <c r="C132" s="39"/>
      <c r="D132" s="39"/>
      <c r="E132" s="39"/>
      <c r="F132" s="40"/>
    </row>
    <row r="133" spans="2:6">
      <c r="B133" s="40"/>
      <c r="C133" s="39"/>
      <c r="D133" s="39"/>
      <c r="E133" s="39"/>
      <c r="F133" s="40"/>
    </row>
    <row r="134" spans="2:6">
      <c r="B134" s="40"/>
      <c r="C134" s="39"/>
      <c r="D134" s="39"/>
      <c r="E134" s="39"/>
      <c r="F134" s="40"/>
    </row>
    <row r="135" spans="2:6">
      <c r="B135" s="40"/>
      <c r="C135" s="39"/>
      <c r="D135" s="39"/>
      <c r="E135" s="39"/>
      <c r="F135" s="40"/>
    </row>
    <row r="136" spans="2:6">
      <c r="B136" s="122"/>
      <c r="C136" s="287"/>
      <c r="D136" s="287"/>
      <c r="E136" s="287"/>
      <c r="F136" s="122"/>
    </row>
    <row r="137" spans="2:6">
      <c r="B137" s="122"/>
      <c r="C137" s="287"/>
      <c r="D137" s="287"/>
      <c r="E137" s="287"/>
      <c r="F137" s="122"/>
    </row>
    <row r="138" spans="2:6">
      <c r="B138" s="122"/>
      <c r="C138" s="287"/>
      <c r="D138" s="287"/>
      <c r="E138" s="287"/>
      <c r="F138" s="122"/>
    </row>
    <row r="139" spans="2:6">
      <c r="B139" s="122"/>
      <c r="C139" s="287"/>
      <c r="D139" s="287"/>
      <c r="E139" s="287"/>
      <c r="F139" s="122"/>
    </row>
    <row r="140" spans="2:6">
      <c r="B140" s="122"/>
      <c r="C140" s="287"/>
      <c r="D140" s="287"/>
      <c r="E140" s="287"/>
      <c r="F140" s="122"/>
    </row>
    <row r="141" spans="2:6">
      <c r="B141" s="122"/>
      <c r="C141" s="287"/>
      <c r="D141" s="287"/>
      <c r="E141" s="287"/>
      <c r="F141" s="122"/>
    </row>
    <row r="142" spans="2:6">
      <c r="B142" s="122"/>
      <c r="C142" s="287"/>
      <c r="D142" s="287"/>
      <c r="E142" s="287"/>
      <c r="F142" s="122"/>
    </row>
    <row r="143" spans="2:6">
      <c r="B143" s="122"/>
      <c r="C143" s="287"/>
      <c r="D143" s="287"/>
      <c r="E143" s="287"/>
      <c r="F143" s="122"/>
    </row>
    <row r="144" spans="2:6">
      <c r="B144" s="122"/>
      <c r="C144" s="287"/>
      <c r="D144" s="287"/>
      <c r="E144" s="287"/>
      <c r="F144" s="122"/>
    </row>
    <row r="145" spans="2:6">
      <c r="B145" s="122"/>
      <c r="C145" s="287"/>
      <c r="D145" s="287"/>
      <c r="E145" s="287"/>
      <c r="F145" s="122"/>
    </row>
    <row r="146" spans="2:6">
      <c r="B146" s="122"/>
      <c r="C146" s="287"/>
      <c r="D146" s="287"/>
      <c r="E146" s="287"/>
      <c r="F146" s="122"/>
    </row>
    <row r="147" spans="2:6">
      <c r="B147" s="122"/>
      <c r="C147" s="287"/>
      <c r="D147" s="287"/>
      <c r="E147" s="287"/>
      <c r="F147" s="122"/>
    </row>
    <row r="148" spans="2:6">
      <c r="B148" s="122"/>
      <c r="C148" s="287"/>
      <c r="D148" s="287"/>
      <c r="E148" s="287"/>
      <c r="F148" s="122"/>
    </row>
    <row r="149" spans="2:6">
      <c r="B149" s="122"/>
      <c r="C149" s="287"/>
      <c r="D149" s="287"/>
      <c r="E149" s="287"/>
      <c r="F149" s="122"/>
    </row>
    <row r="150" spans="2:6">
      <c r="B150" s="122"/>
      <c r="C150" s="287"/>
      <c r="D150" s="287"/>
      <c r="E150" s="287"/>
      <c r="F150" s="122"/>
    </row>
    <row r="151" spans="2:6">
      <c r="B151" s="122"/>
      <c r="C151" s="287"/>
      <c r="D151" s="287"/>
      <c r="E151" s="287"/>
      <c r="F151" s="122"/>
    </row>
    <row r="152" spans="2:6">
      <c r="B152" s="122"/>
      <c r="C152" s="287"/>
      <c r="D152" s="287"/>
      <c r="E152" s="287"/>
      <c r="F152" s="122"/>
    </row>
    <row r="153" spans="2:6">
      <c r="B153" s="122"/>
      <c r="C153" s="287"/>
      <c r="D153" s="287"/>
      <c r="E153" s="287"/>
      <c r="F153" s="122"/>
    </row>
    <row r="154" spans="2:6">
      <c r="B154" s="122"/>
      <c r="C154" s="287"/>
      <c r="D154" s="287"/>
      <c r="E154" s="287"/>
      <c r="F154" s="122"/>
    </row>
    <row r="155" spans="2:6">
      <c r="B155" s="122"/>
      <c r="C155" s="287"/>
      <c r="D155" s="287"/>
      <c r="E155" s="287"/>
      <c r="F155" s="122"/>
    </row>
    <row r="156" spans="2:6">
      <c r="B156" s="122"/>
      <c r="C156" s="287"/>
      <c r="D156" s="287"/>
      <c r="E156" s="287"/>
      <c r="F156" s="122"/>
    </row>
    <row r="157" spans="2:6">
      <c r="B157" s="122"/>
      <c r="C157" s="287"/>
      <c r="D157" s="287"/>
      <c r="E157" s="287"/>
      <c r="F157" s="122"/>
    </row>
    <row r="158" spans="2:6">
      <c r="B158" s="122"/>
      <c r="C158" s="287"/>
      <c r="D158" s="287"/>
      <c r="E158" s="287"/>
      <c r="F158" s="122"/>
    </row>
    <row r="159" spans="2:6">
      <c r="B159" s="122"/>
      <c r="C159" s="287"/>
      <c r="D159" s="287"/>
      <c r="E159" s="287"/>
      <c r="F159" s="122"/>
    </row>
    <row r="160" spans="2:6">
      <c r="B160" s="122"/>
      <c r="C160" s="287"/>
      <c r="D160" s="287"/>
      <c r="E160" s="287"/>
      <c r="F160" s="122"/>
    </row>
    <row r="161" spans="2:6">
      <c r="B161" s="122"/>
      <c r="C161" s="287"/>
      <c r="D161" s="287"/>
      <c r="E161" s="287"/>
      <c r="F161" s="122"/>
    </row>
    <row r="162" spans="2:6">
      <c r="B162" s="122"/>
      <c r="C162" s="287"/>
      <c r="D162" s="287"/>
      <c r="E162" s="287"/>
      <c r="F162" s="122"/>
    </row>
    <row r="163" spans="2:6">
      <c r="B163" s="122"/>
      <c r="C163" s="287"/>
      <c r="D163" s="287"/>
      <c r="E163" s="287"/>
      <c r="F163" s="122"/>
    </row>
    <row r="164" spans="2:6">
      <c r="B164" s="122"/>
      <c r="C164" s="287"/>
      <c r="D164" s="287"/>
      <c r="E164" s="287"/>
      <c r="F164" s="122"/>
    </row>
    <row r="165" spans="2:6">
      <c r="B165" s="122"/>
      <c r="C165" s="287"/>
      <c r="D165" s="287"/>
      <c r="E165" s="287"/>
      <c r="F165" s="122"/>
    </row>
    <row r="166" spans="2:6">
      <c r="B166" s="122"/>
      <c r="C166" s="287"/>
      <c r="D166" s="287"/>
      <c r="E166" s="287"/>
      <c r="F166" s="122"/>
    </row>
    <row r="167" spans="2:6">
      <c r="B167" s="122"/>
      <c r="C167" s="287"/>
      <c r="D167" s="287"/>
      <c r="E167" s="287"/>
      <c r="F167" s="122"/>
    </row>
    <row r="168" spans="2:6">
      <c r="B168" s="122"/>
      <c r="C168" s="287"/>
      <c r="D168" s="287"/>
      <c r="E168" s="287"/>
      <c r="F168" s="122"/>
    </row>
    <row r="169" spans="2:6">
      <c r="B169" s="122"/>
      <c r="C169" s="287"/>
      <c r="D169" s="287"/>
      <c r="E169" s="287"/>
      <c r="F169" s="122"/>
    </row>
    <row r="170" spans="2:6">
      <c r="B170" s="122"/>
      <c r="C170" s="287"/>
      <c r="D170" s="287"/>
      <c r="E170" s="287"/>
      <c r="F170" s="122"/>
    </row>
    <row r="171" spans="2:6">
      <c r="B171" s="122"/>
      <c r="C171" s="287"/>
      <c r="D171" s="287"/>
      <c r="E171" s="287"/>
      <c r="F171" s="122"/>
    </row>
    <row r="172" spans="2:6">
      <c r="B172" s="122"/>
      <c r="C172" s="287"/>
      <c r="D172" s="287"/>
      <c r="E172" s="287"/>
      <c r="F172" s="122"/>
    </row>
    <row r="173" spans="2:6">
      <c r="B173" s="122"/>
      <c r="C173" s="287"/>
      <c r="D173" s="287"/>
      <c r="E173" s="287"/>
      <c r="F173" s="122"/>
    </row>
    <row r="174" spans="2:6">
      <c r="B174" s="122"/>
      <c r="C174" s="287"/>
      <c r="D174" s="287"/>
      <c r="E174" s="287"/>
      <c r="F174" s="122"/>
    </row>
    <row r="175" spans="2:6">
      <c r="B175" s="122"/>
      <c r="C175" s="287"/>
      <c r="D175" s="287"/>
      <c r="E175" s="287"/>
      <c r="F175" s="122"/>
    </row>
    <row r="176" spans="2:6">
      <c r="B176" s="122"/>
      <c r="C176" s="287"/>
      <c r="D176" s="287"/>
      <c r="E176" s="287"/>
      <c r="F176" s="122"/>
    </row>
    <row r="177" spans="2:6">
      <c r="B177" s="122"/>
      <c r="C177" s="287"/>
      <c r="D177" s="287"/>
      <c r="E177" s="287"/>
      <c r="F177" s="122"/>
    </row>
    <row r="178" spans="2:6">
      <c r="B178" s="122"/>
      <c r="C178" s="287"/>
      <c r="D178" s="287"/>
      <c r="E178" s="287"/>
      <c r="F178" s="122"/>
    </row>
    <row r="179" spans="2:6">
      <c r="B179" s="122"/>
      <c r="C179" s="287"/>
      <c r="D179" s="287"/>
      <c r="E179" s="287"/>
      <c r="F179" s="122"/>
    </row>
    <row r="180" spans="2:6">
      <c r="B180" s="122"/>
      <c r="C180" s="287"/>
      <c r="D180" s="287"/>
      <c r="E180" s="287"/>
      <c r="F180" s="122"/>
    </row>
    <row r="181" spans="2:6">
      <c r="B181" s="122"/>
      <c r="C181" s="287"/>
      <c r="D181" s="287"/>
      <c r="E181" s="287"/>
      <c r="F181" s="122"/>
    </row>
    <row r="182" spans="2:6">
      <c r="B182" s="122"/>
      <c r="C182" s="287"/>
      <c r="D182" s="287"/>
      <c r="E182" s="287"/>
      <c r="F182" s="122"/>
    </row>
    <row r="183" spans="2:6">
      <c r="B183" s="122"/>
      <c r="C183" s="287"/>
      <c r="D183" s="287"/>
      <c r="E183" s="287"/>
      <c r="F183" s="122"/>
    </row>
    <row r="184" spans="2:6">
      <c r="B184" s="122"/>
      <c r="C184" s="287"/>
      <c r="D184" s="287"/>
      <c r="E184" s="287"/>
      <c r="F184" s="122"/>
    </row>
    <row r="185" spans="2:6">
      <c r="B185" s="122"/>
      <c r="C185" s="287"/>
      <c r="D185" s="287"/>
      <c r="E185" s="287"/>
      <c r="F185" s="122"/>
    </row>
    <row r="186" spans="2:6">
      <c r="B186" s="122"/>
      <c r="C186" s="287"/>
      <c r="D186" s="287"/>
      <c r="E186" s="287"/>
      <c r="F186" s="122"/>
    </row>
    <row r="187" spans="2:6">
      <c r="B187" s="122"/>
      <c r="C187" s="287"/>
      <c r="D187" s="287"/>
      <c r="E187" s="287"/>
      <c r="F187" s="122"/>
    </row>
    <row r="188" spans="2:6">
      <c r="B188" s="122"/>
      <c r="C188" s="287"/>
      <c r="D188" s="287"/>
      <c r="E188" s="287"/>
      <c r="F188" s="122"/>
    </row>
    <row r="189" spans="2:6">
      <c r="B189" s="122"/>
      <c r="C189" s="287"/>
      <c r="D189" s="287"/>
      <c r="E189" s="287"/>
      <c r="F189" s="122"/>
    </row>
    <row r="190" spans="2:6">
      <c r="B190" s="122"/>
      <c r="C190" s="287"/>
      <c r="D190" s="287"/>
      <c r="E190" s="287"/>
      <c r="F190" s="122"/>
    </row>
    <row r="191" spans="2:6">
      <c r="B191" s="122"/>
      <c r="C191" s="287"/>
      <c r="D191" s="287"/>
      <c r="E191" s="287"/>
      <c r="F191" s="122"/>
    </row>
    <row r="192" spans="2:6">
      <c r="B192" s="122"/>
      <c r="C192" s="287"/>
      <c r="D192" s="287"/>
      <c r="E192" s="287"/>
      <c r="F192" s="122"/>
    </row>
    <row r="193" spans="2:6">
      <c r="B193" s="122"/>
      <c r="C193" s="287"/>
      <c r="D193" s="287"/>
      <c r="E193" s="287"/>
      <c r="F193" s="122"/>
    </row>
    <row r="194" spans="2:6">
      <c r="B194" s="122"/>
      <c r="C194" s="287"/>
      <c r="D194" s="287"/>
      <c r="E194" s="287"/>
      <c r="F194" s="122"/>
    </row>
    <row r="195" spans="2:6">
      <c r="B195" s="122"/>
      <c r="C195" s="287"/>
      <c r="D195" s="287"/>
      <c r="E195" s="287"/>
      <c r="F195" s="122"/>
    </row>
    <row r="196" spans="2:6">
      <c r="B196" s="122"/>
      <c r="C196" s="287"/>
      <c r="D196" s="287"/>
      <c r="E196" s="287"/>
      <c r="F196" s="122"/>
    </row>
    <row r="197" spans="2:6">
      <c r="B197" s="122"/>
      <c r="C197" s="287"/>
      <c r="D197" s="287"/>
      <c r="E197" s="287"/>
      <c r="F197" s="122"/>
    </row>
    <row r="198" spans="2:6">
      <c r="B198" s="122"/>
      <c r="C198" s="287"/>
      <c r="D198" s="287"/>
      <c r="E198" s="287"/>
      <c r="F198" s="122"/>
    </row>
    <row r="199" spans="2:6">
      <c r="B199" s="122"/>
      <c r="C199" s="287"/>
      <c r="D199" s="287"/>
      <c r="E199" s="287"/>
      <c r="F199" s="122"/>
    </row>
    <row r="200" spans="2:6">
      <c r="B200" s="122"/>
      <c r="C200" s="287"/>
      <c r="D200" s="287"/>
      <c r="E200" s="287"/>
      <c r="F200" s="122"/>
    </row>
    <row r="201" spans="2:6">
      <c r="B201" s="122"/>
      <c r="C201" s="287"/>
      <c r="D201" s="287"/>
      <c r="E201" s="287"/>
      <c r="F201" s="122"/>
    </row>
    <row r="202" spans="2:6">
      <c r="B202" s="122"/>
      <c r="C202" s="287"/>
      <c r="D202" s="287"/>
      <c r="E202" s="287"/>
      <c r="F202" s="122"/>
    </row>
    <row r="203" spans="2:6">
      <c r="B203" s="122"/>
      <c r="C203" s="287"/>
      <c r="D203" s="287"/>
      <c r="E203" s="287"/>
      <c r="F203" s="122"/>
    </row>
    <row r="204" spans="2:6">
      <c r="B204" s="122"/>
      <c r="C204" s="287"/>
      <c r="D204" s="287"/>
      <c r="E204" s="287"/>
      <c r="F204" s="122"/>
    </row>
    <row r="205" spans="2:6">
      <c r="B205" s="122"/>
      <c r="C205" s="287"/>
      <c r="D205" s="287"/>
      <c r="E205" s="287"/>
      <c r="F205" s="122"/>
    </row>
    <row r="206" spans="2:6">
      <c r="B206" s="122"/>
      <c r="C206" s="287"/>
      <c r="D206" s="287"/>
      <c r="E206" s="287"/>
      <c r="F206" s="122"/>
    </row>
    <row r="207" spans="2:6">
      <c r="B207" s="122"/>
      <c r="C207" s="287"/>
      <c r="D207" s="287"/>
      <c r="E207" s="287"/>
      <c r="F207" s="122"/>
    </row>
    <row r="208" spans="2:6">
      <c r="B208" s="122"/>
      <c r="C208" s="287"/>
      <c r="D208" s="287"/>
      <c r="E208" s="287"/>
      <c r="F208" s="122"/>
    </row>
    <row r="209" spans="2:6">
      <c r="B209" s="122"/>
      <c r="C209" s="287"/>
      <c r="D209" s="287"/>
      <c r="E209" s="287"/>
      <c r="F209" s="122"/>
    </row>
    <row r="210" spans="2:6">
      <c r="B210" s="122"/>
      <c r="C210" s="287"/>
      <c r="D210" s="287"/>
      <c r="E210" s="287"/>
      <c r="F210" s="122"/>
    </row>
    <row r="211" spans="2:6">
      <c r="B211" s="122"/>
      <c r="C211" s="287"/>
      <c r="D211" s="287"/>
      <c r="E211" s="287"/>
      <c r="F211" s="122"/>
    </row>
    <row r="212" spans="2:6">
      <c r="B212" s="122"/>
      <c r="C212" s="287"/>
      <c r="D212" s="287"/>
      <c r="E212" s="287"/>
      <c r="F212" s="122"/>
    </row>
    <row r="213" spans="2:6">
      <c r="B213" s="122"/>
      <c r="C213" s="287"/>
      <c r="D213" s="287"/>
      <c r="E213" s="287"/>
      <c r="F213" s="122"/>
    </row>
    <row r="214" spans="2:6">
      <c r="B214" s="122"/>
      <c r="C214" s="287"/>
      <c r="D214" s="287"/>
      <c r="E214" s="287"/>
      <c r="F214" s="122"/>
    </row>
    <row r="215" spans="2:6">
      <c r="B215" s="122"/>
      <c r="C215" s="287"/>
      <c r="D215" s="287"/>
      <c r="E215" s="287"/>
      <c r="F215" s="122"/>
    </row>
    <row r="216" spans="2:6">
      <c r="B216" s="122"/>
      <c r="C216" s="287"/>
      <c r="D216" s="287"/>
      <c r="E216" s="287"/>
      <c r="F216" s="122"/>
    </row>
    <row r="217" spans="2:6">
      <c r="B217" s="122"/>
      <c r="C217" s="287"/>
      <c r="D217" s="287"/>
      <c r="E217" s="287"/>
      <c r="F217" s="122"/>
    </row>
    <row r="218" spans="2:6">
      <c r="B218" s="122"/>
      <c r="C218" s="287"/>
      <c r="D218" s="287"/>
      <c r="E218" s="287"/>
      <c r="F218" s="122"/>
    </row>
    <row r="219" spans="2:6">
      <c r="B219" s="122"/>
      <c r="C219" s="287"/>
      <c r="D219" s="287"/>
      <c r="E219" s="287"/>
      <c r="F219" s="122"/>
    </row>
    <row r="220" spans="2:6">
      <c r="B220" s="122"/>
      <c r="C220" s="287"/>
      <c r="D220" s="287"/>
      <c r="E220" s="287"/>
      <c r="F220" s="122"/>
    </row>
    <row r="221" spans="2:6">
      <c r="B221" s="122"/>
      <c r="C221" s="287"/>
      <c r="D221" s="287"/>
      <c r="E221" s="287"/>
      <c r="F221" s="122"/>
    </row>
    <row r="222" spans="2:6">
      <c r="B222" s="122"/>
      <c r="C222" s="287"/>
      <c r="D222" s="287"/>
      <c r="E222" s="287"/>
      <c r="F222" s="122"/>
    </row>
    <row r="223" spans="2:6">
      <c r="B223" s="122"/>
      <c r="C223" s="287"/>
      <c r="D223" s="287"/>
      <c r="E223" s="287"/>
      <c r="F223" s="122"/>
    </row>
    <row r="224" spans="2:6">
      <c r="B224" s="122"/>
      <c r="C224" s="287"/>
      <c r="D224" s="287"/>
      <c r="E224" s="287"/>
      <c r="F224" s="122"/>
    </row>
    <row r="225" spans="2:6">
      <c r="B225" s="122"/>
      <c r="C225" s="287"/>
      <c r="D225" s="287"/>
      <c r="E225" s="287"/>
      <c r="F225" s="122"/>
    </row>
    <row r="226" spans="2:6">
      <c r="B226" s="122"/>
      <c r="C226" s="287"/>
      <c r="D226" s="287"/>
      <c r="E226" s="287"/>
      <c r="F226" s="122"/>
    </row>
    <row r="227" spans="2:6">
      <c r="B227" s="122"/>
      <c r="C227" s="287"/>
      <c r="D227" s="287"/>
      <c r="E227" s="287"/>
      <c r="F227" s="122"/>
    </row>
    <row r="228" spans="2:6">
      <c r="B228" s="122"/>
      <c r="C228" s="287"/>
      <c r="D228" s="287"/>
      <c r="E228" s="287"/>
      <c r="F228" s="122"/>
    </row>
    <row r="229" spans="2:6">
      <c r="B229" s="122"/>
      <c r="C229" s="287"/>
      <c r="D229" s="287"/>
      <c r="E229" s="287"/>
      <c r="F229" s="122"/>
    </row>
    <row r="230" spans="2:6">
      <c r="B230" s="122"/>
      <c r="C230" s="287"/>
      <c r="D230" s="287"/>
      <c r="E230" s="287"/>
      <c r="F230" s="122"/>
    </row>
    <row r="231" spans="2:6">
      <c r="B231" s="122"/>
      <c r="C231" s="287"/>
      <c r="D231" s="287"/>
      <c r="E231" s="287"/>
      <c r="F231" s="122"/>
    </row>
    <row r="232" spans="2:6">
      <c r="B232" s="122"/>
      <c r="C232" s="287"/>
      <c r="D232" s="287"/>
      <c r="E232" s="287"/>
      <c r="F232" s="122"/>
    </row>
    <row r="233" spans="2:6">
      <c r="B233" s="122"/>
      <c r="C233" s="287"/>
      <c r="D233" s="287"/>
      <c r="E233" s="287"/>
      <c r="F233" s="122"/>
    </row>
    <row r="234" spans="2:6">
      <c r="B234" s="122"/>
      <c r="C234" s="287"/>
      <c r="D234" s="287"/>
      <c r="E234" s="287"/>
      <c r="F234" s="122"/>
    </row>
    <row r="235" spans="2:6">
      <c r="B235" s="122"/>
      <c r="C235" s="287"/>
      <c r="D235" s="287"/>
      <c r="E235" s="287"/>
      <c r="F235" s="122"/>
    </row>
    <row r="236" spans="2:6">
      <c r="B236" s="122"/>
      <c r="C236" s="287"/>
      <c r="D236" s="287"/>
      <c r="E236" s="287"/>
      <c r="F236" s="122"/>
    </row>
    <row r="237" spans="2:6">
      <c r="B237" s="122"/>
      <c r="C237" s="287"/>
      <c r="D237" s="287"/>
      <c r="E237" s="287"/>
      <c r="F237" s="122"/>
    </row>
    <row r="238" spans="2:6">
      <c r="B238" s="122"/>
      <c r="C238" s="287"/>
      <c r="D238" s="287"/>
      <c r="E238" s="287"/>
      <c r="F238" s="122"/>
    </row>
    <row r="239" spans="2:6">
      <c r="B239" s="122"/>
      <c r="C239" s="287"/>
      <c r="D239" s="287"/>
      <c r="E239" s="287"/>
      <c r="F239" s="122"/>
    </row>
    <row r="240" spans="2:6">
      <c r="B240" s="122"/>
      <c r="C240" s="287"/>
      <c r="D240" s="287"/>
      <c r="E240" s="287"/>
      <c r="F240" s="122"/>
    </row>
    <row r="241" spans="2:6">
      <c r="B241" s="122"/>
      <c r="C241" s="287"/>
      <c r="D241" s="287"/>
      <c r="E241" s="287"/>
      <c r="F241" s="122"/>
    </row>
    <row r="242" spans="2:6">
      <c r="B242" s="122"/>
      <c r="C242" s="287"/>
      <c r="D242" s="287"/>
      <c r="E242" s="287"/>
      <c r="F242" s="122"/>
    </row>
    <row r="243" spans="2:6">
      <c r="B243" s="122"/>
      <c r="C243" s="287"/>
      <c r="D243" s="287"/>
      <c r="E243" s="287"/>
      <c r="F243" s="122"/>
    </row>
    <row r="244" spans="2:6">
      <c r="B244" s="122"/>
      <c r="C244" s="287"/>
      <c r="D244" s="287"/>
      <c r="E244" s="287"/>
      <c r="F244" s="122"/>
    </row>
    <row r="245" spans="2:6">
      <c r="B245" s="122"/>
      <c r="C245" s="287"/>
      <c r="D245" s="287"/>
      <c r="E245" s="287"/>
      <c r="F245" s="122"/>
    </row>
    <row r="246" spans="2:6">
      <c r="B246" s="122"/>
      <c r="C246" s="287"/>
      <c r="D246" s="287"/>
      <c r="E246" s="287"/>
      <c r="F246" s="122"/>
    </row>
    <row r="247" spans="2:6">
      <c r="B247" s="122"/>
      <c r="C247" s="287"/>
      <c r="D247" s="287"/>
      <c r="E247" s="287"/>
      <c r="F247" s="122"/>
    </row>
    <row r="248" spans="2:6">
      <c r="B248" s="122"/>
      <c r="C248" s="287"/>
      <c r="D248" s="287"/>
      <c r="E248" s="287"/>
      <c r="F248" s="122"/>
    </row>
    <row r="249" spans="2:6">
      <c r="B249" s="122"/>
      <c r="C249" s="287"/>
      <c r="D249" s="287"/>
      <c r="E249" s="287"/>
      <c r="F249" s="122"/>
    </row>
    <row r="250" spans="2:6">
      <c r="B250" s="122"/>
      <c r="C250" s="287"/>
      <c r="D250" s="287"/>
      <c r="E250" s="287"/>
      <c r="F250" s="122"/>
    </row>
    <row r="251" spans="2:6">
      <c r="B251" s="122"/>
      <c r="C251" s="287"/>
      <c r="D251" s="287"/>
      <c r="E251" s="287"/>
      <c r="F251" s="122"/>
    </row>
    <row r="252" spans="2:6">
      <c r="B252" s="122"/>
      <c r="C252" s="287"/>
      <c r="D252" s="287"/>
      <c r="E252" s="287"/>
      <c r="F252" s="122"/>
    </row>
    <row r="253" spans="2:6">
      <c r="B253" s="122"/>
      <c r="C253" s="287"/>
      <c r="D253" s="287"/>
      <c r="E253" s="287"/>
      <c r="F253" s="122"/>
    </row>
    <row r="254" spans="2:6">
      <c r="B254" s="122"/>
      <c r="C254" s="287"/>
      <c r="D254" s="287"/>
      <c r="E254" s="287"/>
      <c r="F254" s="122"/>
    </row>
    <row r="255" spans="2:6">
      <c r="B255" s="122"/>
      <c r="C255" s="287"/>
      <c r="D255" s="287"/>
      <c r="E255" s="287"/>
      <c r="F255" s="122"/>
    </row>
    <row r="256" spans="2:6">
      <c r="B256" s="122"/>
      <c r="C256" s="287"/>
      <c r="D256" s="287"/>
      <c r="E256" s="287"/>
      <c r="F256" s="122"/>
    </row>
    <row r="257" spans="2:6">
      <c r="B257" s="122"/>
      <c r="C257" s="287"/>
      <c r="D257" s="287"/>
      <c r="E257" s="287"/>
      <c r="F257" s="122"/>
    </row>
    <row r="258" spans="2:6">
      <c r="B258" s="122"/>
      <c r="C258" s="287"/>
      <c r="D258" s="287"/>
      <c r="E258" s="287"/>
      <c r="F258" s="122"/>
    </row>
    <row r="259" spans="2:6">
      <c r="B259" s="122"/>
      <c r="C259" s="287"/>
      <c r="D259" s="287"/>
      <c r="E259" s="287"/>
      <c r="F259" s="122"/>
    </row>
    <row r="260" spans="2:6">
      <c r="B260" s="122"/>
      <c r="C260" s="287"/>
      <c r="D260" s="287"/>
      <c r="E260" s="287"/>
      <c r="F260" s="122"/>
    </row>
    <row r="261" spans="2:6">
      <c r="B261" s="122"/>
      <c r="C261" s="287"/>
      <c r="D261" s="287"/>
      <c r="E261" s="287"/>
      <c r="F261" s="122"/>
    </row>
    <row r="262" spans="2:6">
      <c r="B262" s="122"/>
      <c r="C262" s="287"/>
      <c r="D262" s="287"/>
      <c r="E262" s="287"/>
      <c r="F262" s="122"/>
    </row>
    <row r="263" spans="2:6">
      <c r="B263" s="122"/>
      <c r="C263" s="287"/>
      <c r="D263" s="287"/>
      <c r="E263" s="287"/>
      <c r="F263" s="122"/>
    </row>
    <row r="264" spans="2:6">
      <c r="B264" s="122"/>
      <c r="C264" s="287"/>
      <c r="D264" s="287"/>
      <c r="E264" s="287"/>
      <c r="F264" s="122"/>
    </row>
    <row r="265" spans="2:6">
      <c r="B265" s="122"/>
      <c r="C265" s="287"/>
      <c r="D265" s="287"/>
      <c r="E265" s="287"/>
      <c r="F265" s="122"/>
    </row>
    <row r="266" spans="2:6">
      <c r="B266" s="122"/>
      <c r="C266" s="287"/>
      <c r="D266" s="287"/>
      <c r="E266" s="287"/>
      <c r="F266" s="122"/>
    </row>
    <row r="267" spans="2:6">
      <c r="B267" s="122"/>
      <c r="C267" s="287"/>
      <c r="D267" s="287"/>
      <c r="E267" s="287"/>
      <c r="F267" s="122"/>
    </row>
    <row r="268" spans="2:6">
      <c r="B268" s="122"/>
      <c r="C268" s="287"/>
      <c r="D268" s="287"/>
      <c r="E268" s="287"/>
      <c r="F268" s="122"/>
    </row>
    <row r="269" spans="2:6">
      <c r="B269" s="122"/>
      <c r="C269" s="287"/>
      <c r="D269" s="287"/>
      <c r="E269" s="287"/>
      <c r="F269" s="122"/>
    </row>
  </sheetData>
  <printOptions horizontalCentered="1" verticalCentered="1"/>
  <pageMargins left="0.25" right="0.25" top="0.25" bottom="0" header="0.5" footer="0.5"/>
  <pageSetup scale="54" fitToWidth="2" orientation="portrait" r:id="rId1"/>
  <headerFooter alignWithMargins="0"/>
  <colBreaks count="1" manualBreakCount="1">
    <brk id="6" max="92"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pageSetUpPr fitToPage="1"/>
  </sheetPr>
  <dimension ref="A1:AA268"/>
  <sheetViews>
    <sheetView zoomScale="90" zoomScaleNormal="90" zoomScaleSheetLayoutView="65" workbookViewId="0">
      <pane xSplit="1" ySplit="6" topLeftCell="B7" activePane="bottomRight" state="frozen"/>
      <selection activeCell="C9" sqref="C9"/>
      <selection pane="topRight" activeCell="C9" sqref="C9"/>
      <selection pane="bottomLeft" activeCell="C9" sqref="C9"/>
      <selection pane="bottomRight" activeCell="C6" sqref="C6"/>
    </sheetView>
  </sheetViews>
  <sheetFormatPr defaultRowHeight="15"/>
  <cols>
    <col min="1" max="1" width="38.5703125" style="40" customWidth="1"/>
    <col min="2" max="2" width="12.7109375" style="11" hidden="1" customWidth="1"/>
    <col min="3" max="3" width="12.28515625" style="11" bestFit="1" customWidth="1"/>
    <col min="4" max="4" width="11.85546875" style="11" hidden="1" customWidth="1"/>
    <col min="5" max="5" width="11.42578125" style="11" customWidth="1"/>
    <col min="6" max="6" width="12.85546875" style="11" customWidth="1"/>
    <col min="7" max="7" width="12.85546875" style="225" hidden="1" customWidth="1"/>
    <col min="8" max="8" width="12.28515625" style="11" customWidth="1"/>
    <col min="9" max="9" width="11.85546875" style="11" customWidth="1"/>
    <col min="10" max="10" width="12.5703125" style="11" hidden="1" customWidth="1"/>
    <col min="11" max="11" width="12.28515625" style="11" customWidth="1"/>
    <col min="12" max="12" width="12" style="11" customWidth="1"/>
    <col min="13" max="13" width="12" style="11" hidden="1" customWidth="1"/>
    <col min="14" max="14" width="12.28515625" style="11" customWidth="1"/>
    <col min="15" max="15" width="12.42578125" style="11" customWidth="1"/>
    <col min="16" max="16" width="12.42578125" style="11" hidden="1" customWidth="1"/>
    <col min="17" max="17" width="12.28515625" style="11" customWidth="1"/>
    <col min="18" max="18" width="8.28515625" style="11" customWidth="1"/>
    <col min="19" max="19" width="14.7109375" style="11" customWidth="1"/>
    <col min="20" max="20" width="16.28515625" style="11" customWidth="1"/>
    <col min="21" max="21" width="12.140625" style="11" bestFit="1" customWidth="1"/>
    <col min="22" max="16384" width="9.140625" style="11"/>
  </cols>
  <sheetData>
    <row r="1" spans="1:27" s="4" customFormat="1">
      <c r="A1" s="6" t="s">
        <v>0</v>
      </c>
      <c r="B1" s="11"/>
      <c r="C1" s="11"/>
      <c r="D1" s="11"/>
      <c r="E1" s="11"/>
      <c r="F1" s="11"/>
      <c r="G1" s="225"/>
      <c r="H1" s="11"/>
      <c r="I1" s="11"/>
      <c r="J1" s="11"/>
      <c r="K1" s="11"/>
      <c r="L1" s="11"/>
      <c r="M1" s="11"/>
      <c r="N1" s="11"/>
      <c r="O1" s="11"/>
      <c r="P1" s="11"/>
      <c r="Q1" s="197">
        <f ca="1">TODAY()</f>
        <v>42382</v>
      </c>
    </row>
    <row r="2" spans="1:27" s="4" customFormat="1">
      <c r="A2" s="6" t="str">
        <f>'2016-2020 Summary'!A2</f>
        <v>2016 Budget - 40990 Corporate</v>
      </c>
      <c r="B2" s="11"/>
      <c r="C2" s="11"/>
      <c r="D2" s="11"/>
      <c r="E2" s="11"/>
      <c r="F2" s="11"/>
      <c r="G2" s="225"/>
      <c r="H2" s="11"/>
      <c r="I2" s="11"/>
      <c r="J2" s="11"/>
      <c r="K2" s="11"/>
      <c r="L2" s="11"/>
      <c r="M2" s="11"/>
      <c r="N2" s="11"/>
      <c r="O2" s="11"/>
      <c r="P2" s="11"/>
      <c r="Q2" s="11"/>
    </row>
    <row r="3" spans="1:27" s="4" customFormat="1">
      <c r="A3" s="6" t="s">
        <v>165</v>
      </c>
      <c r="B3" s="11"/>
      <c r="C3" s="11"/>
      <c r="D3" s="11"/>
      <c r="E3" s="11"/>
      <c r="F3" s="11"/>
      <c r="G3" s="225"/>
      <c r="H3" s="11"/>
      <c r="I3" s="11"/>
      <c r="J3" s="11"/>
      <c r="K3" s="11"/>
      <c r="L3" s="11"/>
      <c r="M3" s="11"/>
      <c r="N3" s="11"/>
      <c r="O3" s="11"/>
      <c r="P3" s="11"/>
      <c r="Q3" s="11"/>
    </row>
    <row r="4" spans="1:27" s="4" customFormat="1">
      <c r="A4" s="123" t="s">
        <v>526</v>
      </c>
      <c r="B4" s="224"/>
      <c r="C4" s="11"/>
      <c r="D4" s="11"/>
      <c r="E4" s="39"/>
      <c r="F4" s="11"/>
      <c r="G4" s="225"/>
      <c r="H4" s="39"/>
      <c r="I4" s="11"/>
      <c r="J4" s="11"/>
      <c r="K4" s="39"/>
      <c r="L4" s="11"/>
      <c r="M4" s="11"/>
      <c r="N4" s="39"/>
      <c r="O4" s="11"/>
      <c r="P4" s="11"/>
      <c r="Q4" s="39"/>
    </row>
    <row r="5" spans="1:27" s="4" customFormat="1">
      <c r="A5" s="124"/>
      <c r="B5" s="327">
        <f>Comparison!C6-1</f>
        <v>2015</v>
      </c>
      <c r="C5" s="118" t="str">
        <f>'2016-2020 Summary'!F5</f>
        <v>2016 Budget</v>
      </c>
      <c r="D5" s="275" t="s">
        <v>509</v>
      </c>
      <c r="E5" s="312"/>
      <c r="F5" s="118" t="str">
        <f>C5</f>
        <v>2016 Budget</v>
      </c>
      <c r="G5" s="275" t="str">
        <f>D5</f>
        <v>2014 Budget</v>
      </c>
      <c r="H5" s="312"/>
      <c r="I5" s="118" t="str">
        <f>C5</f>
        <v>2016 Budget</v>
      </c>
      <c r="J5" s="275" t="str">
        <f>G5</f>
        <v>2014 Budget</v>
      </c>
      <c r="K5" s="312"/>
      <c r="L5" s="118" t="str">
        <f>C5</f>
        <v>2016 Budget</v>
      </c>
      <c r="M5" s="275" t="str">
        <f>J5</f>
        <v>2014 Budget</v>
      </c>
      <c r="N5" s="312"/>
      <c r="O5" s="118" t="str">
        <f>C5</f>
        <v>2016 Budget</v>
      </c>
      <c r="P5" s="297" t="str">
        <f>M5</f>
        <v>2014 Budget</v>
      </c>
      <c r="Q5" s="119"/>
      <c r="S5" s="354" t="s">
        <v>711</v>
      </c>
      <c r="U5" s="390" t="s">
        <v>552</v>
      </c>
      <c r="V5" s="390"/>
      <c r="W5" s="390"/>
      <c r="X5" s="390"/>
      <c r="Y5" s="390"/>
      <c r="Z5" s="390"/>
      <c r="AA5" s="390"/>
    </row>
    <row r="6" spans="1:27" s="4" customFormat="1">
      <c r="A6" s="120" t="s">
        <v>1</v>
      </c>
      <c r="B6" s="328" t="s">
        <v>2</v>
      </c>
      <c r="C6" s="321">
        <f>'2016-2020 Summary'!F6</f>
        <v>2016</v>
      </c>
      <c r="D6" s="273">
        <f>C6</f>
        <v>2016</v>
      </c>
      <c r="E6" s="313" t="s">
        <v>49</v>
      </c>
      <c r="F6" s="321">
        <f>C6+1</f>
        <v>2017</v>
      </c>
      <c r="G6" s="273">
        <f>F6</f>
        <v>2017</v>
      </c>
      <c r="H6" s="313" t="s">
        <v>49</v>
      </c>
      <c r="I6" s="321">
        <f>F6+1</f>
        <v>2018</v>
      </c>
      <c r="J6" s="273">
        <f>I6</f>
        <v>2018</v>
      </c>
      <c r="K6" s="313" t="s">
        <v>49</v>
      </c>
      <c r="L6" s="321">
        <f>I6+1</f>
        <v>2019</v>
      </c>
      <c r="M6" s="273">
        <f>L6</f>
        <v>2019</v>
      </c>
      <c r="N6" s="313" t="s">
        <v>49</v>
      </c>
      <c r="O6" s="321">
        <f>L6+1</f>
        <v>2020</v>
      </c>
      <c r="P6" s="295">
        <f>O6</f>
        <v>2020</v>
      </c>
      <c r="Q6" s="121" t="s">
        <v>49</v>
      </c>
      <c r="S6" s="262" t="s">
        <v>712</v>
      </c>
    </row>
    <row r="7" spans="1:27">
      <c r="A7" s="132"/>
      <c r="B7" s="329"/>
      <c r="C7" s="322"/>
      <c r="D7" s="281"/>
      <c r="E7" s="323"/>
      <c r="F7" s="322"/>
      <c r="G7" s="281"/>
      <c r="H7" s="323"/>
      <c r="I7" s="322"/>
      <c r="J7" s="281"/>
      <c r="K7" s="323"/>
      <c r="L7" s="322"/>
      <c r="M7" s="281"/>
      <c r="N7" s="323"/>
      <c r="O7" s="322"/>
      <c r="P7" s="298"/>
      <c r="Q7" s="134"/>
      <c r="S7" s="257"/>
    </row>
    <row r="8" spans="1:27">
      <c r="A8" s="392" t="s">
        <v>377</v>
      </c>
      <c r="B8" s="330"/>
      <c r="C8" s="33"/>
      <c r="D8" s="280"/>
      <c r="E8" s="314"/>
      <c r="F8" s="33"/>
      <c r="G8" s="280"/>
      <c r="H8" s="314"/>
      <c r="I8" s="33"/>
      <c r="J8" s="280"/>
      <c r="K8" s="314"/>
      <c r="L8" s="33"/>
      <c r="M8" s="280"/>
      <c r="N8" s="314"/>
      <c r="O8" s="33"/>
      <c r="P8" s="303"/>
      <c r="Q8" s="34"/>
      <c r="S8" s="257"/>
    </row>
    <row r="9" spans="1:27" s="33" customFormat="1">
      <c r="A9" s="391" t="s">
        <v>69</v>
      </c>
      <c r="B9" s="331">
        <v>2979418.8527670205</v>
      </c>
      <c r="C9" s="140">
        <f>Uncollectibles!B20</f>
        <v>3891539.919958456</v>
      </c>
      <c r="D9" s="242">
        <v>2978120.5715368511</v>
      </c>
      <c r="E9" s="315">
        <f>C9-D9</f>
        <v>913419.34842160484</v>
      </c>
      <c r="F9" s="140">
        <f>Uncollectibles!C20</f>
        <v>3994413.956872128</v>
      </c>
      <c r="G9" s="242">
        <v>3155250.8481405112</v>
      </c>
      <c r="H9" s="315">
        <f>F9-G9</f>
        <v>839163.10873161675</v>
      </c>
      <c r="I9" s="140">
        <f>Uncollectibles!D20</f>
        <v>4038910.7688137162</v>
      </c>
      <c r="J9" s="242">
        <v>3276576.2281007017</v>
      </c>
      <c r="K9" s="315">
        <f>I9-J9</f>
        <v>762334.54071301455</v>
      </c>
      <c r="L9" s="140">
        <f>Uncollectibles!E20</f>
        <v>4086815.1662378712</v>
      </c>
      <c r="M9" s="242">
        <v>3371735.0720680365</v>
      </c>
      <c r="N9" s="315">
        <f>L9-M9</f>
        <v>715080.09416983463</v>
      </c>
      <c r="O9" s="140">
        <f>Uncollectibles!F20</f>
        <v>4149592.6178543377</v>
      </c>
      <c r="P9" s="304">
        <f>M9*1.02</f>
        <v>3439169.7735093972</v>
      </c>
      <c r="Q9" s="141">
        <f>O9-P9</f>
        <v>710422.8443449405</v>
      </c>
      <c r="R9" s="223"/>
      <c r="S9" s="278">
        <f>C9-D9</f>
        <v>913419.34842160484</v>
      </c>
    </row>
    <row r="10" spans="1:27" s="33" customFormat="1">
      <c r="A10" s="133"/>
      <c r="B10" s="331"/>
      <c r="C10" s="140"/>
      <c r="D10" s="242"/>
      <c r="E10" s="315"/>
      <c r="F10" s="140"/>
      <c r="G10" s="242"/>
      <c r="H10" s="315"/>
      <c r="I10" s="140"/>
      <c r="J10" s="242"/>
      <c r="K10" s="315"/>
      <c r="L10" s="140"/>
      <c r="M10" s="242"/>
      <c r="N10" s="315"/>
      <c r="O10" s="140"/>
      <c r="P10" s="304"/>
      <c r="Q10" s="141"/>
      <c r="R10" s="223"/>
      <c r="S10" s="278"/>
    </row>
    <row r="11" spans="1:27" s="33" customFormat="1">
      <c r="A11" s="47" t="s">
        <v>4</v>
      </c>
      <c r="B11" s="331"/>
      <c r="C11" s="140"/>
      <c r="D11" s="242"/>
      <c r="E11" s="315"/>
      <c r="F11" s="140"/>
      <c r="G11" s="242"/>
      <c r="H11" s="315"/>
      <c r="I11" s="140"/>
      <c r="J11" s="242"/>
      <c r="K11" s="315"/>
      <c r="L11" s="140"/>
      <c r="M11" s="242"/>
      <c r="N11" s="315"/>
      <c r="O11" s="140"/>
      <c r="P11" s="304"/>
      <c r="Q11" s="141"/>
      <c r="R11" s="223"/>
      <c r="S11" s="278"/>
    </row>
    <row r="12" spans="1:27" s="33" customFormat="1">
      <c r="A12" s="227" t="s">
        <v>57</v>
      </c>
      <c r="B12" s="331">
        <v>-303951.91268136725</v>
      </c>
      <c r="C12" s="140">
        <f>'Admin Exp Trans'!C17</f>
        <v>-385178</v>
      </c>
      <c r="D12" s="242">
        <v>-313066.88251661963</v>
      </c>
      <c r="E12" s="315">
        <f>C12-D12</f>
        <v>-72111.117483380367</v>
      </c>
      <c r="F12" s="140">
        <f>'Admin Exp Trans'!D17</f>
        <v>-396758</v>
      </c>
      <c r="G12" s="242">
        <v>-322466.27216011652</v>
      </c>
      <c r="H12" s="315">
        <f>F12-G12</f>
        <v>-74291.727839883475</v>
      </c>
      <c r="I12" s="140">
        <f>'Admin Exp Trans'!E17</f>
        <v>-408683</v>
      </c>
      <c r="J12" s="242">
        <v>-332140.26032492</v>
      </c>
      <c r="K12" s="315">
        <f>I12-J12</f>
        <v>-76542.739675079996</v>
      </c>
      <c r="L12" s="140">
        <f>'Admin Exp Trans'!F17</f>
        <v>-420947</v>
      </c>
      <c r="M12" s="242">
        <v>-342096.62012241216</v>
      </c>
      <c r="N12" s="315">
        <f>L12-M12</f>
        <v>-78850.379877587839</v>
      </c>
      <c r="O12" s="140">
        <f>'Admin Exp Trans'!G17</f>
        <v>-433568</v>
      </c>
      <c r="P12" s="304">
        <f>M12*1.02</f>
        <v>-348938.55252486042</v>
      </c>
      <c r="Q12" s="141">
        <f>O12-P12</f>
        <v>-84629.447475139576</v>
      </c>
      <c r="R12" s="223"/>
      <c r="S12" s="278">
        <f>C12-D12</f>
        <v>-72111.117483380367</v>
      </c>
    </row>
    <row r="13" spans="1:27" s="33" customFormat="1">
      <c r="A13" s="45"/>
      <c r="B13" s="331"/>
      <c r="C13" s="140"/>
      <c r="D13" s="242"/>
      <c r="E13" s="315"/>
      <c r="F13" s="140"/>
      <c r="G13" s="242"/>
      <c r="H13" s="315"/>
      <c r="I13" s="140"/>
      <c r="J13" s="242"/>
      <c r="K13" s="315"/>
      <c r="L13" s="140"/>
      <c r="M13" s="242"/>
      <c r="N13" s="315"/>
      <c r="O13" s="140"/>
      <c r="P13" s="304"/>
      <c r="Q13" s="141"/>
      <c r="R13" s="223"/>
      <c r="S13" s="278"/>
    </row>
    <row r="14" spans="1:27" s="33" customFormat="1">
      <c r="A14" s="47" t="s">
        <v>41</v>
      </c>
      <c r="B14" s="331"/>
      <c r="C14" s="140"/>
      <c r="D14" s="242"/>
      <c r="E14" s="315"/>
      <c r="F14" s="140"/>
      <c r="G14" s="242"/>
      <c r="H14" s="315"/>
      <c r="I14" s="140"/>
      <c r="J14" s="242"/>
      <c r="K14" s="315"/>
      <c r="L14" s="140"/>
      <c r="M14" s="242"/>
      <c r="N14" s="315"/>
      <c r="O14" s="140"/>
      <c r="P14" s="304"/>
      <c r="Q14" s="141"/>
      <c r="R14" s="223"/>
      <c r="S14" s="278"/>
    </row>
    <row r="15" spans="1:27" s="33" customFormat="1">
      <c r="A15" s="45" t="s">
        <v>80</v>
      </c>
      <c r="B15" s="331">
        <v>3500000</v>
      </c>
      <c r="C15" s="140">
        <f>'Prop Dam Res'!B9</f>
        <v>3500000</v>
      </c>
      <c r="D15" s="242">
        <v>3500000</v>
      </c>
      <c r="E15" s="315">
        <f>C15-D15</f>
        <v>0</v>
      </c>
      <c r="F15" s="140">
        <f>'Prop Dam Res'!C9</f>
        <v>3500000</v>
      </c>
      <c r="G15" s="242">
        <v>3500000</v>
      </c>
      <c r="H15" s="315">
        <f>F15-G15</f>
        <v>0</v>
      </c>
      <c r="I15" s="140">
        <f>'Prop Dam Res'!D9</f>
        <v>3500000</v>
      </c>
      <c r="J15" s="242">
        <v>3500000</v>
      </c>
      <c r="K15" s="315">
        <f>I15-J15</f>
        <v>0</v>
      </c>
      <c r="L15" s="140">
        <f>'Prop Dam Res'!E9</f>
        <v>3500000</v>
      </c>
      <c r="M15" s="242">
        <v>3500000</v>
      </c>
      <c r="N15" s="315">
        <f>L15-M15</f>
        <v>0</v>
      </c>
      <c r="O15" s="140">
        <f>'Prop Dam Res'!F9</f>
        <v>3500000</v>
      </c>
      <c r="P15" s="304">
        <f>M15*1.02</f>
        <v>3570000</v>
      </c>
      <c r="Q15" s="141">
        <f>O15-P15</f>
        <v>-70000</v>
      </c>
      <c r="R15" s="223"/>
      <c r="S15" s="278">
        <f>C15-D15</f>
        <v>0</v>
      </c>
    </row>
    <row r="16" spans="1:27" s="33" customFormat="1">
      <c r="A16" s="45"/>
      <c r="B16" s="331"/>
      <c r="C16" s="140"/>
      <c r="D16" s="242"/>
      <c r="E16" s="315"/>
      <c r="F16" s="140"/>
      <c r="G16" s="242"/>
      <c r="H16" s="315"/>
      <c r="I16" s="140"/>
      <c r="J16" s="242"/>
      <c r="K16" s="315"/>
      <c r="L16" s="140"/>
      <c r="M16" s="242"/>
      <c r="N16" s="315"/>
      <c r="O16" s="140"/>
      <c r="P16" s="304"/>
      <c r="Q16" s="141"/>
      <c r="R16" s="223"/>
      <c r="S16" s="278"/>
    </row>
    <row r="17" spans="1:19" s="33" customFormat="1">
      <c r="A17" s="47" t="s">
        <v>40</v>
      </c>
      <c r="B17" s="331"/>
      <c r="C17" s="140"/>
      <c r="D17" s="242"/>
      <c r="E17" s="315"/>
      <c r="F17" s="140"/>
      <c r="G17" s="242"/>
      <c r="H17" s="315"/>
      <c r="I17" s="140"/>
      <c r="J17" s="242"/>
      <c r="K17" s="315"/>
      <c r="L17" s="140"/>
      <c r="M17" s="242"/>
      <c r="N17" s="315"/>
      <c r="O17" s="140"/>
      <c r="P17" s="304"/>
      <c r="Q17" s="141"/>
      <c r="R17" s="223"/>
      <c r="S17" s="278"/>
    </row>
    <row r="18" spans="1:19" s="33" customFormat="1">
      <c r="A18" s="45" t="s">
        <v>81</v>
      </c>
      <c r="B18" s="331">
        <v>1600000</v>
      </c>
      <c r="C18" s="140">
        <f>'I&amp;D Ins'!B9</f>
        <v>1600000</v>
      </c>
      <c r="D18" s="242">
        <v>1600000</v>
      </c>
      <c r="E18" s="315">
        <f>C18-D18</f>
        <v>0</v>
      </c>
      <c r="F18" s="140">
        <f>'I&amp;D Ins'!C9</f>
        <v>1600000</v>
      </c>
      <c r="G18" s="242">
        <v>1600000</v>
      </c>
      <c r="H18" s="315">
        <f>F18-G18</f>
        <v>0</v>
      </c>
      <c r="I18" s="140">
        <f>'I&amp;D Ins'!D9</f>
        <v>1600000</v>
      </c>
      <c r="J18" s="242">
        <v>1600000</v>
      </c>
      <c r="K18" s="315">
        <f>I18-J18</f>
        <v>0</v>
      </c>
      <c r="L18" s="140">
        <f>'I&amp;D Ins'!E9</f>
        <v>1600000</v>
      </c>
      <c r="M18" s="242">
        <v>1600000</v>
      </c>
      <c r="N18" s="315">
        <f>L18-M18</f>
        <v>0</v>
      </c>
      <c r="O18" s="140">
        <f>'I&amp;D Ins'!F9</f>
        <v>1600000</v>
      </c>
      <c r="P18" s="304">
        <f>M18*1.02</f>
        <v>1632000</v>
      </c>
      <c r="Q18" s="141">
        <f>O18-P18</f>
        <v>-32000</v>
      </c>
      <c r="R18" s="223"/>
      <c r="S18" s="278">
        <f>C18-D18</f>
        <v>0</v>
      </c>
    </row>
    <row r="19" spans="1:19" s="33" customFormat="1">
      <c r="A19" s="45"/>
      <c r="B19" s="331"/>
      <c r="C19" s="140"/>
      <c r="D19" s="242"/>
      <c r="E19" s="315"/>
      <c r="F19" s="140"/>
      <c r="G19" s="242"/>
      <c r="H19" s="315"/>
      <c r="I19" s="140"/>
      <c r="J19" s="242"/>
      <c r="K19" s="315"/>
      <c r="L19" s="140"/>
      <c r="M19" s="242"/>
      <c r="N19" s="315"/>
      <c r="O19" s="140"/>
      <c r="P19" s="304"/>
      <c r="Q19" s="30"/>
      <c r="R19" s="223"/>
      <c r="S19" s="278"/>
    </row>
    <row r="20" spans="1:19">
      <c r="A20" s="47" t="s">
        <v>42</v>
      </c>
      <c r="B20" s="331"/>
      <c r="C20" s="140"/>
      <c r="D20" s="280"/>
      <c r="E20" s="315"/>
      <c r="F20" s="140"/>
      <c r="G20" s="280"/>
      <c r="H20" s="315"/>
      <c r="I20" s="140"/>
      <c r="J20" s="280"/>
      <c r="K20" s="315"/>
      <c r="L20" s="140"/>
      <c r="M20" s="280"/>
      <c r="N20" s="315"/>
      <c r="O20" s="140"/>
      <c r="P20" s="303"/>
      <c r="Q20" s="141"/>
      <c r="R20" s="223"/>
      <c r="S20" s="278"/>
    </row>
    <row r="21" spans="1:19">
      <c r="A21" s="389" t="s">
        <v>82</v>
      </c>
      <c r="B21" s="331">
        <v>4388732.2666666666</v>
      </c>
      <c r="C21" s="140">
        <f>'Corp Ins 924'!O9</f>
        <v>3977003.3199999994</v>
      </c>
      <c r="D21" s="242">
        <v>4969433.0000000009</v>
      </c>
      <c r="E21" s="315">
        <f>C21-D21</f>
        <v>-992429.68000000156</v>
      </c>
      <c r="F21" s="140">
        <f>'Corp Ins 924'!O14</f>
        <v>4510403.32</v>
      </c>
      <c r="G21" s="242">
        <v>5217552.6666666679</v>
      </c>
      <c r="H21" s="315">
        <f>F21-G21</f>
        <v>-707149.34666666761</v>
      </c>
      <c r="I21" s="140">
        <f>'Corp Ins 924'!O19</f>
        <v>4624085.9000000004</v>
      </c>
      <c r="J21" s="242">
        <v>5478036.666666666</v>
      </c>
      <c r="K21" s="315">
        <f>I21-J21</f>
        <v>-853950.76666666567</v>
      </c>
      <c r="L21" s="140">
        <f>'Corp Ins 924'!O24</f>
        <v>4622764.8599999994</v>
      </c>
      <c r="M21" s="242">
        <v>5751554.666666666</v>
      </c>
      <c r="N21" s="315">
        <f>L21-M21</f>
        <v>-1128789.8066666666</v>
      </c>
      <c r="O21" s="140">
        <f>'Corp Ins 924'!O29</f>
        <v>4622764.8599999994</v>
      </c>
      <c r="P21" s="304">
        <f>M21*1.02</f>
        <v>5866585.7599999998</v>
      </c>
      <c r="Q21" s="141">
        <f>O21-P21</f>
        <v>-1243820.9000000004</v>
      </c>
      <c r="R21" s="223"/>
      <c r="S21" s="278">
        <f t="shared" ref="S21:S22" si="0">C21-D21</f>
        <v>-992429.68000000156</v>
      </c>
    </row>
    <row r="22" spans="1:19">
      <c r="A22" s="45" t="s">
        <v>81</v>
      </c>
      <c r="B22" s="332">
        <v>1337786.4875000003</v>
      </c>
      <c r="C22" s="140">
        <f>'Corp Ins 925'!O11+'Travel Ins 925'!D7</f>
        <v>1325751.0899999999</v>
      </c>
      <c r="D22" s="293">
        <v>1387359</v>
      </c>
      <c r="E22" s="315">
        <f>C22-D22</f>
        <v>-61607.910000000149</v>
      </c>
      <c r="F22" s="140">
        <f>'Corp Ins 925'!O17+'Travel Ins 925'!E7</f>
        <v>1378320.6800000002</v>
      </c>
      <c r="G22" s="293">
        <v>1411711.6666666667</v>
      </c>
      <c r="H22" s="315">
        <f>F22-G22</f>
        <v>-33390.986666666577</v>
      </c>
      <c r="I22" s="140">
        <f>'Corp Ins 925'!O23+'Travel Ins 925'!F7</f>
        <v>1424625.0299999998</v>
      </c>
      <c r="J22" s="293">
        <v>1477764.9999999998</v>
      </c>
      <c r="K22" s="315">
        <f>I22-J22</f>
        <v>-53139.969999999972</v>
      </c>
      <c r="L22" s="140">
        <f>'Corp Ins 925'!O29+'Travel Ins 925'!G7</f>
        <v>1448191.3900000001</v>
      </c>
      <c r="M22" s="293">
        <v>1546249.3333333335</v>
      </c>
      <c r="N22" s="315">
        <f>L22-M22</f>
        <v>-98057.943333333358</v>
      </c>
      <c r="O22" s="140">
        <f>'Corp Ins 925'!O35+'Travel Ins 925'!H7</f>
        <v>1461158.0800000003</v>
      </c>
      <c r="P22" s="304">
        <f>M22*1.02</f>
        <v>1577174.3200000003</v>
      </c>
      <c r="Q22" s="141">
        <f>O22-P22</f>
        <v>-116016.23999999999</v>
      </c>
      <c r="R22" s="223"/>
      <c r="S22" s="278">
        <f t="shared" si="0"/>
        <v>-61607.910000000149</v>
      </c>
    </row>
    <row r="23" spans="1:19">
      <c r="A23" s="45" t="s">
        <v>5</v>
      </c>
      <c r="B23" s="333">
        <v>5726518.7541666664</v>
      </c>
      <c r="C23" s="31">
        <f>SUM(C21:C22)</f>
        <v>5302754.4099999992</v>
      </c>
      <c r="D23" s="279">
        <v>6356792.0000000009</v>
      </c>
      <c r="E23" s="316">
        <f>C23-D23</f>
        <v>-1054037.5900000017</v>
      </c>
      <c r="F23" s="31">
        <f>SUM(F21:F22)</f>
        <v>5888724</v>
      </c>
      <c r="G23" s="279">
        <v>6629264.3333333349</v>
      </c>
      <c r="H23" s="316">
        <f>F23-G23</f>
        <v>-740540.33333333489</v>
      </c>
      <c r="I23" s="31">
        <f>SUM(I21:I22)</f>
        <v>6048710.9299999997</v>
      </c>
      <c r="J23" s="279">
        <v>6955801.666666666</v>
      </c>
      <c r="K23" s="316">
        <f>I23-J23</f>
        <v>-907090.73666666634</v>
      </c>
      <c r="L23" s="31">
        <f>SUM(L21:L22)</f>
        <v>6070956.25</v>
      </c>
      <c r="M23" s="279">
        <v>7297804</v>
      </c>
      <c r="N23" s="316">
        <f>L23-M23</f>
        <v>-1226847.75</v>
      </c>
      <c r="O23" s="31">
        <f>SUM(O21:O22)</f>
        <v>6083922.9399999995</v>
      </c>
      <c r="P23" s="305">
        <f>SUM(P21:P22)</f>
        <v>7443760.0800000001</v>
      </c>
      <c r="Q23" s="32">
        <f>O23-P23</f>
        <v>-1359837.1400000006</v>
      </c>
      <c r="S23" s="408">
        <f>SUM(S21:S22)</f>
        <v>-1054037.5900000017</v>
      </c>
    </row>
    <row r="24" spans="1:19">
      <c r="A24" s="45"/>
      <c r="B24" s="331"/>
      <c r="C24" s="140"/>
      <c r="D24" s="242"/>
      <c r="E24" s="315"/>
      <c r="F24" s="140"/>
      <c r="G24" s="242"/>
      <c r="H24" s="315"/>
      <c r="I24" s="140"/>
      <c r="J24" s="242"/>
      <c r="K24" s="315"/>
      <c r="L24" s="140"/>
      <c r="M24" s="242"/>
      <c r="N24" s="315"/>
      <c r="O24" s="140"/>
      <c r="P24" s="304"/>
      <c r="Q24" s="141"/>
      <c r="S24" s="278"/>
    </row>
    <row r="25" spans="1:19">
      <c r="A25" s="47" t="s">
        <v>39</v>
      </c>
      <c r="B25" s="330"/>
      <c r="C25" s="33"/>
      <c r="D25" s="280"/>
      <c r="E25" s="314"/>
      <c r="F25" s="33"/>
      <c r="G25" s="280"/>
      <c r="H25" s="314"/>
      <c r="I25" s="33"/>
      <c r="J25" s="280"/>
      <c r="K25" s="314"/>
      <c r="L25" s="33"/>
      <c r="M25" s="280"/>
      <c r="N25" s="314"/>
      <c r="O25" s="33"/>
      <c r="P25" s="303"/>
      <c r="Q25" s="34"/>
      <c r="S25" s="278"/>
    </row>
    <row r="26" spans="1:19" s="33" customFormat="1">
      <c r="A26" s="227" t="s">
        <v>58</v>
      </c>
      <c r="B26" s="331">
        <v>476887.75829191052</v>
      </c>
      <c r="C26" s="140">
        <f>'FERC Fee'!B20</f>
        <v>424098</v>
      </c>
      <c r="D26" s="242">
        <v>524521.87407129817</v>
      </c>
      <c r="E26" s="315">
        <f>C26-D26</f>
        <v>-100423.87407129817</v>
      </c>
      <c r="F26" s="140">
        <f>'FERC Fee'!C20</f>
        <v>450543</v>
      </c>
      <c r="G26" s="242">
        <v>576913.94168868463</v>
      </c>
      <c r="H26" s="315">
        <f>F26-G26</f>
        <v>-126370.94168868463</v>
      </c>
      <c r="I26" s="140">
        <f>'FERC Fee'!D20</f>
        <v>478632</v>
      </c>
      <c r="J26" s="242">
        <v>634539.21097966167</v>
      </c>
      <c r="K26" s="315">
        <f>I26-J26</f>
        <v>-155907.21097966167</v>
      </c>
      <c r="L26" s="140">
        <f>'FERC Fee'!E20</f>
        <v>508470</v>
      </c>
      <c r="M26" s="242">
        <v>697920.40229106625</v>
      </c>
      <c r="N26" s="315">
        <f>L26-M26</f>
        <v>-189450.40229106625</v>
      </c>
      <c r="O26" s="140">
        <f>'FERC Fee'!F20</f>
        <v>540177</v>
      </c>
      <c r="P26" s="304">
        <f>M26*1.02</f>
        <v>711878.8103368876</v>
      </c>
      <c r="Q26" s="141">
        <f>O26-P26</f>
        <v>-171701.8103368876</v>
      </c>
      <c r="R26" s="223"/>
      <c r="S26" s="278">
        <f>C26-D26</f>
        <v>-100423.87407129817</v>
      </c>
    </row>
    <row r="27" spans="1:19">
      <c r="A27" s="45"/>
      <c r="B27" s="331"/>
      <c r="C27" s="140"/>
      <c r="D27" s="242"/>
      <c r="E27" s="315"/>
      <c r="F27" s="140"/>
      <c r="G27" s="242"/>
      <c r="H27" s="315"/>
      <c r="I27" s="140"/>
      <c r="J27" s="242"/>
      <c r="K27" s="315"/>
      <c r="L27" s="140"/>
      <c r="M27" s="242"/>
      <c r="N27" s="315"/>
      <c r="O27" s="140"/>
      <c r="P27" s="304"/>
      <c r="Q27" s="30"/>
      <c r="R27" s="223"/>
      <c r="S27" s="278"/>
    </row>
    <row r="28" spans="1:19">
      <c r="A28" s="47" t="s">
        <v>36</v>
      </c>
      <c r="B28" s="331"/>
      <c r="C28" s="140"/>
      <c r="D28" s="242"/>
      <c r="E28" s="315"/>
      <c r="F28" s="140"/>
      <c r="G28" s="242"/>
      <c r="H28" s="315"/>
      <c r="I28" s="140"/>
      <c r="J28" s="242"/>
      <c r="K28" s="315"/>
      <c r="L28" s="140"/>
      <c r="M28" s="242"/>
      <c r="N28" s="315"/>
      <c r="O28" s="140"/>
      <c r="P28" s="304"/>
      <c r="Q28" s="141"/>
      <c r="R28" s="223"/>
      <c r="S28" s="278"/>
    </row>
    <row r="29" spans="1:19">
      <c r="A29" s="45" t="s">
        <v>214</v>
      </c>
      <c r="B29" s="331">
        <v>-326753.61</v>
      </c>
      <c r="C29" s="140">
        <f>'Duplicate Chrgs'!F30</f>
        <v>-329443.55486159201</v>
      </c>
      <c r="D29" s="242">
        <v>-335596.82999999996</v>
      </c>
      <c r="E29" s="315">
        <f>C29-D29</f>
        <v>6153.2751384079456</v>
      </c>
      <c r="F29" s="140">
        <f>'Duplicate Chrgs'!G30</f>
        <v>-373531.22970744001</v>
      </c>
      <c r="G29" s="242">
        <v>-344593.02</v>
      </c>
      <c r="H29" s="315">
        <f>F29-G29</f>
        <v>-28938.209707439994</v>
      </c>
      <c r="I29" s="140">
        <f>'Duplicate Chrgs'!H30</f>
        <v>-384738.95369866298</v>
      </c>
      <c r="J29" s="242">
        <v>-353931.73</v>
      </c>
      <c r="K29" s="315">
        <f>I29-J29</f>
        <v>-30807.223698663001</v>
      </c>
      <c r="L29" s="140">
        <f>'Duplicate Chrgs'!I30</f>
        <v>-396287.53820962296</v>
      </c>
      <c r="M29" s="242">
        <v>-363395.79000000004</v>
      </c>
      <c r="N29" s="315">
        <f>L29-M29</f>
        <v>-32891.748209622921</v>
      </c>
      <c r="O29" s="140">
        <f>'Duplicate Chrgs'!J30</f>
        <v>-408163.94775591197</v>
      </c>
      <c r="P29" s="304">
        <f>M29*1.02</f>
        <v>-370663.70580000005</v>
      </c>
      <c r="Q29" s="141">
        <f>O29-P29</f>
        <v>-37500.241955911915</v>
      </c>
      <c r="R29" s="223"/>
      <c r="S29" s="278">
        <f t="shared" ref="S29:S30" si="1">C29-D29</f>
        <v>6153.2751384079456</v>
      </c>
    </row>
    <row r="30" spans="1:19">
      <c r="A30" s="45" t="s">
        <v>83</v>
      </c>
      <c r="B30" s="332">
        <v>-602907.48766285717</v>
      </c>
      <c r="C30" s="28">
        <f>'Duplicate Chrgs'!F21</f>
        <v>-541421.00832000014</v>
      </c>
      <c r="D30" s="293">
        <v>-620391.80480508006</v>
      </c>
      <c r="E30" s="315">
        <f>C30-D30</f>
        <v>78970.796485079918</v>
      </c>
      <c r="F30" s="28">
        <f>'Duplicate Chrgs'!G21</f>
        <v>-561453.58562783978</v>
      </c>
      <c r="G30" s="293">
        <v>-640244.34255884262</v>
      </c>
      <c r="H30" s="315">
        <f>F30-G30</f>
        <v>78790.756931002834</v>
      </c>
      <c r="I30" s="28">
        <f>'Duplicate Chrgs'!H21</f>
        <v>-581665.9147104423</v>
      </c>
      <c r="J30" s="293">
        <v>-659451.67283560801</v>
      </c>
      <c r="K30" s="315">
        <f>I30-J30</f>
        <v>77785.75812516571</v>
      </c>
      <c r="L30" s="28">
        <f>'Duplicate Chrgs'!I21</f>
        <v>-599697.55806646578</v>
      </c>
      <c r="M30" s="293">
        <v>-677916.31967500492</v>
      </c>
      <c r="N30" s="315">
        <f>L30-M30</f>
        <v>78218.761608539149</v>
      </c>
      <c r="O30" s="28">
        <f>'Duplicate Chrgs'!J21</f>
        <v>-616489.08969232684</v>
      </c>
      <c r="P30" s="304">
        <f>M30*1.02</f>
        <v>-691474.64606850501</v>
      </c>
      <c r="Q30" s="141">
        <f>O30-P30</f>
        <v>74985.556376178167</v>
      </c>
      <c r="R30" s="223"/>
      <c r="S30" s="278">
        <f t="shared" si="1"/>
        <v>78970.796485079918</v>
      </c>
    </row>
    <row r="31" spans="1:19">
      <c r="A31" s="45" t="s">
        <v>216</v>
      </c>
      <c r="B31" s="333">
        <v>-929661.09766285715</v>
      </c>
      <c r="C31" s="31">
        <f>SUM(C29:C30)</f>
        <v>-870864.56318159215</v>
      </c>
      <c r="D31" s="279">
        <v>-955988.63480508002</v>
      </c>
      <c r="E31" s="316">
        <f>C31-D31</f>
        <v>85124.071623487864</v>
      </c>
      <c r="F31" s="31">
        <f>SUM(F29:F30)</f>
        <v>-934984.8153352798</v>
      </c>
      <c r="G31" s="279">
        <v>-984837.36255884264</v>
      </c>
      <c r="H31" s="316">
        <f>F31-G31</f>
        <v>49852.54722356284</v>
      </c>
      <c r="I31" s="31">
        <f>SUM(I29:I30)</f>
        <v>-966404.86840910534</v>
      </c>
      <c r="J31" s="279">
        <v>-1013383.402835608</v>
      </c>
      <c r="K31" s="316">
        <f>I31-J31</f>
        <v>46978.534426502651</v>
      </c>
      <c r="L31" s="31">
        <f>SUM(L29:L30)</f>
        <v>-995985.09627608873</v>
      </c>
      <c r="M31" s="279">
        <v>-1041312.109675005</v>
      </c>
      <c r="N31" s="316">
        <f>L31-M31</f>
        <v>45327.013398916228</v>
      </c>
      <c r="O31" s="31">
        <f>SUM(O29:O30)</f>
        <v>-1024653.0374482388</v>
      </c>
      <c r="P31" s="305">
        <f>SUM(P29:P30)</f>
        <v>-1062138.3518685051</v>
      </c>
      <c r="Q31" s="32">
        <f>O31-P31</f>
        <v>37485.31442026631</v>
      </c>
      <c r="S31" s="408">
        <f>SUM(S29:S30)</f>
        <v>85124.071623487864</v>
      </c>
    </row>
    <row r="32" spans="1:19">
      <c r="A32" s="45"/>
      <c r="B32" s="331"/>
      <c r="C32" s="140"/>
      <c r="D32" s="242"/>
      <c r="E32" s="315"/>
      <c r="F32" s="140"/>
      <c r="G32" s="242"/>
      <c r="H32" s="315"/>
      <c r="I32" s="140"/>
      <c r="J32" s="242"/>
      <c r="K32" s="315"/>
      <c r="L32" s="140"/>
      <c r="M32" s="242"/>
      <c r="N32" s="315"/>
      <c r="O32" s="140"/>
      <c r="P32" s="304"/>
      <c r="Q32" s="141"/>
      <c r="S32" s="278"/>
    </row>
    <row r="33" spans="1:19">
      <c r="A33" s="47" t="s">
        <v>34</v>
      </c>
      <c r="B33" s="331"/>
      <c r="C33" s="140"/>
      <c r="D33" s="242"/>
      <c r="E33" s="315"/>
      <c r="F33" s="140"/>
      <c r="G33" s="242"/>
      <c r="H33" s="315"/>
      <c r="I33" s="140"/>
      <c r="J33" s="242"/>
      <c r="K33" s="315"/>
      <c r="L33" s="140"/>
      <c r="M33" s="242"/>
      <c r="N33" s="315"/>
      <c r="O33" s="140"/>
      <c r="P33" s="304"/>
      <c r="Q33" s="141"/>
      <c r="S33" s="278"/>
    </row>
    <row r="34" spans="1:19" s="33" customFormat="1">
      <c r="A34" s="227" t="s">
        <v>56</v>
      </c>
      <c r="B34" s="331">
        <v>64684</v>
      </c>
      <c r="C34" s="140">
        <f>'Tower Lease'!F20</f>
        <v>23412</v>
      </c>
      <c r="D34" s="242">
        <v>65976</v>
      </c>
      <c r="E34" s="315">
        <f>C34-D34</f>
        <v>-42564</v>
      </c>
      <c r="F34" s="140">
        <f>'Tower Lease'!G20</f>
        <v>23412</v>
      </c>
      <c r="G34" s="242">
        <v>67312</v>
      </c>
      <c r="H34" s="315">
        <f>F34-G34</f>
        <v>-43900</v>
      </c>
      <c r="I34" s="140">
        <f>'Tower Lease'!H20</f>
        <v>23412</v>
      </c>
      <c r="J34" s="242">
        <v>68676</v>
      </c>
      <c r="K34" s="315">
        <f>I34-J34</f>
        <v>-45264</v>
      </c>
      <c r="L34" s="140">
        <f>'Tower Lease'!I20</f>
        <v>23412</v>
      </c>
      <c r="M34" s="242">
        <v>70084</v>
      </c>
      <c r="N34" s="315">
        <f>L34-M34</f>
        <v>-46672</v>
      </c>
      <c r="O34" s="140">
        <f>'Tower Lease'!J20</f>
        <v>23412</v>
      </c>
      <c r="P34" s="304">
        <f>M34*1.02</f>
        <v>71485.680000000008</v>
      </c>
      <c r="Q34" s="141">
        <f>O34-P34</f>
        <v>-48073.680000000008</v>
      </c>
      <c r="R34" s="223"/>
      <c r="S34" s="278">
        <f>C34-D34</f>
        <v>-42564</v>
      </c>
    </row>
    <row r="35" spans="1:19">
      <c r="A35" s="45"/>
      <c r="B35" s="331"/>
      <c r="C35" s="140"/>
      <c r="D35" s="242"/>
      <c r="E35" s="315"/>
      <c r="F35" s="140"/>
      <c r="G35" s="242"/>
      <c r="H35" s="315"/>
      <c r="I35" s="140"/>
      <c r="J35" s="242"/>
      <c r="K35" s="315"/>
      <c r="L35" s="140"/>
      <c r="M35" s="242"/>
      <c r="N35" s="315"/>
      <c r="O35" s="140"/>
      <c r="P35" s="304"/>
      <c r="Q35" s="141"/>
      <c r="R35" s="223"/>
      <c r="S35" s="278"/>
    </row>
    <row r="36" spans="1:19">
      <c r="A36" s="47" t="s">
        <v>37</v>
      </c>
      <c r="B36" s="331"/>
      <c r="C36" s="140"/>
      <c r="D36" s="242"/>
      <c r="E36" s="315"/>
      <c r="F36" s="140"/>
      <c r="G36" s="242"/>
      <c r="H36" s="315"/>
      <c r="I36" s="140"/>
      <c r="J36" s="242"/>
      <c r="K36" s="315"/>
      <c r="L36" s="140"/>
      <c r="M36" s="242"/>
      <c r="N36" s="315"/>
      <c r="O36" s="140"/>
      <c r="P36" s="304"/>
      <c r="Q36" s="141"/>
      <c r="R36" s="223"/>
      <c r="S36" s="278"/>
    </row>
    <row r="37" spans="1:19">
      <c r="A37" s="45" t="s">
        <v>84</v>
      </c>
      <c r="B37" s="331">
        <v>431</v>
      </c>
      <c r="C37" s="140">
        <f>'Stores Handling'!D9</f>
        <v>383</v>
      </c>
      <c r="D37" s="242">
        <v>451</v>
      </c>
      <c r="E37" s="315">
        <f t="shared" ref="E37:E58" si="2">C37-D37</f>
        <v>-68</v>
      </c>
      <c r="F37" s="140">
        <f>'Stores Handling'!E9</f>
        <v>393</v>
      </c>
      <c r="G37" s="242">
        <v>465</v>
      </c>
      <c r="H37" s="315">
        <f t="shared" ref="H37:H58" si="3">F37-G37</f>
        <v>-72</v>
      </c>
      <c r="I37" s="140">
        <f>'Stores Handling'!F9</f>
        <v>399</v>
      </c>
      <c r="J37" s="242">
        <v>461</v>
      </c>
      <c r="K37" s="315">
        <f t="shared" ref="K37:K58" si="4">I37-J37</f>
        <v>-62</v>
      </c>
      <c r="L37" s="140">
        <f>'Stores Handling'!G9</f>
        <v>418</v>
      </c>
      <c r="M37" s="242">
        <v>487</v>
      </c>
      <c r="N37" s="315">
        <f t="shared" ref="N37:N58" si="5">L37-M37</f>
        <v>-69</v>
      </c>
      <c r="O37" s="140">
        <f>'Stores Handling'!H9</f>
        <v>426</v>
      </c>
      <c r="P37" s="304">
        <f t="shared" ref="P37:P46" si="6">M37*1.02</f>
        <v>496.74</v>
      </c>
      <c r="Q37" s="141">
        <f t="shared" ref="Q37:Q58" si="7">O37-P37</f>
        <v>-70.740000000000009</v>
      </c>
      <c r="R37" s="223"/>
      <c r="S37" s="278">
        <f t="shared" ref="S37:S46" si="8">C37-D37</f>
        <v>-68</v>
      </c>
    </row>
    <row r="38" spans="1:19">
      <c r="A38" s="45" t="s">
        <v>85</v>
      </c>
      <c r="B38" s="331">
        <v>11843</v>
      </c>
      <c r="C38" s="140">
        <f>'Stores Handling'!D10</f>
        <v>10523</v>
      </c>
      <c r="D38" s="242">
        <v>12395</v>
      </c>
      <c r="E38" s="315">
        <f t="shared" si="2"/>
        <v>-1872</v>
      </c>
      <c r="F38" s="140">
        <f>'Stores Handling'!E10</f>
        <v>10801</v>
      </c>
      <c r="G38" s="242">
        <v>12766</v>
      </c>
      <c r="H38" s="315">
        <f t="shared" si="3"/>
        <v>-1965</v>
      </c>
      <c r="I38" s="140">
        <f>'Stores Handling'!F10</f>
        <v>10975</v>
      </c>
      <c r="J38" s="242">
        <v>12656</v>
      </c>
      <c r="K38" s="315">
        <f t="shared" si="4"/>
        <v>-1681</v>
      </c>
      <c r="L38" s="140">
        <f>'Stores Handling'!G10</f>
        <v>11499</v>
      </c>
      <c r="M38" s="242">
        <v>13384</v>
      </c>
      <c r="N38" s="315">
        <f t="shared" si="5"/>
        <v>-1885</v>
      </c>
      <c r="O38" s="140">
        <f>'Stores Handling'!H10</f>
        <v>11722</v>
      </c>
      <c r="P38" s="304">
        <f t="shared" si="6"/>
        <v>13651.68</v>
      </c>
      <c r="Q38" s="141">
        <f t="shared" si="7"/>
        <v>-1929.6800000000003</v>
      </c>
      <c r="R38" s="223"/>
      <c r="S38" s="278">
        <f t="shared" si="8"/>
        <v>-1872</v>
      </c>
    </row>
    <row r="39" spans="1:19">
      <c r="A39" s="45" t="s">
        <v>86</v>
      </c>
      <c r="B39" s="331">
        <v>1740</v>
      </c>
      <c r="C39" s="140">
        <f>'Stores Handling'!D11</f>
        <v>1546</v>
      </c>
      <c r="D39" s="242">
        <v>1821</v>
      </c>
      <c r="E39" s="315">
        <f t="shared" si="2"/>
        <v>-275</v>
      </c>
      <c r="F39" s="140">
        <f>'Stores Handling'!E11</f>
        <v>1587</v>
      </c>
      <c r="G39" s="242">
        <v>1876</v>
      </c>
      <c r="H39" s="315">
        <f t="shared" si="3"/>
        <v>-289</v>
      </c>
      <c r="I39" s="140">
        <f>'Stores Handling'!F11</f>
        <v>1612</v>
      </c>
      <c r="J39" s="242">
        <v>1859</v>
      </c>
      <c r="K39" s="315">
        <f t="shared" si="4"/>
        <v>-247</v>
      </c>
      <c r="L39" s="140">
        <f>'Stores Handling'!G11</f>
        <v>1689</v>
      </c>
      <c r="M39" s="242">
        <v>1966</v>
      </c>
      <c r="N39" s="315">
        <f t="shared" si="5"/>
        <v>-277</v>
      </c>
      <c r="O39" s="140">
        <f>'Stores Handling'!H11</f>
        <v>1722</v>
      </c>
      <c r="P39" s="304">
        <f t="shared" si="6"/>
        <v>2005.32</v>
      </c>
      <c r="Q39" s="141">
        <f t="shared" si="7"/>
        <v>-283.31999999999994</v>
      </c>
      <c r="R39" s="223"/>
      <c r="S39" s="278">
        <f t="shared" si="8"/>
        <v>-275</v>
      </c>
    </row>
    <row r="40" spans="1:19">
      <c r="A40" s="45" t="s">
        <v>87</v>
      </c>
      <c r="B40" s="331">
        <v>70863</v>
      </c>
      <c r="C40" s="140">
        <f>'Stores Handling'!D12</f>
        <v>62965</v>
      </c>
      <c r="D40" s="242">
        <v>74162</v>
      </c>
      <c r="E40" s="315">
        <f t="shared" si="2"/>
        <v>-11197</v>
      </c>
      <c r="F40" s="140">
        <f>'Stores Handling'!E12</f>
        <v>64632</v>
      </c>
      <c r="G40" s="242">
        <v>76386</v>
      </c>
      <c r="H40" s="315">
        <f t="shared" si="3"/>
        <v>-11754</v>
      </c>
      <c r="I40" s="140">
        <f>'Stores Handling'!F12</f>
        <v>65669</v>
      </c>
      <c r="J40" s="242">
        <v>75723</v>
      </c>
      <c r="K40" s="315">
        <f t="shared" si="4"/>
        <v>-10054</v>
      </c>
      <c r="L40" s="140">
        <f>'Stores Handling'!G12</f>
        <v>68803</v>
      </c>
      <c r="M40" s="242">
        <v>80081</v>
      </c>
      <c r="N40" s="315">
        <f t="shared" si="5"/>
        <v>-11278</v>
      </c>
      <c r="O40" s="140">
        <f>'Stores Handling'!H12</f>
        <v>70137</v>
      </c>
      <c r="P40" s="304">
        <f t="shared" si="6"/>
        <v>81682.62</v>
      </c>
      <c r="Q40" s="141">
        <f t="shared" si="7"/>
        <v>-11545.619999999995</v>
      </c>
      <c r="R40" s="223"/>
      <c r="S40" s="278">
        <f t="shared" si="8"/>
        <v>-11197</v>
      </c>
    </row>
    <row r="41" spans="1:19">
      <c r="A41" s="45" t="s">
        <v>88</v>
      </c>
      <c r="B41" s="331">
        <v>431</v>
      </c>
      <c r="C41" s="140">
        <f>'Stores Handling'!D13</f>
        <v>383</v>
      </c>
      <c r="D41" s="242">
        <v>451</v>
      </c>
      <c r="E41" s="315">
        <f t="shared" si="2"/>
        <v>-68</v>
      </c>
      <c r="F41" s="140">
        <f>'Stores Handling'!E13</f>
        <v>393</v>
      </c>
      <c r="G41" s="242">
        <v>465</v>
      </c>
      <c r="H41" s="315">
        <f t="shared" si="3"/>
        <v>-72</v>
      </c>
      <c r="I41" s="140">
        <f>'Stores Handling'!F13</f>
        <v>399</v>
      </c>
      <c r="J41" s="242">
        <v>461</v>
      </c>
      <c r="K41" s="315">
        <f t="shared" si="4"/>
        <v>-62</v>
      </c>
      <c r="L41" s="140">
        <f>'Stores Handling'!G13</f>
        <v>418</v>
      </c>
      <c r="M41" s="242">
        <v>487</v>
      </c>
      <c r="N41" s="315">
        <f t="shared" si="5"/>
        <v>-69</v>
      </c>
      <c r="O41" s="140">
        <f>'Stores Handling'!H13</f>
        <v>426</v>
      </c>
      <c r="P41" s="304">
        <f t="shared" si="6"/>
        <v>496.74</v>
      </c>
      <c r="Q41" s="141">
        <f t="shared" si="7"/>
        <v>-70.740000000000009</v>
      </c>
      <c r="R41" s="223"/>
      <c r="S41" s="278">
        <f t="shared" si="8"/>
        <v>-68</v>
      </c>
    </row>
    <row r="42" spans="1:19">
      <c r="A42" s="45" t="s">
        <v>89</v>
      </c>
      <c r="B42" s="331">
        <v>47822</v>
      </c>
      <c r="C42" s="140">
        <f>'Stores Handling'!D14</f>
        <v>42492</v>
      </c>
      <c r="D42" s="242">
        <v>50049</v>
      </c>
      <c r="E42" s="315">
        <f t="shared" si="2"/>
        <v>-7557</v>
      </c>
      <c r="F42" s="140">
        <f>'Stores Handling'!E14</f>
        <v>43617</v>
      </c>
      <c r="G42" s="242">
        <v>51549</v>
      </c>
      <c r="H42" s="315">
        <f t="shared" si="3"/>
        <v>-7932</v>
      </c>
      <c r="I42" s="140">
        <f>'Stores Handling'!F14</f>
        <v>44317</v>
      </c>
      <c r="J42" s="242">
        <v>51102</v>
      </c>
      <c r="K42" s="315">
        <f t="shared" si="4"/>
        <v>-6785</v>
      </c>
      <c r="L42" s="140">
        <f>'Stores Handling'!G14</f>
        <v>46432</v>
      </c>
      <c r="M42" s="242">
        <v>54043</v>
      </c>
      <c r="N42" s="315">
        <f t="shared" si="5"/>
        <v>-7611</v>
      </c>
      <c r="O42" s="140">
        <f>'Stores Handling'!H14</f>
        <v>47332</v>
      </c>
      <c r="P42" s="304">
        <f t="shared" si="6"/>
        <v>55123.86</v>
      </c>
      <c r="Q42" s="141">
        <f t="shared" si="7"/>
        <v>-7791.8600000000006</v>
      </c>
      <c r="R42" s="223"/>
      <c r="S42" s="278">
        <f t="shared" si="8"/>
        <v>-7557</v>
      </c>
    </row>
    <row r="43" spans="1:19">
      <c r="A43" s="45" t="s">
        <v>90</v>
      </c>
      <c r="B43" s="331">
        <v>325864</v>
      </c>
      <c r="C43" s="140">
        <f>'Stores Handling'!D15</f>
        <v>289543</v>
      </c>
      <c r="D43" s="242">
        <v>341036</v>
      </c>
      <c r="E43" s="315">
        <f t="shared" si="2"/>
        <v>-51493</v>
      </c>
      <c r="F43" s="140">
        <f>'Stores Handling'!E15</f>
        <v>297209</v>
      </c>
      <c r="G43" s="242">
        <v>351261</v>
      </c>
      <c r="H43" s="315">
        <f t="shared" si="3"/>
        <v>-54052</v>
      </c>
      <c r="I43" s="140">
        <f>'Stores Handling'!F15</f>
        <v>301980</v>
      </c>
      <c r="J43" s="242">
        <v>348216</v>
      </c>
      <c r="K43" s="315">
        <f t="shared" si="4"/>
        <v>-46236</v>
      </c>
      <c r="L43" s="140">
        <f>'Stores Handling'!G15</f>
        <v>316390</v>
      </c>
      <c r="M43" s="242">
        <v>368256</v>
      </c>
      <c r="N43" s="315">
        <f t="shared" si="5"/>
        <v>-51866</v>
      </c>
      <c r="O43" s="140">
        <f>'Stores Handling'!H15</f>
        <v>322527</v>
      </c>
      <c r="P43" s="304">
        <f t="shared" si="6"/>
        <v>375621.12</v>
      </c>
      <c r="Q43" s="141">
        <f t="shared" si="7"/>
        <v>-53094.119999999995</v>
      </c>
      <c r="R43" s="223"/>
      <c r="S43" s="278">
        <f t="shared" si="8"/>
        <v>-51493</v>
      </c>
    </row>
    <row r="44" spans="1:19">
      <c r="A44" s="45" t="s">
        <v>91</v>
      </c>
      <c r="B44" s="331">
        <v>121118</v>
      </c>
      <c r="C44" s="140">
        <f>'Stores Handling'!D16</f>
        <v>107618</v>
      </c>
      <c r="D44" s="242">
        <v>126757</v>
      </c>
      <c r="E44" s="315">
        <f t="shared" si="2"/>
        <v>-19139</v>
      </c>
      <c r="F44" s="140">
        <f>'Stores Handling'!E16</f>
        <v>110468</v>
      </c>
      <c r="G44" s="242">
        <v>130558</v>
      </c>
      <c r="H44" s="315">
        <f t="shared" si="3"/>
        <v>-20090</v>
      </c>
      <c r="I44" s="140">
        <f>'Stores Handling'!F16</f>
        <v>112241</v>
      </c>
      <c r="J44" s="242">
        <v>129426</v>
      </c>
      <c r="K44" s="315">
        <f t="shared" si="4"/>
        <v>-17185</v>
      </c>
      <c r="L44" s="140">
        <f>'Stores Handling'!G16</f>
        <v>117597</v>
      </c>
      <c r="M44" s="242">
        <v>136874</v>
      </c>
      <c r="N44" s="315">
        <f t="shared" si="5"/>
        <v>-19277</v>
      </c>
      <c r="O44" s="140">
        <f>'Stores Handling'!H16</f>
        <v>119878</v>
      </c>
      <c r="P44" s="304">
        <f t="shared" si="6"/>
        <v>139611.48000000001</v>
      </c>
      <c r="Q44" s="141">
        <f t="shared" si="7"/>
        <v>-19733.48000000001</v>
      </c>
      <c r="R44" s="223"/>
      <c r="S44" s="278">
        <f t="shared" si="8"/>
        <v>-19139</v>
      </c>
    </row>
    <row r="45" spans="1:19">
      <c r="A45" s="45" t="s">
        <v>92</v>
      </c>
      <c r="B45" s="331">
        <v>39937</v>
      </c>
      <c r="C45" s="140">
        <f>'Stores Handling'!D17</f>
        <v>35485</v>
      </c>
      <c r="D45" s="242">
        <v>41796</v>
      </c>
      <c r="E45" s="315">
        <f t="shared" si="2"/>
        <v>-6311</v>
      </c>
      <c r="F45" s="140">
        <f>'Stores Handling'!E17</f>
        <v>36425</v>
      </c>
      <c r="G45" s="242">
        <v>43049</v>
      </c>
      <c r="H45" s="315">
        <f t="shared" si="3"/>
        <v>-6624</v>
      </c>
      <c r="I45" s="140">
        <f>'Stores Handling'!F17</f>
        <v>37009</v>
      </c>
      <c r="J45" s="242">
        <v>42676</v>
      </c>
      <c r="K45" s="315">
        <f t="shared" si="4"/>
        <v>-5667</v>
      </c>
      <c r="L45" s="140">
        <f>'Stores Handling'!G17</f>
        <v>38775</v>
      </c>
      <c r="M45" s="242">
        <v>45132</v>
      </c>
      <c r="N45" s="315">
        <f t="shared" si="5"/>
        <v>-6357</v>
      </c>
      <c r="O45" s="140">
        <f>'Stores Handling'!H17</f>
        <v>39528</v>
      </c>
      <c r="P45" s="304">
        <f t="shared" si="6"/>
        <v>46034.64</v>
      </c>
      <c r="Q45" s="141">
        <f t="shared" si="7"/>
        <v>-6506.6399999999994</v>
      </c>
      <c r="R45" s="223"/>
      <c r="S45" s="278">
        <f t="shared" si="8"/>
        <v>-6311</v>
      </c>
    </row>
    <row r="46" spans="1:19">
      <c r="A46" s="45" t="s">
        <v>93</v>
      </c>
      <c r="B46" s="332">
        <v>374</v>
      </c>
      <c r="C46" s="140">
        <f>'Stores Handling'!D18</f>
        <v>333</v>
      </c>
      <c r="D46" s="242">
        <v>392</v>
      </c>
      <c r="E46" s="315">
        <f t="shared" si="2"/>
        <v>-59</v>
      </c>
      <c r="F46" s="140">
        <f>'Stores Handling'!E18</f>
        <v>342</v>
      </c>
      <c r="G46" s="242">
        <v>403</v>
      </c>
      <c r="H46" s="315">
        <f t="shared" si="3"/>
        <v>-61</v>
      </c>
      <c r="I46" s="140">
        <f>'Stores Handling'!F18</f>
        <v>347</v>
      </c>
      <c r="J46" s="242">
        <v>400</v>
      </c>
      <c r="K46" s="315">
        <f t="shared" si="4"/>
        <v>-53</v>
      </c>
      <c r="L46" s="140">
        <f>'Stores Handling'!G18</f>
        <v>364</v>
      </c>
      <c r="M46" s="242">
        <v>423</v>
      </c>
      <c r="N46" s="315">
        <f t="shared" si="5"/>
        <v>-59</v>
      </c>
      <c r="O46" s="140">
        <f>'Stores Handling'!H18</f>
        <v>371</v>
      </c>
      <c r="P46" s="304">
        <f t="shared" si="6"/>
        <v>431.46</v>
      </c>
      <c r="Q46" s="141">
        <f t="shared" si="7"/>
        <v>-60.45999999999998</v>
      </c>
      <c r="R46" s="223"/>
      <c r="S46" s="278">
        <f t="shared" si="8"/>
        <v>-59</v>
      </c>
    </row>
    <row r="47" spans="1:19">
      <c r="A47" s="45" t="s">
        <v>48</v>
      </c>
      <c r="B47" s="333">
        <v>620423</v>
      </c>
      <c r="C47" s="31">
        <f>SUM(C37:C46)</f>
        <v>551271</v>
      </c>
      <c r="D47" s="279">
        <v>649310</v>
      </c>
      <c r="E47" s="316">
        <f t="shared" si="2"/>
        <v>-98039</v>
      </c>
      <c r="F47" s="31">
        <f>SUM(F37:F46)</f>
        <v>565867</v>
      </c>
      <c r="G47" s="279">
        <v>668778</v>
      </c>
      <c r="H47" s="316">
        <f t="shared" si="3"/>
        <v>-102911</v>
      </c>
      <c r="I47" s="31">
        <f>SUM(I37:I46)</f>
        <v>574948</v>
      </c>
      <c r="J47" s="279">
        <v>662980</v>
      </c>
      <c r="K47" s="316">
        <f t="shared" si="4"/>
        <v>-88032</v>
      </c>
      <c r="L47" s="31">
        <f>SUM(L37:L46)</f>
        <v>602385</v>
      </c>
      <c r="M47" s="279">
        <v>701133</v>
      </c>
      <c r="N47" s="316">
        <f t="shared" si="5"/>
        <v>-98748</v>
      </c>
      <c r="O47" s="31">
        <f>SUM(O37:O46)</f>
        <v>614069</v>
      </c>
      <c r="P47" s="305">
        <f>SUM(P37:P46)</f>
        <v>715155.66</v>
      </c>
      <c r="Q47" s="32">
        <f t="shared" si="7"/>
        <v>-101086.66000000003</v>
      </c>
      <c r="S47" s="408">
        <f>SUM(S37:S46)</f>
        <v>-98039</v>
      </c>
    </row>
    <row r="48" spans="1:19" ht="10.5" customHeight="1">
      <c r="A48" s="45"/>
      <c r="B48" s="331"/>
      <c r="C48" s="140"/>
      <c r="D48" s="242"/>
      <c r="E48" s="315"/>
      <c r="F48" s="140"/>
      <c r="G48" s="242"/>
      <c r="H48" s="315"/>
      <c r="I48" s="140"/>
      <c r="J48" s="242"/>
      <c r="K48" s="315"/>
      <c r="L48" s="140"/>
      <c r="M48" s="242"/>
      <c r="N48" s="315"/>
      <c r="O48" s="140"/>
      <c r="P48" s="304"/>
      <c r="Q48" s="141"/>
      <c r="S48" s="278"/>
    </row>
    <row r="49" spans="1:19">
      <c r="A49" s="47" t="s">
        <v>35</v>
      </c>
      <c r="B49" s="331"/>
      <c r="C49" s="140"/>
      <c r="D49" s="242"/>
      <c r="E49" s="315"/>
      <c r="F49" s="140"/>
      <c r="G49" s="242"/>
      <c r="H49" s="315"/>
      <c r="I49" s="140"/>
      <c r="J49" s="242"/>
      <c r="K49" s="315"/>
      <c r="L49" s="140"/>
      <c r="M49" s="242"/>
      <c r="N49" s="315"/>
      <c r="O49" s="140"/>
      <c r="P49" s="304"/>
      <c r="Q49" s="141"/>
      <c r="S49" s="278"/>
    </row>
    <row r="50" spans="1:19">
      <c r="A50" s="389" t="s">
        <v>95</v>
      </c>
      <c r="B50" s="331">
        <v>513802</v>
      </c>
      <c r="C50" s="140">
        <f>'EPRI Dues'!I8</f>
        <v>636637.8764193001</v>
      </c>
      <c r="D50" s="242">
        <v>528702.25799999991</v>
      </c>
      <c r="E50" s="315">
        <f t="shared" si="2"/>
        <v>107935.61841930018</v>
      </c>
      <c r="F50" s="140">
        <f>'EPRI Dues'!J8</f>
        <v>660193.4778468142</v>
      </c>
      <c r="G50" s="242">
        <v>545620.73025599995</v>
      </c>
      <c r="H50" s="315">
        <f t="shared" si="3"/>
        <v>114572.74759081425</v>
      </c>
      <c r="I50" s="140">
        <f>'EPRI Dues'!K8</f>
        <v>683960.44304929953</v>
      </c>
      <c r="J50" s="242">
        <v>561989.35216368001</v>
      </c>
      <c r="K50" s="315">
        <f t="shared" si="4"/>
        <v>121971.09088561952</v>
      </c>
      <c r="L50" s="140">
        <f>'EPRI Dues'!L8</f>
        <v>705163.21678382775</v>
      </c>
      <c r="M50" s="242">
        <v>577725.05402426305</v>
      </c>
      <c r="N50" s="315">
        <f t="shared" si="5"/>
        <v>127438.1627595647</v>
      </c>
      <c r="O50" s="140">
        <f>'EPRI Dues'!M8</f>
        <v>724907.78685377492</v>
      </c>
      <c r="P50" s="304">
        <f>M50*1.02</f>
        <v>589279.55510474835</v>
      </c>
      <c r="Q50" s="141">
        <f t="shared" si="7"/>
        <v>135628.23174902657</v>
      </c>
      <c r="R50" s="223"/>
      <c r="S50" s="278">
        <f t="shared" ref="S50:S54" si="9">C50-D50</f>
        <v>107935.61841930018</v>
      </c>
    </row>
    <row r="51" spans="1:19">
      <c r="A51" s="389" t="s">
        <v>358</v>
      </c>
      <c r="B51" s="331">
        <v>40064</v>
      </c>
      <c r="C51" s="140">
        <f>'EPRI Dues'!I9</f>
        <v>34860</v>
      </c>
      <c r="D51" s="242">
        <v>41225.856</v>
      </c>
      <c r="E51" s="315">
        <f t="shared" si="2"/>
        <v>-6365.8559999999998</v>
      </c>
      <c r="F51" s="140">
        <f>'EPRI Dues'!J9</f>
        <v>36149.82</v>
      </c>
      <c r="G51" s="242">
        <v>42545.083392</v>
      </c>
      <c r="H51" s="315">
        <f t="shared" si="3"/>
        <v>-6395.2633920000007</v>
      </c>
      <c r="I51" s="140">
        <f>'EPRI Dues'!K9</f>
        <v>37451.213519999998</v>
      </c>
      <c r="J51" s="242">
        <v>43821.435893760005</v>
      </c>
      <c r="K51" s="315">
        <f t="shared" si="4"/>
        <v>-6370.222373760007</v>
      </c>
      <c r="L51" s="140">
        <f>'EPRI Dues'!L9</f>
        <v>38612.201139119992</v>
      </c>
      <c r="M51" s="242">
        <v>45048.436098785285</v>
      </c>
      <c r="N51" s="315">
        <f t="shared" si="5"/>
        <v>-6436.234959665293</v>
      </c>
      <c r="O51" s="140">
        <f>'EPRI Dues'!M9</f>
        <v>39693.342771015356</v>
      </c>
      <c r="P51" s="304">
        <f>M51*1.02</f>
        <v>45949.404820760989</v>
      </c>
      <c r="Q51" s="141">
        <f t="shared" si="7"/>
        <v>-6256.062049745633</v>
      </c>
      <c r="R51" s="223"/>
      <c r="S51" s="278">
        <f t="shared" si="9"/>
        <v>-6365.8559999999998</v>
      </c>
    </row>
    <row r="52" spans="1:19">
      <c r="A52" s="388" t="s">
        <v>96</v>
      </c>
      <c r="B52" s="331">
        <v>183647</v>
      </c>
      <c r="C52" s="140">
        <f>'EPRI Dues'!I10</f>
        <v>205835.51985479999</v>
      </c>
      <c r="D52" s="242">
        <v>188972.76299999998</v>
      </c>
      <c r="E52" s="315">
        <f t="shared" si="2"/>
        <v>16862.756854800013</v>
      </c>
      <c r="F52" s="140">
        <f>'EPRI Dues'!J10</f>
        <v>213451.43408942758</v>
      </c>
      <c r="G52" s="242">
        <v>195019.89141599997</v>
      </c>
      <c r="H52" s="315">
        <f t="shared" si="3"/>
        <v>18431.542673427612</v>
      </c>
      <c r="I52" s="140">
        <f>'EPRI Dues'!K10</f>
        <v>221135.68571664699</v>
      </c>
      <c r="J52" s="242">
        <v>200870.48815847997</v>
      </c>
      <c r="K52" s="315">
        <f t="shared" si="4"/>
        <v>20265.197558167012</v>
      </c>
      <c r="L52" s="140">
        <f>'EPRI Dues'!L10</f>
        <v>227990.89197386304</v>
      </c>
      <c r="M52" s="242">
        <v>206494.86182691742</v>
      </c>
      <c r="N52" s="315">
        <f t="shared" si="5"/>
        <v>21496.030146945617</v>
      </c>
      <c r="O52" s="140">
        <f>'EPRI Dues'!M10</f>
        <v>234374.63694913121</v>
      </c>
      <c r="P52" s="304">
        <f>M52*1.02</f>
        <v>210624.75906345577</v>
      </c>
      <c r="Q52" s="141">
        <f t="shared" si="7"/>
        <v>23749.877885675436</v>
      </c>
      <c r="R52" s="223"/>
      <c r="S52" s="278">
        <f t="shared" si="9"/>
        <v>16862.756854800013</v>
      </c>
    </row>
    <row r="53" spans="1:19">
      <c r="A53" s="388" t="s">
        <v>97</v>
      </c>
      <c r="B53" s="331">
        <v>66312</v>
      </c>
      <c r="C53" s="140">
        <f>'EPRI Dues'!I11</f>
        <v>76431.556475999998</v>
      </c>
      <c r="D53" s="242">
        <v>68235.047999999995</v>
      </c>
      <c r="E53" s="315">
        <f t="shared" si="2"/>
        <v>8196.5084760000027</v>
      </c>
      <c r="F53" s="140">
        <f>'EPRI Dues'!J11</f>
        <v>79259.524065611986</v>
      </c>
      <c r="G53" s="242">
        <v>70418.569535999995</v>
      </c>
      <c r="H53" s="315">
        <f t="shared" si="3"/>
        <v>8840.9545296119904</v>
      </c>
      <c r="I53" s="140">
        <f>'EPRI Dues'!K11</f>
        <v>82112.866931974015</v>
      </c>
      <c r="J53" s="242">
        <v>72531.126622080003</v>
      </c>
      <c r="K53" s="315">
        <f t="shared" si="4"/>
        <v>9581.7403098940122</v>
      </c>
      <c r="L53" s="140">
        <f>'EPRI Dues'!L11</f>
        <v>84658.3658068652</v>
      </c>
      <c r="M53" s="242">
        <v>74561.998167498241</v>
      </c>
      <c r="N53" s="315">
        <f t="shared" si="5"/>
        <v>10096.367639366959</v>
      </c>
      <c r="O53" s="140">
        <f>'EPRI Dues'!M11</f>
        <v>87028.800049457423</v>
      </c>
      <c r="P53" s="304">
        <f>M53*1.02</f>
        <v>76053.2381308482</v>
      </c>
      <c r="Q53" s="141">
        <f t="shared" si="7"/>
        <v>10975.561918609223</v>
      </c>
      <c r="R53" s="223"/>
      <c r="S53" s="278">
        <f t="shared" si="9"/>
        <v>8196.5084760000027</v>
      </c>
    </row>
    <row r="54" spans="1:19">
      <c r="A54" s="388" t="s">
        <v>340</v>
      </c>
      <c r="B54" s="331">
        <v>72827</v>
      </c>
      <c r="C54" s="140">
        <f>'EPRI Dues'!I12</f>
        <v>86143.991009999998</v>
      </c>
      <c r="D54" s="242">
        <v>74938.982999999993</v>
      </c>
      <c r="E54" s="315">
        <f t="shared" si="2"/>
        <v>11205.008010000005</v>
      </c>
      <c r="F54" s="140">
        <f>'EPRI Dues'!J12</f>
        <v>89331.318677369985</v>
      </c>
      <c r="G54" s="242">
        <v>77337.030455999993</v>
      </c>
      <c r="H54" s="315">
        <f t="shared" si="3"/>
        <v>11994.288221369992</v>
      </c>
      <c r="I54" s="140">
        <f>'EPRI Dues'!K12</f>
        <v>92547.246149755301</v>
      </c>
      <c r="J54" s="242">
        <v>79657.141369680001</v>
      </c>
      <c r="K54" s="315">
        <f t="shared" si="4"/>
        <v>12890.1047800753</v>
      </c>
      <c r="L54" s="140">
        <f>'EPRI Dues'!L12</f>
        <v>95416.210780397712</v>
      </c>
      <c r="M54" s="242">
        <v>81887.541328031046</v>
      </c>
      <c r="N54" s="315">
        <f t="shared" si="5"/>
        <v>13528.669452366667</v>
      </c>
      <c r="O54" s="140">
        <f>'EPRI Dues'!M12</f>
        <v>98087.864682248852</v>
      </c>
      <c r="P54" s="304">
        <f>M54*1.02</f>
        <v>83525.292154591662</v>
      </c>
      <c r="Q54" s="141">
        <f t="shared" si="7"/>
        <v>14562.57252765719</v>
      </c>
      <c r="R54" s="223"/>
      <c r="S54" s="278">
        <f t="shared" si="9"/>
        <v>11205.008010000005</v>
      </c>
    </row>
    <row r="55" spans="1:19">
      <c r="A55" s="45" t="s">
        <v>130</v>
      </c>
      <c r="B55" s="333">
        <v>876652</v>
      </c>
      <c r="C55" s="31">
        <f>SUM(C50:C54)</f>
        <v>1039908.9437601001</v>
      </c>
      <c r="D55" s="279">
        <v>902074.90799999982</v>
      </c>
      <c r="E55" s="316">
        <f t="shared" si="2"/>
        <v>137834.03576010023</v>
      </c>
      <c r="F55" s="31">
        <f>SUM(F50:F54)</f>
        <v>1078385.5746792238</v>
      </c>
      <c r="G55" s="279">
        <v>930941.3050559999</v>
      </c>
      <c r="H55" s="316">
        <f t="shared" si="3"/>
        <v>147444.26962322393</v>
      </c>
      <c r="I55" s="31">
        <f>SUM(I50:I54)</f>
        <v>1117207.4553676757</v>
      </c>
      <c r="J55" s="279">
        <v>958869.54420768004</v>
      </c>
      <c r="K55" s="316">
        <f t="shared" si="4"/>
        <v>158337.91115999571</v>
      </c>
      <c r="L55" s="31">
        <f>SUM(L50:L54)</f>
        <v>1151840.8864840737</v>
      </c>
      <c r="M55" s="279">
        <v>985717.89144549496</v>
      </c>
      <c r="N55" s="316">
        <f t="shared" si="5"/>
        <v>166122.99503857875</v>
      </c>
      <c r="O55" s="31">
        <f>SUM(O50:O54)</f>
        <v>1184092.4313056278</v>
      </c>
      <c r="P55" s="305">
        <f>SUM(P50:P54)</f>
        <v>1005432.2492744048</v>
      </c>
      <c r="Q55" s="32">
        <f t="shared" si="7"/>
        <v>178660.18203122297</v>
      </c>
      <c r="S55" s="408">
        <f>SUM(S50:S54)</f>
        <v>137834.0357601002</v>
      </c>
    </row>
    <row r="56" spans="1:19" ht="10.5" customHeight="1">
      <c r="A56" s="45"/>
      <c r="B56" s="331"/>
      <c r="C56" s="140"/>
      <c r="D56" s="242"/>
      <c r="E56" s="315"/>
      <c r="F56" s="140"/>
      <c r="G56" s="242"/>
      <c r="H56" s="315"/>
      <c r="I56" s="140"/>
      <c r="J56" s="242"/>
      <c r="K56" s="315"/>
      <c r="L56" s="140"/>
      <c r="M56" s="242"/>
      <c r="N56" s="315"/>
      <c r="O56" s="140"/>
      <c r="P56" s="304"/>
      <c r="Q56" s="141"/>
      <c r="S56" s="278"/>
    </row>
    <row r="57" spans="1:19">
      <c r="A57" s="193" t="s">
        <v>53</v>
      </c>
      <c r="B57" s="331"/>
      <c r="C57" s="140"/>
      <c r="D57" s="242"/>
      <c r="E57" s="315"/>
      <c r="F57" s="140"/>
      <c r="G57" s="242"/>
      <c r="H57" s="315"/>
      <c r="I57" s="140"/>
      <c r="J57" s="242"/>
      <c r="K57" s="315"/>
      <c r="L57" s="140"/>
      <c r="M57" s="242"/>
      <c r="N57" s="315"/>
      <c r="O57" s="140"/>
      <c r="P57" s="304"/>
      <c r="Q57" s="141"/>
      <c r="S57" s="278"/>
    </row>
    <row r="58" spans="1:19" s="33" customFormat="1">
      <c r="A58" s="227" t="s">
        <v>60</v>
      </c>
      <c r="B58" s="331">
        <v>224665.46982</v>
      </c>
      <c r="C58" s="140">
        <f>'EEI Dues'!F19</f>
        <v>268890.15935999999</v>
      </c>
      <c r="D58" s="242">
        <v>231180.76844477997</v>
      </c>
      <c r="E58" s="315">
        <f t="shared" si="2"/>
        <v>37709.390915220021</v>
      </c>
      <c r="F58" s="140">
        <f>'EEI Dues'!F20</f>
        <v>278839.09525631997</v>
      </c>
      <c r="G58" s="242">
        <v>238578.55303501294</v>
      </c>
      <c r="H58" s="315">
        <f t="shared" si="3"/>
        <v>40260.542221307027</v>
      </c>
      <c r="I58" s="140">
        <f>'EEI Dues'!F21</f>
        <v>288877.3026855475</v>
      </c>
      <c r="J58" s="242">
        <v>245735.90962606334</v>
      </c>
      <c r="K58" s="315">
        <f t="shared" si="4"/>
        <v>43141.393059484166</v>
      </c>
      <c r="L58" s="140">
        <f>'EEI Dues'!F22</f>
        <v>297832.49906879943</v>
      </c>
      <c r="M58" s="242">
        <v>252616.51509559312</v>
      </c>
      <c r="N58" s="315">
        <f t="shared" si="5"/>
        <v>45215.983973206312</v>
      </c>
      <c r="O58" s="140">
        <f>'EEI Dues'!F23</f>
        <v>306171.80904272583</v>
      </c>
      <c r="P58" s="304">
        <f>M58*1.02</f>
        <v>257668.84539750498</v>
      </c>
      <c r="Q58" s="141">
        <f t="shared" si="7"/>
        <v>48502.963645220851</v>
      </c>
      <c r="R58" s="223"/>
      <c r="S58" s="278">
        <f>C58-D58</f>
        <v>37709.390915220021</v>
      </c>
    </row>
    <row r="59" spans="1:19" s="33" customFormat="1" ht="10.5" customHeight="1">
      <c r="A59" s="45"/>
      <c r="B59" s="331"/>
      <c r="C59" s="140"/>
      <c r="D59" s="242"/>
      <c r="E59" s="315"/>
      <c r="F59" s="140"/>
      <c r="G59" s="242"/>
      <c r="H59" s="315"/>
      <c r="I59" s="140"/>
      <c r="J59" s="242"/>
      <c r="K59" s="315"/>
      <c r="L59" s="140"/>
      <c r="M59" s="242"/>
      <c r="N59" s="315"/>
      <c r="O59" s="140"/>
      <c r="P59" s="304"/>
      <c r="Q59" s="141"/>
      <c r="R59" s="223"/>
      <c r="S59" s="278"/>
    </row>
    <row r="60" spans="1:19" s="33" customFormat="1">
      <c r="A60" s="47" t="s">
        <v>16</v>
      </c>
      <c r="B60" s="330"/>
      <c r="D60" s="280"/>
      <c r="E60" s="314"/>
      <c r="G60" s="280"/>
      <c r="H60" s="314"/>
      <c r="J60" s="280"/>
      <c r="K60" s="314"/>
      <c r="M60" s="280"/>
      <c r="N60" s="314"/>
      <c r="P60" s="303"/>
      <c r="Q60" s="34"/>
      <c r="R60" s="223"/>
      <c r="S60" s="278"/>
    </row>
    <row r="61" spans="1:19" s="33" customFormat="1">
      <c r="A61" s="45" t="s">
        <v>63</v>
      </c>
      <c r="B61" s="331">
        <v>200000</v>
      </c>
      <c r="C61" s="140">
        <f>'Def Comp'!F20</f>
        <v>170000</v>
      </c>
      <c r="D61" s="242">
        <v>212000</v>
      </c>
      <c r="E61" s="315">
        <f>C61-D61</f>
        <v>-42000</v>
      </c>
      <c r="F61" s="140">
        <f>'Def Comp'!G20</f>
        <v>180000</v>
      </c>
      <c r="G61" s="242">
        <v>109000</v>
      </c>
      <c r="H61" s="315">
        <f>F61-G61</f>
        <v>71000</v>
      </c>
      <c r="I61" s="140">
        <f>'Def Comp'!H20</f>
        <v>190000</v>
      </c>
      <c r="J61" s="242">
        <v>250000</v>
      </c>
      <c r="K61" s="315">
        <f>I61-J61</f>
        <v>-60000</v>
      </c>
      <c r="L61" s="140">
        <f>'Def Comp'!I20</f>
        <v>200000</v>
      </c>
      <c r="M61" s="242">
        <v>277000</v>
      </c>
      <c r="N61" s="315">
        <f>L61-M61</f>
        <v>-77000</v>
      </c>
      <c r="O61" s="140">
        <f>'Def Comp'!J20</f>
        <v>220000</v>
      </c>
      <c r="P61" s="304">
        <f>M61*1.02</f>
        <v>282540</v>
      </c>
      <c r="Q61" s="141">
        <f>O61-P61</f>
        <v>-62540</v>
      </c>
      <c r="R61" s="223"/>
      <c r="S61" s="278">
        <f>C61-D61</f>
        <v>-42000</v>
      </c>
    </row>
    <row r="62" spans="1:19" s="33" customFormat="1" ht="10.5" customHeight="1">
      <c r="A62" s="45"/>
      <c r="B62" s="331"/>
      <c r="C62" s="140"/>
      <c r="D62" s="242"/>
      <c r="E62" s="315"/>
      <c r="F62" s="140"/>
      <c r="G62" s="242"/>
      <c r="H62" s="315"/>
      <c r="I62" s="140"/>
      <c r="J62" s="242"/>
      <c r="K62" s="315"/>
      <c r="L62" s="140"/>
      <c r="M62" s="242"/>
      <c r="N62" s="315"/>
      <c r="O62" s="140"/>
      <c r="P62" s="304"/>
      <c r="Q62" s="141"/>
      <c r="R62" s="223"/>
      <c r="S62" s="278"/>
    </row>
    <row r="63" spans="1:19" s="33" customFormat="1">
      <c r="A63" s="47" t="s">
        <v>17</v>
      </c>
      <c r="B63" s="331"/>
      <c r="C63" s="140"/>
      <c r="D63" s="242"/>
      <c r="E63" s="315"/>
      <c r="F63" s="140"/>
      <c r="G63" s="242"/>
      <c r="H63" s="315"/>
      <c r="I63" s="140"/>
      <c r="J63" s="242"/>
      <c r="K63" s="315"/>
      <c r="L63" s="140"/>
      <c r="M63" s="242"/>
      <c r="N63" s="315"/>
      <c r="O63" s="140"/>
      <c r="P63" s="304"/>
      <c r="Q63" s="141"/>
      <c r="R63" s="223"/>
      <c r="S63" s="278"/>
    </row>
    <row r="64" spans="1:19" s="33" customFormat="1">
      <c r="A64" s="46" t="s">
        <v>187</v>
      </c>
      <c r="B64" s="331">
        <v>-279681.30450000003</v>
      </c>
      <c r="C64" s="140">
        <f>Trans!F21</f>
        <v>-263766</v>
      </c>
      <c r="D64" s="242">
        <v>-279681.30450000003</v>
      </c>
      <c r="E64" s="315">
        <f>C64-D64</f>
        <v>15915.304500000027</v>
      </c>
      <c r="F64" s="140">
        <f>Trans!G21</f>
        <v>-263766</v>
      </c>
      <c r="G64" s="242">
        <v>-279681.30450000003</v>
      </c>
      <c r="H64" s="315">
        <f>F64-G64</f>
        <v>15915.304500000027</v>
      </c>
      <c r="I64" s="140">
        <f>Trans!H21</f>
        <v>-263766</v>
      </c>
      <c r="J64" s="242">
        <v>-279681.30450000003</v>
      </c>
      <c r="K64" s="315">
        <f>I64-J64</f>
        <v>15915.304500000027</v>
      </c>
      <c r="L64" s="140">
        <f>Trans!I21</f>
        <v>-263766</v>
      </c>
      <c r="M64" s="242">
        <v>-279681.30450000003</v>
      </c>
      <c r="N64" s="315">
        <f>L64-M64</f>
        <v>15915.304500000027</v>
      </c>
      <c r="O64" s="140">
        <f>Trans!J21</f>
        <v>-263766</v>
      </c>
      <c r="P64" s="304">
        <f>M64*1.02</f>
        <v>-285274.93059000006</v>
      </c>
      <c r="Q64" s="141">
        <f>O64-P64</f>
        <v>21508.930590000062</v>
      </c>
      <c r="R64" s="223"/>
      <c r="S64" s="278">
        <f>C64-D64</f>
        <v>15915.304500000027</v>
      </c>
    </row>
    <row r="65" spans="1:19" s="33" customFormat="1" ht="10.5" customHeight="1">
      <c r="A65" s="45"/>
      <c r="B65" s="331"/>
      <c r="C65" s="140"/>
      <c r="D65" s="242"/>
      <c r="E65" s="315"/>
      <c r="F65" s="140"/>
      <c r="G65" s="242"/>
      <c r="H65" s="315"/>
      <c r="I65" s="140"/>
      <c r="J65" s="242"/>
      <c r="K65" s="315"/>
      <c r="L65" s="140"/>
      <c r="M65" s="242"/>
      <c r="N65" s="315"/>
      <c r="O65" s="140"/>
      <c r="P65" s="304"/>
      <c r="Q65" s="141"/>
      <c r="R65" s="223"/>
      <c r="S65" s="278"/>
    </row>
    <row r="66" spans="1:19" s="33" customFormat="1">
      <c r="A66" s="47" t="s">
        <v>66</v>
      </c>
      <c r="B66" s="331"/>
      <c r="C66" s="140"/>
      <c r="D66" s="242"/>
      <c r="E66" s="315"/>
      <c r="F66" s="140"/>
      <c r="G66" s="242"/>
      <c r="H66" s="315"/>
      <c r="I66" s="140"/>
      <c r="J66" s="242"/>
      <c r="K66" s="315"/>
      <c r="L66" s="140"/>
      <c r="M66" s="242"/>
      <c r="N66" s="315"/>
      <c r="O66" s="140"/>
      <c r="P66" s="304"/>
      <c r="Q66" s="141"/>
      <c r="R66" s="223"/>
      <c r="S66" s="278"/>
    </row>
    <row r="67" spans="1:19" s="33" customFormat="1">
      <c r="A67" s="227" t="s">
        <v>215</v>
      </c>
      <c r="B67" s="331">
        <v>392311.57499999995</v>
      </c>
      <c r="C67" s="140">
        <f>'Trans Clause'!G21</f>
        <v>423956</v>
      </c>
      <c r="D67" s="242">
        <v>392311.57499999995</v>
      </c>
      <c r="E67" s="315">
        <f>C67-D67</f>
        <v>31644.425000000047</v>
      </c>
      <c r="F67" s="140">
        <f>'Trans Clause'!H21</f>
        <v>423956</v>
      </c>
      <c r="G67" s="242">
        <v>392311.57499999995</v>
      </c>
      <c r="H67" s="315">
        <f>F67-G67</f>
        <v>31644.425000000047</v>
      </c>
      <c r="I67" s="140">
        <f>'Trans Clause'!I21</f>
        <v>423956</v>
      </c>
      <c r="J67" s="242">
        <v>392311.57499999995</v>
      </c>
      <c r="K67" s="315">
        <f>I67-J67</f>
        <v>31644.425000000047</v>
      </c>
      <c r="L67" s="140">
        <f>'Trans Clause'!J21</f>
        <v>423956</v>
      </c>
      <c r="M67" s="242">
        <v>392311.57499999995</v>
      </c>
      <c r="N67" s="315">
        <f>L67-M67</f>
        <v>31644.425000000047</v>
      </c>
      <c r="O67" s="140">
        <f>'Trans Clause'!K21</f>
        <v>423956</v>
      </c>
      <c r="P67" s="304">
        <f>M67*1.02</f>
        <v>400157.80649999995</v>
      </c>
      <c r="Q67" s="141">
        <f>O67-P67</f>
        <v>23798.193500000052</v>
      </c>
      <c r="R67" s="223"/>
      <c r="S67" s="278">
        <f>C67-D67</f>
        <v>31644.425000000047</v>
      </c>
    </row>
    <row r="68" spans="1:19" s="33" customFormat="1" ht="10.5" customHeight="1">
      <c r="A68" s="45"/>
      <c r="B68" s="331"/>
      <c r="C68" s="140"/>
      <c r="D68" s="242"/>
      <c r="E68" s="315"/>
      <c r="F68" s="140"/>
      <c r="G68" s="242"/>
      <c r="H68" s="315"/>
      <c r="I68" s="140"/>
      <c r="J68" s="242"/>
      <c r="K68" s="315"/>
      <c r="L68" s="140"/>
      <c r="M68" s="242"/>
      <c r="N68" s="315"/>
      <c r="O68" s="140"/>
      <c r="P68" s="304"/>
      <c r="Q68" s="141"/>
      <c r="R68" s="223"/>
      <c r="S68" s="278"/>
    </row>
    <row r="69" spans="1:19" s="33" customFormat="1">
      <c r="A69" s="47" t="s">
        <v>385</v>
      </c>
      <c r="B69" s="331"/>
      <c r="C69" s="140"/>
      <c r="D69" s="242"/>
      <c r="E69" s="315"/>
      <c r="F69" s="140"/>
      <c r="G69" s="242"/>
      <c r="H69" s="315"/>
      <c r="I69" s="140"/>
      <c r="J69" s="242"/>
      <c r="K69" s="315"/>
      <c r="L69" s="140"/>
      <c r="M69" s="242"/>
      <c r="N69" s="315"/>
      <c r="O69" s="140"/>
      <c r="P69" s="304"/>
      <c r="Q69" s="141"/>
      <c r="R69" s="223"/>
      <c r="S69" s="278"/>
    </row>
    <row r="70" spans="1:19" s="33" customFormat="1">
      <c r="A70" s="45" t="s">
        <v>389</v>
      </c>
      <c r="B70" s="331">
        <v>981895</v>
      </c>
      <c r="C70" s="140" t="e">
        <f>#REF!</f>
        <v>#REF!</v>
      </c>
      <c r="D70" s="242">
        <v>0</v>
      </c>
      <c r="E70" s="315" t="e">
        <f>C70-D70</f>
        <v>#REF!</v>
      </c>
      <c r="F70" s="140" t="e">
        <f>#REF!</f>
        <v>#REF!</v>
      </c>
      <c r="G70" s="242">
        <v>0</v>
      </c>
      <c r="H70" s="315" t="e">
        <f>F70-G70</f>
        <v>#REF!</v>
      </c>
      <c r="I70" s="140" t="e">
        <f>#REF!</f>
        <v>#REF!</v>
      </c>
      <c r="J70" s="242">
        <v>0</v>
      </c>
      <c r="K70" s="315" t="e">
        <f>I70-J70</f>
        <v>#REF!</v>
      </c>
      <c r="L70" s="140" t="e">
        <f>#REF!</f>
        <v>#REF!</v>
      </c>
      <c r="M70" s="242">
        <v>0</v>
      </c>
      <c r="N70" s="315" t="e">
        <f>L70-M70</f>
        <v>#REF!</v>
      </c>
      <c r="O70" s="140" t="e">
        <f>#REF!</f>
        <v>#REF!</v>
      </c>
      <c r="P70" s="304">
        <f>M70*1.02</f>
        <v>0</v>
      </c>
      <c r="Q70" s="141" t="e">
        <f>O70-P70</f>
        <v>#REF!</v>
      </c>
      <c r="R70" s="223"/>
      <c r="S70" s="278" t="e">
        <f t="shared" ref="S70:S71" si="10">C70-D70</f>
        <v>#REF!</v>
      </c>
    </row>
    <row r="71" spans="1:19" s="33" customFormat="1">
      <c r="A71" s="45" t="s">
        <v>388</v>
      </c>
      <c r="B71" s="332">
        <v>11897215.25</v>
      </c>
      <c r="C71" s="28">
        <f>'APC Fac Charge'!B8</f>
        <v>12977650.18</v>
      </c>
      <c r="D71" s="293">
        <v>13612467.416666664</v>
      </c>
      <c r="E71" s="317">
        <f>C71-D71</f>
        <v>-634817.23666666448</v>
      </c>
      <c r="F71" s="28">
        <f>'APC Fac Charge'!B9</f>
        <v>12648585.59</v>
      </c>
      <c r="G71" s="293">
        <v>13299338.333333336</v>
      </c>
      <c r="H71" s="317">
        <f>F71-G71</f>
        <v>-650752.74333333597</v>
      </c>
      <c r="I71" s="28">
        <f>'APC Fac Charge'!B10</f>
        <v>12339380.68</v>
      </c>
      <c r="J71" s="293">
        <v>13002595.833333336</v>
      </c>
      <c r="K71" s="317">
        <f>I71-J71</f>
        <v>-663215.15333333611</v>
      </c>
      <c r="L71" s="28">
        <f>'APC Fac Charge'!B11</f>
        <v>12038939.16</v>
      </c>
      <c r="M71" s="293">
        <v>12723825.749999996</v>
      </c>
      <c r="N71" s="317">
        <f>L71-M71</f>
        <v>-684886.58999999613</v>
      </c>
      <c r="O71" s="28">
        <f>'APC Fac Charge'!B12</f>
        <v>11740597.77</v>
      </c>
      <c r="P71" s="304">
        <f>M71*1.02</f>
        <v>12978302.264999997</v>
      </c>
      <c r="Q71" s="192">
        <f>O71-P71</f>
        <v>-1237704.4949999973</v>
      </c>
      <c r="R71" s="223"/>
      <c r="S71" s="278">
        <f t="shared" si="10"/>
        <v>-634817.23666666448</v>
      </c>
    </row>
    <row r="72" spans="1:19" s="33" customFormat="1">
      <c r="A72" s="45"/>
      <c r="B72" s="331">
        <v>12879110.25</v>
      </c>
      <c r="C72" s="140" t="e">
        <f>SUM(C70:C71)</f>
        <v>#REF!</v>
      </c>
      <c r="D72" s="242">
        <v>13612467.416666664</v>
      </c>
      <c r="E72" s="315" t="e">
        <f>C72-D72</f>
        <v>#REF!</v>
      </c>
      <c r="F72" s="140" t="e">
        <f>SUM(F70:F71)</f>
        <v>#REF!</v>
      </c>
      <c r="G72" s="242">
        <v>13299338.333333336</v>
      </c>
      <c r="H72" s="315" t="e">
        <f>F72-G72</f>
        <v>#REF!</v>
      </c>
      <c r="I72" s="140" t="e">
        <f>SUM(I70:I71)</f>
        <v>#REF!</v>
      </c>
      <c r="J72" s="242">
        <v>13002595.833333336</v>
      </c>
      <c r="K72" s="315" t="e">
        <f>I72-J72</f>
        <v>#REF!</v>
      </c>
      <c r="L72" s="140" t="e">
        <f>SUM(L70:L71)</f>
        <v>#REF!</v>
      </c>
      <c r="M72" s="242">
        <v>12723825.749999996</v>
      </c>
      <c r="N72" s="315" t="e">
        <f>L72-M72</f>
        <v>#REF!</v>
      </c>
      <c r="O72" s="140" t="e">
        <f>SUM(O70:O71)</f>
        <v>#REF!</v>
      </c>
      <c r="P72" s="304">
        <f>SUM(P70:P71)</f>
        <v>12978302.264999997</v>
      </c>
      <c r="Q72" s="141" t="e">
        <f>O72-P72</f>
        <v>#REF!</v>
      </c>
      <c r="S72" s="408" t="e">
        <f>SUM(S70:S71)</f>
        <v>#REF!</v>
      </c>
    </row>
    <row r="73" spans="1:19" ht="10.5" customHeight="1">
      <c r="A73" s="45"/>
      <c r="B73" s="331"/>
      <c r="C73" s="140"/>
      <c r="D73" s="242"/>
      <c r="E73" s="315"/>
      <c r="F73" s="140"/>
      <c r="G73" s="242"/>
      <c r="H73" s="315"/>
      <c r="I73" s="140"/>
      <c r="J73" s="242"/>
      <c r="K73" s="315"/>
      <c r="L73" s="140"/>
      <c r="M73" s="242"/>
      <c r="N73" s="315"/>
      <c r="O73" s="140"/>
      <c r="P73" s="304"/>
      <c r="Q73" s="141"/>
      <c r="S73" s="278"/>
    </row>
    <row r="74" spans="1:19">
      <c r="A74" s="194" t="s">
        <v>78</v>
      </c>
      <c r="B74" s="331"/>
      <c r="C74" s="140"/>
      <c r="D74" s="242"/>
      <c r="E74" s="315"/>
      <c r="F74" s="140"/>
      <c r="G74" s="242"/>
      <c r="H74" s="315"/>
      <c r="I74" s="140"/>
      <c r="J74" s="242"/>
      <c r="K74" s="315"/>
      <c r="L74" s="140"/>
      <c r="M74" s="242"/>
      <c r="N74" s="315"/>
      <c r="O74" s="140"/>
      <c r="P74" s="304"/>
      <c r="Q74" s="141"/>
      <c r="S74" s="278"/>
    </row>
    <row r="75" spans="1:19" s="33" customFormat="1">
      <c r="A75" s="45" t="s">
        <v>79</v>
      </c>
      <c r="B75" s="331">
        <v>0</v>
      </c>
      <c r="C75" s="140" t="e">
        <f>#REF!</f>
        <v>#REF!</v>
      </c>
      <c r="D75" s="242">
        <v>0</v>
      </c>
      <c r="E75" s="315" t="e">
        <f>C75-D75</f>
        <v>#REF!</v>
      </c>
      <c r="F75" s="140" t="e">
        <f>#REF!</f>
        <v>#REF!</v>
      </c>
      <c r="G75" s="242">
        <v>0</v>
      </c>
      <c r="H75" s="315" t="e">
        <f>F75-G75</f>
        <v>#REF!</v>
      </c>
      <c r="I75" s="140" t="e">
        <f>#REF!</f>
        <v>#REF!</v>
      </c>
      <c r="J75" s="242">
        <v>0</v>
      </c>
      <c r="K75" s="315" t="e">
        <f>I75-J75</f>
        <v>#REF!</v>
      </c>
      <c r="L75" s="140" t="e">
        <f>#REF!</f>
        <v>#REF!</v>
      </c>
      <c r="M75" s="242">
        <v>0</v>
      </c>
      <c r="N75" s="315" t="e">
        <f>L75-M75</f>
        <v>#REF!</v>
      </c>
      <c r="O75" s="140" t="e">
        <f>#REF!</f>
        <v>#REF!</v>
      </c>
      <c r="P75" s="304">
        <f>M75*1.02</f>
        <v>0</v>
      </c>
      <c r="Q75" s="141" t="e">
        <f>O75-P75</f>
        <v>#REF!</v>
      </c>
      <c r="S75" s="278"/>
    </row>
    <row r="76" spans="1:19" s="33" customFormat="1" ht="10.5" customHeight="1">
      <c r="A76" s="45"/>
      <c r="B76" s="331"/>
      <c r="C76" s="140"/>
      <c r="D76" s="242"/>
      <c r="E76" s="315"/>
      <c r="F76" s="140"/>
      <c r="G76" s="242"/>
      <c r="H76" s="315"/>
      <c r="I76" s="140"/>
      <c r="J76" s="242"/>
      <c r="K76" s="315"/>
      <c r="L76" s="140"/>
      <c r="M76" s="242"/>
      <c r="N76" s="315"/>
      <c r="O76" s="140"/>
      <c r="P76" s="304"/>
      <c r="Q76" s="141"/>
      <c r="S76" s="278"/>
    </row>
    <row r="77" spans="1:19" s="33" customFormat="1">
      <c r="A77" s="194" t="s">
        <v>150</v>
      </c>
      <c r="B77" s="334"/>
      <c r="C77" s="35"/>
      <c r="D77" s="277"/>
      <c r="E77" s="318"/>
      <c r="F77" s="35"/>
      <c r="G77" s="277"/>
      <c r="H77" s="318"/>
      <c r="I77" s="35"/>
      <c r="J77" s="277"/>
      <c r="K77" s="318"/>
      <c r="L77" s="35"/>
      <c r="M77" s="277"/>
      <c r="N77" s="318"/>
      <c r="O77" s="35"/>
      <c r="P77" s="306"/>
      <c r="Q77" s="195"/>
      <c r="S77" s="278"/>
    </row>
    <row r="78" spans="1:19" s="33" customFormat="1">
      <c r="A78" s="45" t="s">
        <v>217</v>
      </c>
      <c r="B78" s="335">
        <v>46788</v>
      </c>
      <c r="C78" s="131">
        <f>'SCS Early Retire'!F21</f>
        <v>37680</v>
      </c>
      <c r="D78" s="276">
        <v>46788</v>
      </c>
      <c r="E78" s="315">
        <f>C78-D78</f>
        <v>-9108</v>
      </c>
      <c r="F78" s="131">
        <f>'SCS Early Retire'!G21</f>
        <v>37680</v>
      </c>
      <c r="G78" s="276">
        <v>46788</v>
      </c>
      <c r="H78" s="315">
        <f>F78-G78</f>
        <v>-9108</v>
      </c>
      <c r="I78" s="131">
        <f>'SCS Early Retire'!H21</f>
        <v>37680</v>
      </c>
      <c r="J78" s="276">
        <v>46788</v>
      </c>
      <c r="K78" s="315">
        <f>I78-J78</f>
        <v>-9108</v>
      </c>
      <c r="L78" s="131">
        <f>'SCS Early Retire'!I21</f>
        <v>37680</v>
      </c>
      <c r="M78" s="276">
        <v>46788</v>
      </c>
      <c r="N78" s="315">
        <f>L78-M78</f>
        <v>-9108</v>
      </c>
      <c r="O78" s="131">
        <f>'SCS Early Retire'!J21</f>
        <v>37680</v>
      </c>
      <c r="P78" s="304">
        <f>M78*1.02</f>
        <v>47723.76</v>
      </c>
      <c r="Q78" s="141">
        <f>O78-P78</f>
        <v>-10043.760000000002</v>
      </c>
      <c r="R78" s="223"/>
      <c r="S78" s="278">
        <f>C78-D78</f>
        <v>-9108</v>
      </c>
    </row>
    <row r="79" spans="1:19" s="33" customFormat="1" ht="10.5" customHeight="1">
      <c r="A79" s="45"/>
      <c r="B79" s="335"/>
      <c r="C79" s="38"/>
      <c r="D79" s="276"/>
      <c r="E79" s="315"/>
      <c r="F79" s="38"/>
      <c r="G79" s="276"/>
      <c r="H79" s="315"/>
      <c r="I79" s="38"/>
      <c r="J79" s="276"/>
      <c r="K79" s="315"/>
      <c r="L79" s="38"/>
      <c r="M79" s="276"/>
      <c r="N79" s="315"/>
      <c r="O79" s="38"/>
      <c r="P79" s="304"/>
      <c r="Q79" s="30"/>
      <c r="S79" s="278"/>
    </row>
    <row r="80" spans="1:19" s="33" customFormat="1">
      <c r="A80" s="194" t="s">
        <v>392</v>
      </c>
      <c r="B80" s="335"/>
      <c r="C80" s="131"/>
      <c r="D80" s="276"/>
      <c r="E80" s="315"/>
      <c r="F80" s="131"/>
      <c r="G80" s="276"/>
      <c r="H80" s="315"/>
      <c r="I80" s="131"/>
      <c r="J80" s="276"/>
      <c r="K80" s="315"/>
      <c r="L80" s="131"/>
      <c r="M80" s="276"/>
      <c r="N80" s="315"/>
      <c r="O80" s="131"/>
      <c r="P80" s="304"/>
      <c r="Q80" s="141"/>
      <c r="S80" s="278"/>
    </row>
    <row r="81" spans="1:21" s="33" customFormat="1">
      <c r="A81" s="45" t="s">
        <v>393</v>
      </c>
      <c r="B81" s="335">
        <v>700000.00000000012</v>
      </c>
      <c r="C81" s="131">
        <f>'Rate Case Exp'!B20</f>
        <v>2431653</v>
      </c>
      <c r="D81" s="276">
        <v>700000.00000000012</v>
      </c>
      <c r="E81" s="315">
        <f>C81-D81</f>
        <v>1731653</v>
      </c>
      <c r="F81" s="131">
        <f>'Rate Case Exp'!C20</f>
        <v>0</v>
      </c>
      <c r="G81" s="276">
        <v>700000.00000000012</v>
      </c>
      <c r="H81" s="315">
        <f>F81-G81</f>
        <v>-700000.00000000012</v>
      </c>
      <c r="I81" s="131">
        <f>'Rate Case Exp'!D20</f>
        <v>0</v>
      </c>
      <c r="J81" s="276">
        <v>700000.00000000012</v>
      </c>
      <c r="K81" s="315">
        <f>I81-J81</f>
        <v>-700000.00000000012</v>
      </c>
      <c r="L81" s="131">
        <f>'Rate Case Exp'!E20</f>
        <v>0</v>
      </c>
      <c r="M81" s="276">
        <v>700000.00000000012</v>
      </c>
      <c r="N81" s="315">
        <f>L81-M81</f>
        <v>-700000.00000000012</v>
      </c>
      <c r="O81" s="131">
        <f>'Rate Case Exp'!F20</f>
        <v>0</v>
      </c>
      <c r="P81" s="307">
        <v>0</v>
      </c>
      <c r="Q81" s="141">
        <v>0</v>
      </c>
      <c r="R81" s="223"/>
      <c r="S81" s="278">
        <f>C81-D81</f>
        <v>1731653</v>
      </c>
    </row>
    <row r="82" spans="1:21" s="33" customFormat="1" ht="10.5" customHeight="1">
      <c r="A82" s="45"/>
      <c r="B82" s="335"/>
      <c r="C82" s="131"/>
      <c r="D82" s="276"/>
      <c r="E82" s="315"/>
      <c r="F82" s="38"/>
      <c r="G82" s="276"/>
      <c r="H82" s="315"/>
      <c r="I82" s="38"/>
      <c r="J82" s="276"/>
      <c r="K82" s="315"/>
      <c r="L82" s="38"/>
      <c r="M82" s="276"/>
      <c r="N82" s="315"/>
      <c r="O82" s="38"/>
      <c r="P82" s="304"/>
      <c r="Q82" s="141"/>
      <c r="S82" s="278"/>
    </row>
    <row r="83" spans="1:21" s="33" customFormat="1">
      <c r="A83" s="47" t="s">
        <v>225</v>
      </c>
      <c r="B83" s="335"/>
      <c r="C83" s="131"/>
      <c r="D83" s="276"/>
      <c r="E83" s="315"/>
      <c r="F83" s="38"/>
      <c r="G83" s="276"/>
      <c r="H83" s="315"/>
      <c r="I83" s="38"/>
      <c r="J83" s="276"/>
      <c r="K83" s="315"/>
      <c r="L83" s="38"/>
      <c r="M83" s="276"/>
      <c r="N83" s="315"/>
      <c r="O83" s="38"/>
      <c r="P83" s="304"/>
      <c r="Q83" s="30"/>
      <c r="S83" s="278"/>
    </row>
    <row r="84" spans="1:21" s="33" customFormat="1">
      <c r="A84" s="46" t="s">
        <v>357</v>
      </c>
      <c r="B84" s="335">
        <v>0</v>
      </c>
      <c r="C84" s="131">
        <v>0</v>
      </c>
      <c r="D84" s="276">
        <v>0</v>
      </c>
      <c r="E84" s="315">
        <v>0</v>
      </c>
      <c r="F84" s="131">
        <v>0</v>
      </c>
      <c r="G84" s="276">
        <v>0</v>
      </c>
      <c r="H84" s="315">
        <v>0</v>
      </c>
      <c r="I84" s="131">
        <v>0</v>
      </c>
      <c r="J84" s="276">
        <v>0</v>
      </c>
      <c r="K84" s="315">
        <v>0</v>
      </c>
      <c r="L84" s="131">
        <v>0</v>
      </c>
      <c r="M84" s="276">
        <v>0</v>
      </c>
      <c r="N84" s="315">
        <v>0</v>
      </c>
      <c r="O84" s="131">
        <v>0</v>
      </c>
      <c r="P84" s="307">
        <v>0</v>
      </c>
      <c r="Q84" s="141">
        <v>0</v>
      </c>
      <c r="S84" s="278"/>
    </row>
    <row r="85" spans="1:21" s="33" customFormat="1">
      <c r="A85" s="157" t="s">
        <v>359</v>
      </c>
      <c r="B85" s="335">
        <v>0</v>
      </c>
      <c r="C85" s="131">
        <v>0</v>
      </c>
      <c r="D85" s="276">
        <v>0</v>
      </c>
      <c r="E85" s="315">
        <v>0</v>
      </c>
      <c r="F85" s="38">
        <v>0</v>
      </c>
      <c r="G85" s="276">
        <v>0</v>
      </c>
      <c r="H85" s="315">
        <v>0</v>
      </c>
      <c r="I85" s="38">
        <v>0</v>
      </c>
      <c r="J85" s="276">
        <v>0</v>
      </c>
      <c r="K85" s="315">
        <v>0</v>
      </c>
      <c r="L85" s="38">
        <v>0</v>
      </c>
      <c r="M85" s="276">
        <v>0</v>
      </c>
      <c r="N85" s="315">
        <v>0</v>
      </c>
      <c r="O85" s="38">
        <v>0</v>
      </c>
      <c r="P85" s="307">
        <v>0</v>
      </c>
      <c r="Q85" s="141">
        <v>0</v>
      </c>
      <c r="S85" s="278"/>
    </row>
    <row r="86" spans="1:21" s="33" customFormat="1">
      <c r="A86" s="157" t="s">
        <v>353</v>
      </c>
      <c r="B86" s="335">
        <v>0</v>
      </c>
      <c r="C86" s="131">
        <v>0</v>
      </c>
      <c r="D86" s="276">
        <v>0</v>
      </c>
      <c r="E86" s="315">
        <v>0</v>
      </c>
      <c r="F86" s="38">
        <v>0</v>
      </c>
      <c r="G86" s="276">
        <v>0</v>
      </c>
      <c r="H86" s="315">
        <v>0</v>
      </c>
      <c r="I86" s="38">
        <v>0</v>
      </c>
      <c r="J86" s="276">
        <v>0</v>
      </c>
      <c r="K86" s="315">
        <v>0</v>
      </c>
      <c r="L86" s="38">
        <v>0</v>
      </c>
      <c r="M86" s="276">
        <v>0</v>
      </c>
      <c r="N86" s="315">
        <v>0</v>
      </c>
      <c r="O86" s="38">
        <v>0</v>
      </c>
      <c r="P86" s="307">
        <v>0</v>
      </c>
      <c r="Q86" s="141">
        <v>0</v>
      </c>
      <c r="S86" s="278"/>
    </row>
    <row r="87" spans="1:21" ht="15" customHeight="1">
      <c r="A87" s="45"/>
      <c r="B87" s="336"/>
      <c r="C87" s="36"/>
      <c r="D87" s="284"/>
      <c r="E87" s="324"/>
      <c r="F87" s="36"/>
      <c r="G87" s="284"/>
      <c r="H87" s="324"/>
      <c r="I87" s="36"/>
      <c r="J87" s="284"/>
      <c r="K87" s="324"/>
      <c r="L87" s="36"/>
      <c r="M87" s="284"/>
      <c r="N87" s="324"/>
      <c r="O87" s="36"/>
      <c r="P87" s="309"/>
      <c r="Q87" s="37"/>
      <c r="R87" s="33"/>
      <c r="S87" s="278"/>
      <c r="T87" s="15" t="s">
        <v>713</v>
      </c>
    </row>
    <row r="88" spans="1:21" s="40" customFormat="1" ht="15.75" thickBot="1">
      <c r="A88" s="47" t="s">
        <v>64</v>
      </c>
      <c r="B88" s="337">
        <v>28774165.345201373</v>
      </c>
      <c r="C88" s="103" t="e">
        <f>C9+C12+C15+C18+C23+C26+C31+C34+C47+C55+C58+C61+C67+C72+C75+C78+C64+C81</f>
        <v>#REF!</v>
      </c>
      <c r="D88" s="285">
        <v>30222806.291897893</v>
      </c>
      <c r="E88" s="319" t="e">
        <f>C88-D88</f>
        <v>#REF!</v>
      </c>
      <c r="F88" s="103" t="e">
        <f>F9+F12+F15+F18+F23+F26+F31+F34+F47+F55+F58+F61+F67+F72+F75+F78+F64+F81</f>
        <v>#REF!</v>
      </c>
      <c r="G88" s="285">
        <v>30327491.95036792</v>
      </c>
      <c r="H88" s="319" t="e">
        <f>F88-G88</f>
        <v>#REF!</v>
      </c>
      <c r="I88" s="103" t="e">
        <f>I9+I12+I15+I18+I23+I26+I31+I34+I47+I55+I58+I61+I67+I72+I75+I78+I64+I81</f>
        <v>#REF!</v>
      </c>
      <c r="J88" s="285">
        <v>30669669.000253581</v>
      </c>
      <c r="K88" s="319" t="e">
        <f>I88-J88</f>
        <v>#REF!</v>
      </c>
      <c r="L88" s="103" t="e">
        <f>L9+L12+L15+L18+L23+L26+L31+L34+L47+L55+L58+L61+L67+L72+L75+L78+L64+L81</f>
        <v>#REF!</v>
      </c>
      <c r="M88" s="285">
        <v>30953846.171602771</v>
      </c>
      <c r="N88" s="319" t="e">
        <f>L88-M88</f>
        <v>#REF!</v>
      </c>
      <c r="O88" s="103" t="e">
        <f>O9+O12+O15+O18+O23+O26+O31+O34+O47+O55+O58+O61+O67+O72+O75+O78+O64+O81</f>
        <v>#REF!</v>
      </c>
      <c r="P88" s="310">
        <f>P9+P12+P15+P18+P23+P26+P31+P34+P47+P55+P58+P61+P67+P72+P75+P78+P64</f>
        <v>30858923.09503483</v>
      </c>
      <c r="Q88" s="125" t="e">
        <f>O88-P88</f>
        <v>#REF!</v>
      </c>
      <c r="R88" s="39"/>
      <c r="S88" s="407" t="e">
        <f>S9+S12+S15+S18+S23+S26+S31+S34+S47+S55+S58+S61+S67+S72+S75+S78+S64+S81</f>
        <v>#REF!</v>
      </c>
      <c r="T88" s="103">
        <f>S9+S12+S15+S18+S23+S26+S31+S34+S47+S55+S58+S61+S64+S78+S81</f>
        <v>1503371.5696657328</v>
      </c>
      <c r="U88" s="79"/>
    </row>
    <row r="89" spans="1:21" s="40" customFormat="1" ht="15.75" customHeight="1" thickTop="1">
      <c r="A89" s="47"/>
      <c r="B89" s="338"/>
      <c r="C89" s="288"/>
      <c r="D89" s="294"/>
      <c r="E89" s="325"/>
      <c r="F89" s="38"/>
      <c r="G89" s="274"/>
      <c r="H89" s="325"/>
      <c r="I89" s="38"/>
      <c r="J89" s="274"/>
      <c r="K89" s="325"/>
      <c r="L89" s="38"/>
      <c r="M89" s="274"/>
      <c r="N89" s="325"/>
      <c r="O89" s="38"/>
      <c r="P89" s="308"/>
      <c r="Q89" s="137"/>
      <c r="R89" s="39"/>
      <c r="S89" s="278"/>
    </row>
    <row r="90" spans="1:21" s="33" customFormat="1">
      <c r="A90" s="228" t="s">
        <v>374</v>
      </c>
      <c r="B90" s="335">
        <v>91932.783333333558</v>
      </c>
      <c r="C90" s="131">
        <f>'Corp Ins 737'!O9</f>
        <v>81163.319999999992</v>
      </c>
      <c r="D90" s="276">
        <v>101416.9999999998</v>
      </c>
      <c r="E90" s="315">
        <f>C90-D90</f>
        <v>-20253.679999999804</v>
      </c>
      <c r="F90" s="131">
        <f>'Corp Ins 737'!O12</f>
        <v>92049.08</v>
      </c>
      <c r="G90" s="276">
        <v>106480.66666666667</v>
      </c>
      <c r="H90" s="315">
        <f>F90-G90</f>
        <v>-14431.58666666667</v>
      </c>
      <c r="I90" s="131">
        <f>'Corp Ins 737'!O15</f>
        <v>94369.1</v>
      </c>
      <c r="J90" s="276">
        <v>111796.66666666667</v>
      </c>
      <c r="K90" s="315">
        <f>I90-J90</f>
        <v>-17427.566666666666</v>
      </c>
      <c r="L90" s="131">
        <f>'Corp Ins 737'!O18</f>
        <v>94342.14</v>
      </c>
      <c r="M90" s="276">
        <v>117378.66666666666</v>
      </c>
      <c r="N90" s="315">
        <f>L90-M90</f>
        <v>-23036.526666666658</v>
      </c>
      <c r="O90" s="131">
        <f>'Corp Ins 737'!O21</f>
        <v>94342.14</v>
      </c>
      <c r="P90" s="304">
        <f>M90*1.02</f>
        <v>119726.23999999999</v>
      </c>
      <c r="Q90" s="30">
        <f>O90-P90</f>
        <v>-25384.099999999991</v>
      </c>
      <c r="S90" s="278">
        <f>C90-(D90*0.99)</f>
        <v>-19239.509999999806</v>
      </c>
    </row>
    <row r="91" spans="1:21" s="33" customFormat="1">
      <c r="A91" s="228" t="s">
        <v>360</v>
      </c>
      <c r="B91" s="335">
        <v>72698.124179999999</v>
      </c>
      <c r="C91" s="131">
        <f>'EEI Dues'!D19</f>
        <v>49192.880640000003</v>
      </c>
      <c r="D91" s="276">
        <v>74806.369781219997</v>
      </c>
      <c r="E91" s="315">
        <f>C91-D91</f>
        <v>-25613.489141219994</v>
      </c>
      <c r="F91" s="131">
        <f>'EEI Dues'!D20</f>
        <v>51013.017223679999</v>
      </c>
      <c r="G91" s="276">
        <v>77200.173614219035</v>
      </c>
      <c r="H91" s="315">
        <f>F91-G91</f>
        <v>-26187.156390539036</v>
      </c>
      <c r="I91" s="131">
        <f>'EEI Dues'!D21</f>
        <v>52849.48584373248</v>
      </c>
      <c r="J91" s="276">
        <v>79516.178822645612</v>
      </c>
      <c r="K91" s="315">
        <f>I91-J91</f>
        <v>-26666.692978913132</v>
      </c>
      <c r="L91" s="131">
        <f>'EEI Dues'!D22</f>
        <v>54487.81990488818</v>
      </c>
      <c r="M91" s="276">
        <v>81742.631829679696</v>
      </c>
      <c r="N91" s="315">
        <f>L91-M91</f>
        <v>-27254.811924791517</v>
      </c>
      <c r="O91" s="131">
        <f>'EEI Dues'!D23</f>
        <v>56013.478862225049</v>
      </c>
      <c r="P91" s="304">
        <f>M91*1.02</f>
        <v>83377.484466273294</v>
      </c>
      <c r="Q91" s="30">
        <f>O91-P91</f>
        <v>-27364.005604048245</v>
      </c>
      <c r="S91" s="278">
        <f>C91-(D91*0.99)</f>
        <v>-24865.425443407788</v>
      </c>
    </row>
    <row r="92" spans="1:21" ht="10.5" customHeight="1">
      <c r="A92" s="135"/>
      <c r="B92" s="334"/>
      <c r="C92" s="289"/>
      <c r="D92" s="296"/>
      <c r="E92" s="326"/>
      <c r="F92" s="33"/>
      <c r="G92" s="296"/>
      <c r="H92" s="326"/>
      <c r="I92" s="33"/>
      <c r="J92" s="296"/>
      <c r="K92" s="326"/>
      <c r="L92" s="33"/>
      <c r="M92" s="296"/>
      <c r="N92" s="326"/>
      <c r="O92" s="33"/>
      <c r="P92" s="303"/>
      <c r="Q92" s="23"/>
      <c r="R92" s="33"/>
      <c r="S92" s="278"/>
    </row>
    <row r="93" spans="1:21" s="4" customFormat="1" ht="15.75" thickBot="1">
      <c r="A93" s="136" t="s">
        <v>99</v>
      </c>
      <c r="B93" s="339">
        <v>28938796.252714708</v>
      </c>
      <c r="C93" s="10" t="e">
        <f t="shared" ref="C93" si="11">C88+C90+C91</f>
        <v>#REF!</v>
      </c>
      <c r="D93" s="286">
        <v>30399029.661679111</v>
      </c>
      <c r="E93" s="320" t="e">
        <f>C93-D93</f>
        <v>#REF!</v>
      </c>
      <c r="F93" s="10" t="e">
        <f>F88+F90+F91</f>
        <v>#REF!</v>
      </c>
      <c r="G93" s="286">
        <v>30511172.790648807</v>
      </c>
      <c r="H93" s="320" t="e">
        <f>F93-G93</f>
        <v>#REF!</v>
      </c>
      <c r="I93" s="10" t="e">
        <f>I88+I90+I91</f>
        <v>#REF!</v>
      </c>
      <c r="J93" s="286">
        <v>30860981.845742892</v>
      </c>
      <c r="K93" s="320" t="e">
        <f>I93-J93</f>
        <v>#REF!</v>
      </c>
      <c r="L93" s="10" t="e">
        <f>L88+L90+L91</f>
        <v>#REF!</v>
      </c>
      <c r="M93" s="286">
        <v>31152967.470099118</v>
      </c>
      <c r="N93" s="320" t="e">
        <f>L93-M93</f>
        <v>#REF!</v>
      </c>
      <c r="O93" s="10" t="e">
        <f>O88+O90+O91</f>
        <v>#REF!</v>
      </c>
      <c r="P93" s="311">
        <f>P88+P90+P91</f>
        <v>31062026.819501102</v>
      </c>
      <c r="Q93" s="126" t="e">
        <f>O93-P93</f>
        <v>#REF!</v>
      </c>
      <c r="R93" s="127"/>
      <c r="S93" s="407" t="e">
        <f>SUM(S88:S92)</f>
        <v>#REF!</v>
      </c>
    </row>
    <row r="94" spans="1:21" ht="15.75" thickTop="1">
      <c r="A94" s="128"/>
      <c r="B94" s="139"/>
      <c r="C94" s="7"/>
      <c r="D94" s="139"/>
      <c r="E94" s="7"/>
      <c r="F94" s="41"/>
      <c r="G94" s="139"/>
      <c r="H94" s="7"/>
      <c r="I94" s="41"/>
      <c r="J94" s="139"/>
      <c r="K94" s="7"/>
      <c r="L94" s="41"/>
      <c r="M94" s="139"/>
      <c r="N94" s="7"/>
      <c r="O94" s="41"/>
      <c r="Q94" s="7"/>
    </row>
    <row r="95" spans="1:21">
      <c r="A95" s="42"/>
      <c r="B95" s="139"/>
      <c r="C95" s="7"/>
      <c r="D95" s="139"/>
      <c r="E95" s="7"/>
      <c r="H95" s="7"/>
      <c r="K95" s="7"/>
      <c r="N95" s="7"/>
      <c r="P95" s="139"/>
      <c r="Q95" s="7"/>
    </row>
    <row r="96" spans="1:21">
      <c r="A96" s="43" t="s">
        <v>224</v>
      </c>
      <c r="B96" s="139">
        <f>SUMIF(Actuals!A:A,"Total",Actuals!G:G)</f>
        <v>31348839.699999999</v>
      </c>
      <c r="C96" s="7"/>
      <c r="D96" s="139"/>
      <c r="E96" s="7"/>
      <c r="H96" s="7"/>
      <c r="K96" s="7"/>
      <c r="N96" s="7"/>
      <c r="Q96" s="7"/>
    </row>
    <row r="97" spans="1:17">
      <c r="A97" s="12" t="s">
        <v>525</v>
      </c>
      <c r="B97" s="290">
        <f>B96-B88</f>
        <v>2574674.3547986262</v>
      </c>
      <c r="C97" s="7"/>
      <c r="D97" s="139"/>
      <c r="E97" s="7"/>
      <c r="H97" s="7"/>
      <c r="K97" s="7"/>
      <c r="N97" s="7"/>
      <c r="Q97" s="7"/>
    </row>
    <row r="98" spans="1:17">
      <c r="B98" s="40"/>
      <c r="C98" s="40"/>
    </row>
    <row r="99" spans="1:17">
      <c r="A99" s="6" t="s">
        <v>391</v>
      </c>
      <c r="B99" s="40"/>
      <c r="C99" s="79" t="e">
        <f>C93-C29+'Duplicate Chrgs'!F29</f>
        <v>#REF!</v>
      </c>
      <c r="F99" s="79" t="e">
        <f>F93-F29+'Duplicate Chrgs'!G29</f>
        <v>#REF!</v>
      </c>
      <c r="I99" s="79" t="e">
        <f>I93-I29+'Duplicate Chrgs'!H29</f>
        <v>#REF!</v>
      </c>
      <c r="L99" s="79" t="e">
        <f>L93-L29+'Duplicate Chrgs'!I29</f>
        <v>#REF!</v>
      </c>
      <c r="O99" s="79" t="e">
        <f>O93-O29+'Duplicate Chrgs'!J29</f>
        <v>#REF!</v>
      </c>
    </row>
    <row r="100" spans="1:17">
      <c r="A100" s="230">
        <v>41873</v>
      </c>
      <c r="B100" s="40"/>
      <c r="C100" s="74" t="s">
        <v>498</v>
      </c>
      <c r="D100" s="15"/>
      <c r="E100" s="15"/>
      <c r="F100" s="15" t="s">
        <v>498</v>
      </c>
      <c r="G100" s="226"/>
      <c r="H100" s="15"/>
      <c r="I100" s="15" t="s">
        <v>498</v>
      </c>
      <c r="J100" s="15"/>
      <c r="K100" s="15"/>
      <c r="L100" s="15" t="s">
        <v>498</v>
      </c>
      <c r="M100" s="15"/>
      <c r="N100" s="15"/>
      <c r="O100" s="15" t="s">
        <v>498</v>
      </c>
    </row>
    <row r="101" spans="1:17">
      <c r="A101" s="40" t="s">
        <v>503</v>
      </c>
      <c r="B101" s="40"/>
      <c r="C101" s="40"/>
    </row>
    <row r="102" spans="1:17">
      <c r="B102" s="40"/>
      <c r="C102" s="40"/>
    </row>
    <row r="103" spans="1:17">
      <c r="B103" s="40"/>
      <c r="C103" s="40"/>
    </row>
    <row r="104" spans="1:17">
      <c r="B104" s="40"/>
      <c r="C104" s="40"/>
    </row>
    <row r="105" spans="1:17">
      <c r="B105" s="40"/>
      <c r="C105" s="40"/>
    </row>
    <row r="106" spans="1:17">
      <c r="B106" s="40"/>
      <c r="C106" s="40"/>
    </row>
    <row r="107" spans="1:17">
      <c r="B107" s="40"/>
      <c r="C107" s="40"/>
    </row>
    <row r="108" spans="1:17">
      <c r="B108" s="40"/>
      <c r="C108" s="40"/>
    </row>
    <row r="109" spans="1:17">
      <c r="B109" s="40"/>
      <c r="C109" s="40"/>
    </row>
    <row r="110" spans="1:17">
      <c r="B110" s="40"/>
      <c r="C110" s="40"/>
    </row>
    <row r="111" spans="1:17">
      <c r="B111" s="40"/>
      <c r="C111" s="40"/>
    </row>
    <row r="112" spans="1:17">
      <c r="B112" s="40"/>
      <c r="C112" s="40"/>
    </row>
    <row r="113" spans="2:3">
      <c r="B113" s="40"/>
      <c r="C113" s="40"/>
    </row>
    <row r="114" spans="2:3">
      <c r="B114" s="40"/>
      <c r="C114" s="40"/>
    </row>
    <row r="115" spans="2:3">
      <c r="B115" s="40"/>
      <c r="C115" s="40"/>
    </row>
    <row r="116" spans="2:3">
      <c r="B116" s="40"/>
      <c r="C116" s="40"/>
    </row>
    <row r="117" spans="2:3">
      <c r="B117" s="40"/>
      <c r="C117" s="40"/>
    </row>
    <row r="118" spans="2:3">
      <c r="B118" s="40"/>
      <c r="C118" s="40"/>
    </row>
    <row r="119" spans="2:3">
      <c r="B119" s="40"/>
      <c r="C119" s="40"/>
    </row>
    <row r="120" spans="2:3">
      <c r="B120" s="40"/>
      <c r="C120" s="40"/>
    </row>
    <row r="121" spans="2:3">
      <c r="B121" s="40"/>
      <c r="C121" s="40"/>
    </row>
    <row r="122" spans="2:3">
      <c r="B122" s="40"/>
      <c r="C122" s="40"/>
    </row>
    <row r="123" spans="2:3">
      <c r="B123" s="40"/>
      <c r="C123" s="40"/>
    </row>
    <row r="124" spans="2:3">
      <c r="B124" s="40"/>
      <c r="C124" s="40"/>
    </row>
    <row r="125" spans="2:3">
      <c r="B125" s="40"/>
      <c r="C125" s="40"/>
    </row>
    <row r="126" spans="2:3">
      <c r="B126" s="40"/>
      <c r="C126" s="40"/>
    </row>
    <row r="127" spans="2:3">
      <c r="B127" s="40"/>
      <c r="C127" s="40"/>
    </row>
    <row r="128" spans="2:3">
      <c r="B128" s="40"/>
      <c r="C128" s="40"/>
    </row>
    <row r="129" spans="2:17">
      <c r="B129" s="40"/>
      <c r="C129" s="40"/>
    </row>
    <row r="130" spans="2:17">
      <c r="B130" s="40"/>
      <c r="C130" s="40"/>
    </row>
    <row r="131" spans="2:17">
      <c r="B131" s="40"/>
      <c r="C131" s="40"/>
    </row>
    <row r="132" spans="2:17">
      <c r="B132" s="40"/>
      <c r="C132" s="40"/>
    </row>
    <row r="133" spans="2:17">
      <c r="B133" s="40"/>
      <c r="C133" s="40"/>
    </row>
    <row r="134" spans="2:17">
      <c r="B134" s="40"/>
      <c r="C134" s="40"/>
    </row>
    <row r="135" spans="2:17">
      <c r="B135" s="139"/>
      <c r="C135" s="122"/>
      <c r="D135" s="122"/>
      <c r="E135" s="122"/>
      <c r="H135" s="122"/>
      <c r="K135" s="122"/>
      <c r="N135" s="122"/>
      <c r="Q135" s="122"/>
    </row>
    <row r="136" spans="2:17">
      <c r="B136" s="139"/>
      <c r="C136" s="122"/>
      <c r="D136" s="122"/>
      <c r="E136" s="122"/>
      <c r="H136" s="122"/>
      <c r="K136" s="122"/>
      <c r="N136" s="122"/>
      <c r="Q136" s="122"/>
    </row>
    <row r="137" spans="2:17">
      <c r="B137" s="139"/>
      <c r="C137" s="122"/>
      <c r="D137" s="122"/>
      <c r="E137" s="122"/>
      <c r="H137" s="122"/>
      <c r="K137" s="122"/>
      <c r="N137" s="122"/>
      <c r="Q137" s="122"/>
    </row>
    <row r="138" spans="2:17">
      <c r="B138" s="139"/>
      <c r="C138" s="122"/>
      <c r="D138" s="122"/>
      <c r="E138" s="122"/>
      <c r="H138" s="122"/>
      <c r="K138" s="122"/>
      <c r="N138" s="122"/>
      <c r="Q138" s="122"/>
    </row>
    <row r="139" spans="2:17">
      <c r="B139" s="139"/>
      <c r="C139" s="122"/>
      <c r="D139" s="122"/>
      <c r="E139" s="122"/>
      <c r="H139" s="122"/>
      <c r="K139" s="122"/>
      <c r="N139" s="122"/>
      <c r="Q139" s="122"/>
    </row>
    <row r="140" spans="2:17">
      <c r="B140" s="139"/>
      <c r="C140" s="122"/>
      <c r="D140" s="122"/>
      <c r="E140" s="122"/>
      <c r="H140" s="122"/>
      <c r="K140" s="122"/>
      <c r="N140" s="122"/>
      <c r="Q140" s="122"/>
    </row>
    <row r="141" spans="2:17">
      <c r="B141" s="139"/>
      <c r="C141" s="122"/>
      <c r="D141" s="122"/>
      <c r="E141" s="122"/>
      <c r="H141" s="122"/>
      <c r="K141" s="122"/>
      <c r="N141" s="122"/>
      <c r="Q141" s="122"/>
    </row>
    <row r="142" spans="2:17">
      <c r="B142" s="139"/>
      <c r="C142" s="122"/>
      <c r="D142" s="122"/>
      <c r="E142" s="122"/>
      <c r="H142" s="122"/>
      <c r="K142" s="122"/>
      <c r="N142" s="122"/>
      <c r="Q142" s="122"/>
    </row>
    <row r="143" spans="2:17">
      <c r="B143" s="139"/>
      <c r="C143" s="122"/>
      <c r="D143" s="122"/>
      <c r="E143" s="122"/>
      <c r="H143" s="122"/>
      <c r="K143" s="122"/>
      <c r="N143" s="122"/>
      <c r="Q143" s="122"/>
    </row>
    <row r="144" spans="2:17">
      <c r="B144" s="139"/>
      <c r="C144" s="122"/>
      <c r="D144" s="122"/>
      <c r="E144" s="122"/>
      <c r="H144" s="122"/>
      <c r="K144" s="122"/>
      <c r="N144" s="122"/>
      <c r="Q144" s="122"/>
    </row>
    <row r="145" spans="2:17">
      <c r="B145" s="139"/>
      <c r="C145" s="122"/>
      <c r="D145" s="122"/>
      <c r="E145" s="122"/>
      <c r="H145" s="122"/>
      <c r="K145" s="122"/>
      <c r="N145" s="122"/>
      <c r="Q145" s="122"/>
    </row>
    <row r="146" spans="2:17">
      <c r="B146" s="139"/>
      <c r="C146" s="122"/>
      <c r="D146" s="122"/>
      <c r="E146" s="122"/>
      <c r="H146" s="122"/>
      <c r="K146" s="122"/>
      <c r="N146" s="122"/>
      <c r="Q146" s="122"/>
    </row>
    <row r="147" spans="2:17">
      <c r="B147" s="139"/>
      <c r="C147" s="122"/>
      <c r="D147" s="122"/>
      <c r="E147" s="122"/>
      <c r="H147" s="122"/>
      <c r="K147" s="122"/>
      <c r="N147" s="122"/>
      <c r="Q147" s="122"/>
    </row>
    <row r="148" spans="2:17">
      <c r="B148" s="139"/>
      <c r="C148" s="122"/>
      <c r="D148" s="122"/>
      <c r="E148" s="122"/>
      <c r="H148" s="122"/>
      <c r="K148" s="122"/>
      <c r="N148" s="122"/>
      <c r="Q148" s="122"/>
    </row>
    <row r="149" spans="2:17">
      <c r="B149" s="139"/>
      <c r="C149" s="122"/>
      <c r="D149" s="122"/>
      <c r="E149" s="122"/>
      <c r="H149" s="122"/>
      <c r="K149" s="122"/>
      <c r="N149" s="122"/>
      <c r="Q149" s="122"/>
    </row>
    <row r="150" spans="2:17">
      <c r="B150" s="139"/>
      <c r="C150" s="122"/>
      <c r="D150" s="122"/>
      <c r="E150" s="122"/>
      <c r="H150" s="122"/>
      <c r="K150" s="122"/>
      <c r="N150" s="122"/>
      <c r="Q150" s="122"/>
    </row>
    <row r="151" spans="2:17">
      <c r="B151" s="139"/>
      <c r="C151" s="122"/>
      <c r="D151" s="122"/>
      <c r="E151" s="122"/>
      <c r="H151" s="122"/>
      <c r="K151" s="122"/>
      <c r="N151" s="122"/>
      <c r="Q151" s="122"/>
    </row>
    <row r="152" spans="2:17">
      <c r="B152" s="139"/>
      <c r="C152" s="122"/>
      <c r="D152" s="122"/>
      <c r="E152" s="122"/>
      <c r="H152" s="122"/>
      <c r="K152" s="122"/>
      <c r="N152" s="122"/>
      <c r="Q152" s="122"/>
    </row>
    <row r="153" spans="2:17">
      <c r="B153" s="139"/>
      <c r="C153" s="122"/>
      <c r="D153" s="122"/>
      <c r="E153" s="122"/>
      <c r="H153" s="122"/>
      <c r="K153" s="122"/>
      <c r="N153" s="122"/>
      <c r="Q153" s="122"/>
    </row>
    <row r="154" spans="2:17">
      <c r="B154" s="139"/>
      <c r="C154" s="122"/>
      <c r="D154" s="122"/>
      <c r="E154" s="122"/>
      <c r="H154" s="122"/>
      <c r="K154" s="122"/>
      <c r="N154" s="122"/>
      <c r="Q154" s="122"/>
    </row>
    <row r="155" spans="2:17">
      <c r="B155" s="139"/>
      <c r="C155" s="122"/>
      <c r="D155" s="122"/>
      <c r="E155" s="122"/>
      <c r="H155" s="122"/>
      <c r="K155" s="122"/>
      <c r="N155" s="122"/>
      <c r="Q155" s="122"/>
    </row>
    <row r="156" spans="2:17">
      <c r="B156" s="139"/>
      <c r="C156" s="122"/>
      <c r="D156" s="122"/>
      <c r="E156" s="122"/>
      <c r="H156" s="122"/>
      <c r="K156" s="122"/>
      <c r="N156" s="122"/>
      <c r="Q156" s="122"/>
    </row>
    <row r="157" spans="2:17">
      <c r="B157" s="139"/>
      <c r="C157" s="122"/>
      <c r="D157" s="122"/>
      <c r="E157" s="122"/>
      <c r="H157" s="122"/>
      <c r="K157" s="122"/>
      <c r="N157" s="122"/>
      <c r="Q157" s="122"/>
    </row>
    <row r="158" spans="2:17">
      <c r="B158" s="139"/>
      <c r="C158" s="122"/>
      <c r="D158" s="122"/>
      <c r="E158" s="122"/>
      <c r="H158" s="122"/>
      <c r="K158" s="122"/>
      <c r="N158" s="122"/>
      <c r="Q158" s="122"/>
    </row>
    <row r="159" spans="2:17">
      <c r="B159" s="139"/>
      <c r="C159" s="122"/>
      <c r="D159" s="122"/>
      <c r="E159" s="122"/>
      <c r="H159" s="122"/>
      <c r="K159" s="122"/>
      <c r="N159" s="122"/>
      <c r="Q159" s="122"/>
    </row>
    <row r="160" spans="2:17">
      <c r="B160" s="139"/>
      <c r="C160" s="122"/>
      <c r="D160" s="122"/>
      <c r="E160" s="122"/>
      <c r="H160" s="122"/>
      <c r="K160" s="122"/>
      <c r="N160" s="122"/>
      <c r="Q160" s="122"/>
    </row>
    <row r="161" spans="2:17">
      <c r="B161" s="139"/>
      <c r="C161" s="122"/>
      <c r="D161" s="122"/>
      <c r="E161" s="122"/>
      <c r="H161" s="122"/>
      <c r="K161" s="122"/>
      <c r="N161" s="122"/>
      <c r="Q161" s="122"/>
    </row>
    <row r="162" spans="2:17">
      <c r="B162" s="139"/>
      <c r="C162" s="122"/>
      <c r="D162" s="122"/>
      <c r="E162" s="122"/>
      <c r="H162" s="122"/>
      <c r="K162" s="122"/>
      <c r="N162" s="122"/>
      <c r="Q162" s="122"/>
    </row>
    <row r="163" spans="2:17">
      <c r="B163" s="139"/>
      <c r="C163" s="122"/>
      <c r="D163" s="122"/>
      <c r="E163" s="122"/>
      <c r="H163" s="122"/>
      <c r="K163" s="122"/>
      <c r="N163" s="122"/>
      <c r="Q163" s="122"/>
    </row>
    <row r="164" spans="2:17">
      <c r="B164" s="139"/>
      <c r="C164" s="122"/>
      <c r="D164" s="122"/>
      <c r="E164" s="122"/>
      <c r="H164" s="122"/>
      <c r="K164" s="122"/>
      <c r="N164" s="122"/>
      <c r="Q164" s="122"/>
    </row>
    <row r="165" spans="2:17">
      <c r="B165" s="139"/>
      <c r="C165" s="122"/>
      <c r="D165" s="122"/>
      <c r="E165" s="122"/>
      <c r="H165" s="122"/>
      <c r="K165" s="122"/>
      <c r="N165" s="122"/>
      <c r="Q165" s="122"/>
    </row>
    <row r="166" spans="2:17">
      <c r="B166" s="139"/>
      <c r="C166" s="122"/>
      <c r="D166" s="122"/>
      <c r="E166" s="122"/>
      <c r="H166" s="122"/>
      <c r="K166" s="122"/>
      <c r="N166" s="122"/>
      <c r="Q166" s="122"/>
    </row>
    <row r="167" spans="2:17">
      <c r="B167" s="139"/>
      <c r="C167" s="122"/>
      <c r="D167" s="122"/>
      <c r="E167" s="122"/>
      <c r="H167" s="122"/>
      <c r="K167" s="122"/>
      <c r="N167" s="122"/>
      <c r="Q167" s="122"/>
    </row>
    <row r="168" spans="2:17">
      <c r="B168" s="139"/>
      <c r="C168" s="122"/>
      <c r="D168" s="122"/>
      <c r="E168" s="122"/>
      <c r="H168" s="122"/>
      <c r="K168" s="122"/>
      <c r="N168" s="122"/>
      <c r="Q168" s="122"/>
    </row>
    <row r="169" spans="2:17">
      <c r="B169" s="139"/>
      <c r="C169" s="122"/>
      <c r="D169" s="122"/>
      <c r="E169" s="122"/>
      <c r="H169" s="122"/>
      <c r="K169" s="122"/>
      <c r="N169" s="122"/>
      <c r="Q169" s="122"/>
    </row>
    <row r="170" spans="2:17">
      <c r="B170" s="139"/>
      <c r="C170" s="122"/>
      <c r="D170" s="122"/>
      <c r="E170" s="122"/>
      <c r="H170" s="122"/>
      <c r="K170" s="122"/>
      <c r="N170" s="122"/>
      <c r="Q170" s="122"/>
    </row>
    <row r="171" spans="2:17">
      <c r="B171" s="139"/>
      <c r="C171" s="122"/>
      <c r="D171" s="122"/>
      <c r="E171" s="122"/>
      <c r="H171" s="122"/>
      <c r="K171" s="122"/>
      <c r="N171" s="122"/>
      <c r="Q171" s="122"/>
    </row>
    <row r="172" spans="2:17">
      <c r="B172" s="139"/>
      <c r="C172" s="122"/>
      <c r="D172" s="122"/>
      <c r="E172" s="122"/>
      <c r="H172" s="122"/>
      <c r="K172" s="122"/>
      <c r="N172" s="122"/>
      <c r="Q172" s="122"/>
    </row>
    <row r="173" spans="2:17">
      <c r="B173" s="139"/>
      <c r="C173" s="122"/>
      <c r="D173" s="122"/>
      <c r="E173" s="122"/>
      <c r="H173" s="122"/>
      <c r="K173" s="122"/>
      <c r="N173" s="122"/>
      <c r="Q173" s="122"/>
    </row>
    <row r="174" spans="2:17">
      <c r="B174" s="139"/>
      <c r="C174" s="122"/>
      <c r="D174" s="122"/>
      <c r="E174" s="122"/>
      <c r="H174" s="122"/>
      <c r="K174" s="122"/>
      <c r="N174" s="122"/>
      <c r="Q174" s="122"/>
    </row>
    <row r="175" spans="2:17">
      <c r="B175" s="139"/>
      <c r="C175" s="122"/>
      <c r="D175" s="122"/>
      <c r="E175" s="122"/>
      <c r="H175" s="122"/>
      <c r="K175" s="122"/>
      <c r="N175" s="122"/>
      <c r="Q175" s="122"/>
    </row>
    <row r="176" spans="2:17">
      <c r="B176" s="139"/>
      <c r="C176" s="122"/>
      <c r="D176" s="122"/>
      <c r="E176" s="122"/>
      <c r="H176" s="122"/>
      <c r="K176" s="122"/>
      <c r="N176" s="122"/>
      <c r="Q176" s="122"/>
    </row>
    <row r="177" spans="2:17">
      <c r="B177" s="139"/>
      <c r="C177" s="122"/>
      <c r="D177" s="122"/>
      <c r="E177" s="122"/>
      <c r="H177" s="122"/>
      <c r="K177" s="122"/>
      <c r="N177" s="122"/>
      <c r="Q177" s="122"/>
    </row>
    <row r="178" spans="2:17">
      <c r="B178" s="139"/>
      <c r="C178" s="122"/>
      <c r="D178" s="122"/>
      <c r="E178" s="122"/>
      <c r="H178" s="122"/>
      <c r="K178" s="122"/>
      <c r="N178" s="122"/>
      <c r="Q178" s="122"/>
    </row>
    <row r="179" spans="2:17">
      <c r="B179" s="139"/>
      <c r="C179" s="122"/>
      <c r="D179" s="122"/>
      <c r="E179" s="122"/>
      <c r="H179" s="122"/>
      <c r="K179" s="122"/>
      <c r="N179" s="122"/>
      <c r="Q179" s="122"/>
    </row>
    <row r="180" spans="2:17">
      <c r="B180" s="139"/>
      <c r="C180" s="122"/>
      <c r="D180" s="122"/>
      <c r="E180" s="122"/>
      <c r="H180" s="122"/>
      <c r="K180" s="122"/>
      <c r="N180" s="122"/>
      <c r="Q180" s="122"/>
    </row>
    <row r="181" spans="2:17">
      <c r="B181" s="139"/>
      <c r="C181" s="122"/>
      <c r="D181" s="122"/>
      <c r="E181" s="122"/>
      <c r="H181" s="122"/>
      <c r="K181" s="122"/>
      <c r="N181" s="122"/>
      <c r="Q181" s="122"/>
    </row>
    <row r="182" spans="2:17">
      <c r="B182" s="139"/>
      <c r="C182" s="122"/>
      <c r="D182" s="122"/>
      <c r="E182" s="122"/>
      <c r="H182" s="122"/>
      <c r="K182" s="122"/>
      <c r="N182" s="122"/>
      <c r="Q182" s="122"/>
    </row>
    <row r="183" spans="2:17">
      <c r="B183" s="139"/>
      <c r="C183" s="122"/>
      <c r="D183" s="122"/>
      <c r="E183" s="122"/>
      <c r="H183" s="122"/>
      <c r="K183" s="122"/>
      <c r="N183" s="122"/>
      <c r="Q183" s="122"/>
    </row>
    <row r="184" spans="2:17">
      <c r="B184" s="139"/>
      <c r="C184" s="122"/>
      <c r="D184" s="122"/>
      <c r="E184" s="122"/>
      <c r="H184" s="122"/>
      <c r="K184" s="122"/>
      <c r="N184" s="122"/>
      <c r="Q184" s="122"/>
    </row>
    <row r="185" spans="2:17">
      <c r="B185" s="139"/>
      <c r="C185" s="122"/>
      <c r="D185" s="122"/>
      <c r="E185" s="122"/>
      <c r="H185" s="122"/>
      <c r="K185" s="122"/>
      <c r="N185" s="122"/>
      <c r="Q185" s="122"/>
    </row>
    <row r="186" spans="2:17">
      <c r="B186" s="139"/>
      <c r="C186" s="122"/>
      <c r="D186" s="122"/>
      <c r="E186" s="122"/>
      <c r="H186" s="122"/>
      <c r="K186" s="122"/>
      <c r="N186" s="122"/>
      <c r="Q186" s="122"/>
    </row>
    <row r="187" spans="2:17">
      <c r="B187" s="139"/>
      <c r="C187" s="122"/>
      <c r="D187" s="122"/>
      <c r="E187" s="122"/>
      <c r="H187" s="122"/>
      <c r="K187" s="122"/>
      <c r="N187" s="122"/>
      <c r="Q187" s="122"/>
    </row>
    <row r="188" spans="2:17">
      <c r="B188" s="139"/>
      <c r="C188" s="122"/>
      <c r="D188" s="122"/>
      <c r="E188" s="122"/>
      <c r="H188" s="122"/>
      <c r="K188" s="122"/>
      <c r="N188" s="122"/>
      <c r="Q188" s="122"/>
    </row>
    <row r="189" spans="2:17">
      <c r="B189" s="139"/>
      <c r="C189" s="122"/>
      <c r="D189" s="122"/>
      <c r="E189" s="122"/>
      <c r="H189" s="122"/>
      <c r="K189" s="122"/>
      <c r="N189" s="122"/>
      <c r="Q189" s="122"/>
    </row>
    <row r="190" spans="2:17">
      <c r="B190" s="139"/>
      <c r="C190" s="122"/>
      <c r="D190" s="122"/>
      <c r="E190" s="122"/>
      <c r="H190" s="122"/>
      <c r="K190" s="122"/>
      <c r="N190" s="122"/>
      <c r="Q190" s="122"/>
    </row>
    <row r="191" spans="2:17">
      <c r="B191" s="139"/>
      <c r="C191" s="122"/>
      <c r="D191" s="122"/>
      <c r="E191" s="122"/>
      <c r="H191" s="122"/>
      <c r="K191" s="122"/>
      <c r="N191" s="122"/>
      <c r="Q191" s="122"/>
    </row>
    <row r="192" spans="2:17">
      <c r="B192" s="139"/>
      <c r="C192" s="122"/>
      <c r="D192" s="122"/>
      <c r="E192" s="122"/>
      <c r="H192" s="122"/>
      <c r="K192" s="122"/>
      <c r="N192" s="122"/>
      <c r="Q192" s="122"/>
    </row>
    <row r="193" spans="2:17">
      <c r="B193" s="139"/>
      <c r="C193" s="122"/>
      <c r="D193" s="122"/>
      <c r="E193" s="122"/>
      <c r="H193" s="122"/>
      <c r="K193" s="122"/>
      <c r="N193" s="122"/>
      <c r="Q193" s="122"/>
    </row>
    <row r="194" spans="2:17">
      <c r="B194" s="139"/>
      <c r="C194" s="122"/>
      <c r="D194" s="122"/>
      <c r="E194" s="122"/>
      <c r="H194" s="122"/>
      <c r="K194" s="122"/>
      <c r="N194" s="122"/>
      <c r="Q194" s="122"/>
    </row>
    <row r="195" spans="2:17">
      <c r="B195" s="139"/>
      <c r="C195" s="122"/>
      <c r="D195" s="122"/>
      <c r="E195" s="122"/>
      <c r="H195" s="122"/>
      <c r="K195" s="122"/>
      <c r="N195" s="122"/>
      <c r="Q195" s="122"/>
    </row>
    <row r="196" spans="2:17">
      <c r="B196" s="139"/>
      <c r="C196" s="122"/>
      <c r="D196" s="122"/>
      <c r="E196" s="122"/>
      <c r="H196" s="122"/>
      <c r="K196" s="122"/>
      <c r="N196" s="122"/>
      <c r="Q196" s="122"/>
    </row>
    <row r="197" spans="2:17">
      <c r="B197" s="139"/>
      <c r="C197" s="122"/>
      <c r="D197" s="122"/>
      <c r="E197" s="122"/>
      <c r="H197" s="122"/>
      <c r="K197" s="122"/>
      <c r="N197" s="122"/>
      <c r="Q197" s="122"/>
    </row>
    <row r="198" spans="2:17">
      <c r="B198" s="139"/>
      <c r="C198" s="122"/>
      <c r="D198" s="122"/>
      <c r="E198" s="122"/>
      <c r="H198" s="122"/>
      <c r="K198" s="122"/>
      <c r="N198" s="122"/>
      <c r="Q198" s="122"/>
    </row>
    <row r="199" spans="2:17">
      <c r="B199" s="139"/>
      <c r="C199" s="122"/>
      <c r="D199" s="122"/>
      <c r="E199" s="122"/>
      <c r="H199" s="122"/>
      <c r="K199" s="122"/>
      <c r="N199" s="122"/>
      <c r="Q199" s="122"/>
    </row>
    <row r="200" spans="2:17">
      <c r="B200" s="139"/>
      <c r="C200" s="122"/>
      <c r="D200" s="122"/>
      <c r="E200" s="122"/>
      <c r="H200" s="122"/>
      <c r="K200" s="122"/>
      <c r="N200" s="122"/>
      <c r="Q200" s="122"/>
    </row>
    <row r="201" spans="2:17">
      <c r="B201" s="139"/>
      <c r="C201" s="122"/>
      <c r="D201" s="122"/>
      <c r="E201" s="122"/>
      <c r="H201" s="122"/>
      <c r="K201" s="122"/>
      <c r="N201" s="122"/>
      <c r="Q201" s="122"/>
    </row>
    <row r="202" spans="2:17">
      <c r="B202" s="139"/>
      <c r="C202" s="122"/>
      <c r="D202" s="122"/>
      <c r="E202" s="122"/>
      <c r="H202" s="122"/>
      <c r="K202" s="122"/>
      <c r="N202" s="122"/>
      <c r="Q202" s="122"/>
    </row>
    <row r="203" spans="2:17">
      <c r="B203" s="139"/>
      <c r="C203" s="122"/>
      <c r="D203" s="122"/>
      <c r="E203" s="122"/>
      <c r="H203" s="122"/>
      <c r="K203" s="122"/>
      <c r="N203" s="122"/>
      <c r="Q203" s="122"/>
    </row>
    <row r="204" spans="2:17">
      <c r="B204" s="139"/>
      <c r="C204" s="122"/>
      <c r="D204" s="122"/>
      <c r="E204" s="122"/>
      <c r="H204" s="122"/>
      <c r="K204" s="122"/>
      <c r="N204" s="122"/>
      <c r="Q204" s="122"/>
    </row>
    <row r="205" spans="2:17">
      <c r="B205" s="139"/>
      <c r="C205" s="122"/>
      <c r="D205" s="122"/>
      <c r="E205" s="122"/>
      <c r="H205" s="122"/>
      <c r="K205" s="122"/>
      <c r="N205" s="122"/>
      <c r="Q205" s="122"/>
    </row>
    <row r="206" spans="2:17">
      <c r="B206" s="139"/>
      <c r="C206" s="122"/>
      <c r="D206" s="122"/>
      <c r="E206" s="122"/>
      <c r="H206" s="122"/>
      <c r="K206" s="122"/>
      <c r="N206" s="122"/>
      <c r="Q206" s="122"/>
    </row>
    <row r="207" spans="2:17">
      <c r="B207" s="139"/>
      <c r="C207" s="122"/>
      <c r="D207" s="122"/>
      <c r="E207" s="122"/>
      <c r="H207" s="122"/>
      <c r="K207" s="122"/>
      <c r="N207" s="122"/>
      <c r="Q207" s="122"/>
    </row>
    <row r="208" spans="2:17">
      <c r="B208" s="139"/>
      <c r="C208" s="122"/>
      <c r="D208" s="122"/>
      <c r="E208" s="122"/>
      <c r="H208" s="122"/>
      <c r="K208" s="122"/>
      <c r="N208" s="122"/>
      <c r="Q208" s="122"/>
    </row>
    <row r="209" spans="2:17">
      <c r="B209" s="139"/>
      <c r="C209" s="122"/>
      <c r="D209" s="122"/>
      <c r="E209" s="122"/>
      <c r="H209" s="122"/>
      <c r="K209" s="122"/>
      <c r="N209" s="122"/>
      <c r="Q209" s="122"/>
    </row>
    <row r="210" spans="2:17">
      <c r="B210" s="139"/>
      <c r="C210" s="122"/>
      <c r="D210" s="122"/>
      <c r="E210" s="122"/>
      <c r="H210" s="122"/>
      <c r="K210" s="122"/>
      <c r="N210" s="122"/>
      <c r="Q210" s="122"/>
    </row>
    <row r="211" spans="2:17">
      <c r="B211" s="139"/>
      <c r="C211" s="122"/>
      <c r="D211" s="122"/>
      <c r="E211" s="122"/>
      <c r="H211" s="122"/>
      <c r="K211" s="122"/>
      <c r="N211" s="122"/>
      <c r="Q211" s="122"/>
    </row>
    <row r="212" spans="2:17">
      <c r="B212" s="139"/>
      <c r="C212" s="122"/>
      <c r="D212" s="122"/>
      <c r="E212" s="122"/>
      <c r="H212" s="122"/>
      <c r="K212" s="122"/>
      <c r="N212" s="122"/>
      <c r="Q212" s="122"/>
    </row>
    <row r="213" spans="2:17">
      <c r="B213" s="139"/>
      <c r="C213" s="122"/>
      <c r="D213" s="122"/>
      <c r="E213" s="122"/>
      <c r="H213" s="122"/>
      <c r="K213" s="122"/>
      <c r="N213" s="122"/>
      <c r="Q213" s="122"/>
    </row>
    <row r="214" spans="2:17">
      <c r="B214" s="139"/>
      <c r="C214" s="122"/>
      <c r="D214" s="122"/>
      <c r="E214" s="122"/>
      <c r="H214" s="122"/>
      <c r="K214" s="122"/>
      <c r="N214" s="122"/>
      <c r="Q214" s="122"/>
    </row>
    <row r="215" spans="2:17">
      <c r="B215" s="139"/>
      <c r="C215" s="122"/>
      <c r="D215" s="122"/>
      <c r="E215" s="122"/>
      <c r="H215" s="122"/>
      <c r="K215" s="122"/>
      <c r="N215" s="122"/>
      <c r="Q215" s="122"/>
    </row>
    <row r="216" spans="2:17">
      <c r="B216" s="139"/>
      <c r="C216" s="122"/>
      <c r="D216" s="122"/>
      <c r="E216" s="122"/>
      <c r="H216" s="122"/>
      <c r="K216" s="122"/>
      <c r="N216" s="122"/>
      <c r="Q216" s="122"/>
    </row>
    <row r="217" spans="2:17">
      <c r="B217" s="139"/>
      <c r="C217" s="122"/>
      <c r="D217" s="122"/>
      <c r="E217" s="122"/>
      <c r="H217" s="122"/>
      <c r="K217" s="122"/>
      <c r="N217" s="122"/>
      <c r="Q217" s="122"/>
    </row>
    <row r="218" spans="2:17">
      <c r="B218" s="139"/>
      <c r="C218" s="122"/>
      <c r="D218" s="122"/>
      <c r="E218" s="122"/>
      <c r="H218" s="122"/>
      <c r="K218" s="122"/>
      <c r="N218" s="122"/>
      <c r="Q218" s="122"/>
    </row>
    <row r="219" spans="2:17">
      <c r="B219" s="139"/>
      <c r="C219" s="122"/>
      <c r="D219" s="122"/>
      <c r="E219" s="122"/>
      <c r="H219" s="122"/>
      <c r="K219" s="122"/>
      <c r="N219" s="122"/>
      <c r="Q219" s="122"/>
    </row>
    <row r="220" spans="2:17">
      <c r="B220" s="139"/>
      <c r="C220" s="122"/>
      <c r="D220" s="122"/>
      <c r="E220" s="122"/>
      <c r="H220" s="122"/>
      <c r="K220" s="122"/>
      <c r="N220" s="122"/>
      <c r="Q220" s="122"/>
    </row>
    <row r="221" spans="2:17">
      <c r="B221" s="139"/>
      <c r="C221" s="122"/>
      <c r="D221" s="122"/>
      <c r="E221" s="122"/>
      <c r="H221" s="122"/>
      <c r="K221" s="122"/>
      <c r="N221" s="122"/>
      <c r="Q221" s="122"/>
    </row>
    <row r="222" spans="2:17">
      <c r="B222" s="139"/>
      <c r="C222" s="122"/>
      <c r="D222" s="122"/>
      <c r="E222" s="122"/>
      <c r="H222" s="122"/>
      <c r="K222" s="122"/>
      <c r="N222" s="122"/>
      <c r="Q222" s="122"/>
    </row>
    <row r="223" spans="2:17">
      <c r="B223" s="139"/>
      <c r="C223" s="122"/>
      <c r="D223" s="122"/>
      <c r="E223" s="122"/>
      <c r="H223" s="122"/>
      <c r="K223" s="122"/>
      <c r="N223" s="122"/>
      <c r="Q223" s="122"/>
    </row>
    <row r="224" spans="2:17">
      <c r="B224" s="139"/>
      <c r="C224" s="122"/>
      <c r="D224" s="122"/>
      <c r="E224" s="122"/>
      <c r="H224" s="122"/>
      <c r="K224" s="122"/>
      <c r="N224" s="122"/>
      <c r="Q224" s="122"/>
    </row>
    <row r="225" spans="2:17">
      <c r="B225" s="139"/>
      <c r="C225" s="122"/>
      <c r="D225" s="122"/>
      <c r="E225" s="122"/>
      <c r="H225" s="122"/>
      <c r="K225" s="122"/>
      <c r="N225" s="122"/>
      <c r="Q225" s="122"/>
    </row>
    <row r="226" spans="2:17">
      <c r="B226" s="139"/>
      <c r="C226" s="122"/>
      <c r="D226" s="122"/>
      <c r="E226" s="122"/>
      <c r="H226" s="122"/>
      <c r="K226" s="122"/>
      <c r="N226" s="122"/>
      <c r="Q226" s="122"/>
    </row>
    <row r="227" spans="2:17">
      <c r="B227" s="139"/>
      <c r="C227" s="122"/>
      <c r="D227" s="122"/>
      <c r="E227" s="122"/>
      <c r="H227" s="122"/>
      <c r="K227" s="122"/>
      <c r="N227" s="122"/>
      <c r="Q227" s="122"/>
    </row>
    <row r="228" spans="2:17">
      <c r="B228" s="139"/>
      <c r="C228" s="122"/>
      <c r="D228" s="122"/>
      <c r="E228" s="122"/>
      <c r="H228" s="122"/>
      <c r="K228" s="122"/>
      <c r="N228" s="122"/>
      <c r="Q228" s="122"/>
    </row>
    <row r="229" spans="2:17">
      <c r="B229" s="139"/>
      <c r="C229" s="122"/>
      <c r="D229" s="122"/>
      <c r="E229" s="122"/>
      <c r="H229" s="122"/>
      <c r="K229" s="122"/>
      <c r="N229" s="122"/>
      <c r="Q229" s="122"/>
    </row>
    <row r="230" spans="2:17">
      <c r="B230" s="139"/>
      <c r="C230" s="122"/>
      <c r="D230" s="122"/>
      <c r="E230" s="122"/>
      <c r="H230" s="122"/>
      <c r="K230" s="122"/>
      <c r="N230" s="122"/>
      <c r="Q230" s="122"/>
    </row>
    <row r="231" spans="2:17">
      <c r="B231" s="139"/>
      <c r="C231" s="122"/>
      <c r="D231" s="122"/>
      <c r="E231" s="122"/>
      <c r="H231" s="122"/>
      <c r="K231" s="122"/>
      <c r="N231" s="122"/>
      <c r="Q231" s="122"/>
    </row>
    <row r="232" spans="2:17">
      <c r="B232" s="139"/>
      <c r="C232" s="122"/>
      <c r="D232" s="122"/>
      <c r="E232" s="122"/>
      <c r="H232" s="122"/>
      <c r="K232" s="122"/>
      <c r="N232" s="122"/>
      <c r="Q232" s="122"/>
    </row>
    <row r="233" spans="2:17">
      <c r="B233" s="139"/>
      <c r="C233" s="122"/>
      <c r="D233" s="122"/>
      <c r="E233" s="122"/>
      <c r="H233" s="122"/>
      <c r="K233" s="122"/>
      <c r="N233" s="122"/>
      <c r="Q233" s="122"/>
    </row>
    <row r="234" spans="2:17">
      <c r="B234" s="139"/>
      <c r="C234" s="122"/>
      <c r="D234" s="122"/>
      <c r="E234" s="122"/>
      <c r="H234" s="122"/>
      <c r="K234" s="122"/>
      <c r="N234" s="122"/>
      <c r="Q234" s="122"/>
    </row>
    <row r="235" spans="2:17">
      <c r="B235" s="139"/>
      <c r="C235" s="122"/>
      <c r="D235" s="122"/>
      <c r="E235" s="122"/>
      <c r="H235" s="122"/>
      <c r="K235" s="122"/>
      <c r="N235" s="122"/>
      <c r="Q235" s="122"/>
    </row>
    <row r="236" spans="2:17">
      <c r="B236" s="139"/>
      <c r="C236" s="122"/>
      <c r="D236" s="122"/>
      <c r="E236" s="122"/>
      <c r="H236" s="122"/>
      <c r="K236" s="122"/>
      <c r="N236" s="122"/>
      <c r="Q236" s="122"/>
    </row>
    <row r="237" spans="2:17">
      <c r="B237" s="139"/>
      <c r="C237" s="122"/>
      <c r="D237" s="122"/>
      <c r="E237" s="122"/>
      <c r="H237" s="122"/>
      <c r="K237" s="122"/>
      <c r="N237" s="122"/>
      <c r="Q237" s="122"/>
    </row>
    <row r="238" spans="2:17">
      <c r="B238" s="139"/>
      <c r="C238" s="122"/>
      <c r="D238" s="122"/>
      <c r="E238" s="122"/>
      <c r="H238" s="122"/>
      <c r="K238" s="122"/>
      <c r="N238" s="122"/>
      <c r="Q238" s="122"/>
    </row>
    <row r="239" spans="2:17">
      <c r="B239" s="139"/>
      <c r="C239" s="122"/>
      <c r="D239" s="122"/>
      <c r="E239" s="122"/>
      <c r="H239" s="122"/>
      <c r="K239" s="122"/>
      <c r="N239" s="122"/>
      <c r="Q239" s="122"/>
    </row>
    <row r="240" spans="2:17">
      <c r="B240" s="139"/>
      <c r="C240" s="122"/>
      <c r="D240" s="122"/>
      <c r="E240" s="122"/>
      <c r="H240" s="122"/>
      <c r="K240" s="122"/>
      <c r="N240" s="122"/>
      <c r="Q240" s="122"/>
    </row>
    <row r="241" spans="2:17">
      <c r="B241" s="139"/>
      <c r="C241" s="122"/>
      <c r="D241" s="122"/>
      <c r="E241" s="122"/>
      <c r="H241" s="122"/>
      <c r="K241" s="122"/>
      <c r="N241" s="122"/>
      <c r="Q241" s="122"/>
    </row>
    <row r="242" spans="2:17">
      <c r="B242" s="139"/>
      <c r="C242" s="122"/>
      <c r="D242" s="122"/>
      <c r="E242" s="122"/>
      <c r="H242" s="122"/>
      <c r="K242" s="122"/>
      <c r="N242" s="122"/>
      <c r="Q242" s="122"/>
    </row>
    <row r="243" spans="2:17">
      <c r="B243" s="139"/>
      <c r="C243" s="122"/>
      <c r="D243" s="122"/>
      <c r="E243" s="122"/>
      <c r="H243" s="122"/>
      <c r="K243" s="122"/>
      <c r="N243" s="122"/>
      <c r="Q243" s="122"/>
    </row>
    <row r="244" spans="2:17">
      <c r="B244" s="139"/>
      <c r="C244" s="122"/>
      <c r="D244" s="122"/>
      <c r="E244" s="122"/>
      <c r="H244" s="122"/>
      <c r="K244" s="122"/>
      <c r="N244" s="122"/>
      <c r="Q244" s="122"/>
    </row>
    <row r="245" spans="2:17">
      <c r="B245" s="139"/>
      <c r="C245" s="122"/>
      <c r="D245" s="122"/>
      <c r="E245" s="122"/>
      <c r="H245" s="122"/>
      <c r="K245" s="122"/>
      <c r="N245" s="122"/>
      <c r="Q245" s="122"/>
    </row>
    <row r="246" spans="2:17">
      <c r="B246" s="139"/>
      <c r="C246" s="122"/>
      <c r="D246" s="122"/>
      <c r="E246" s="122"/>
      <c r="H246" s="122"/>
      <c r="K246" s="122"/>
      <c r="N246" s="122"/>
      <c r="Q246" s="122"/>
    </row>
    <row r="247" spans="2:17">
      <c r="B247" s="139"/>
      <c r="C247" s="122"/>
      <c r="D247" s="122"/>
      <c r="E247" s="122"/>
      <c r="H247" s="122"/>
      <c r="K247" s="122"/>
      <c r="N247" s="122"/>
      <c r="Q247" s="122"/>
    </row>
    <row r="248" spans="2:17">
      <c r="B248" s="139"/>
      <c r="C248" s="122"/>
      <c r="D248" s="122"/>
      <c r="E248" s="122"/>
      <c r="H248" s="122"/>
      <c r="K248" s="122"/>
      <c r="N248" s="122"/>
      <c r="Q248" s="122"/>
    </row>
    <row r="249" spans="2:17">
      <c r="B249" s="139"/>
      <c r="C249" s="122"/>
      <c r="D249" s="122"/>
      <c r="E249" s="122"/>
      <c r="H249" s="122"/>
      <c r="K249" s="122"/>
      <c r="N249" s="122"/>
      <c r="Q249" s="122"/>
    </row>
    <row r="250" spans="2:17">
      <c r="B250" s="139"/>
      <c r="C250" s="122"/>
      <c r="D250" s="122"/>
      <c r="E250" s="122"/>
      <c r="H250" s="122"/>
      <c r="K250" s="122"/>
      <c r="N250" s="122"/>
      <c r="Q250" s="122"/>
    </row>
    <row r="251" spans="2:17">
      <c r="B251" s="139"/>
      <c r="C251" s="122"/>
      <c r="D251" s="122"/>
      <c r="E251" s="122"/>
      <c r="H251" s="122"/>
      <c r="K251" s="122"/>
      <c r="N251" s="122"/>
      <c r="Q251" s="122"/>
    </row>
    <row r="252" spans="2:17">
      <c r="B252" s="139"/>
      <c r="C252" s="122"/>
      <c r="D252" s="122"/>
      <c r="E252" s="122"/>
      <c r="H252" s="122"/>
      <c r="K252" s="122"/>
      <c r="N252" s="122"/>
      <c r="Q252" s="122"/>
    </row>
    <row r="253" spans="2:17">
      <c r="B253" s="139"/>
      <c r="C253" s="122"/>
      <c r="D253" s="122"/>
      <c r="E253" s="122"/>
      <c r="H253" s="122"/>
      <c r="K253" s="122"/>
      <c r="N253" s="122"/>
      <c r="Q253" s="122"/>
    </row>
    <row r="254" spans="2:17">
      <c r="B254" s="139"/>
      <c r="C254" s="122"/>
      <c r="D254" s="122"/>
      <c r="E254" s="122"/>
      <c r="H254" s="122"/>
      <c r="K254" s="122"/>
      <c r="N254" s="122"/>
      <c r="Q254" s="122"/>
    </row>
    <row r="255" spans="2:17">
      <c r="B255" s="139"/>
      <c r="C255" s="122"/>
      <c r="D255" s="122"/>
      <c r="E255" s="122"/>
      <c r="H255" s="122"/>
      <c r="K255" s="122"/>
      <c r="N255" s="122"/>
      <c r="Q255" s="122"/>
    </row>
    <row r="256" spans="2:17">
      <c r="B256" s="139"/>
      <c r="C256" s="122"/>
      <c r="D256" s="122"/>
      <c r="E256" s="122"/>
      <c r="H256" s="122"/>
      <c r="K256" s="122"/>
      <c r="N256" s="122"/>
      <c r="Q256" s="122"/>
    </row>
    <row r="257" spans="2:17">
      <c r="B257" s="139"/>
      <c r="C257" s="122"/>
      <c r="D257" s="122"/>
      <c r="E257" s="122"/>
      <c r="H257" s="122"/>
      <c r="K257" s="122"/>
      <c r="N257" s="122"/>
      <c r="Q257" s="122"/>
    </row>
    <row r="258" spans="2:17">
      <c r="B258" s="139"/>
      <c r="C258" s="122"/>
      <c r="D258" s="122"/>
      <c r="E258" s="122"/>
      <c r="H258" s="122"/>
      <c r="K258" s="122"/>
      <c r="N258" s="122"/>
      <c r="Q258" s="122"/>
    </row>
    <row r="259" spans="2:17">
      <c r="B259" s="139"/>
      <c r="C259" s="122"/>
      <c r="D259" s="122"/>
      <c r="E259" s="122"/>
      <c r="H259" s="122"/>
      <c r="K259" s="122"/>
      <c r="N259" s="122"/>
      <c r="Q259" s="122"/>
    </row>
    <row r="260" spans="2:17">
      <c r="B260" s="139"/>
      <c r="C260" s="122"/>
      <c r="D260" s="122"/>
      <c r="E260" s="122"/>
      <c r="H260" s="122"/>
      <c r="K260" s="122"/>
      <c r="N260" s="122"/>
      <c r="Q260" s="122"/>
    </row>
    <row r="261" spans="2:17">
      <c r="B261" s="139"/>
      <c r="C261" s="122"/>
      <c r="D261" s="122"/>
      <c r="E261" s="122"/>
      <c r="H261" s="122"/>
      <c r="K261" s="122"/>
      <c r="N261" s="122"/>
      <c r="Q261" s="122"/>
    </row>
    <row r="262" spans="2:17">
      <c r="B262" s="139"/>
      <c r="C262" s="122"/>
      <c r="D262" s="122"/>
      <c r="E262" s="122"/>
      <c r="H262" s="122"/>
      <c r="K262" s="122"/>
      <c r="N262" s="122"/>
      <c r="Q262" s="122"/>
    </row>
    <row r="263" spans="2:17">
      <c r="B263" s="139"/>
      <c r="C263" s="122"/>
      <c r="D263" s="122"/>
      <c r="E263" s="122"/>
      <c r="H263" s="122"/>
      <c r="K263" s="122"/>
      <c r="N263" s="122"/>
      <c r="Q263" s="122"/>
    </row>
    <row r="264" spans="2:17">
      <c r="B264" s="139"/>
      <c r="C264" s="122"/>
      <c r="D264" s="122"/>
      <c r="E264" s="122"/>
      <c r="H264" s="122"/>
      <c r="K264" s="122"/>
      <c r="N264" s="122"/>
      <c r="Q264" s="122"/>
    </row>
    <row r="265" spans="2:17">
      <c r="B265" s="139"/>
      <c r="C265" s="122"/>
      <c r="D265" s="122"/>
      <c r="E265" s="122"/>
      <c r="H265" s="122"/>
      <c r="K265" s="122"/>
      <c r="N265" s="122"/>
      <c r="Q265" s="122"/>
    </row>
    <row r="266" spans="2:17">
      <c r="B266" s="139"/>
      <c r="C266" s="122"/>
      <c r="D266" s="122"/>
      <c r="E266" s="122"/>
      <c r="H266" s="122"/>
      <c r="K266" s="122"/>
      <c r="N266" s="122"/>
      <c r="Q266" s="122"/>
    </row>
    <row r="267" spans="2:17">
      <c r="B267" s="139"/>
      <c r="C267" s="122"/>
      <c r="D267" s="122"/>
      <c r="E267" s="122"/>
      <c r="H267" s="122"/>
      <c r="K267" s="122"/>
      <c r="N267" s="122"/>
      <c r="Q267" s="122"/>
    </row>
    <row r="268" spans="2:17">
      <c r="B268" s="139"/>
      <c r="C268" s="122"/>
      <c r="D268" s="122"/>
      <c r="E268" s="122"/>
      <c r="H268" s="122"/>
      <c r="K268" s="122"/>
      <c r="N268" s="122"/>
      <c r="Q268" s="122"/>
    </row>
  </sheetData>
  <printOptions horizontalCentered="1" verticalCentered="1"/>
  <pageMargins left="0.25" right="0.25" top="0.25" bottom="0" header="0.5" footer="0.5"/>
  <pageSetup scale="54" fitToWidth="2" orientation="portrait" r:id="rId1"/>
  <headerFooter alignWithMargins="0"/>
  <colBreaks count="1" manualBreakCount="1">
    <brk id="5" max="92"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V40"/>
  <sheetViews>
    <sheetView zoomScale="90" zoomScaleNormal="90" workbookViewId="0">
      <pane ySplit="4" topLeftCell="A5" activePane="bottomLeft" state="frozen"/>
      <selection activeCell="G26" sqref="G26"/>
      <selection pane="bottomLeft" activeCell="B22" sqref="B22"/>
    </sheetView>
  </sheetViews>
  <sheetFormatPr defaultRowHeight="15"/>
  <cols>
    <col min="1" max="1" width="17.7109375" style="2" customWidth="1"/>
    <col min="2" max="4" width="16" style="2" customWidth="1"/>
    <col min="5" max="5" width="16" style="26" customWidth="1"/>
    <col min="6" max="6" width="16" style="2" customWidth="1"/>
    <col min="7" max="7" width="11.7109375" style="2" customWidth="1"/>
    <col min="8" max="8" width="9.140625" style="2"/>
    <col min="9" max="13" width="14" style="2" customWidth="1"/>
    <col min="14" max="20" width="9.140625" style="2"/>
    <col min="21" max="21" width="13.28515625" style="2" customWidth="1"/>
    <col min="22" max="16384" width="9.140625" style="2"/>
  </cols>
  <sheetData>
    <row r="1" spans="1:22">
      <c r="A1" s="1" t="s">
        <v>0</v>
      </c>
    </row>
    <row r="2" spans="1:22">
      <c r="A2" s="1" t="str">
        <f>Comparison!A2</f>
        <v>2016 Budget - 40990 Corporate</v>
      </c>
    </row>
    <row r="3" spans="1:22">
      <c r="A3" s="1" t="s">
        <v>3</v>
      </c>
    </row>
    <row r="4" spans="1:22">
      <c r="A4" s="1" t="s">
        <v>69</v>
      </c>
    </row>
    <row r="5" spans="1:22">
      <c r="A5" s="15"/>
      <c r="B5" s="143"/>
      <c r="C5" s="143"/>
      <c r="D5" s="143"/>
      <c r="E5" s="143"/>
      <c r="F5" s="143"/>
    </row>
    <row r="6" spans="1:22">
      <c r="A6" s="26"/>
      <c r="E6" s="2"/>
      <c r="H6" s="532"/>
      <c r="I6" s="539"/>
      <c r="J6" s="539"/>
      <c r="K6" s="539"/>
      <c r="L6" s="539"/>
      <c r="M6" s="539"/>
      <c r="N6" s="532"/>
      <c r="O6" s="532"/>
      <c r="P6" s="532"/>
      <c r="Q6" s="532"/>
      <c r="R6" s="532"/>
      <c r="S6" s="532"/>
      <c r="T6" s="532"/>
      <c r="U6" s="532"/>
      <c r="V6" s="532"/>
    </row>
    <row r="7" spans="1:22" ht="30">
      <c r="A7" s="60"/>
      <c r="B7" s="5" t="s">
        <v>184</v>
      </c>
      <c r="C7" s="5" t="s">
        <v>419</v>
      </c>
      <c r="D7" s="5" t="s">
        <v>511</v>
      </c>
      <c r="E7" s="5" t="s">
        <v>551</v>
      </c>
      <c r="F7" s="5" t="s">
        <v>727</v>
      </c>
      <c r="H7" s="532"/>
      <c r="I7" s="59"/>
      <c r="J7" s="59"/>
      <c r="K7" s="59"/>
      <c r="L7" s="59"/>
      <c r="M7" s="59"/>
      <c r="N7" s="532"/>
      <c r="O7" s="532"/>
      <c r="P7" s="532"/>
      <c r="Q7" s="532"/>
      <c r="R7" s="532"/>
      <c r="S7" s="532"/>
      <c r="T7" s="532"/>
      <c r="U7" s="532"/>
      <c r="V7" s="532"/>
    </row>
    <row r="8" spans="1:22">
      <c r="A8" s="111" t="s">
        <v>23</v>
      </c>
      <c r="B8" s="525">
        <v>492619.2945466715</v>
      </c>
      <c r="C8" s="525">
        <v>505641.83486076968</v>
      </c>
      <c r="D8" s="525">
        <v>511274.56343585654</v>
      </c>
      <c r="E8" s="525">
        <v>517338.64884938166</v>
      </c>
      <c r="F8" s="525">
        <v>525285.47313098155</v>
      </c>
      <c r="H8" s="533"/>
      <c r="I8" s="534"/>
      <c r="J8" s="534"/>
      <c r="K8" s="534"/>
      <c r="L8" s="534"/>
      <c r="M8" s="534"/>
      <c r="N8" s="532"/>
      <c r="O8" s="532"/>
      <c r="P8" s="532"/>
      <c r="Q8" s="535"/>
      <c r="R8" s="535"/>
      <c r="S8" s="532"/>
      <c r="T8" s="532"/>
      <c r="U8" s="532"/>
      <c r="V8" s="532"/>
    </row>
    <row r="9" spans="1:22">
      <c r="A9" s="111" t="s">
        <v>24</v>
      </c>
      <c r="B9" s="525">
        <v>163482.15217181516</v>
      </c>
      <c r="C9" s="525">
        <v>167803.85239927407</v>
      </c>
      <c r="D9" s="525">
        <v>169673.14700516703</v>
      </c>
      <c r="E9" s="525">
        <v>171685.59301637957</v>
      </c>
      <c r="F9" s="525">
        <v>174322.85053119686</v>
      </c>
      <c r="H9" s="533"/>
      <c r="I9" s="534"/>
      <c r="J9" s="534"/>
      <c r="K9" s="534"/>
      <c r="L9" s="534"/>
      <c r="M9" s="534"/>
      <c r="N9" s="532"/>
      <c r="O9" s="532"/>
      <c r="P9" s="535"/>
      <c r="Q9" s="535"/>
      <c r="R9" s="535"/>
      <c r="S9" s="532"/>
      <c r="T9" s="532"/>
      <c r="U9" s="532"/>
      <c r="V9" s="532"/>
    </row>
    <row r="10" spans="1:22">
      <c r="A10" s="111" t="s">
        <v>25</v>
      </c>
      <c r="B10" s="525">
        <v>152704.84462956962</v>
      </c>
      <c r="C10" s="525">
        <v>156741.64346664451</v>
      </c>
      <c r="D10" s="525">
        <v>158487.70772239138</v>
      </c>
      <c r="E10" s="525">
        <v>160367.48634889635</v>
      </c>
      <c r="F10" s="525">
        <v>162830.88674886839</v>
      </c>
      <c r="H10" s="533"/>
      <c r="I10" s="534"/>
      <c r="J10" s="534"/>
      <c r="K10" s="534"/>
      <c r="L10" s="534"/>
      <c r="M10" s="534"/>
      <c r="N10" s="532"/>
      <c r="O10" s="532"/>
      <c r="P10" s="535"/>
      <c r="Q10" s="535"/>
      <c r="R10" s="535"/>
      <c r="S10" s="532"/>
      <c r="T10" s="532"/>
      <c r="U10" s="532"/>
      <c r="V10" s="532"/>
    </row>
    <row r="11" spans="1:22">
      <c r="A11" s="111" t="s">
        <v>26</v>
      </c>
      <c r="B11" s="525">
        <v>244861.81963676465</v>
      </c>
      <c r="C11" s="525">
        <v>251334.81603155183</v>
      </c>
      <c r="D11" s="525">
        <v>254134.62550650348</v>
      </c>
      <c r="E11" s="525">
        <v>257148.84562582494</v>
      </c>
      <c r="F11" s="525">
        <v>261098.90173500931</v>
      </c>
      <c r="H11" s="533"/>
      <c r="I11" s="534"/>
      <c r="J11" s="534"/>
      <c r="K11" s="534"/>
      <c r="L11" s="534"/>
      <c r="M11" s="534"/>
      <c r="N11" s="532"/>
      <c r="O11" s="532"/>
      <c r="P11" s="535"/>
      <c r="Q11" s="535"/>
      <c r="R11" s="535"/>
      <c r="S11" s="532"/>
      <c r="T11" s="532"/>
      <c r="U11" s="532"/>
      <c r="V11" s="532"/>
    </row>
    <row r="12" spans="1:22">
      <c r="A12" s="111" t="s">
        <v>27</v>
      </c>
      <c r="B12" s="525">
        <v>338644.26230597455</v>
      </c>
      <c r="C12" s="525">
        <v>347596.42598863307</v>
      </c>
      <c r="D12" s="525">
        <v>351468.5666745464</v>
      </c>
      <c r="E12" s="525">
        <v>355637.23760188674</v>
      </c>
      <c r="F12" s="525">
        <v>361100.17110105901</v>
      </c>
      <c r="H12" s="533"/>
      <c r="I12" s="534"/>
      <c r="J12" s="534"/>
      <c r="K12" s="534"/>
      <c r="L12" s="534"/>
      <c r="M12" s="534"/>
      <c r="N12" s="532"/>
      <c r="O12" s="532"/>
      <c r="P12" s="535"/>
      <c r="Q12" s="535"/>
      <c r="R12" s="535"/>
      <c r="S12" s="532"/>
      <c r="T12" s="532"/>
      <c r="U12" s="532"/>
      <c r="V12" s="532"/>
    </row>
    <row r="13" spans="1:22">
      <c r="A13" s="111" t="s">
        <v>28</v>
      </c>
      <c r="B13" s="525">
        <v>263690.16340637387</v>
      </c>
      <c r="C13" s="525">
        <v>270660.89277366485</v>
      </c>
      <c r="D13" s="525">
        <v>273675.99010101421</v>
      </c>
      <c r="E13" s="525">
        <v>276921.98491141672</v>
      </c>
      <c r="F13" s="525">
        <v>281175.77565119113</v>
      </c>
      <c r="H13" s="533"/>
      <c r="I13" s="534"/>
      <c r="J13" s="534"/>
      <c r="K13" s="534"/>
      <c r="L13" s="534"/>
      <c r="M13" s="534"/>
      <c r="N13" s="532"/>
      <c r="O13" s="532"/>
      <c r="P13" s="535"/>
      <c r="Q13" s="535"/>
      <c r="R13" s="535"/>
      <c r="S13" s="532"/>
      <c r="T13" s="532"/>
      <c r="U13" s="532"/>
      <c r="V13" s="532"/>
    </row>
    <row r="14" spans="1:22">
      <c r="A14" s="111" t="s">
        <v>29</v>
      </c>
      <c r="B14" s="525">
        <v>190078.61715502883</v>
      </c>
      <c r="C14" s="525">
        <v>195103.40299299985</v>
      </c>
      <c r="D14" s="525">
        <v>197276.80803460992</v>
      </c>
      <c r="E14" s="525">
        <v>199616.65339282624</v>
      </c>
      <c r="F14" s="525">
        <v>202682.95913225238</v>
      </c>
      <c r="H14" s="533"/>
      <c r="I14" s="534"/>
      <c r="J14" s="534"/>
      <c r="K14" s="534"/>
      <c r="L14" s="534"/>
      <c r="M14" s="534"/>
      <c r="N14" s="532"/>
      <c r="O14" s="532"/>
      <c r="P14" s="532"/>
      <c r="Q14" s="535"/>
      <c r="R14" s="535"/>
      <c r="S14" s="532"/>
      <c r="T14" s="532"/>
      <c r="U14" s="532"/>
      <c r="V14" s="532"/>
    </row>
    <row r="15" spans="1:22">
      <c r="A15" s="111" t="s">
        <v>30</v>
      </c>
      <c r="B15" s="525">
        <v>195367.66859406952</v>
      </c>
      <c r="C15" s="525">
        <v>200532.27210940464</v>
      </c>
      <c r="D15" s="525">
        <v>202766.15344884872</v>
      </c>
      <c r="E15" s="525">
        <v>205171.10640645857</v>
      </c>
      <c r="F15" s="525">
        <v>208322.73394076302</v>
      </c>
      <c r="H15" s="533"/>
      <c r="I15" s="534"/>
      <c r="J15" s="534"/>
      <c r="K15" s="534"/>
      <c r="L15" s="534"/>
      <c r="M15" s="534"/>
      <c r="N15" s="532"/>
      <c r="O15" s="532"/>
      <c r="P15" s="532"/>
      <c r="Q15" s="532"/>
      <c r="R15" s="532"/>
      <c r="S15" s="532"/>
      <c r="T15" s="532"/>
      <c r="U15" s="532"/>
      <c r="V15" s="532"/>
    </row>
    <row r="16" spans="1:22">
      <c r="A16" s="111" t="s">
        <v>31</v>
      </c>
      <c r="B16" s="525">
        <v>254166.07843496438</v>
      </c>
      <c r="C16" s="525">
        <v>260885.03573025556</v>
      </c>
      <c r="D16" s="525">
        <v>263791.23235849739</v>
      </c>
      <c r="E16" s="525">
        <v>266919.98680622701</v>
      </c>
      <c r="F16" s="525">
        <v>271020.13713737618</v>
      </c>
      <c r="H16" s="533"/>
      <c r="I16" s="534"/>
      <c r="J16" s="534"/>
      <c r="K16" s="534"/>
      <c r="L16" s="534"/>
      <c r="M16" s="534"/>
      <c r="N16" s="532"/>
      <c r="O16" s="532"/>
      <c r="P16" s="532"/>
      <c r="Q16" s="532"/>
      <c r="R16" s="532"/>
      <c r="S16" s="532"/>
      <c r="T16" s="532"/>
      <c r="U16" s="532"/>
      <c r="V16" s="532"/>
    </row>
    <row r="17" spans="1:22">
      <c r="A17" s="111" t="s">
        <v>32</v>
      </c>
      <c r="B17" s="525">
        <v>435608.94940900191</v>
      </c>
      <c r="C17" s="525">
        <v>447124.40397535416</v>
      </c>
      <c r="D17" s="525">
        <v>452105.26242743246</v>
      </c>
      <c r="E17" s="525">
        <v>457467.55721643986</v>
      </c>
      <c r="F17" s="525">
        <v>464494.70336107333</v>
      </c>
      <c r="H17" s="533"/>
      <c r="I17" s="534"/>
      <c r="J17" s="534"/>
      <c r="K17" s="534"/>
      <c r="L17" s="534"/>
      <c r="M17" s="534"/>
      <c r="N17" s="532"/>
      <c r="O17" s="532"/>
      <c r="P17" s="532"/>
      <c r="Q17" s="532"/>
      <c r="R17" s="532"/>
      <c r="S17" s="532"/>
      <c r="T17" s="532"/>
      <c r="U17" s="532"/>
      <c r="V17" s="532"/>
    </row>
    <row r="18" spans="1:22">
      <c r="A18" s="111" t="s">
        <v>33</v>
      </c>
      <c r="B18" s="525">
        <v>541225.4845291333</v>
      </c>
      <c r="C18" s="525">
        <v>555532.94420300564</v>
      </c>
      <c r="D18" s="525">
        <v>561721.44775132462</v>
      </c>
      <c r="E18" s="525">
        <v>568383.86963064107</v>
      </c>
      <c r="F18" s="525">
        <v>577114.79809789651</v>
      </c>
      <c r="H18" s="533"/>
      <c r="I18" s="534"/>
      <c r="J18" s="534"/>
      <c r="K18" s="534"/>
      <c r="L18" s="534"/>
      <c r="M18" s="534"/>
      <c r="N18" s="532"/>
      <c r="O18" s="532"/>
      <c r="P18" s="532"/>
      <c r="Q18" s="532"/>
      <c r="R18" s="532"/>
      <c r="S18" s="532"/>
      <c r="T18" s="532"/>
      <c r="U18" s="532"/>
      <c r="V18" s="532"/>
    </row>
    <row r="19" spans="1:22">
      <c r="A19" s="111" t="s">
        <v>22</v>
      </c>
      <c r="B19" s="525">
        <v>619090.58513908845</v>
      </c>
      <c r="C19" s="525">
        <v>635456.43234056991</v>
      </c>
      <c r="D19" s="525">
        <v>642535.26434752415</v>
      </c>
      <c r="E19" s="525">
        <v>650156.19643149269</v>
      </c>
      <c r="F19" s="525">
        <v>660143.22728666977</v>
      </c>
      <c r="H19" s="533"/>
      <c r="I19" s="534"/>
      <c r="J19" s="534"/>
      <c r="K19" s="534"/>
      <c r="L19" s="534"/>
      <c r="M19" s="534"/>
      <c r="N19" s="532"/>
      <c r="O19" s="532"/>
      <c r="P19" s="532"/>
      <c r="Q19" s="532"/>
      <c r="R19" s="532"/>
      <c r="S19" s="532"/>
      <c r="T19" s="532"/>
      <c r="U19" s="532"/>
      <c r="V19" s="532"/>
    </row>
    <row r="20" spans="1:22" ht="15.75" thickBot="1">
      <c r="A20" s="35"/>
      <c r="B20" s="209">
        <f>SUM(B8:B19)</f>
        <v>3891539.919958456</v>
      </c>
      <c r="C20" s="209">
        <f>SUM(C8:C19)</f>
        <v>3994413.956872128</v>
      </c>
      <c r="D20" s="209">
        <f>SUM(D8:D19)</f>
        <v>4038910.7688137162</v>
      </c>
      <c r="E20" s="209">
        <f>SUM(E8:E19)</f>
        <v>4086815.1662378712</v>
      </c>
      <c r="F20" s="209">
        <f>SUM(F8:F19)</f>
        <v>4149592.6178543377</v>
      </c>
      <c r="H20" s="532"/>
      <c r="I20" s="223"/>
      <c r="J20" s="223"/>
      <c r="K20" s="223"/>
      <c r="L20" s="223"/>
      <c r="M20" s="223"/>
      <c r="N20" s="532"/>
      <c r="O20" s="532"/>
      <c r="P20" s="532"/>
      <c r="Q20" s="532"/>
      <c r="R20" s="532"/>
      <c r="S20" s="532"/>
      <c r="T20" s="532"/>
      <c r="U20" s="532"/>
      <c r="V20" s="532"/>
    </row>
    <row r="21" spans="1:22" ht="15.75" thickTop="1">
      <c r="A21" s="6"/>
      <c r="B21" s="35"/>
      <c r="C21" s="35"/>
      <c r="D21" s="35"/>
      <c r="E21" s="35"/>
      <c r="F21" s="35"/>
      <c r="G21" s="35"/>
      <c r="H21" s="532"/>
      <c r="I21" s="536"/>
      <c r="J21" s="536"/>
      <c r="K21" s="536"/>
      <c r="L21" s="536"/>
      <c r="M21" s="536"/>
      <c r="N21" s="532"/>
      <c r="O21" s="532"/>
      <c r="P21" s="532"/>
      <c r="Q21" s="532"/>
      <c r="R21" s="532"/>
      <c r="S21" s="532"/>
      <c r="T21" s="532"/>
      <c r="U21" s="532"/>
      <c r="V21" s="532"/>
    </row>
    <row r="22" spans="1:22">
      <c r="A22" s="231"/>
      <c r="B22" s="140"/>
      <c r="D22" s="35"/>
      <c r="E22" s="35"/>
      <c r="F22" s="211"/>
      <c r="G22" s="35"/>
      <c r="H22" s="532"/>
      <c r="I22" s="532"/>
      <c r="J22" s="532"/>
      <c r="K22" s="532"/>
      <c r="L22" s="532"/>
      <c r="M22" s="532"/>
      <c r="N22" s="532"/>
      <c r="O22" s="532"/>
      <c r="P22" s="532"/>
      <c r="Q22" s="532"/>
      <c r="R22" s="532"/>
      <c r="S22" s="532"/>
      <c r="T22" s="532"/>
      <c r="U22" s="532"/>
      <c r="V22" s="532"/>
    </row>
    <row r="23" spans="1:22">
      <c r="A23" s="231"/>
      <c r="B23" s="140"/>
      <c r="D23" s="35"/>
      <c r="E23" s="35"/>
      <c r="F23" s="211"/>
      <c r="G23" s="35"/>
      <c r="H23" s="532"/>
      <c r="I23" s="88"/>
      <c r="J23" s="88"/>
      <c r="K23" s="88"/>
      <c r="L23" s="88"/>
      <c r="M23" s="88"/>
      <c r="N23" s="88"/>
      <c r="O23" s="88"/>
      <c r="P23" s="88"/>
      <c r="Q23" s="88"/>
      <c r="R23" s="537"/>
      <c r="S23" s="88"/>
      <c r="T23" s="88"/>
      <c r="U23" s="88"/>
      <c r="V23" s="532"/>
    </row>
    <row r="24" spans="1:22">
      <c r="A24" s="231"/>
      <c r="B24" s="140"/>
      <c r="D24" s="35"/>
      <c r="E24" s="35"/>
      <c r="F24" s="211"/>
      <c r="G24" s="35"/>
      <c r="H24" s="59"/>
      <c r="I24" s="534"/>
      <c r="J24" s="534"/>
      <c r="K24" s="534"/>
      <c r="L24" s="534"/>
      <c r="M24" s="534"/>
      <c r="N24" s="534"/>
      <c r="O24" s="534"/>
      <c r="P24" s="534"/>
      <c r="Q24" s="534"/>
      <c r="R24" s="534"/>
      <c r="S24" s="534"/>
      <c r="T24" s="534"/>
      <c r="U24" s="223"/>
      <c r="V24" s="223"/>
    </row>
    <row r="25" spans="1:22">
      <c r="A25" s="231"/>
      <c r="B25" s="140"/>
      <c r="D25" s="11"/>
      <c r="E25" s="33"/>
      <c r="F25" s="11"/>
      <c r="G25" s="11"/>
      <c r="H25" s="59"/>
      <c r="I25" s="534"/>
      <c r="J25" s="534"/>
      <c r="K25" s="534"/>
      <c r="L25" s="534"/>
      <c r="M25" s="534"/>
      <c r="N25" s="534"/>
      <c r="O25" s="534"/>
      <c r="P25" s="534"/>
      <c r="Q25" s="534"/>
      <c r="R25" s="534"/>
      <c r="S25" s="534"/>
      <c r="T25" s="534"/>
      <c r="U25" s="223"/>
      <c r="V25" s="223"/>
    </row>
    <row r="26" spans="1:22">
      <c r="A26" s="231"/>
      <c r="B26" s="223"/>
      <c r="H26" s="59"/>
      <c r="I26" s="534"/>
      <c r="J26" s="534"/>
      <c r="K26" s="534"/>
      <c r="L26" s="534"/>
      <c r="M26" s="534"/>
      <c r="N26" s="534"/>
      <c r="O26" s="534"/>
      <c r="P26" s="534"/>
      <c r="Q26" s="534"/>
      <c r="R26" s="534"/>
      <c r="S26" s="534"/>
      <c r="T26" s="534"/>
      <c r="U26" s="223"/>
      <c r="V26" s="223"/>
    </row>
    <row r="27" spans="1:22">
      <c r="A27" s="4"/>
      <c r="H27" s="59"/>
      <c r="I27" s="534"/>
      <c r="J27" s="534"/>
      <c r="K27" s="534"/>
      <c r="L27" s="534"/>
      <c r="M27" s="534"/>
      <c r="N27" s="534"/>
      <c r="O27" s="534"/>
      <c r="P27" s="534"/>
      <c r="Q27" s="534"/>
      <c r="R27" s="534"/>
      <c r="S27" s="534"/>
      <c r="T27" s="534"/>
      <c r="U27" s="223"/>
      <c r="V27" s="223"/>
    </row>
    <row r="28" spans="1:22">
      <c r="A28" s="12"/>
      <c r="H28" s="59"/>
      <c r="I28" s="534"/>
      <c r="J28" s="534"/>
      <c r="K28" s="534"/>
      <c r="L28" s="534"/>
      <c r="M28" s="534"/>
      <c r="N28" s="534"/>
      <c r="O28" s="534"/>
      <c r="P28" s="534"/>
      <c r="Q28" s="534"/>
      <c r="R28" s="534"/>
      <c r="S28" s="534"/>
      <c r="T28" s="534"/>
      <c r="U28" s="223"/>
      <c r="V28" s="223"/>
    </row>
    <row r="29" spans="1:22">
      <c r="A29" s="6" t="s">
        <v>841</v>
      </c>
    </row>
    <row r="30" spans="1:22">
      <c r="A30" s="4" t="s">
        <v>840</v>
      </c>
      <c r="B30" s="11"/>
      <c r="C30" s="11"/>
      <c r="D30" s="11"/>
      <c r="E30" s="33"/>
      <c r="F30" s="11"/>
      <c r="G30" s="11"/>
    </row>
    <row r="31" spans="1:22">
      <c r="A31" s="4" t="s">
        <v>865</v>
      </c>
    </row>
    <row r="32" spans="1:22">
      <c r="A32" s="24"/>
    </row>
    <row r="33" spans="1:7">
      <c r="A33" s="6" t="s">
        <v>172</v>
      </c>
    </row>
    <row r="34" spans="1:7">
      <c r="A34" s="531" t="s">
        <v>530</v>
      </c>
    </row>
    <row r="35" spans="1:7">
      <c r="A35" s="531" t="s">
        <v>173</v>
      </c>
    </row>
    <row r="36" spans="1:7">
      <c r="A36" s="531" t="s">
        <v>174</v>
      </c>
    </row>
    <row r="37" spans="1:7">
      <c r="A37" s="531" t="s">
        <v>175</v>
      </c>
    </row>
    <row r="39" spans="1:7">
      <c r="A39" s="265"/>
      <c r="B39" s="265"/>
      <c r="C39" s="265"/>
      <c r="D39" s="265"/>
      <c r="E39" s="264"/>
      <c r="F39" s="265"/>
      <c r="G39" s="265"/>
    </row>
    <row r="40" spans="1:7">
      <c r="A40" s="11"/>
      <c r="B40" s="11"/>
      <c r="C40" s="11"/>
      <c r="D40" s="11"/>
      <c r="E40" s="33"/>
      <c r="F40" s="11"/>
      <c r="G40" s="11"/>
    </row>
  </sheetData>
  <mergeCells count="1">
    <mergeCell ref="I6:M6"/>
  </mergeCells>
  <phoneticPr fontId="15" type="noConversion"/>
  <pageMargins left="0.79" right="0" top="0.5" bottom="0.5"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32"/>
  <sheetViews>
    <sheetView workbookViewId="0">
      <pane ySplit="4" topLeftCell="A5" activePane="bottomLeft" state="frozen"/>
      <selection activeCell="G26" sqref="G26"/>
      <selection pane="bottomLeft" activeCell="H39" sqref="H39"/>
    </sheetView>
  </sheetViews>
  <sheetFormatPr defaultRowHeight="15"/>
  <cols>
    <col min="1" max="1" width="38" style="2" customWidth="1"/>
    <col min="2" max="2" width="15.7109375" style="2" bestFit="1" customWidth="1"/>
    <col min="3" max="7" width="10.85546875" style="2" customWidth="1"/>
    <col min="8" max="8" width="14.5703125" style="2" customWidth="1"/>
    <col min="9" max="9" width="11.140625" style="2" hidden="1" customWidth="1"/>
    <col min="10" max="11" width="11.42578125" style="2" hidden="1" customWidth="1"/>
    <col min="12" max="12" width="10.7109375" style="2" hidden="1" customWidth="1"/>
    <col min="13" max="16384" width="9.140625" style="2"/>
  </cols>
  <sheetData>
    <row r="1" spans="1:12">
      <c r="A1" s="1" t="s">
        <v>0</v>
      </c>
      <c r="B1" s="3"/>
    </row>
    <row r="2" spans="1:12">
      <c r="A2" s="1" t="str">
        <f>Comparison!A2</f>
        <v>2016 Budget - 40990 Corporate</v>
      </c>
    </row>
    <row r="3" spans="1:12">
      <c r="A3" s="1" t="s">
        <v>68</v>
      </c>
      <c r="C3" s="1"/>
    </row>
    <row r="4" spans="1:12">
      <c r="A4" s="1" t="s">
        <v>57</v>
      </c>
      <c r="D4" s="13"/>
    </row>
    <row r="5" spans="1:12" s="11" customFormat="1">
      <c r="A5" s="540"/>
      <c r="B5" s="540"/>
      <c r="C5" s="540"/>
      <c r="D5" s="540"/>
      <c r="E5" s="540"/>
      <c r="F5" s="540"/>
      <c r="G5" s="540"/>
    </row>
    <row r="6" spans="1:12" s="11" customFormat="1">
      <c r="A6" s="6" t="s">
        <v>55</v>
      </c>
      <c r="C6" s="15"/>
      <c r="D6" s="15"/>
      <c r="E6" s="15"/>
      <c r="F6" s="15"/>
      <c r="G6" s="15"/>
    </row>
    <row r="7" spans="1:12" s="11" customFormat="1">
      <c r="B7" s="14"/>
      <c r="C7" s="14">
        <v>2016</v>
      </c>
      <c r="D7" s="14">
        <f>C7+1</f>
        <v>2017</v>
      </c>
      <c r="E7" s="14">
        <f>D7+1</f>
        <v>2018</v>
      </c>
      <c r="F7" s="14">
        <f>E7+1</f>
        <v>2019</v>
      </c>
      <c r="G7" s="14">
        <f>F7+1</f>
        <v>2020</v>
      </c>
      <c r="I7" s="2"/>
      <c r="J7" s="2" t="s">
        <v>203</v>
      </c>
      <c r="K7" s="2" t="s">
        <v>204</v>
      </c>
      <c r="L7" s="2" t="s">
        <v>188</v>
      </c>
    </row>
    <row r="8" spans="1:12" s="11" customFormat="1">
      <c r="I8" s="6" t="s">
        <v>23</v>
      </c>
      <c r="J8" s="44">
        <v>-25204.11</v>
      </c>
      <c r="K8" s="44">
        <v>-27012</v>
      </c>
      <c r="L8" s="44">
        <f>J8-K8</f>
        <v>1807.8899999999994</v>
      </c>
    </row>
    <row r="9" spans="1:12" s="11" customFormat="1">
      <c r="A9" s="6" t="s">
        <v>18</v>
      </c>
      <c r="B9" s="15" t="s">
        <v>43</v>
      </c>
      <c r="C9" s="143"/>
      <c r="D9" s="143">
        <v>0.03</v>
      </c>
      <c r="E9" s="143">
        <v>0.03</v>
      </c>
      <c r="F9" s="143">
        <v>0.03</v>
      </c>
      <c r="G9" s="143">
        <v>0.03</v>
      </c>
      <c r="H9" s="22"/>
      <c r="I9" s="6" t="s">
        <v>24</v>
      </c>
      <c r="J9" s="44">
        <v>-25204.11</v>
      </c>
      <c r="K9" s="44">
        <v>-27012</v>
      </c>
      <c r="L9" s="44">
        <f t="shared" ref="L9:L19" si="0">J9-K9</f>
        <v>1807.8899999999994</v>
      </c>
    </row>
    <row r="10" spans="1:12" s="11" customFormat="1">
      <c r="A10" s="11" t="s">
        <v>72</v>
      </c>
      <c r="B10" s="17"/>
      <c r="C10" s="139">
        <v>-381608</v>
      </c>
      <c r="D10" s="139">
        <v>-393056</v>
      </c>
      <c r="E10" s="139">
        <v>-404848</v>
      </c>
      <c r="F10" s="139">
        <v>-416993</v>
      </c>
      <c r="G10" s="139">
        <v>-429503</v>
      </c>
      <c r="I10" s="6" t="s">
        <v>25</v>
      </c>
      <c r="J10" s="44">
        <v>-26021.67</v>
      </c>
      <c r="K10" s="44">
        <v>-27012</v>
      </c>
      <c r="L10" s="44">
        <f t="shared" si="0"/>
        <v>990.33000000000175</v>
      </c>
    </row>
    <row r="11" spans="1:12" s="11" customFormat="1">
      <c r="I11" s="6" t="s">
        <v>26</v>
      </c>
      <c r="J11" s="44">
        <v>-26021.67</v>
      </c>
      <c r="K11" s="44">
        <v>-27012</v>
      </c>
      <c r="L11" s="44">
        <f t="shared" si="0"/>
        <v>990.33000000000175</v>
      </c>
    </row>
    <row r="12" spans="1:12" s="11" customFormat="1">
      <c r="I12" s="6" t="s">
        <v>27</v>
      </c>
      <c r="J12" s="44">
        <v>-26021.67</v>
      </c>
      <c r="K12" s="44">
        <v>-27012</v>
      </c>
      <c r="L12" s="44">
        <f t="shared" si="0"/>
        <v>990.33000000000175</v>
      </c>
    </row>
    <row r="13" spans="1:12" s="11" customFormat="1">
      <c r="A13" s="6" t="s">
        <v>19</v>
      </c>
      <c r="B13" s="15" t="s">
        <v>45</v>
      </c>
      <c r="C13" s="143"/>
      <c r="D13" s="143">
        <v>3.6999999999999998E-2</v>
      </c>
      <c r="E13" s="143">
        <v>3.5999999999999997E-2</v>
      </c>
      <c r="F13" s="143">
        <v>3.1E-2</v>
      </c>
      <c r="G13" s="143">
        <v>2.8000000000000001E-2</v>
      </c>
      <c r="H13" s="22"/>
      <c r="I13" s="6" t="s">
        <v>28</v>
      </c>
      <c r="J13" s="44">
        <v>-26021.67</v>
      </c>
      <c r="K13" s="44">
        <v>-27012</v>
      </c>
      <c r="L13" s="44">
        <f t="shared" si="0"/>
        <v>990.33000000000175</v>
      </c>
    </row>
    <row r="14" spans="1:12" s="11" customFormat="1">
      <c r="A14" s="11" t="s">
        <v>44</v>
      </c>
      <c r="B14" s="84"/>
      <c r="C14" s="139">
        <v>-3570</v>
      </c>
      <c r="D14" s="139">
        <v>-3702</v>
      </c>
      <c r="E14" s="139">
        <v>-3835</v>
      </c>
      <c r="F14" s="139">
        <v>-3954</v>
      </c>
      <c r="G14" s="139">
        <v>-4065</v>
      </c>
      <c r="I14" s="6" t="s">
        <v>29</v>
      </c>
      <c r="J14" s="142">
        <v>-26021.67</v>
      </c>
      <c r="K14" s="44">
        <v>-27012</v>
      </c>
      <c r="L14" s="44">
        <f t="shared" si="0"/>
        <v>990.33000000000175</v>
      </c>
    </row>
    <row r="15" spans="1:12" s="11" customFormat="1">
      <c r="I15" s="6" t="s">
        <v>30</v>
      </c>
      <c r="J15" s="44">
        <v>0</v>
      </c>
      <c r="K15" s="44">
        <v>-27012</v>
      </c>
      <c r="L15" s="44">
        <f t="shared" si="0"/>
        <v>27012</v>
      </c>
    </row>
    <row r="16" spans="1:12" s="11" customFormat="1">
      <c r="F16" s="17"/>
      <c r="I16" s="6" t="s">
        <v>31</v>
      </c>
      <c r="J16" s="44">
        <v>0</v>
      </c>
      <c r="K16" s="44">
        <v>-27012</v>
      </c>
      <c r="L16" s="44">
        <f t="shared" si="0"/>
        <v>27012</v>
      </c>
    </row>
    <row r="17" spans="1:12" s="11" customFormat="1" ht="15.75" thickBot="1">
      <c r="A17" s="18"/>
      <c r="B17" s="19" t="s">
        <v>20</v>
      </c>
      <c r="C17" s="20">
        <f>(C10+C14)</f>
        <v>-385178</v>
      </c>
      <c r="D17" s="20">
        <f t="shared" ref="D17:G17" si="1">(D10+D14)</f>
        <v>-396758</v>
      </c>
      <c r="E17" s="20">
        <f t="shared" si="1"/>
        <v>-408683</v>
      </c>
      <c r="F17" s="20">
        <f t="shared" si="1"/>
        <v>-420947</v>
      </c>
      <c r="G17" s="20">
        <f t="shared" si="1"/>
        <v>-433568</v>
      </c>
      <c r="I17" s="9" t="s">
        <v>32</v>
      </c>
      <c r="J17" s="44">
        <v>0</v>
      </c>
      <c r="K17" s="44">
        <v>-27012</v>
      </c>
      <c r="L17" s="44">
        <f t="shared" si="0"/>
        <v>27012</v>
      </c>
    </row>
    <row r="18" spans="1:12" s="11" customFormat="1" ht="15.75" thickTop="1">
      <c r="B18" s="21"/>
      <c r="I18" s="6" t="s">
        <v>33</v>
      </c>
      <c r="J18" s="44">
        <v>0</v>
      </c>
      <c r="K18" s="44">
        <v>-27012</v>
      </c>
      <c r="L18" s="44">
        <f t="shared" si="0"/>
        <v>27012</v>
      </c>
    </row>
    <row r="19" spans="1:12" s="11" customFormat="1" ht="15.75" thickBot="1">
      <c r="B19" s="21" t="s">
        <v>21</v>
      </c>
      <c r="C19" s="10">
        <f>C17/12</f>
        <v>-32098.166666666668</v>
      </c>
      <c r="D19" s="10">
        <f>D17/12</f>
        <v>-33063.166666666664</v>
      </c>
      <c r="E19" s="10">
        <f>E17/12</f>
        <v>-34056.916666666664</v>
      </c>
      <c r="F19" s="10">
        <f>F17/12</f>
        <v>-35078.916666666664</v>
      </c>
      <c r="G19" s="10">
        <f>G17/12</f>
        <v>-36130.666666666664</v>
      </c>
      <c r="I19" s="6" t="s">
        <v>22</v>
      </c>
      <c r="J19" s="44">
        <v>0</v>
      </c>
      <c r="K19" s="44">
        <v>-27021</v>
      </c>
      <c r="L19" s="44">
        <f t="shared" si="0"/>
        <v>27021</v>
      </c>
    </row>
    <row r="20" spans="1:12" s="11" customFormat="1" ht="15.75" thickTop="1">
      <c r="I20" s="6" t="s">
        <v>20</v>
      </c>
      <c r="J20" s="49">
        <f>SUM(J8:J19)</f>
        <v>-180516.57</v>
      </c>
      <c r="K20" s="49">
        <f>SUM(K8:K19)</f>
        <v>-324153</v>
      </c>
      <c r="L20" s="49">
        <f>SUM(L8:L19)</f>
        <v>143636.43</v>
      </c>
    </row>
    <row r="21" spans="1:12" s="11" customFormat="1">
      <c r="I21" s="2" t="s">
        <v>55</v>
      </c>
      <c r="J21" s="2"/>
      <c r="K21" s="2"/>
      <c r="L21" s="2"/>
    </row>
    <row r="22" spans="1:12" s="11" customFormat="1">
      <c r="A22" s="4" t="s">
        <v>533</v>
      </c>
      <c r="I22" s="2" t="s">
        <v>55</v>
      </c>
      <c r="J22" s="2"/>
      <c r="K22" s="2"/>
      <c r="L22" s="2"/>
    </row>
    <row r="23" spans="1:12" s="11" customFormat="1">
      <c r="A23" s="4" t="s">
        <v>849</v>
      </c>
      <c r="I23" s="2" t="s">
        <v>189</v>
      </c>
      <c r="J23" s="2"/>
      <c r="K23" s="2" t="s">
        <v>190</v>
      </c>
      <c r="L23" s="2"/>
    </row>
    <row r="24" spans="1:12" s="11" customFormat="1">
      <c r="A24" s="4" t="s">
        <v>850</v>
      </c>
      <c r="I24" s="2" t="s">
        <v>191</v>
      </c>
      <c r="J24" s="2"/>
      <c r="K24" s="2" t="s">
        <v>192</v>
      </c>
      <c r="L24" s="2"/>
    </row>
    <row r="25" spans="1:12" s="11" customFormat="1">
      <c r="I25" s="2" t="s">
        <v>194</v>
      </c>
      <c r="J25" s="2"/>
      <c r="K25" s="2" t="s">
        <v>195</v>
      </c>
      <c r="L25" s="2" t="s">
        <v>196</v>
      </c>
    </row>
    <row r="26" spans="1:12" s="11" customFormat="1">
      <c r="I26" s="2" t="s">
        <v>197</v>
      </c>
      <c r="J26" s="2"/>
      <c r="K26" s="2" t="s">
        <v>198</v>
      </c>
      <c r="L26" s="2"/>
    </row>
    <row r="27" spans="1:12">
      <c r="A27" s="4" t="s">
        <v>172</v>
      </c>
      <c r="I27" s="2" t="s">
        <v>201</v>
      </c>
      <c r="K27" s="2" t="s">
        <v>202</v>
      </c>
    </row>
    <row r="28" spans="1:12">
      <c r="A28" s="11" t="s">
        <v>176</v>
      </c>
    </row>
    <row r="29" spans="1:12">
      <c r="A29" s="11" t="s">
        <v>71</v>
      </c>
    </row>
    <row r="30" spans="1:12">
      <c r="A30" s="11" t="s">
        <v>98</v>
      </c>
      <c r="B30" s="11"/>
    </row>
    <row r="31" spans="1:12">
      <c r="A31" s="2" t="s">
        <v>177</v>
      </c>
      <c r="B31" s="11"/>
    </row>
    <row r="32" spans="1:12">
      <c r="B32" s="11"/>
    </row>
  </sheetData>
  <mergeCells count="1">
    <mergeCell ref="A5:G5"/>
  </mergeCells>
  <phoneticPr fontId="15" type="noConversion"/>
  <pageMargins left="0.75" right="0" top="0.5" bottom="0.5" header="0.5" footer="0.5"/>
  <pageSetup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26"/>
  <sheetViews>
    <sheetView workbookViewId="0">
      <selection activeCell="A16" sqref="A16"/>
    </sheetView>
  </sheetViews>
  <sheetFormatPr defaultRowHeight="15"/>
  <cols>
    <col min="1" max="1" width="19.7109375" style="2" customWidth="1"/>
    <col min="2" max="6" width="11.7109375" style="2" customWidth="1"/>
    <col min="7" max="7" width="10.7109375" style="2" customWidth="1"/>
    <col min="8" max="8" width="11" style="2" hidden="1" customWidth="1"/>
    <col min="9" max="10" width="12.140625" style="44" hidden="1" customWidth="1"/>
    <col min="11" max="11" width="11" style="44" hidden="1" customWidth="1"/>
    <col min="12" max="16384" width="9.140625" style="2"/>
  </cols>
  <sheetData>
    <row r="1" spans="1:11">
      <c r="A1" s="1" t="s">
        <v>0</v>
      </c>
    </row>
    <row r="2" spans="1:11">
      <c r="A2" s="1" t="str">
        <f>Comparison!A2</f>
        <v>2016 Budget - 40990 Corporate</v>
      </c>
    </row>
    <row r="3" spans="1:11">
      <c r="A3" s="1" t="s">
        <v>129</v>
      </c>
      <c r="B3" s="1"/>
    </row>
    <row r="4" spans="1:11">
      <c r="A4" s="1" t="s">
        <v>80</v>
      </c>
      <c r="C4" s="13"/>
    </row>
    <row r="5" spans="1:11" s="11" customFormat="1">
      <c r="A5" s="108"/>
      <c r="B5" s="108"/>
      <c r="C5" s="108"/>
      <c r="D5" s="108"/>
      <c r="E5" s="108"/>
      <c r="F5" s="108"/>
      <c r="H5" s="2"/>
      <c r="I5" s="44" t="s">
        <v>203</v>
      </c>
      <c r="J5" s="44" t="s">
        <v>204</v>
      </c>
      <c r="K5" s="44" t="s">
        <v>188</v>
      </c>
    </row>
    <row r="6" spans="1:11" s="11" customFormat="1">
      <c r="A6" s="6" t="s">
        <v>55</v>
      </c>
      <c r="H6" s="6" t="s">
        <v>23</v>
      </c>
      <c r="I6" s="44">
        <v>291667</v>
      </c>
      <c r="J6" s="44">
        <v>291667</v>
      </c>
      <c r="K6" s="44">
        <f>I6-J6</f>
        <v>0</v>
      </c>
    </row>
    <row r="7" spans="1:11" s="11" customFormat="1">
      <c r="B7" s="14">
        <v>2016</v>
      </c>
      <c r="C7" s="14">
        <f>B7+1</f>
        <v>2017</v>
      </c>
      <c r="D7" s="14">
        <f>C7+1</f>
        <v>2018</v>
      </c>
      <c r="E7" s="14">
        <f>D7+1</f>
        <v>2019</v>
      </c>
      <c r="F7" s="14">
        <f>E7+1</f>
        <v>2020</v>
      </c>
      <c r="H7" s="6" t="s">
        <v>24</v>
      </c>
      <c r="I7" s="44">
        <v>291667</v>
      </c>
      <c r="J7" s="44">
        <v>291667</v>
      </c>
      <c r="K7" s="142">
        <f t="shared" ref="K7:K17" si="0">I7-J7</f>
        <v>0</v>
      </c>
    </row>
    <row r="8" spans="1:11" s="11" customFormat="1">
      <c r="A8" s="4"/>
      <c r="E8" s="17"/>
      <c r="H8" s="6" t="s">
        <v>25</v>
      </c>
      <c r="I8" s="44">
        <v>291667</v>
      </c>
      <c r="J8" s="44">
        <v>291667</v>
      </c>
      <c r="K8" s="142">
        <f t="shared" si="0"/>
        <v>0</v>
      </c>
    </row>
    <row r="9" spans="1:11" s="11" customFormat="1">
      <c r="A9" s="50" t="s">
        <v>128</v>
      </c>
      <c r="B9" s="51">
        <v>3500000</v>
      </c>
      <c r="C9" s="51">
        <v>3500000</v>
      </c>
      <c r="D9" s="51">
        <v>3500000</v>
      </c>
      <c r="E9" s="51">
        <v>3500000</v>
      </c>
      <c r="F9" s="51">
        <v>3500000</v>
      </c>
      <c r="H9" s="6" t="s">
        <v>26</v>
      </c>
      <c r="I9" s="44">
        <v>291667</v>
      </c>
      <c r="J9" s="44">
        <v>291667</v>
      </c>
      <c r="K9" s="142">
        <f t="shared" si="0"/>
        <v>0</v>
      </c>
    </row>
    <row r="10" spans="1:11" s="11" customFormat="1">
      <c r="A10" s="50"/>
      <c r="B10" s="127"/>
      <c r="C10" s="127"/>
      <c r="D10" s="127"/>
      <c r="E10" s="127"/>
      <c r="F10" s="127"/>
      <c r="H10" s="6" t="s">
        <v>27</v>
      </c>
      <c r="I10" s="44">
        <v>291667</v>
      </c>
      <c r="J10" s="44">
        <v>291667</v>
      </c>
      <c r="K10" s="142">
        <f t="shared" si="0"/>
        <v>0</v>
      </c>
    </row>
    <row r="11" spans="1:11" s="11" customFormat="1">
      <c r="A11" s="50" t="s">
        <v>21</v>
      </c>
      <c r="B11" s="35">
        <f>B9/12</f>
        <v>291666.66666666669</v>
      </c>
      <c r="C11" s="35">
        <f>C9/12</f>
        <v>291666.66666666669</v>
      </c>
      <c r="D11" s="35">
        <f>D9/12</f>
        <v>291666.66666666669</v>
      </c>
      <c r="E11" s="35">
        <f>E9/12</f>
        <v>291666.66666666669</v>
      </c>
      <c r="F11" s="35">
        <f>F9/12</f>
        <v>291666.66666666669</v>
      </c>
      <c r="H11" s="6" t="s">
        <v>28</v>
      </c>
      <c r="I11" s="44">
        <v>291667</v>
      </c>
      <c r="J11" s="44">
        <v>291667</v>
      </c>
      <c r="K11" s="142">
        <f t="shared" si="0"/>
        <v>0</v>
      </c>
    </row>
    <row r="12" spans="1:11" s="11" customFormat="1">
      <c r="H12" s="6" t="s">
        <v>29</v>
      </c>
      <c r="I12" s="142">
        <v>291667</v>
      </c>
      <c r="J12" s="44">
        <v>291667</v>
      </c>
      <c r="K12" s="142">
        <f t="shared" si="0"/>
        <v>0</v>
      </c>
    </row>
    <row r="13" spans="1:11" s="11" customFormat="1">
      <c r="H13" s="6" t="s">
        <v>30</v>
      </c>
      <c r="I13" s="44">
        <v>0</v>
      </c>
      <c r="J13" s="44">
        <v>291667</v>
      </c>
      <c r="K13" s="142">
        <f t="shared" si="0"/>
        <v>-291667</v>
      </c>
    </row>
    <row r="14" spans="1:11" s="11" customFormat="1">
      <c r="A14" s="4" t="s">
        <v>512</v>
      </c>
      <c r="H14" s="6" t="s">
        <v>31</v>
      </c>
      <c r="I14" s="44">
        <v>0</v>
      </c>
      <c r="J14" s="44">
        <v>291667</v>
      </c>
      <c r="K14" s="142">
        <f t="shared" si="0"/>
        <v>-291667</v>
      </c>
    </row>
    <row r="15" spans="1:11" s="11" customFormat="1">
      <c r="A15" s="4" t="s">
        <v>763</v>
      </c>
      <c r="H15" s="9" t="s">
        <v>32</v>
      </c>
      <c r="I15" s="44">
        <v>0</v>
      </c>
      <c r="J15" s="44">
        <v>291667</v>
      </c>
      <c r="K15" s="142">
        <f t="shared" si="0"/>
        <v>-291667</v>
      </c>
    </row>
    <row r="16" spans="1:11" s="11" customFormat="1">
      <c r="A16" s="4" t="s">
        <v>826</v>
      </c>
      <c r="H16" s="6" t="s">
        <v>33</v>
      </c>
      <c r="I16" s="44">
        <v>0</v>
      </c>
      <c r="J16" s="44">
        <v>291667</v>
      </c>
      <c r="K16" s="142">
        <f t="shared" si="0"/>
        <v>-291667</v>
      </c>
    </row>
    <row r="17" spans="1:11" s="11" customFormat="1">
      <c r="H17" s="6" t="s">
        <v>22</v>
      </c>
      <c r="I17" s="44">
        <v>0</v>
      </c>
      <c r="J17" s="44">
        <v>291663</v>
      </c>
      <c r="K17" s="142">
        <f t="shared" si="0"/>
        <v>-291663</v>
      </c>
    </row>
    <row r="18" spans="1:11" s="11" customFormat="1">
      <c r="A18" s="2"/>
      <c r="H18" s="6"/>
      <c r="I18" s="142"/>
      <c r="J18" s="142"/>
      <c r="K18" s="142"/>
    </row>
    <row r="19" spans="1:11" s="11" customFormat="1">
      <c r="A19" s="22"/>
      <c r="H19" s="6" t="s">
        <v>20</v>
      </c>
      <c r="I19" s="49">
        <f>SUM(I6:I17)</f>
        <v>2041669</v>
      </c>
      <c r="J19" s="49">
        <f>SUM(J6:J17)</f>
        <v>3500000</v>
      </c>
      <c r="K19" s="49">
        <f>SUM(K6:K17)</f>
        <v>-1458331</v>
      </c>
    </row>
    <row r="20" spans="1:11" s="11" customFormat="1">
      <c r="H20" s="2" t="s">
        <v>55</v>
      </c>
      <c r="I20" s="44"/>
      <c r="J20" s="44"/>
      <c r="K20" s="44"/>
    </row>
    <row r="21" spans="1:11" s="11" customFormat="1">
      <c r="H21" s="2" t="s">
        <v>55</v>
      </c>
      <c r="I21" s="44"/>
      <c r="J21" s="44"/>
      <c r="K21" s="44"/>
    </row>
    <row r="22" spans="1:11">
      <c r="H22" s="2" t="s">
        <v>189</v>
      </c>
      <c r="J22" s="44" t="s">
        <v>190</v>
      </c>
    </row>
    <row r="23" spans="1:11">
      <c r="H23" s="2" t="s">
        <v>191</v>
      </c>
      <c r="J23" s="44" t="s">
        <v>192</v>
      </c>
    </row>
    <row r="24" spans="1:11">
      <c r="H24" s="2" t="s">
        <v>194</v>
      </c>
      <c r="J24" s="44" t="s">
        <v>195</v>
      </c>
      <c r="K24" s="44" t="s">
        <v>196</v>
      </c>
    </row>
    <row r="25" spans="1:11">
      <c r="H25" s="2" t="s">
        <v>197</v>
      </c>
      <c r="J25" s="44" t="s">
        <v>198</v>
      </c>
    </row>
    <row r="26" spans="1:11">
      <c r="H26" s="2" t="s">
        <v>201</v>
      </c>
      <c r="J26" s="44" t="s">
        <v>205</v>
      </c>
    </row>
  </sheetData>
  <pageMargins left="0.75" right="0" top="0.5" bottom="0.5"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30"/>
  <sheetViews>
    <sheetView workbookViewId="0">
      <selection activeCell="A16" sqref="A16"/>
    </sheetView>
  </sheetViews>
  <sheetFormatPr defaultRowHeight="15"/>
  <cols>
    <col min="1" max="1" width="23.5703125" style="2" customWidth="1"/>
    <col min="2" max="6" width="11.7109375" style="2" customWidth="1"/>
    <col min="7" max="9" width="9.140625" style="2"/>
    <col min="10" max="10" width="11.5703125" style="2" hidden="1" customWidth="1"/>
    <col min="11" max="12" width="12" style="44" hidden="1" customWidth="1"/>
    <col min="13" max="13" width="10.7109375" style="2" hidden="1" customWidth="1"/>
    <col min="14" max="16384" width="9.140625" style="2"/>
  </cols>
  <sheetData>
    <row r="1" spans="1:13">
      <c r="A1" s="1" t="s">
        <v>0</v>
      </c>
    </row>
    <row r="2" spans="1:13">
      <c r="A2" s="1" t="str">
        <f>Comparison!A2</f>
        <v>2016 Budget - 40990 Corporate</v>
      </c>
    </row>
    <row r="3" spans="1:13">
      <c r="A3" s="1" t="s">
        <v>127</v>
      </c>
      <c r="B3" s="1"/>
    </row>
    <row r="4" spans="1:13">
      <c r="A4" s="1" t="s">
        <v>81</v>
      </c>
      <c r="C4" s="13"/>
    </row>
    <row r="5" spans="1:13" s="11" customFormat="1">
      <c r="A5" s="108"/>
      <c r="B5" s="108"/>
      <c r="C5" s="108"/>
      <c r="D5" s="108"/>
      <c r="E5" s="108"/>
      <c r="F5" s="108"/>
      <c r="K5" s="7"/>
      <c r="L5" s="7"/>
    </row>
    <row r="6" spans="1:13" s="11" customFormat="1">
      <c r="A6" s="6" t="s">
        <v>55</v>
      </c>
      <c r="J6" s="2"/>
      <c r="K6" s="129" t="s">
        <v>203</v>
      </c>
      <c r="L6" s="129" t="s">
        <v>204</v>
      </c>
      <c r="M6" s="129" t="s">
        <v>188</v>
      </c>
    </row>
    <row r="7" spans="1:13" s="11" customFormat="1">
      <c r="B7" s="14">
        <v>2016</v>
      </c>
      <c r="C7" s="14">
        <f>B7+1</f>
        <v>2017</v>
      </c>
      <c r="D7" s="14">
        <f>C7+1</f>
        <v>2018</v>
      </c>
      <c r="E7" s="14">
        <f>D7+1</f>
        <v>2019</v>
      </c>
      <c r="F7" s="14">
        <f>E7+1</f>
        <v>2020</v>
      </c>
      <c r="J7" s="6" t="s">
        <v>23</v>
      </c>
      <c r="K7" s="44">
        <v>133333.32999999999</v>
      </c>
      <c r="L7" s="44">
        <v>133333</v>
      </c>
      <c r="M7" s="48">
        <f>K7-L7</f>
        <v>0.32999999998719431</v>
      </c>
    </row>
    <row r="8" spans="1:13" s="11" customFormat="1">
      <c r="A8" s="4" t="s">
        <v>126</v>
      </c>
      <c r="E8" s="17"/>
      <c r="J8" s="6" t="s">
        <v>24</v>
      </c>
      <c r="K8" s="44">
        <v>133333.32999999999</v>
      </c>
      <c r="L8" s="44">
        <v>133333</v>
      </c>
      <c r="M8" s="48">
        <f t="shared" ref="M8:M19" si="0">K8-L8</f>
        <v>0.32999999998719431</v>
      </c>
    </row>
    <row r="9" spans="1:13" s="11" customFormat="1">
      <c r="A9" s="50" t="s">
        <v>128</v>
      </c>
      <c r="B9" s="51">
        <v>1600000</v>
      </c>
      <c r="C9" s="51">
        <v>1600000</v>
      </c>
      <c r="D9" s="51">
        <v>1600000</v>
      </c>
      <c r="E9" s="51">
        <v>1600000</v>
      </c>
      <c r="F9" s="51">
        <v>1600000</v>
      </c>
      <c r="J9" s="6" t="s">
        <v>25</v>
      </c>
      <c r="K9" s="44">
        <v>133333.32999999999</v>
      </c>
      <c r="L9" s="44">
        <v>133333</v>
      </c>
      <c r="M9" s="48">
        <f t="shared" si="0"/>
        <v>0.32999999998719431</v>
      </c>
    </row>
    <row r="10" spans="1:13" s="11" customFormat="1">
      <c r="A10" s="50"/>
      <c r="B10" s="33"/>
      <c r="C10" s="33"/>
      <c r="D10" s="33"/>
      <c r="E10" s="33"/>
      <c r="F10" s="33"/>
      <c r="J10" s="6" t="s">
        <v>26</v>
      </c>
      <c r="K10" s="44">
        <v>133333.32999999999</v>
      </c>
      <c r="L10" s="44">
        <v>133333</v>
      </c>
      <c r="M10" s="48">
        <f t="shared" si="0"/>
        <v>0.32999999998719431</v>
      </c>
    </row>
    <row r="11" spans="1:13" s="11" customFormat="1">
      <c r="A11" s="50" t="s">
        <v>21</v>
      </c>
      <c r="B11" s="35">
        <f>B9/12</f>
        <v>133333.33333333334</v>
      </c>
      <c r="C11" s="35">
        <f>C9/12</f>
        <v>133333.33333333334</v>
      </c>
      <c r="D11" s="35">
        <f>D9/12</f>
        <v>133333.33333333334</v>
      </c>
      <c r="E11" s="35">
        <f>E9/12</f>
        <v>133333.33333333334</v>
      </c>
      <c r="F11" s="35">
        <f>F9/12</f>
        <v>133333.33333333334</v>
      </c>
      <c r="J11" s="6" t="s">
        <v>27</v>
      </c>
      <c r="K11" s="44">
        <v>133333.32999999999</v>
      </c>
      <c r="L11" s="44">
        <v>133333</v>
      </c>
      <c r="M11" s="48">
        <f t="shared" si="0"/>
        <v>0.32999999998719431</v>
      </c>
    </row>
    <row r="12" spans="1:13" s="11" customFormat="1">
      <c r="J12" s="6" t="s">
        <v>28</v>
      </c>
      <c r="K12" s="44">
        <v>133333.32999999999</v>
      </c>
      <c r="L12" s="44">
        <v>133333</v>
      </c>
      <c r="M12" s="48">
        <f t="shared" si="0"/>
        <v>0.32999999998719431</v>
      </c>
    </row>
    <row r="13" spans="1:13" s="11" customFormat="1">
      <c r="J13" s="6" t="s">
        <v>29</v>
      </c>
      <c r="K13" s="44">
        <v>0</v>
      </c>
      <c r="L13" s="44">
        <v>133333</v>
      </c>
      <c r="M13" s="48">
        <f t="shared" si="0"/>
        <v>-133333</v>
      </c>
    </row>
    <row r="14" spans="1:13" s="11" customFormat="1">
      <c r="A14" s="4" t="s">
        <v>512</v>
      </c>
      <c r="J14" s="6" t="s">
        <v>30</v>
      </c>
      <c r="K14" s="44">
        <v>0</v>
      </c>
      <c r="L14" s="44">
        <v>133333</v>
      </c>
      <c r="M14" s="48">
        <f t="shared" si="0"/>
        <v>-133333</v>
      </c>
    </row>
    <row r="15" spans="1:13" s="11" customFormat="1">
      <c r="A15" s="4" t="s">
        <v>763</v>
      </c>
      <c r="J15" s="6" t="s">
        <v>31</v>
      </c>
      <c r="K15" s="44">
        <v>0</v>
      </c>
      <c r="L15" s="44">
        <v>133333</v>
      </c>
      <c r="M15" s="48">
        <f t="shared" si="0"/>
        <v>-133333</v>
      </c>
    </row>
    <row r="16" spans="1:13" s="11" customFormat="1">
      <c r="A16" s="4" t="s">
        <v>826</v>
      </c>
      <c r="J16" s="9" t="s">
        <v>32</v>
      </c>
      <c r="K16" s="44">
        <v>0</v>
      </c>
      <c r="L16" s="44">
        <v>133333</v>
      </c>
      <c r="M16" s="48">
        <f t="shared" si="0"/>
        <v>-133333</v>
      </c>
    </row>
    <row r="17" spans="1:13" s="11" customFormat="1">
      <c r="J17" s="6" t="s">
        <v>33</v>
      </c>
      <c r="K17" s="44">
        <v>0</v>
      </c>
      <c r="L17" s="44">
        <v>133333</v>
      </c>
      <c r="M17" s="48">
        <f t="shared" si="0"/>
        <v>-133333</v>
      </c>
    </row>
    <row r="18" spans="1:13" s="11" customFormat="1">
      <c r="A18" s="52"/>
      <c r="J18" s="6" t="s">
        <v>22</v>
      </c>
      <c r="K18" s="44">
        <v>0</v>
      </c>
      <c r="L18" s="44">
        <v>133337</v>
      </c>
      <c r="M18" s="48">
        <f t="shared" si="0"/>
        <v>-133337</v>
      </c>
    </row>
    <row r="19" spans="1:13" s="11" customFormat="1">
      <c r="J19" s="6" t="s">
        <v>20</v>
      </c>
      <c r="K19" s="49">
        <v>799999.98</v>
      </c>
      <c r="L19" s="49">
        <v>1600000</v>
      </c>
      <c r="M19" s="130">
        <f t="shared" si="0"/>
        <v>-800000.02</v>
      </c>
    </row>
    <row r="20" spans="1:13" s="11" customFormat="1">
      <c r="J20" s="2" t="s">
        <v>55</v>
      </c>
      <c r="K20" s="44"/>
      <c r="L20" s="44"/>
    </row>
    <row r="21" spans="1:13">
      <c r="J21" s="2" t="s">
        <v>55</v>
      </c>
    </row>
    <row r="22" spans="1:13">
      <c r="J22" s="2" t="s">
        <v>189</v>
      </c>
      <c r="L22" s="44" t="s">
        <v>190</v>
      </c>
    </row>
    <row r="23" spans="1:13">
      <c r="J23" s="2" t="s">
        <v>191</v>
      </c>
      <c r="L23" s="44" t="s">
        <v>192</v>
      </c>
    </row>
    <row r="24" spans="1:13">
      <c r="J24" s="2" t="s">
        <v>193</v>
      </c>
      <c r="L24" s="44" t="s">
        <v>55</v>
      </c>
    </row>
    <row r="25" spans="1:13">
      <c r="J25" s="2" t="s">
        <v>194</v>
      </c>
      <c r="L25" s="44" t="s">
        <v>195</v>
      </c>
    </row>
    <row r="26" spans="1:13">
      <c r="J26" s="2" t="s">
        <v>55</v>
      </c>
    </row>
    <row r="27" spans="1:13">
      <c r="J27" s="2" t="s">
        <v>197</v>
      </c>
      <c r="L27" s="44" t="s">
        <v>198</v>
      </c>
    </row>
    <row r="28" spans="1:13">
      <c r="J28" s="2" t="s">
        <v>199</v>
      </c>
    </row>
    <row r="29" spans="1:13">
      <c r="J29" s="2" t="s">
        <v>200</v>
      </c>
    </row>
    <row r="30" spans="1:13">
      <c r="J30" s="2" t="s">
        <v>201</v>
      </c>
      <c r="L30" s="44" t="s">
        <v>206</v>
      </c>
    </row>
  </sheetData>
  <pageMargins left="0.75" right="0" top="0.5" bottom="0.5"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B40"/>
  <sheetViews>
    <sheetView zoomScale="90" zoomScaleNormal="90" workbookViewId="0">
      <pane xSplit="2" ySplit="7" topLeftCell="C8" activePane="bottomRight" state="frozen"/>
      <selection activeCell="G26" sqref="G26"/>
      <selection pane="topRight" activeCell="G26" sqref="G26"/>
      <selection pane="bottomLeft" activeCell="G26" sqref="G26"/>
      <selection pane="bottomRight" activeCell="O9" sqref="O9"/>
    </sheetView>
  </sheetViews>
  <sheetFormatPr defaultRowHeight="15"/>
  <cols>
    <col min="1" max="1" width="21.7109375" style="2" customWidth="1"/>
    <col min="2" max="2" width="7.85546875" style="2" bestFit="1" customWidth="1"/>
    <col min="3" max="14" width="10.140625" style="2" customWidth="1"/>
    <col min="15" max="15" width="10.85546875" style="24" customWidth="1"/>
    <col min="16" max="18" width="9.140625" style="2"/>
    <col min="19" max="19" width="11.5703125" style="2" bestFit="1" customWidth="1"/>
    <col min="20" max="20" width="11.85546875" style="2" bestFit="1" customWidth="1"/>
    <col min="21" max="16384" width="9.140625" style="2"/>
  </cols>
  <sheetData>
    <row r="1" spans="1:22">
      <c r="A1" s="1" t="s">
        <v>0</v>
      </c>
    </row>
    <row r="2" spans="1:22">
      <c r="A2" s="1" t="str">
        <f>Comparison!A2</f>
        <v>2016 Budget - 40990 Corporate</v>
      </c>
    </row>
    <row r="3" spans="1:22">
      <c r="A3" s="1" t="s">
        <v>373</v>
      </c>
      <c r="O3" s="55"/>
    </row>
    <row r="4" spans="1:22">
      <c r="A4" s="1" t="s">
        <v>82</v>
      </c>
    </row>
    <row r="5" spans="1:22">
      <c r="A5" s="541"/>
      <c r="B5" s="541"/>
      <c r="C5" s="541"/>
      <c r="D5" s="541"/>
      <c r="E5" s="541"/>
      <c r="F5" s="541"/>
      <c r="G5" s="541"/>
      <c r="H5" s="541"/>
      <c r="I5" s="541"/>
      <c r="J5" s="541"/>
      <c r="K5" s="541"/>
      <c r="L5" s="541"/>
      <c r="M5" s="541"/>
      <c r="N5" s="541"/>
      <c r="O5" s="541"/>
    </row>
    <row r="7" spans="1:22">
      <c r="A7" s="14" t="s">
        <v>107</v>
      </c>
      <c r="B7" s="53" t="s">
        <v>108</v>
      </c>
      <c r="C7" s="53" t="s">
        <v>109</v>
      </c>
      <c r="D7" s="53" t="s">
        <v>110</v>
      </c>
      <c r="E7" s="53" t="s">
        <v>111</v>
      </c>
      <c r="F7" s="53" t="s">
        <v>112</v>
      </c>
      <c r="G7" s="53" t="s">
        <v>27</v>
      </c>
      <c r="H7" s="53" t="s">
        <v>113</v>
      </c>
      <c r="I7" s="53" t="s">
        <v>114</v>
      </c>
      <c r="J7" s="53" t="s">
        <v>115</v>
      </c>
      <c r="K7" s="53" t="s">
        <v>116</v>
      </c>
      <c r="L7" s="53" t="s">
        <v>117</v>
      </c>
      <c r="M7" s="53" t="s">
        <v>118</v>
      </c>
      <c r="N7" s="53" t="s">
        <v>119</v>
      </c>
      <c r="O7" s="53" t="s">
        <v>20</v>
      </c>
    </row>
    <row r="8" spans="1:22">
      <c r="A8" s="54">
        <v>2016</v>
      </c>
      <c r="C8" s="11"/>
      <c r="D8" s="11"/>
      <c r="E8" s="11"/>
      <c r="F8" s="11"/>
      <c r="G8" s="11"/>
      <c r="H8" s="11"/>
      <c r="I8" s="265"/>
      <c r="J8" s="11"/>
      <c r="K8" s="11"/>
      <c r="L8" s="11"/>
      <c r="M8" s="11"/>
      <c r="N8" s="11"/>
      <c r="O8" s="4"/>
    </row>
    <row r="9" spans="1:22">
      <c r="A9" s="2" t="s">
        <v>105</v>
      </c>
      <c r="B9" s="2" t="s">
        <v>106</v>
      </c>
      <c r="C9" s="217">
        <v>322609.21999999997</v>
      </c>
      <c r="D9" s="217">
        <v>322609.21999999997</v>
      </c>
      <c r="E9" s="217">
        <v>322609.21999999997</v>
      </c>
      <c r="F9" s="217">
        <v>322609.21999999997</v>
      </c>
      <c r="G9" s="217">
        <v>322609.21999999997</v>
      </c>
      <c r="H9" s="217">
        <v>322609.21999999997</v>
      </c>
      <c r="I9" s="217">
        <v>326107</v>
      </c>
      <c r="J9" s="217">
        <v>322609.21999999997</v>
      </c>
      <c r="K9" s="217">
        <v>322609.21999999997</v>
      </c>
      <c r="L9" s="217">
        <v>322609.21999999997</v>
      </c>
      <c r="M9" s="217">
        <v>373706.67</v>
      </c>
      <c r="N9" s="217">
        <v>373706.67</v>
      </c>
      <c r="O9" s="218">
        <f>SUM(C9:N9)</f>
        <v>3977003.3199999994</v>
      </c>
      <c r="R9" s="2" t="s">
        <v>714</v>
      </c>
      <c r="S9" s="418">
        <v>4634066</v>
      </c>
      <c r="T9" s="468"/>
    </row>
    <row r="10" spans="1:22">
      <c r="A10" s="2" t="s">
        <v>375</v>
      </c>
      <c r="B10" s="2" t="s">
        <v>376</v>
      </c>
      <c r="C10" s="217">
        <f>+$V10/12</f>
        <v>16000</v>
      </c>
      <c r="D10" s="217">
        <f t="shared" ref="D10:N10" si="0">+$V10/12</f>
        <v>16000</v>
      </c>
      <c r="E10" s="217">
        <f t="shared" si="0"/>
        <v>16000</v>
      </c>
      <c r="F10" s="217">
        <f t="shared" si="0"/>
        <v>16000</v>
      </c>
      <c r="G10" s="217">
        <f t="shared" si="0"/>
        <v>16000</v>
      </c>
      <c r="H10" s="217">
        <f t="shared" si="0"/>
        <v>16000</v>
      </c>
      <c r="I10" s="217">
        <f t="shared" si="0"/>
        <v>16000</v>
      </c>
      <c r="J10" s="217">
        <f t="shared" si="0"/>
        <v>16000</v>
      </c>
      <c r="K10" s="217">
        <f t="shared" si="0"/>
        <v>16000</v>
      </c>
      <c r="L10" s="217">
        <f t="shared" si="0"/>
        <v>16000</v>
      </c>
      <c r="M10" s="217">
        <f t="shared" si="0"/>
        <v>16000</v>
      </c>
      <c r="N10" s="217">
        <f t="shared" si="0"/>
        <v>16000</v>
      </c>
      <c r="O10" s="218">
        <f>SUM(C10:N10)</f>
        <v>192000</v>
      </c>
      <c r="S10" s="418"/>
      <c r="V10" s="433">
        <v>192000</v>
      </c>
    </row>
    <row r="11" spans="1:22">
      <c r="C11" s="69">
        <f>SUM(C9:C10)</f>
        <v>338609.22</v>
      </c>
      <c r="D11" s="69">
        <f t="shared" ref="D11:O11" si="1">SUM(D9:D10)</f>
        <v>338609.22</v>
      </c>
      <c r="E11" s="69">
        <f t="shared" si="1"/>
        <v>338609.22</v>
      </c>
      <c r="F11" s="69">
        <f t="shared" si="1"/>
        <v>338609.22</v>
      </c>
      <c r="G11" s="69">
        <f t="shared" si="1"/>
        <v>338609.22</v>
      </c>
      <c r="H11" s="69">
        <f t="shared" si="1"/>
        <v>338609.22</v>
      </c>
      <c r="I11" s="69">
        <f t="shared" si="1"/>
        <v>342107</v>
      </c>
      <c r="J11" s="69">
        <f t="shared" si="1"/>
        <v>338609.22</v>
      </c>
      <c r="K11" s="69">
        <f t="shared" si="1"/>
        <v>338609.22</v>
      </c>
      <c r="L11" s="69">
        <f t="shared" si="1"/>
        <v>338609.22</v>
      </c>
      <c r="M11" s="69">
        <f t="shared" si="1"/>
        <v>389706.67</v>
      </c>
      <c r="N11" s="69">
        <f t="shared" si="1"/>
        <v>389706.67</v>
      </c>
      <c r="O11" s="69">
        <f t="shared" si="1"/>
        <v>4169003.3199999994</v>
      </c>
      <c r="S11" s="418"/>
    </row>
    <row r="12" spans="1:22">
      <c r="C12" s="217"/>
      <c r="D12" s="217"/>
      <c r="E12" s="217"/>
      <c r="F12" s="217"/>
      <c r="G12" s="217"/>
      <c r="H12" s="217"/>
      <c r="I12" s="217"/>
      <c r="J12" s="217"/>
      <c r="K12" s="217"/>
      <c r="L12" s="217"/>
      <c r="M12" s="217"/>
      <c r="N12" s="217"/>
      <c r="O12" s="218"/>
      <c r="R12" s="2" t="s">
        <v>715</v>
      </c>
      <c r="S12" s="418">
        <v>4865800</v>
      </c>
    </row>
    <row r="13" spans="1:22">
      <c r="A13" s="54">
        <f>A8+1</f>
        <v>2017</v>
      </c>
      <c r="C13" s="217"/>
      <c r="D13" s="217"/>
      <c r="E13" s="217"/>
      <c r="F13" s="217"/>
      <c r="G13" s="217"/>
      <c r="H13" s="217"/>
      <c r="I13" s="217"/>
      <c r="J13" s="217"/>
      <c r="K13" s="217"/>
      <c r="L13" s="217"/>
      <c r="M13" s="217"/>
      <c r="N13" s="217"/>
      <c r="O13" s="218"/>
      <c r="R13" s="2" t="s">
        <v>716</v>
      </c>
      <c r="S13" s="418">
        <v>5011800</v>
      </c>
    </row>
    <row r="14" spans="1:22">
      <c r="A14" s="2" t="s">
        <v>105</v>
      </c>
      <c r="B14" s="2" t="s">
        <v>106</v>
      </c>
      <c r="C14" s="217">
        <v>373706.67</v>
      </c>
      <c r="D14" s="217">
        <v>373706.67</v>
      </c>
      <c r="E14" s="217">
        <v>373706.67</v>
      </c>
      <c r="F14" s="217">
        <v>373706.67</v>
      </c>
      <c r="G14" s="217">
        <v>373706.67</v>
      </c>
      <c r="H14" s="217">
        <v>373706.67</v>
      </c>
      <c r="I14" s="217">
        <v>377204.29</v>
      </c>
      <c r="J14" s="217">
        <v>373706.67</v>
      </c>
      <c r="K14" s="217">
        <v>373706.67</v>
      </c>
      <c r="L14" s="217">
        <v>373706.67</v>
      </c>
      <c r="M14" s="217">
        <v>384919.5</v>
      </c>
      <c r="N14" s="217">
        <v>384919.5</v>
      </c>
      <c r="O14" s="218">
        <f>SUM(C14:N14)</f>
        <v>4510403.32</v>
      </c>
      <c r="R14" s="2" t="s">
        <v>717</v>
      </c>
      <c r="S14" s="418">
        <v>5162200</v>
      </c>
    </row>
    <row r="15" spans="1:22">
      <c r="A15" s="2" t="s">
        <v>375</v>
      </c>
      <c r="B15" s="2" t="s">
        <v>376</v>
      </c>
      <c r="C15" s="217">
        <f>+$V15/12</f>
        <v>16500</v>
      </c>
      <c r="D15" s="217">
        <f t="shared" ref="D15:N15" si="2">+$V15/12</f>
        <v>16500</v>
      </c>
      <c r="E15" s="217">
        <f t="shared" si="2"/>
        <v>16500</v>
      </c>
      <c r="F15" s="217">
        <f t="shared" si="2"/>
        <v>16500</v>
      </c>
      <c r="G15" s="217">
        <f t="shared" si="2"/>
        <v>16500</v>
      </c>
      <c r="H15" s="217">
        <f t="shared" si="2"/>
        <v>16500</v>
      </c>
      <c r="I15" s="217">
        <f t="shared" si="2"/>
        <v>16500</v>
      </c>
      <c r="J15" s="217">
        <f t="shared" si="2"/>
        <v>16500</v>
      </c>
      <c r="K15" s="217">
        <f t="shared" si="2"/>
        <v>16500</v>
      </c>
      <c r="L15" s="217">
        <f t="shared" si="2"/>
        <v>16500</v>
      </c>
      <c r="M15" s="217">
        <f t="shared" si="2"/>
        <v>16500</v>
      </c>
      <c r="N15" s="217">
        <f t="shared" si="2"/>
        <v>16500</v>
      </c>
      <c r="O15" s="218">
        <f>SUM(C15:N15)</f>
        <v>198000</v>
      </c>
      <c r="S15" s="418"/>
      <c r="V15" s="433">
        <v>198000</v>
      </c>
    </row>
    <row r="16" spans="1:22">
      <c r="C16" s="69">
        <f>SUM(C14:C15)</f>
        <v>390206.67</v>
      </c>
      <c r="D16" s="69">
        <f t="shared" ref="D16" si="3">SUM(D14:D15)</f>
        <v>390206.67</v>
      </c>
      <c r="E16" s="69">
        <f t="shared" ref="E16" si="4">SUM(E14:E15)</f>
        <v>390206.67</v>
      </c>
      <c r="F16" s="69">
        <f t="shared" ref="F16" si="5">SUM(F14:F15)</f>
        <v>390206.67</v>
      </c>
      <c r="G16" s="69">
        <f t="shared" ref="G16" si="6">SUM(G14:G15)</f>
        <v>390206.67</v>
      </c>
      <c r="H16" s="69">
        <f t="shared" ref="H16" si="7">SUM(H14:H15)</f>
        <v>390206.67</v>
      </c>
      <c r="I16" s="69">
        <f t="shared" ref="I16" si="8">SUM(I14:I15)</f>
        <v>393704.29</v>
      </c>
      <c r="J16" s="69">
        <f t="shared" ref="J16" si="9">SUM(J14:J15)</f>
        <v>390206.67</v>
      </c>
      <c r="K16" s="69">
        <f t="shared" ref="K16" si="10">SUM(K14:K15)</f>
        <v>390206.67</v>
      </c>
      <c r="L16" s="69">
        <f t="shared" ref="L16" si="11">SUM(L14:L15)</f>
        <v>390206.67</v>
      </c>
      <c r="M16" s="69">
        <f t="shared" ref="M16" si="12">SUM(M14:M15)</f>
        <v>401419.5</v>
      </c>
      <c r="N16" s="69">
        <f t="shared" ref="N16" si="13">SUM(N14:N15)</f>
        <v>401419.5</v>
      </c>
      <c r="O16" s="69">
        <f t="shared" ref="O16" si="14">SUM(O14:O15)</f>
        <v>4708403.32</v>
      </c>
      <c r="S16" s="418"/>
    </row>
    <row r="17" spans="1:28">
      <c r="C17" s="217"/>
      <c r="D17" s="217"/>
      <c r="E17" s="217"/>
      <c r="F17" s="217"/>
      <c r="G17" s="217"/>
      <c r="H17" s="217"/>
      <c r="I17" s="217"/>
      <c r="J17" s="217"/>
      <c r="K17" s="217"/>
      <c r="L17" s="217"/>
      <c r="M17" s="217"/>
      <c r="N17" s="217"/>
      <c r="O17" s="218"/>
      <c r="R17" s="2" t="s">
        <v>718</v>
      </c>
      <c r="S17" s="418">
        <v>5162200</v>
      </c>
    </row>
    <row r="18" spans="1:28">
      <c r="A18" s="54">
        <f>A13+1</f>
        <v>2018</v>
      </c>
      <c r="C18" s="217"/>
      <c r="D18" s="217"/>
      <c r="E18" s="217"/>
      <c r="F18" s="217"/>
      <c r="G18" s="217"/>
      <c r="H18" s="217"/>
      <c r="I18" s="217"/>
      <c r="J18" s="217"/>
      <c r="K18" s="217"/>
      <c r="L18" s="217"/>
      <c r="M18" s="217"/>
      <c r="N18" s="217"/>
      <c r="O18" s="218"/>
    </row>
    <row r="19" spans="1:28">
      <c r="A19" s="2" t="s">
        <v>105</v>
      </c>
      <c r="B19" s="2" t="s">
        <v>106</v>
      </c>
      <c r="C19" s="217">
        <v>384919.5</v>
      </c>
      <c r="D19" s="217">
        <v>384919.5</v>
      </c>
      <c r="E19" s="217">
        <v>384919.5</v>
      </c>
      <c r="F19" s="217">
        <v>384919.5</v>
      </c>
      <c r="G19" s="217">
        <v>384919.5</v>
      </c>
      <c r="H19" s="217">
        <v>384919.5</v>
      </c>
      <c r="I19" s="217">
        <v>389971.4</v>
      </c>
      <c r="J19" s="217">
        <v>384919.5</v>
      </c>
      <c r="K19" s="217">
        <v>384919.5</v>
      </c>
      <c r="L19" s="217">
        <v>384919.5</v>
      </c>
      <c r="M19" s="217">
        <v>384919.5</v>
      </c>
      <c r="N19" s="217">
        <v>384919.5</v>
      </c>
      <c r="O19" s="218">
        <f>SUM(C19:N19)</f>
        <v>4624085.9000000004</v>
      </c>
      <c r="Q19" s="235"/>
      <c r="R19" s="235"/>
      <c r="S19" s="235"/>
      <c r="T19" s="235"/>
      <c r="U19" s="235"/>
      <c r="V19" s="235"/>
      <c r="W19" s="235"/>
      <c r="X19" s="235"/>
      <c r="Y19" s="235"/>
      <c r="Z19" s="235"/>
      <c r="AA19" s="235"/>
      <c r="AB19" s="235"/>
    </row>
    <row r="20" spans="1:28">
      <c r="A20" s="2" t="s">
        <v>375</v>
      </c>
      <c r="B20" s="2" t="s">
        <v>376</v>
      </c>
      <c r="C20" s="217">
        <f>+$V20/12</f>
        <v>17000</v>
      </c>
      <c r="D20" s="217">
        <f t="shared" ref="D20:N20" si="15">+$V20/12</f>
        <v>17000</v>
      </c>
      <c r="E20" s="217">
        <f t="shared" si="15"/>
        <v>17000</v>
      </c>
      <c r="F20" s="217">
        <f t="shared" si="15"/>
        <v>17000</v>
      </c>
      <c r="G20" s="217">
        <f t="shared" si="15"/>
        <v>17000</v>
      </c>
      <c r="H20" s="217">
        <f t="shared" si="15"/>
        <v>17000</v>
      </c>
      <c r="I20" s="217">
        <f t="shared" si="15"/>
        <v>17000</v>
      </c>
      <c r="J20" s="217">
        <f t="shared" si="15"/>
        <v>17000</v>
      </c>
      <c r="K20" s="217">
        <f t="shared" si="15"/>
        <v>17000</v>
      </c>
      <c r="L20" s="217">
        <f t="shared" si="15"/>
        <v>17000</v>
      </c>
      <c r="M20" s="217">
        <f t="shared" si="15"/>
        <v>17000</v>
      </c>
      <c r="N20" s="217">
        <f t="shared" si="15"/>
        <v>17000</v>
      </c>
      <c r="O20" s="218">
        <f>SUM(C20:N20)</f>
        <v>204000</v>
      </c>
      <c r="Q20" s="235"/>
      <c r="R20" s="235"/>
      <c r="S20" s="235"/>
      <c r="T20" s="235"/>
      <c r="U20" s="235"/>
      <c r="V20" s="433">
        <v>204000</v>
      </c>
      <c r="W20" s="235"/>
      <c r="X20" s="235"/>
      <c r="Y20" s="235"/>
      <c r="Z20" s="235"/>
      <c r="AA20" s="235"/>
      <c r="AB20" s="235"/>
    </row>
    <row r="21" spans="1:28">
      <c r="C21" s="69">
        <f>SUM(C19:C20)</f>
        <v>401919.5</v>
      </c>
      <c r="D21" s="69">
        <f t="shared" ref="D21" si="16">SUM(D19:D20)</f>
        <v>401919.5</v>
      </c>
      <c r="E21" s="69">
        <f t="shared" ref="E21" si="17">SUM(E19:E20)</f>
        <v>401919.5</v>
      </c>
      <c r="F21" s="69">
        <f t="shared" ref="F21" si="18">SUM(F19:F20)</f>
        <v>401919.5</v>
      </c>
      <c r="G21" s="69">
        <f t="shared" ref="G21" si="19">SUM(G19:G20)</f>
        <v>401919.5</v>
      </c>
      <c r="H21" s="69">
        <f t="shared" ref="H21" si="20">SUM(H19:H20)</f>
        <v>401919.5</v>
      </c>
      <c r="I21" s="69">
        <f t="shared" ref="I21" si="21">SUM(I19:I20)</f>
        <v>406971.4</v>
      </c>
      <c r="J21" s="69">
        <f t="shared" ref="J21" si="22">SUM(J19:J20)</f>
        <v>401919.5</v>
      </c>
      <c r="K21" s="69">
        <f t="shared" ref="K21" si="23">SUM(K19:K20)</f>
        <v>401919.5</v>
      </c>
      <c r="L21" s="69">
        <f t="shared" ref="L21" si="24">SUM(L19:L20)</f>
        <v>401919.5</v>
      </c>
      <c r="M21" s="69">
        <f t="shared" ref="M21" si="25">SUM(M19:M20)</f>
        <v>401919.5</v>
      </c>
      <c r="N21" s="69">
        <f t="shared" ref="N21" si="26">SUM(N19:N20)</f>
        <v>401919.5</v>
      </c>
      <c r="O21" s="69">
        <f t="shared" ref="O21" si="27">SUM(O19:O20)</f>
        <v>4828085.9000000004</v>
      </c>
      <c r="Q21" s="235"/>
      <c r="R21" s="235"/>
      <c r="S21" s="235"/>
      <c r="T21" s="235"/>
      <c r="U21" s="235"/>
      <c r="V21" s="235"/>
      <c r="W21" s="235"/>
      <c r="X21" s="235"/>
      <c r="Y21" s="235"/>
      <c r="Z21" s="235"/>
      <c r="AA21" s="235"/>
      <c r="AB21" s="235"/>
    </row>
    <row r="22" spans="1:28">
      <c r="C22" s="217"/>
      <c r="D22" s="217"/>
      <c r="E22" s="217"/>
      <c r="F22" s="217"/>
      <c r="G22" s="217"/>
      <c r="H22" s="217"/>
      <c r="I22" s="217"/>
      <c r="J22" s="217"/>
      <c r="K22" s="217"/>
      <c r="L22" s="217"/>
      <c r="M22" s="217"/>
      <c r="N22" s="217"/>
      <c r="O22" s="218"/>
    </row>
    <row r="23" spans="1:28">
      <c r="A23" s="54">
        <f>A18+1</f>
        <v>2019</v>
      </c>
      <c r="C23" s="217"/>
      <c r="D23" s="217"/>
      <c r="E23" s="217"/>
      <c r="F23" s="217"/>
      <c r="G23" s="217"/>
      <c r="H23" s="217"/>
      <c r="I23" s="217"/>
      <c r="J23" s="217"/>
      <c r="K23" s="217"/>
      <c r="L23" s="217"/>
      <c r="M23" s="217"/>
      <c r="N23" s="217"/>
      <c r="O23" s="218"/>
    </row>
    <row r="24" spans="1:28">
      <c r="A24" s="2" t="s">
        <v>105</v>
      </c>
      <c r="B24" s="2" t="s">
        <v>106</v>
      </c>
      <c r="C24" s="217">
        <v>384919.5</v>
      </c>
      <c r="D24" s="217">
        <v>384919.5</v>
      </c>
      <c r="E24" s="217">
        <v>384919.5</v>
      </c>
      <c r="F24" s="217">
        <v>384919.5</v>
      </c>
      <c r="G24" s="217">
        <v>384919.5</v>
      </c>
      <c r="H24" s="217">
        <v>388650.36</v>
      </c>
      <c r="I24" s="217">
        <v>384919.5</v>
      </c>
      <c r="J24" s="217">
        <v>384919.5</v>
      </c>
      <c r="K24" s="217">
        <v>384919.5</v>
      </c>
      <c r="L24" s="217">
        <v>384919.5</v>
      </c>
      <c r="M24" s="217">
        <v>384919.5</v>
      </c>
      <c r="N24" s="217">
        <v>384919.5</v>
      </c>
      <c r="O24" s="218">
        <f>SUM(C24:N24)</f>
        <v>4622764.8599999994</v>
      </c>
    </row>
    <row r="25" spans="1:28">
      <c r="A25" s="2" t="s">
        <v>375</v>
      </c>
      <c r="B25" s="2" t="s">
        <v>376</v>
      </c>
      <c r="C25" s="217">
        <f>+$V25/12</f>
        <v>17500</v>
      </c>
      <c r="D25" s="217">
        <f t="shared" ref="D25:N25" si="28">+$V25/12</f>
        <v>17500</v>
      </c>
      <c r="E25" s="217">
        <f t="shared" si="28"/>
        <v>17500</v>
      </c>
      <c r="F25" s="217">
        <f t="shared" si="28"/>
        <v>17500</v>
      </c>
      <c r="G25" s="217">
        <f t="shared" si="28"/>
        <v>17500</v>
      </c>
      <c r="H25" s="217">
        <f t="shared" si="28"/>
        <v>17500</v>
      </c>
      <c r="I25" s="217">
        <f t="shared" si="28"/>
        <v>17500</v>
      </c>
      <c r="J25" s="217">
        <f t="shared" si="28"/>
        <v>17500</v>
      </c>
      <c r="K25" s="217">
        <f t="shared" si="28"/>
        <v>17500</v>
      </c>
      <c r="L25" s="217">
        <f t="shared" si="28"/>
        <v>17500</v>
      </c>
      <c r="M25" s="217">
        <f t="shared" si="28"/>
        <v>17500</v>
      </c>
      <c r="N25" s="217">
        <f t="shared" si="28"/>
        <v>17500</v>
      </c>
      <c r="O25" s="218">
        <f>SUM(C25:N25)</f>
        <v>210000</v>
      </c>
      <c r="V25" s="433">
        <v>210000</v>
      </c>
    </row>
    <row r="26" spans="1:28">
      <c r="C26" s="69">
        <f>SUM(C24:C25)</f>
        <v>402419.5</v>
      </c>
      <c r="D26" s="69">
        <f t="shared" ref="D26" si="29">SUM(D24:D25)</f>
        <v>402419.5</v>
      </c>
      <c r="E26" s="69">
        <f t="shared" ref="E26" si="30">SUM(E24:E25)</f>
        <v>402419.5</v>
      </c>
      <c r="F26" s="69">
        <f t="shared" ref="F26" si="31">SUM(F24:F25)</f>
        <v>402419.5</v>
      </c>
      <c r="G26" s="69">
        <f t="shared" ref="G26" si="32">SUM(G24:G25)</f>
        <v>402419.5</v>
      </c>
      <c r="H26" s="69">
        <f t="shared" ref="H26" si="33">SUM(H24:H25)</f>
        <v>406150.36</v>
      </c>
      <c r="I26" s="69">
        <f t="shared" ref="I26" si="34">SUM(I24:I25)</f>
        <v>402419.5</v>
      </c>
      <c r="J26" s="69">
        <f t="shared" ref="J26" si="35">SUM(J24:J25)</f>
        <v>402419.5</v>
      </c>
      <c r="K26" s="69">
        <f t="shared" ref="K26" si="36">SUM(K24:K25)</f>
        <v>402419.5</v>
      </c>
      <c r="L26" s="69">
        <f t="shared" ref="L26" si="37">SUM(L24:L25)</f>
        <v>402419.5</v>
      </c>
      <c r="M26" s="69">
        <f t="shared" ref="M26" si="38">SUM(M24:M25)</f>
        <v>402419.5</v>
      </c>
      <c r="N26" s="69">
        <f t="shared" ref="N26" si="39">SUM(N24:N25)</f>
        <v>402419.5</v>
      </c>
      <c r="O26" s="69">
        <f t="shared" ref="O26" si="40">SUM(O24:O25)</f>
        <v>4832764.8599999994</v>
      </c>
    </row>
    <row r="27" spans="1:28">
      <c r="C27" s="217"/>
      <c r="D27" s="217"/>
      <c r="E27" s="217"/>
      <c r="F27" s="217"/>
      <c r="G27" s="217"/>
      <c r="H27" s="217"/>
      <c r="I27" s="217"/>
      <c r="J27" s="217"/>
      <c r="K27" s="217"/>
      <c r="L27" s="217"/>
      <c r="M27" s="217"/>
      <c r="N27" s="217"/>
      <c r="O27" s="218"/>
    </row>
    <row r="28" spans="1:28">
      <c r="A28" s="54">
        <f>A23+1</f>
        <v>2020</v>
      </c>
      <c r="C28" s="217"/>
      <c r="D28" s="217"/>
      <c r="E28" s="217"/>
      <c r="F28" s="217"/>
      <c r="G28" s="217"/>
      <c r="H28" s="217"/>
      <c r="I28" s="217"/>
      <c r="J28" s="217"/>
      <c r="K28" s="217"/>
      <c r="L28" s="217"/>
      <c r="M28" s="217"/>
      <c r="N28" s="217"/>
      <c r="O28" s="218"/>
    </row>
    <row r="29" spans="1:28">
      <c r="A29" s="2" t="s">
        <v>105</v>
      </c>
      <c r="B29" s="2" t="s">
        <v>106</v>
      </c>
      <c r="C29" s="217">
        <v>384919.5</v>
      </c>
      <c r="D29" s="217">
        <v>384919.5</v>
      </c>
      <c r="E29" s="217">
        <v>384919.5</v>
      </c>
      <c r="F29" s="217">
        <v>384919.5</v>
      </c>
      <c r="G29" s="217">
        <v>384919.5</v>
      </c>
      <c r="H29" s="217">
        <v>384919.5</v>
      </c>
      <c r="I29" s="217">
        <v>388650.36</v>
      </c>
      <c r="J29" s="217">
        <v>384919.5</v>
      </c>
      <c r="K29" s="217">
        <v>384919.5</v>
      </c>
      <c r="L29" s="217">
        <v>384919.5</v>
      </c>
      <c r="M29" s="217">
        <v>384919.5</v>
      </c>
      <c r="N29" s="217">
        <v>384919.5</v>
      </c>
      <c r="O29" s="218">
        <f>SUM(C29:N29)</f>
        <v>4622764.8599999994</v>
      </c>
    </row>
    <row r="30" spans="1:28">
      <c r="A30" s="2" t="s">
        <v>375</v>
      </c>
      <c r="B30" s="2" t="s">
        <v>376</v>
      </c>
      <c r="C30" s="217">
        <f>+$V30/12</f>
        <v>18000</v>
      </c>
      <c r="D30" s="217">
        <f t="shared" ref="D30:N30" si="41">+$V30/12</f>
        <v>18000</v>
      </c>
      <c r="E30" s="217">
        <f t="shared" si="41"/>
        <v>18000</v>
      </c>
      <c r="F30" s="217">
        <f t="shared" si="41"/>
        <v>18000</v>
      </c>
      <c r="G30" s="217">
        <f t="shared" si="41"/>
        <v>18000</v>
      </c>
      <c r="H30" s="217">
        <f t="shared" si="41"/>
        <v>18000</v>
      </c>
      <c r="I30" s="217">
        <f t="shared" si="41"/>
        <v>18000</v>
      </c>
      <c r="J30" s="217">
        <f t="shared" si="41"/>
        <v>18000</v>
      </c>
      <c r="K30" s="217">
        <f t="shared" si="41"/>
        <v>18000</v>
      </c>
      <c r="L30" s="217">
        <f t="shared" si="41"/>
        <v>18000</v>
      </c>
      <c r="M30" s="217">
        <f t="shared" si="41"/>
        <v>18000</v>
      </c>
      <c r="N30" s="217">
        <f t="shared" si="41"/>
        <v>18000</v>
      </c>
      <c r="O30" s="218">
        <f>SUM(C30:N30)</f>
        <v>216000</v>
      </c>
      <c r="V30" s="433">
        <v>216000</v>
      </c>
    </row>
    <row r="31" spans="1:28">
      <c r="C31" s="69">
        <f>SUM(C29:C30)</f>
        <v>402919.5</v>
      </c>
      <c r="D31" s="69">
        <f t="shared" ref="D31" si="42">SUM(D29:D30)</f>
        <v>402919.5</v>
      </c>
      <c r="E31" s="69">
        <f t="shared" ref="E31" si="43">SUM(E29:E30)</f>
        <v>402919.5</v>
      </c>
      <c r="F31" s="69">
        <f t="shared" ref="F31" si="44">SUM(F29:F30)</f>
        <v>402919.5</v>
      </c>
      <c r="G31" s="69">
        <f t="shared" ref="G31" si="45">SUM(G29:G30)</f>
        <v>402919.5</v>
      </c>
      <c r="H31" s="69">
        <f t="shared" ref="H31" si="46">SUM(H29:H30)</f>
        <v>402919.5</v>
      </c>
      <c r="I31" s="69">
        <f t="shared" ref="I31" si="47">SUM(I29:I30)</f>
        <v>406650.36</v>
      </c>
      <c r="J31" s="69">
        <f t="shared" ref="J31" si="48">SUM(J29:J30)</f>
        <v>402919.5</v>
      </c>
      <c r="K31" s="69">
        <f t="shared" ref="K31" si="49">SUM(K29:K30)</f>
        <v>402919.5</v>
      </c>
      <c r="L31" s="69">
        <f t="shared" ref="L31" si="50">SUM(L29:L30)</f>
        <v>402919.5</v>
      </c>
      <c r="M31" s="69">
        <f t="shared" ref="M31" si="51">SUM(M29:M30)</f>
        <v>402919.5</v>
      </c>
      <c r="N31" s="69">
        <f t="shared" ref="N31" si="52">SUM(N29:N30)</f>
        <v>402919.5</v>
      </c>
      <c r="O31" s="69">
        <f t="shared" ref="O31" si="53">SUM(O29:O30)</f>
        <v>4838764.8599999994</v>
      </c>
    </row>
    <row r="33" spans="1:16">
      <c r="A33" s="4" t="s">
        <v>861</v>
      </c>
    </row>
    <row r="34" spans="1:16">
      <c r="A34" s="4" t="s">
        <v>859</v>
      </c>
    </row>
    <row r="35" spans="1:16">
      <c r="A35" s="4" t="s">
        <v>863</v>
      </c>
    </row>
    <row r="36" spans="1:16">
      <c r="A36" s="11"/>
    </row>
    <row r="37" spans="1:16">
      <c r="A37" s="52" t="s">
        <v>172</v>
      </c>
    </row>
    <row r="38" spans="1:16">
      <c r="A38" s="2" t="s">
        <v>207</v>
      </c>
    </row>
    <row r="39" spans="1:16">
      <c r="A39" s="2" t="s">
        <v>208</v>
      </c>
    </row>
    <row r="40" spans="1:16">
      <c r="A40" s="531" t="s">
        <v>860</v>
      </c>
      <c r="B40" s="265"/>
      <c r="C40" s="265"/>
      <c r="D40" s="265"/>
      <c r="E40" s="265"/>
      <c r="F40" s="265"/>
      <c r="G40" s="265"/>
      <c r="H40" s="265"/>
      <c r="I40" s="265"/>
      <c r="J40" s="265"/>
      <c r="K40" s="265"/>
      <c r="L40" s="265"/>
      <c r="M40" s="265"/>
      <c r="N40" s="265"/>
      <c r="O40" s="22"/>
      <c r="P40" s="265"/>
    </row>
  </sheetData>
  <mergeCells count="1">
    <mergeCell ref="A5:O5"/>
  </mergeCells>
  <pageMargins left="0.28999999999999998" right="0.25" top="0.5" bottom="0.5" header="0.5" footer="0.5"/>
  <pageSetup scale="8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25</vt:i4>
      </vt:variant>
    </vt:vector>
  </HeadingPairs>
  <TitlesOfParts>
    <vt:vector size="50" baseType="lpstr">
      <vt:lpstr>Contacts</vt:lpstr>
      <vt:lpstr>Actuals</vt:lpstr>
      <vt:lpstr>2016-2020 Summary</vt:lpstr>
      <vt:lpstr>Comparison</vt:lpstr>
      <vt:lpstr>Uncollectibles</vt:lpstr>
      <vt:lpstr>Admin Exp Trans</vt:lpstr>
      <vt:lpstr>Prop Dam Res</vt:lpstr>
      <vt:lpstr>I&amp;D Ins</vt:lpstr>
      <vt:lpstr>Corp Ins 924</vt:lpstr>
      <vt:lpstr>Corp Ins 925</vt:lpstr>
      <vt:lpstr>Travel Ins 925</vt:lpstr>
      <vt:lpstr>FERC Fee</vt:lpstr>
      <vt:lpstr>Duplicate Chrgs</vt:lpstr>
      <vt:lpstr>Tower Lease</vt:lpstr>
      <vt:lpstr>Stores Handling</vt:lpstr>
      <vt:lpstr>EPRI Dues</vt:lpstr>
      <vt:lpstr>EEI Dues</vt:lpstr>
      <vt:lpstr>Def Comp</vt:lpstr>
      <vt:lpstr>Trans</vt:lpstr>
      <vt:lpstr>Trans Clause</vt:lpstr>
      <vt:lpstr>APC Fac Charge</vt:lpstr>
      <vt:lpstr>SCS Early Retire</vt:lpstr>
      <vt:lpstr>Rate Case Exp</vt:lpstr>
      <vt:lpstr>Corp Ins 737</vt:lpstr>
      <vt:lpstr>Misc</vt:lpstr>
      <vt:lpstr>'2016-2020 Summary'!Print_Area</vt:lpstr>
      <vt:lpstr>'Admin Exp Trans'!Print_Area</vt:lpstr>
      <vt:lpstr>'APC Fac Charge'!Print_Area</vt:lpstr>
      <vt:lpstr>Comparison!Print_Area</vt:lpstr>
      <vt:lpstr>Contacts!Print_Area</vt:lpstr>
      <vt:lpstr>'Corp Ins 737'!Print_Area</vt:lpstr>
      <vt:lpstr>'Corp Ins 924'!Print_Area</vt:lpstr>
      <vt:lpstr>'Corp Ins 925'!Print_Area</vt:lpstr>
      <vt:lpstr>'Def Comp'!Print_Area</vt:lpstr>
      <vt:lpstr>'Duplicate Chrgs'!Print_Area</vt:lpstr>
      <vt:lpstr>'EEI Dues'!Print_Area</vt:lpstr>
      <vt:lpstr>'EPRI Dues'!Print_Area</vt:lpstr>
      <vt:lpstr>'FERC Fee'!Print_Area</vt:lpstr>
      <vt:lpstr>'I&amp;D Ins'!Print_Area</vt:lpstr>
      <vt:lpstr>'Prop Dam Res'!Print_Area</vt:lpstr>
      <vt:lpstr>'Rate Case Exp'!Print_Area</vt:lpstr>
      <vt:lpstr>'SCS Early Retire'!Print_Area</vt:lpstr>
      <vt:lpstr>'Stores Handling'!Print_Area</vt:lpstr>
      <vt:lpstr>'Tower Lease'!Print_Area</vt:lpstr>
      <vt:lpstr>Trans!Print_Area</vt:lpstr>
      <vt:lpstr>'Trans Clause'!Print_Area</vt:lpstr>
      <vt:lpstr>'Travel Ins 925'!Print_Area</vt:lpstr>
      <vt:lpstr>Uncollectibles!Print_Area</vt:lpstr>
      <vt:lpstr>'2016-2020 Summary'!Print_Titles</vt:lpstr>
      <vt:lpstr>Comparison!Print_Titles</vt:lpstr>
    </vt:vector>
  </TitlesOfParts>
  <Company>Southern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RANNEY</dc:creator>
  <cp:lastModifiedBy>Castleberry, Cody Lee</cp:lastModifiedBy>
  <cp:lastPrinted>2015-08-19T13:43:29Z</cp:lastPrinted>
  <dcterms:created xsi:type="dcterms:W3CDTF">2002-07-25T14:54:04Z</dcterms:created>
  <dcterms:modified xsi:type="dcterms:W3CDTF">2016-01-13T23:08:12Z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-1326676783</vt:i4>
  </property>
  <property fmtid="{D5CDD505-2E9C-101B-9397-08002B2CF9AE}" pid="3" name="_EmailSubject">
    <vt:lpwstr>Staff's 6th POD 48</vt:lpwstr>
  </property>
  <property fmtid="{D5CDD505-2E9C-101B-9397-08002B2CF9AE}" pid="4" name="_AuthorEmail">
    <vt:lpwstr>THUYNH@southernco.com</vt:lpwstr>
  </property>
  <property fmtid="{D5CDD505-2E9C-101B-9397-08002B2CF9AE}" pid="5" name="_AuthorEmailDisplayName">
    <vt:lpwstr>Huynh, Trang</vt:lpwstr>
  </property>
  <property fmtid="{D5CDD505-2E9C-101B-9397-08002B2CF9AE}" pid="6" name="_NewReviewCycle">
    <vt:lpwstr/>
  </property>
  <property fmtid="{D5CDD505-2E9C-101B-9397-08002B2CF9AE}" pid="7" name="_PreviousAdHocReviewCycleID">
    <vt:i4>785385255</vt:i4>
  </property>
</Properties>
</file>