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1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9.xml" ContentType="application/vnd.openxmlformats-officedocument.spreadsheetml.worksheet+xml"/>
  <Override PartName="/xl/worksheets/sheet22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4220" windowHeight="12405" firstSheet="15" activeTab="23"/>
  </bookViews>
  <sheets>
    <sheet name="Avg Age" sheetId="1" r:id="rId1"/>
    <sheet name="343 Pace" sheetId="10" r:id="rId2"/>
    <sheet name="344 Pace" sheetId="9" r:id="rId3"/>
    <sheet name="345 Pace" sheetId="8" r:id="rId4"/>
    <sheet name="341 Perdido" sheetId="16" r:id="rId5"/>
    <sheet name="342 Perdido" sheetId="15" r:id="rId6"/>
    <sheet name="343 Perdido" sheetId="14" r:id="rId7"/>
    <sheet name="345 Perdido" sheetId="12" r:id="rId8"/>
    <sheet name="346 Perdido" sheetId="11" r:id="rId9"/>
    <sheet name="341 Smith CT" sheetId="21" r:id="rId10"/>
    <sheet name="342 Smith CT" sheetId="20" r:id="rId11"/>
    <sheet name="343 Smith CT" sheetId="19" r:id="rId12"/>
    <sheet name="344 Smith CT" sheetId="18" r:id="rId13"/>
    <sheet name="345 Smith CT" sheetId="22" r:id="rId14"/>
    <sheet name="346 Smith CT" sheetId="17" r:id="rId15"/>
    <sheet name="341 Smith CC" sheetId="4" r:id="rId16"/>
    <sheet name="342 Smith CC" sheetId="7" r:id="rId17"/>
    <sheet name="343 Smith CC" sheetId="2" r:id="rId18"/>
    <sheet name="344 Smith CC" sheetId="3" r:id="rId19"/>
    <sheet name="345 Smith CC" sheetId="5" r:id="rId20"/>
    <sheet name="346 Smith CC" sheetId="6" r:id="rId21"/>
    <sheet name="IRR and Int Ret %" sheetId="27" r:id="rId22"/>
    <sheet name="Composite Accr by Plt" sheetId="23" r:id="rId23"/>
    <sheet name="Comparison Accr" sheetId="24" r:id="rId24"/>
    <sheet name="WL vs RL" sheetId="26" r:id="rId25"/>
  </sheets>
  <externalReferences>
    <externalReference r:id="rId26"/>
  </externalReferences>
  <calcPr calcId="145621" iterate="1" calcOnSave="0"/>
</workbook>
</file>

<file path=xl/calcChain.xml><?xml version="1.0" encoding="utf-8"?>
<calcChain xmlns="http://schemas.openxmlformats.org/spreadsheetml/2006/main">
  <c r="W24" i="6" l="1"/>
  <c r="W21" i="6"/>
  <c r="W21" i="5"/>
  <c r="W21" i="3"/>
  <c r="W21" i="2"/>
  <c r="W21" i="7"/>
  <c r="W21" i="4"/>
  <c r="L34" i="26" l="1"/>
  <c r="L33" i="26"/>
  <c r="L32" i="26"/>
  <c r="L31" i="26"/>
  <c r="L30" i="26"/>
  <c r="L29" i="26"/>
  <c r="L38" i="26"/>
  <c r="L39" i="26"/>
  <c r="L40" i="26"/>
  <c r="L41" i="26"/>
  <c r="L42" i="26"/>
  <c r="L43" i="26"/>
  <c r="L26" i="26"/>
  <c r="L25" i="26"/>
  <c r="L24" i="26"/>
  <c r="L23" i="26"/>
  <c r="L22" i="26"/>
  <c r="L21" i="26"/>
  <c r="L17" i="26"/>
  <c r="L16" i="26"/>
  <c r="L15" i="26"/>
  <c r="L18" i="26"/>
  <c r="H38" i="23"/>
  <c r="H33" i="23"/>
  <c r="H32" i="23"/>
  <c r="H31" i="23"/>
  <c r="H30" i="23"/>
  <c r="H29" i="23"/>
  <c r="H28" i="23"/>
  <c r="H21" i="23"/>
  <c r="H22" i="23"/>
  <c r="H23" i="23"/>
  <c r="H24" i="23"/>
  <c r="H20" i="23"/>
  <c r="H15" i="23"/>
  <c r="H14" i="23"/>
  <c r="L35" i="26" l="1"/>
  <c r="L44" i="26"/>
  <c r="D259" i="1"/>
  <c r="F259" i="1" s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D251" i="1"/>
  <c r="F251" i="1" s="1"/>
  <c r="D250" i="1"/>
  <c r="F250" i="1" s="1"/>
  <c r="D249" i="1"/>
  <c r="F249" i="1" s="1"/>
  <c r="D248" i="1"/>
  <c r="F248" i="1" s="1"/>
  <c r="D247" i="1"/>
  <c r="F247" i="1" s="1"/>
  <c r="D246" i="1"/>
  <c r="F246" i="1" s="1"/>
  <c r="D245" i="1"/>
  <c r="F245" i="1" s="1"/>
  <c r="D244" i="1"/>
  <c r="F244" i="1" s="1"/>
  <c r="D243" i="1"/>
  <c r="F243" i="1" s="1"/>
  <c r="D242" i="1"/>
  <c r="F242" i="1" s="1"/>
  <c r="D241" i="1"/>
  <c r="F241" i="1" s="1"/>
  <c r="D240" i="1"/>
  <c r="F240" i="1" s="1"/>
  <c r="D239" i="1"/>
  <c r="F239" i="1" s="1"/>
  <c r="D238" i="1"/>
  <c r="F238" i="1" s="1"/>
  <c r="D237" i="1"/>
  <c r="F237" i="1" s="1"/>
  <c r="D236" i="1"/>
  <c r="F236" i="1" s="1"/>
  <c r="D235" i="1"/>
  <c r="F235" i="1" s="1"/>
  <c r="D234" i="1"/>
  <c r="F234" i="1" s="1"/>
  <c r="D233" i="1"/>
  <c r="F233" i="1" s="1"/>
  <c r="D232" i="1"/>
  <c r="F232" i="1" s="1"/>
  <c r="D231" i="1"/>
  <c r="F231" i="1" s="1"/>
  <c r="D208" i="1"/>
  <c r="F208" i="1" s="1"/>
  <c r="D207" i="1"/>
  <c r="F207" i="1" s="1"/>
  <c r="D206" i="1"/>
  <c r="F206" i="1" s="1"/>
  <c r="D205" i="1"/>
  <c r="F205" i="1" s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98" i="1"/>
  <c r="F198" i="1" s="1"/>
  <c r="D197" i="1"/>
  <c r="F197" i="1" s="1"/>
  <c r="D196" i="1"/>
  <c r="F196" i="1" s="1"/>
  <c r="D195" i="1"/>
  <c r="F195" i="1" s="1"/>
  <c r="D194" i="1"/>
  <c r="F194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50" i="1"/>
  <c r="F150" i="1" s="1"/>
  <c r="D149" i="1"/>
  <c r="F149" i="1" s="1"/>
  <c r="D148" i="1"/>
  <c r="F148" i="1" s="1"/>
  <c r="D147" i="1"/>
  <c r="F147" i="1" s="1"/>
  <c r="D146" i="1"/>
  <c r="F146" i="1" s="1"/>
  <c r="D145" i="1"/>
  <c r="F145" i="1" s="1"/>
  <c r="D144" i="1"/>
  <c r="F144" i="1" s="1"/>
  <c r="D143" i="1"/>
  <c r="F143" i="1" s="1"/>
  <c r="D142" i="1"/>
  <c r="F142" i="1" s="1"/>
  <c r="D141" i="1"/>
  <c r="F141" i="1" s="1"/>
  <c r="D140" i="1"/>
  <c r="F140" i="1" s="1"/>
  <c r="D139" i="1"/>
  <c r="F139" i="1" s="1"/>
  <c r="D138" i="1"/>
  <c r="F138" i="1" s="1"/>
  <c r="D137" i="1"/>
  <c r="F137" i="1" s="1"/>
  <c r="D136" i="1"/>
  <c r="F136" i="1" s="1"/>
  <c r="D135" i="1"/>
  <c r="F135" i="1" s="1"/>
  <c r="D134" i="1"/>
  <c r="F134" i="1" s="1"/>
  <c r="D133" i="1"/>
  <c r="F133" i="1" s="1"/>
  <c r="D132" i="1"/>
  <c r="F132" i="1" s="1"/>
  <c r="D131" i="1"/>
  <c r="F131" i="1" s="1"/>
  <c r="D130" i="1"/>
  <c r="F130" i="1" s="1"/>
  <c r="D129" i="1"/>
  <c r="F129" i="1" s="1"/>
  <c r="D128" i="1"/>
  <c r="F128" i="1" s="1"/>
  <c r="D127" i="1"/>
  <c r="F127" i="1" s="1"/>
  <c r="D126" i="1"/>
  <c r="F126" i="1" s="1"/>
  <c r="D125" i="1"/>
  <c r="F125" i="1" s="1"/>
  <c r="D124" i="1"/>
  <c r="F124" i="1" s="1"/>
  <c r="A34" i="11" l="1"/>
  <c r="P2" i="2"/>
  <c r="P2" i="11" l="1"/>
  <c r="P2" i="17"/>
  <c r="P2" i="6"/>
  <c r="P2" i="8"/>
  <c r="P2" i="12"/>
  <c r="P2" i="22"/>
  <c r="P2" i="5"/>
  <c r="P2" i="3"/>
  <c r="P2" i="18"/>
  <c r="P2" i="9"/>
  <c r="P2" i="19"/>
  <c r="P2" i="14"/>
  <c r="P2" i="10"/>
  <c r="P2" i="15"/>
  <c r="P2" i="20"/>
  <c r="P2" i="7"/>
  <c r="P2" i="16"/>
  <c r="P2" i="21"/>
  <c r="P2" i="4"/>
  <c r="P10" i="11"/>
  <c r="P10" i="17"/>
  <c r="P10" i="6"/>
  <c r="P10" i="8"/>
  <c r="P10" i="12"/>
  <c r="P10" i="22"/>
  <c r="P10" i="5"/>
  <c r="P10" i="9"/>
  <c r="P10" i="18"/>
  <c r="P10" i="3"/>
  <c r="P10" i="19"/>
  <c r="P10" i="14"/>
  <c r="P10" i="10"/>
  <c r="P10" i="2"/>
  <c r="P10" i="15"/>
  <c r="P10" i="20"/>
  <c r="P10" i="7"/>
  <c r="P10" i="16"/>
  <c r="P10" i="21"/>
  <c r="P10" i="4"/>
  <c r="A20" i="26" l="1"/>
  <c r="A1" i="26"/>
  <c r="B1" i="26"/>
  <c r="C1" i="26"/>
  <c r="D1" i="26"/>
  <c r="E1" i="26"/>
  <c r="F1" i="26"/>
  <c r="I1" i="26"/>
  <c r="J1" i="26"/>
  <c r="K1" i="26"/>
  <c r="L1" i="26"/>
  <c r="B3" i="26"/>
  <c r="C3" i="26"/>
  <c r="D3" i="26"/>
  <c r="E3" i="26"/>
  <c r="F3" i="26"/>
  <c r="I3" i="26"/>
  <c r="J3" i="26"/>
  <c r="K3" i="26"/>
  <c r="L3" i="26"/>
  <c r="A4" i="26"/>
  <c r="B4" i="26"/>
  <c r="C4" i="26"/>
  <c r="D4" i="26"/>
  <c r="E4" i="26"/>
  <c r="F4" i="26"/>
  <c r="I4" i="26"/>
  <c r="J4" i="26"/>
  <c r="K4" i="26"/>
  <c r="L4" i="26"/>
  <c r="A5" i="26"/>
  <c r="B5" i="26"/>
  <c r="C5" i="26"/>
  <c r="D5" i="26"/>
  <c r="E5" i="26"/>
  <c r="F5" i="26"/>
  <c r="I5" i="26"/>
  <c r="J5" i="26"/>
  <c r="K5" i="26"/>
  <c r="L5" i="26"/>
  <c r="J7" i="26"/>
  <c r="J8" i="26"/>
  <c r="J9" i="26"/>
  <c r="A11" i="26"/>
  <c r="B11" i="26"/>
  <c r="D11" i="26"/>
  <c r="J10" i="26"/>
  <c r="A14" i="26"/>
  <c r="A15" i="26"/>
  <c r="B15" i="26"/>
  <c r="A16" i="26"/>
  <c r="B16" i="26"/>
  <c r="A17" i="26"/>
  <c r="B17" i="26"/>
  <c r="B18" i="26"/>
  <c r="A21" i="26"/>
  <c r="B21" i="26"/>
  <c r="A22" i="26"/>
  <c r="B22" i="26"/>
  <c r="A23" i="26"/>
  <c r="B23" i="26"/>
  <c r="A24" i="26"/>
  <c r="B24" i="26"/>
  <c r="A25" i="26"/>
  <c r="B25" i="26"/>
  <c r="A26" i="26"/>
  <c r="B26" i="26"/>
  <c r="A28" i="26"/>
  <c r="A29" i="26"/>
  <c r="B29" i="26"/>
  <c r="A30" i="26"/>
  <c r="B30" i="26"/>
  <c r="A31" i="26"/>
  <c r="B31" i="26"/>
  <c r="A32" i="26"/>
  <c r="B32" i="26"/>
  <c r="A33" i="26"/>
  <c r="B33" i="26"/>
  <c r="A34" i="26"/>
  <c r="B34" i="26"/>
  <c r="A35" i="26"/>
  <c r="B35" i="26"/>
  <c r="A37" i="26"/>
  <c r="A38" i="26"/>
  <c r="B38" i="26"/>
  <c r="A39" i="26"/>
  <c r="B39" i="26"/>
  <c r="A40" i="26"/>
  <c r="B40" i="26"/>
  <c r="A41" i="26"/>
  <c r="B41" i="26"/>
  <c r="A42" i="26"/>
  <c r="B42" i="26"/>
  <c r="A43" i="26"/>
  <c r="B43" i="26"/>
  <c r="B44" i="26"/>
  <c r="F42" i="23" l="1"/>
  <c r="F43" i="26" s="1"/>
  <c r="F41" i="23"/>
  <c r="F42" i="26" s="1"/>
  <c r="F40" i="23"/>
  <c r="F41" i="26" s="1"/>
  <c r="F39" i="23"/>
  <c r="F40" i="26" s="1"/>
  <c r="F38" i="23"/>
  <c r="F39" i="26" s="1"/>
  <c r="F37" i="23"/>
  <c r="F38" i="26" s="1"/>
  <c r="F32" i="23"/>
  <c r="F33" i="26" s="1"/>
  <c r="F31" i="23"/>
  <c r="F32" i="26" s="1"/>
  <c r="F30" i="23"/>
  <c r="F31" i="26" s="1"/>
  <c r="F29" i="23"/>
  <c r="F30" i="26" s="1"/>
  <c r="F33" i="23"/>
  <c r="F34" i="26" s="1"/>
  <c r="F28" i="23"/>
  <c r="F29" i="26" s="1"/>
  <c r="F24" i="23"/>
  <c r="F25" i="26" s="1"/>
  <c r="F23" i="23"/>
  <c r="F24" i="26" s="1"/>
  <c r="F22" i="23"/>
  <c r="F23" i="26" s="1"/>
  <c r="F21" i="23"/>
  <c r="F22" i="26" s="1"/>
  <c r="F20" i="23"/>
  <c r="F21" i="26" s="1"/>
  <c r="F26" i="26" s="1"/>
  <c r="F15" i="23"/>
  <c r="F16" i="26" s="1"/>
  <c r="F14" i="23"/>
  <c r="F15" i="26" s="1"/>
  <c r="L21" i="7"/>
  <c r="D38" i="23" s="1"/>
  <c r="D39" i="26" s="1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28" i="17"/>
  <c r="A29" i="17" s="1"/>
  <c r="A30" i="17" s="1"/>
  <c r="A31" i="17" s="1"/>
  <c r="A32" i="17" s="1"/>
  <c r="A33" i="11"/>
  <c r="A29" i="12"/>
  <c r="A30" i="12" s="1"/>
  <c r="A31" i="12" s="1"/>
  <c r="A32" i="12" s="1"/>
  <c r="A33" i="12" s="1"/>
  <c r="A28" i="12"/>
  <c r="A22" i="12"/>
  <c r="A23" i="12" s="1"/>
  <c r="A24" i="12" s="1"/>
  <c r="A25" i="12" s="1"/>
  <c r="A26" i="12" s="1"/>
  <c r="A27" i="12" s="1"/>
  <c r="A22" i="22"/>
  <c r="A23" i="22" s="1"/>
  <c r="A24" i="22" s="1"/>
  <c r="A25" i="22" s="1"/>
  <c r="A26" i="22" s="1"/>
  <c r="A27" i="22" s="1"/>
  <c r="A28" i="22" s="1"/>
  <c r="A29" i="22" s="1"/>
  <c r="J35" i="18"/>
  <c r="C35" i="18"/>
  <c r="A22" i="18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C37" i="14"/>
  <c r="A22" i="14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C35" i="19"/>
  <c r="A22" i="19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C34" i="20"/>
  <c r="A22" i="20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22" i="15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C34" i="21"/>
  <c r="A23" i="21"/>
  <c r="A24" i="21" s="1"/>
  <c r="A25" i="21" s="1"/>
  <c r="A26" i="21" s="1"/>
  <c r="A27" i="21" s="1"/>
  <c r="A28" i="21" s="1"/>
  <c r="A29" i="21" s="1"/>
  <c r="A30" i="21" s="1"/>
  <c r="A31" i="21" s="1"/>
  <c r="A32" i="21" s="1"/>
  <c r="A22" i="21"/>
  <c r="A22" i="17"/>
  <c r="A23" i="17" s="1"/>
  <c r="A24" i="17" s="1"/>
  <c r="A25" i="17" s="1"/>
  <c r="A26" i="17" s="1"/>
  <c r="A27" i="17" s="1"/>
  <c r="A22" i="1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R21" i="8"/>
  <c r="F16" i="23" s="1"/>
  <c r="F17" i="26" s="1"/>
  <c r="A23" i="10"/>
  <c r="A22" i="10"/>
  <c r="J26" i="9"/>
  <c r="C26" i="9"/>
  <c r="A22" i="9"/>
  <c r="A23" i="9" s="1"/>
  <c r="A22" i="8"/>
  <c r="A23" i="8" s="1"/>
  <c r="C50" i="2"/>
  <c r="A22" i="2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C49" i="7"/>
  <c r="A22" i="7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C49" i="4"/>
  <c r="A22" i="4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22" i="6"/>
  <c r="A23" i="6" s="1"/>
  <c r="A24" i="6" s="1"/>
  <c r="A25" i="6" s="1"/>
  <c r="A26" i="6" s="1"/>
  <c r="A27" i="6" s="1"/>
  <c r="C49" i="5"/>
  <c r="A22" i="5"/>
  <c r="A23" i="5" s="1"/>
  <c r="A24" i="5" s="1"/>
  <c r="A25" i="5" s="1"/>
  <c r="A26" i="5" s="1"/>
  <c r="A27" i="5" s="1"/>
  <c r="J50" i="3"/>
  <c r="C50" i="3"/>
  <c r="A22" i="3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E309" i="1"/>
  <c r="L21" i="16" s="1"/>
  <c r="D20" i="23" s="1"/>
  <c r="D21" i="26" s="1"/>
  <c r="D308" i="1"/>
  <c r="F308" i="1" s="1"/>
  <c r="A322" i="1"/>
  <c r="A319" i="1"/>
  <c r="A315" i="1"/>
  <c r="A312" i="1"/>
  <c r="A309" i="1"/>
  <c r="A306" i="1"/>
  <c r="A302" i="1"/>
  <c r="A298" i="1"/>
  <c r="A294" i="1"/>
  <c r="A277" i="1"/>
  <c r="A229" i="1"/>
  <c r="A181" i="1"/>
  <c r="A107" i="1"/>
  <c r="A88" i="1"/>
  <c r="A42" i="1"/>
  <c r="A39" i="1"/>
  <c r="A31" i="1"/>
  <c r="A25" i="1"/>
  <c r="A10" i="1"/>
  <c r="A6" i="1"/>
  <c r="E322" i="1"/>
  <c r="L21" i="11" s="1"/>
  <c r="D24" i="23" s="1"/>
  <c r="D25" i="26" s="1"/>
  <c r="E319" i="1"/>
  <c r="L21" i="12" s="1"/>
  <c r="D23" i="23" s="1"/>
  <c r="D24" i="26" s="1"/>
  <c r="E315" i="1"/>
  <c r="L21" i="14" s="1"/>
  <c r="D22" i="23" s="1"/>
  <c r="D23" i="26" s="1"/>
  <c r="E312" i="1"/>
  <c r="L21" i="15" s="1"/>
  <c r="D21" i="23" s="1"/>
  <c r="D22" i="26" s="1"/>
  <c r="E306" i="1"/>
  <c r="L21" i="8" s="1"/>
  <c r="D16" i="23" s="1"/>
  <c r="D17" i="26" s="1"/>
  <c r="E302" i="1"/>
  <c r="L21" i="9" s="1"/>
  <c r="D15" i="23" s="1"/>
  <c r="D16" i="26" s="1"/>
  <c r="E298" i="1"/>
  <c r="L21" i="10" s="1"/>
  <c r="D14" i="23" s="1"/>
  <c r="D15" i="26" s="1"/>
  <c r="E294" i="1"/>
  <c r="L21" i="6" s="1"/>
  <c r="B22" i="6" s="1"/>
  <c r="E277" i="1"/>
  <c r="L21" i="5" s="1"/>
  <c r="D41" i="23" s="1"/>
  <c r="D42" i="26" s="1"/>
  <c r="E229" i="1"/>
  <c r="L21" i="3" s="1"/>
  <c r="E181" i="1"/>
  <c r="L21" i="2" s="1"/>
  <c r="B22" i="2" s="1"/>
  <c r="E107" i="1"/>
  <c r="E88" i="1"/>
  <c r="L21" i="4" s="1"/>
  <c r="E42" i="1"/>
  <c r="L21" i="17" s="1"/>
  <c r="D33" i="23" s="1"/>
  <c r="D34" i="26" s="1"/>
  <c r="E39" i="1"/>
  <c r="L21" i="22" s="1"/>
  <c r="D32" i="23" s="1"/>
  <c r="D33" i="26" s="1"/>
  <c r="E31" i="1"/>
  <c r="L21" i="18" s="1"/>
  <c r="D31" i="23" s="1"/>
  <c r="D32" i="26" s="1"/>
  <c r="E25" i="1"/>
  <c r="L21" i="19" s="1"/>
  <c r="D30" i="23" s="1"/>
  <c r="D31" i="26" s="1"/>
  <c r="E10" i="1"/>
  <c r="L21" i="20" s="1"/>
  <c r="D29" i="23" s="1"/>
  <c r="D30" i="26" s="1"/>
  <c r="E6" i="1"/>
  <c r="L21" i="21" s="1"/>
  <c r="D28" i="23" s="1"/>
  <c r="D29" i="26" s="1"/>
  <c r="D321" i="1"/>
  <c r="F321" i="1" s="1"/>
  <c r="D320" i="1"/>
  <c r="F320" i="1" s="1"/>
  <c r="D318" i="1"/>
  <c r="F318" i="1" s="1"/>
  <c r="D317" i="1"/>
  <c r="F317" i="1" s="1"/>
  <c r="D316" i="1"/>
  <c r="F316" i="1" s="1"/>
  <c r="D314" i="1"/>
  <c r="F314" i="1" s="1"/>
  <c r="D313" i="1"/>
  <c r="F313" i="1" s="1"/>
  <c r="D311" i="1"/>
  <c r="F311" i="1" s="1"/>
  <c r="D310" i="1"/>
  <c r="F310" i="1" s="1"/>
  <c r="D307" i="1"/>
  <c r="F307" i="1" s="1"/>
  <c r="D305" i="1"/>
  <c r="F305" i="1" s="1"/>
  <c r="D304" i="1"/>
  <c r="F304" i="1" s="1"/>
  <c r="D303" i="1"/>
  <c r="F303" i="1" s="1"/>
  <c r="D301" i="1"/>
  <c r="F301" i="1" s="1"/>
  <c r="D300" i="1"/>
  <c r="F300" i="1" s="1"/>
  <c r="D299" i="1"/>
  <c r="F299" i="1" s="1"/>
  <c r="D297" i="1"/>
  <c r="F297" i="1" s="1"/>
  <c r="D296" i="1"/>
  <c r="F296" i="1" s="1"/>
  <c r="D295" i="1"/>
  <c r="F295" i="1" s="1"/>
  <c r="D293" i="1"/>
  <c r="F293" i="1" s="1"/>
  <c r="D292" i="1"/>
  <c r="F292" i="1" s="1"/>
  <c r="D291" i="1"/>
  <c r="F291" i="1" s="1"/>
  <c r="D290" i="1"/>
  <c r="F290" i="1" s="1"/>
  <c r="D289" i="1"/>
  <c r="F289" i="1" s="1"/>
  <c r="D288" i="1"/>
  <c r="F288" i="1" s="1"/>
  <c r="D287" i="1"/>
  <c r="F287" i="1" s="1"/>
  <c r="D286" i="1"/>
  <c r="F286" i="1" s="1"/>
  <c r="D285" i="1"/>
  <c r="F285" i="1" s="1"/>
  <c r="D278" i="1"/>
  <c r="F278" i="1" s="1"/>
  <c r="D276" i="1"/>
  <c r="F276" i="1" s="1"/>
  <c r="D275" i="1"/>
  <c r="F275" i="1" s="1"/>
  <c r="D274" i="1"/>
  <c r="F274" i="1" s="1"/>
  <c r="D273" i="1"/>
  <c r="F273" i="1" s="1"/>
  <c r="D272" i="1"/>
  <c r="F272" i="1" s="1"/>
  <c r="D271" i="1"/>
  <c r="F271" i="1" s="1"/>
  <c r="D270" i="1"/>
  <c r="F270" i="1" s="1"/>
  <c r="D269" i="1"/>
  <c r="F269" i="1" s="1"/>
  <c r="D268" i="1"/>
  <c r="F268" i="1" s="1"/>
  <c r="D267" i="1"/>
  <c r="F267" i="1" s="1"/>
  <c r="D266" i="1"/>
  <c r="F266" i="1" s="1"/>
  <c r="D265" i="1"/>
  <c r="F265" i="1" s="1"/>
  <c r="D264" i="1"/>
  <c r="F264" i="1" s="1"/>
  <c r="D263" i="1"/>
  <c r="F263" i="1" s="1"/>
  <c r="D262" i="1"/>
  <c r="F262" i="1" s="1"/>
  <c r="D261" i="1"/>
  <c r="F261" i="1" s="1"/>
  <c r="D260" i="1"/>
  <c r="F260" i="1" s="1"/>
  <c r="D230" i="1"/>
  <c r="F230" i="1" s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F223" i="1" s="1"/>
  <c r="D222" i="1"/>
  <c r="F222" i="1" s="1"/>
  <c r="D221" i="1"/>
  <c r="F221" i="1" s="1"/>
  <c r="D220" i="1"/>
  <c r="F220" i="1" s="1"/>
  <c r="D219" i="1"/>
  <c r="F219" i="1" s="1"/>
  <c r="D218" i="1"/>
  <c r="F218" i="1" s="1"/>
  <c r="D217" i="1"/>
  <c r="F217" i="1" s="1"/>
  <c r="D216" i="1"/>
  <c r="F216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D209" i="1"/>
  <c r="F209" i="1" s="1"/>
  <c r="D182" i="1"/>
  <c r="F182" i="1" s="1"/>
  <c r="D180" i="1"/>
  <c r="F180" i="1" s="1"/>
  <c r="D179" i="1"/>
  <c r="F179" i="1" s="1"/>
  <c r="D178" i="1"/>
  <c r="F178" i="1" s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D123" i="1"/>
  <c r="F123" i="1" s="1"/>
  <c r="D122" i="1"/>
  <c r="F122" i="1" s="1"/>
  <c r="D121" i="1"/>
  <c r="F121" i="1" s="1"/>
  <c r="D120" i="1"/>
  <c r="F120" i="1" s="1"/>
  <c r="D119" i="1"/>
  <c r="F119" i="1" s="1"/>
  <c r="D118" i="1"/>
  <c r="F118" i="1" s="1"/>
  <c r="D117" i="1"/>
  <c r="F117" i="1" s="1"/>
  <c r="D116" i="1"/>
  <c r="F116" i="1" s="1"/>
  <c r="D115" i="1"/>
  <c r="F115" i="1" s="1"/>
  <c r="D114" i="1"/>
  <c r="F114" i="1" s="1"/>
  <c r="D113" i="1"/>
  <c r="F113" i="1" s="1"/>
  <c r="D112" i="1"/>
  <c r="F112" i="1" s="1"/>
  <c r="D111" i="1"/>
  <c r="F111" i="1" s="1"/>
  <c r="D110" i="1"/>
  <c r="F110" i="1" s="1"/>
  <c r="D109" i="1"/>
  <c r="F109" i="1" s="1"/>
  <c r="D108" i="1"/>
  <c r="F108" i="1" s="1"/>
  <c r="D106" i="1"/>
  <c r="F106" i="1" s="1"/>
  <c r="D105" i="1"/>
  <c r="F105" i="1" s="1"/>
  <c r="D104" i="1"/>
  <c r="F104" i="1" s="1"/>
  <c r="D103" i="1"/>
  <c r="F103" i="1" s="1"/>
  <c r="D102" i="1"/>
  <c r="F102" i="1" s="1"/>
  <c r="D101" i="1"/>
  <c r="F101" i="1" s="1"/>
  <c r="D100" i="1"/>
  <c r="F100" i="1" s="1"/>
  <c r="D99" i="1"/>
  <c r="F99" i="1" s="1"/>
  <c r="D98" i="1"/>
  <c r="F98" i="1" s="1"/>
  <c r="D97" i="1"/>
  <c r="F97" i="1" s="1"/>
  <c r="D96" i="1"/>
  <c r="F96" i="1" s="1"/>
  <c r="D95" i="1"/>
  <c r="F95" i="1" s="1"/>
  <c r="D94" i="1"/>
  <c r="F94" i="1" s="1"/>
  <c r="D93" i="1"/>
  <c r="F93" i="1" s="1"/>
  <c r="D92" i="1"/>
  <c r="F92" i="1" s="1"/>
  <c r="D91" i="1"/>
  <c r="F91" i="1" s="1"/>
  <c r="D90" i="1"/>
  <c r="F90" i="1" s="1"/>
  <c r="D89" i="1"/>
  <c r="F89" i="1" s="1"/>
  <c r="D87" i="1"/>
  <c r="F87" i="1" s="1"/>
  <c r="D86" i="1"/>
  <c r="F86" i="1" s="1"/>
  <c r="D85" i="1"/>
  <c r="F85" i="1" s="1"/>
  <c r="D84" i="1"/>
  <c r="F84" i="1" s="1"/>
  <c r="D83" i="1"/>
  <c r="F83" i="1" s="1"/>
  <c r="D82" i="1"/>
  <c r="F82" i="1" s="1"/>
  <c r="D81" i="1"/>
  <c r="F81" i="1" s="1"/>
  <c r="D80" i="1"/>
  <c r="F80" i="1" s="1"/>
  <c r="D79" i="1"/>
  <c r="F79" i="1" s="1"/>
  <c r="D78" i="1"/>
  <c r="F78" i="1" s="1"/>
  <c r="D77" i="1"/>
  <c r="F77" i="1" s="1"/>
  <c r="D76" i="1"/>
  <c r="F76" i="1" s="1"/>
  <c r="D75" i="1"/>
  <c r="F75" i="1" s="1"/>
  <c r="D74" i="1"/>
  <c r="F74" i="1" s="1"/>
  <c r="D73" i="1"/>
  <c r="F73" i="1" s="1"/>
  <c r="D72" i="1"/>
  <c r="F72" i="1" s="1"/>
  <c r="D71" i="1"/>
  <c r="F71" i="1" s="1"/>
  <c r="D70" i="1"/>
  <c r="F70" i="1" s="1"/>
  <c r="D69" i="1"/>
  <c r="F69" i="1" s="1"/>
  <c r="D68" i="1"/>
  <c r="F68" i="1" s="1"/>
  <c r="D67" i="1"/>
  <c r="F67" i="1" s="1"/>
  <c r="D66" i="1"/>
  <c r="F66" i="1" s="1"/>
  <c r="D65" i="1"/>
  <c r="F65" i="1" s="1"/>
  <c r="D64" i="1"/>
  <c r="F64" i="1" s="1"/>
  <c r="D63" i="1"/>
  <c r="F63" i="1" s="1"/>
  <c r="D62" i="1"/>
  <c r="F62" i="1" s="1"/>
  <c r="D61" i="1"/>
  <c r="F61" i="1" s="1"/>
  <c r="D60" i="1"/>
  <c r="F60" i="1" s="1"/>
  <c r="D59" i="1"/>
  <c r="F59" i="1" s="1"/>
  <c r="D44" i="1"/>
  <c r="F44" i="1" s="1"/>
  <c r="D43" i="1"/>
  <c r="F43" i="1" s="1"/>
  <c r="D41" i="1"/>
  <c r="F41" i="1" s="1"/>
  <c r="D40" i="1"/>
  <c r="F40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0" i="1"/>
  <c r="F30" i="1" s="1"/>
  <c r="D29" i="1"/>
  <c r="F29" i="1" s="1"/>
  <c r="D28" i="1"/>
  <c r="F28" i="1" s="1"/>
  <c r="D27" i="1"/>
  <c r="F27" i="1" s="1"/>
  <c r="D26" i="1"/>
  <c r="F26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9" i="1"/>
  <c r="F9" i="1" s="1"/>
  <c r="D8" i="1"/>
  <c r="F8" i="1" s="1"/>
  <c r="D7" i="1"/>
  <c r="F7" i="1" s="1"/>
  <c r="D5" i="1"/>
  <c r="F5" i="1" s="1"/>
  <c r="D4" i="1"/>
  <c r="F4" i="1" s="1"/>
  <c r="D3" i="1"/>
  <c r="F3" i="1" s="1"/>
  <c r="D2" i="1"/>
  <c r="F2" i="1" s="1"/>
  <c r="A7" i="1"/>
  <c r="B22" i="4" l="1"/>
  <c r="D22" i="4" s="1"/>
  <c r="D37" i="23"/>
  <c r="D38" i="26" s="1"/>
  <c r="D40" i="23"/>
  <c r="D41" i="26" s="1"/>
  <c r="B22" i="3"/>
  <c r="D22" i="3" s="1"/>
  <c r="D42" i="23"/>
  <c r="D43" i="26" s="1"/>
  <c r="P8" i="3"/>
  <c r="F44" i="26"/>
  <c r="F35" i="26"/>
  <c r="D35" i="26"/>
  <c r="D26" i="26"/>
  <c r="F18" i="26"/>
  <c r="D18" i="26"/>
  <c r="D39" i="23"/>
  <c r="D40" i="26" s="1"/>
  <c r="F34" i="23"/>
  <c r="D34" i="23"/>
  <c r="C11" i="24" s="1"/>
  <c r="E11" i="24" s="1"/>
  <c r="F43" i="23"/>
  <c r="D25" i="23"/>
  <c r="C10" i="24" s="1"/>
  <c r="E10" i="24" s="1"/>
  <c r="F25" i="23"/>
  <c r="D17" i="23"/>
  <c r="C9" i="24" s="1"/>
  <c r="E9" i="24" s="1"/>
  <c r="F17" i="23"/>
  <c r="A28" i="5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P8" i="6"/>
  <c r="B22" i="14"/>
  <c r="D22" i="14" s="1"/>
  <c r="P8" i="14"/>
  <c r="B22" i="19"/>
  <c r="J22" i="19" s="1"/>
  <c r="P8" i="19"/>
  <c r="F309" i="1"/>
  <c r="G309" i="1" s="1"/>
  <c r="P5" i="16" s="1"/>
  <c r="F319" i="1"/>
  <c r="G319" i="1" s="1"/>
  <c r="P5" i="12" s="1"/>
  <c r="A30" i="22"/>
  <c r="A31" i="22" s="1"/>
  <c r="P8" i="11"/>
  <c r="A34" i="12"/>
  <c r="B22" i="12"/>
  <c r="P8" i="12"/>
  <c r="B22" i="22"/>
  <c r="P8" i="22"/>
  <c r="B22" i="18"/>
  <c r="L22" i="18" s="1"/>
  <c r="P8" i="18"/>
  <c r="B22" i="20"/>
  <c r="P8" i="20"/>
  <c r="B22" i="15"/>
  <c r="P8" i="15"/>
  <c r="B22" i="16"/>
  <c r="P8" i="16"/>
  <c r="B22" i="21"/>
  <c r="P8" i="21"/>
  <c r="B22" i="17"/>
  <c r="P8" i="17"/>
  <c r="B22" i="11"/>
  <c r="P8" i="10"/>
  <c r="J22" i="10"/>
  <c r="P8" i="9"/>
  <c r="L22" i="9"/>
  <c r="P8" i="8"/>
  <c r="J22" i="2"/>
  <c r="D22" i="2"/>
  <c r="P8" i="2"/>
  <c r="B22" i="7"/>
  <c r="P8" i="7"/>
  <c r="P8" i="4"/>
  <c r="J22" i="6"/>
  <c r="L22" i="6" s="1"/>
  <c r="D22" i="6"/>
  <c r="B22" i="5"/>
  <c r="P8" i="5"/>
  <c r="L22" i="3"/>
  <c r="N22" i="3" s="1"/>
  <c r="F302" i="1"/>
  <c r="G302" i="1" s="1"/>
  <c r="P5" i="9" s="1"/>
  <c r="F31" i="1"/>
  <c r="G31" i="1" s="1"/>
  <c r="P5" i="18" s="1"/>
  <c r="F312" i="1"/>
  <c r="G312" i="1" s="1"/>
  <c r="P5" i="15" s="1"/>
  <c r="F306" i="1"/>
  <c r="G306" i="1" s="1"/>
  <c r="P5" i="8" s="1"/>
  <c r="F294" i="1"/>
  <c r="G294" i="1" s="1"/>
  <c r="P5" i="6" s="1"/>
  <c r="F39" i="1"/>
  <c r="G39" i="1" s="1"/>
  <c r="P5" i="22" s="1"/>
  <c r="E323" i="1"/>
  <c r="F42" i="1"/>
  <c r="G42" i="1" s="1"/>
  <c r="P5" i="17" s="1"/>
  <c r="F298" i="1"/>
  <c r="G298" i="1" s="1"/>
  <c r="P5" i="10" s="1"/>
  <c r="F315" i="1"/>
  <c r="G315" i="1" s="1"/>
  <c r="P5" i="14" s="1"/>
  <c r="F10" i="1"/>
  <c r="G10" i="1" s="1"/>
  <c r="P5" i="20" s="1"/>
  <c r="F322" i="1"/>
  <c r="G322" i="1" s="1"/>
  <c r="P5" i="11" s="1"/>
  <c r="F6" i="1"/>
  <c r="F107" i="1"/>
  <c r="G107" i="1" s="1"/>
  <c r="P5" i="7" s="1"/>
  <c r="F181" i="1"/>
  <c r="G181" i="1" s="1"/>
  <c r="P5" i="2" s="1"/>
  <c r="F277" i="1"/>
  <c r="G277" i="1" s="1"/>
  <c r="P5" i="5" s="1"/>
  <c r="F88" i="1"/>
  <c r="G88" i="1" s="1"/>
  <c r="P5" i="4" s="1"/>
  <c r="F229" i="1"/>
  <c r="G229" i="1" s="1"/>
  <c r="P5" i="3" s="1"/>
  <c r="F25" i="1"/>
  <c r="G25" i="1" s="1"/>
  <c r="P5" i="19" s="1"/>
  <c r="J22" i="4" l="1"/>
  <c r="D44" i="26"/>
  <c r="D43" i="23"/>
  <c r="C12" i="24" s="1"/>
  <c r="C13" i="24" s="1"/>
  <c r="D22" i="19"/>
  <c r="F23" i="9"/>
  <c r="L23" i="9" s="1"/>
  <c r="N23" i="9"/>
  <c r="N22" i="6"/>
  <c r="B23" i="6"/>
  <c r="J22" i="14"/>
  <c r="L22" i="14" s="1"/>
  <c r="D22" i="12"/>
  <c r="J22" i="12"/>
  <c r="J22" i="22"/>
  <c r="D22" i="22"/>
  <c r="B23" i="18"/>
  <c r="D23" i="18" s="1"/>
  <c r="N22" i="18"/>
  <c r="D22" i="18"/>
  <c r="L22" i="19"/>
  <c r="J22" i="20"/>
  <c r="D22" i="20"/>
  <c r="J22" i="15"/>
  <c r="D22" i="15"/>
  <c r="D22" i="16"/>
  <c r="J22" i="16"/>
  <c r="J22" i="21"/>
  <c r="D22" i="21"/>
  <c r="D22" i="17"/>
  <c r="J22" i="17"/>
  <c r="D22" i="11"/>
  <c r="J22" i="11"/>
  <c r="L22" i="10"/>
  <c r="N22" i="9"/>
  <c r="D22" i="8"/>
  <c r="J22" i="8"/>
  <c r="L22" i="2"/>
  <c r="D22" i="7"/>
  <c r="J22" i="7"/>
  <c r="L22" i="4"/>
  <c r="D22" i="5"/>
  <c r="J22" i="5"/>
  <c r="B23" i="3"/>
  <c r="L23" i="3" s="1"/>
  <c r="F323" i="1"/>
  <c r="G323" i="1" s="1"/>
  <c r="G6" i="1"/>
  <c r="P5" i="21" s="1"/>
  <c r="E12" i="24" l="1"/>
  <c r="E13" i="24" s="1"/>
  <c r="F23" i="10"/>
  <c r="N23" i="10"/>
  <c r="J23" i="6"/>
  <c r="L23" i="6" s="1"/>
  <c r="D23" i="6"/>
  <c r="L22" i="12"/>
  <c r="L22" i="22"/>
  <c r="L23" i="18"/>
  <c r="B23" i="14"/>
  <c r="N22" i="14"/>
  <c r="B23" i="19"/>
  <c r="N22" i="19"/>
  <c r="L22" i="20"/>
  <c r="L22" i="15"/>
  <c r="L22" i="16"/>
  <c r="L22" i="21"/>
  <c r="L22" i="17"/>
  <c r="L22" i="11"/>
  <c r="N22" i="10"/>
  <c r="L22" i="8"/>
  <c r="B23" i="2"/>
  <c r="N22" i="2"/>
  <c r="L22" i="7"/>
  <c r="B23" i="4"/>
  <c r="N22" i="4"/>
  <c r="L22" i="5"/>
  <c r="B24" i="3"/>
  <c r="D24" i="3" s="1"/>
  <c r="N23" i="3"/>
  <c r="D23" i="3"/>
  <c r="F23" i="8" l="1"/>
  <c r="N23" i="8"/>
  <c r="N23" i="6"/>
  <c r="B24" i="6"/>
  <c r="B23" i="12"/>
  <c r="N22" i="12"/>
  <c r="B23" i="22"/>
  <c r="N22" i="22"/>
  <c r="B24" i="18"/>
  <c r="L24" i="18" s="1"/>
  <c r="N23" i="18"/>
  <c r="J23" i="14"/>
  <c r="D23" i="14"/>
  <c r="J23" i="19"/>
  <c r="D23" i="19"/>
  <c r="B23" i="20"/>
  <c r="N22" i="20"/>
  <c r="B23" i="15"/>
  <c r="N22" i="15"/>
  <c r="B23" i="16"/>
  <c r="N22" i="16"/>
  <c r="B23" i="21"/>
  <c r="N22" i="21"/>
  <c r="B23" i="17"/>
  <c r="N22" i="17"/>
  <c r="B23" i="11"/>
  <c r="N22" i="11"/>
  <c r="J23" i="10"/>
  <c r="N22" i="8"/>
  <c r="J23" i="2"/>
  <c r="D23" i="2"/>
  <c r="B23" i="7"/>
  <c r="N22" i="7"/>
  <c r="J23" i="4"/>
  <c r="D23" i="4"/>
  <c r="B23" i="5"/>
  <c r="N22" i="5"/>
  <c r="L24" i="3"/>
  <c r="J24" i="6" l="1"/>
  <c r="L24" i="6" s="1"/>
  <c r="D24" i="6"/>
  <c r="D23" i="12"/>
  <c r="J23" i="12"/>
  <c r="J23" i="22"/>
  <c r="L23" i="22" s="1"/>
  <c r="N23" i="22" s="1"/>
  <c r="D23" i="22"/>
  <c r="B25" i="18"/>
  <c r="D25" i="18" s="1"/>
  <c r="N24" i="18"/>
  <c r="D24" i="18"/>
  <c r="L23" i="14"/>
  <c r="L23" i="19"/>
  <c r="D23" i="20"/>
  <c r="J23" i="20"/>
  <c r="J23" i="15"/>
  <c r="D23" i="15"/>
  <c r="J23" i="16"/>
  <c r="D23" i="16"/>
  <c r="J23" i="21"/>
  <c r="D23" i="21"/>
  <c r="D23" i="17"/>
  <c r="J23" i="17"/>
  <c r="J23" i="11"/>
  <c r="L23" i="11" s="1"/>
  <c r="N23" i="11" s="1"/>
  <c r="D23" i="11"/>
  <c r="L23" i="10"/>
  <c r="J23" i="8"/>
  <c r="D23" i="8"/>
  <c r="L23" i="2"/>
  <c r="D23" i="7"/>
  <c r="J23" i="7"/>
  <c r="L23" i="4"/>
  <c r="J23" i="5"/>
  <c r="D23" i="5"/>
  <c r="B25" i="3"/>
  <c r="N24" i="3"/>
  <c r="B25" i="6" l="1"/>
  <c r="N24" i="6"/>
  <c r="L23" i="12"/>
  <c r="L25" i="18"/>
  <c r="B24" i="14"/>
  <c r="N23" i="14"/>
  <c r="B24" i="19"/>
  <c r="N23" i="19"/>
  <c r="L23" i="20"/>
  <c r="L23" i="15"/>
  <c r="L23" i="16"/>
  <c r="L23" i="21"/>
  <c r="L23" i="17"/>
  <c r="B24" i="2"/>
  <c r="N23" i="2"/>
  <c r="L23" i="7"/>
  <c r="B24" i="4"/>
  <c r="N23" i="4"/>
  <c r="L23" i="5"/>
  <c r="D25" i="3"/>
  <c r="L25" i="3"/>
  <c r="D25" i="6" l="1"/>
  <c r="J25" i="6"/>
  <c r="L25" i="6" s="1"/>
  <c r="B24" i="12"/>
  <c r="N23" i="12"/>
  <c r="B24" i="22"/>
  <c r="B26" i="18"/>
  <c r="N25" i="18"/>
  <c r="J24" i="14"/>
  <c r="D24" i="14"/>
  <c r="J24" i="19"/>
  <c r="D24" i="19"/>
  <c r="B24" i="20"/>
  <c r="N23" i="20"/>
  <c r="B24" i="15"/>
  <c r="N23" i="15"/>
  <c r="B24" i="16"/>
  <c r="N23" i="16"/>
  <c r="B24" i="21"/>
  <c r="N23" i="21"/>
  <c r="B24" i="17"/>
  <c r="N23" i="17"/>
  <c r="B24" i="11"/>
  <c r="J24" i="2"/>
  <c r="D24" i="2"/>
  <c r="B24" i="7"/>
  <c r="N23" i="7"/>
  <c r="J24" i="4"/>
  <c r="D24" i="4"/>
  <c r="B24" i="5"/>
  <c r="N23" i="5"/>
  <c r="B26" i="3"/>
  <c r="D26" i="3" s="1"/>
  <c r="N25" i="3"/>
  <c r="B26" i="6" l="1"/>
  <c r="N25" i="6"/>
  <c r="J24" i="12"/>
  <c r="D24" i="12"/>
  <c r="J24" i="22"/>
  <c r="L24" i="22" s="1"/>
  <c r="D24" i="22"/>
  <c r="D26" i="18"/>
  <c r="L26" i="18"/>
  <c r="L24" i="14"/>
  <c r="L24" i="19"/>
  <c r="J24" i="20"/>
  <c r="D24" i="20"/>
  <c r="J24" i="15"/>
  <c r="D24" i="15"/>
  <c r="J24" i="16"/>
  <c r="D24" i="16"/>
  <c r="J24" i="21"/>
  <c r="D24" i="21"/>
  <c r="J24" i="17"/>
  <c r="D24" i="17"/>
  <c r="D24" i="11"/>
  <c r="J24" i="11"/>
  <c r="L24" i="11" s="1"/>
  <c r="L24" i="2"/>
  <c r="J24" i="7"/>
  <c r="D24" i="7"/>
  <c r="L24" i="4"/>
  <c r="J24" i="5"/>
  <c r="D24" i="5"/>
  <c r="L26" i="3"/>
  <c r="N24" i="22" l="1"/>
  <c r="N24" i="11"/>
  <c r="J26" i="6"/>
  <c r="L26" i="6" s="1"/>
  <c r="D26" i="6"/>
  <c r="L24" i="12"/>
  <c r="B27" i="18"/>
  <c r="D27" i="18" s="1"/>
  <c r="N26" i="18"/>
  <c r="B25" i="14"/>
  <c r="N24" i="14"/>
  <c r="B25" i="19"/>
  <c r="N24" i="19"/>
  <c r="L24" i="20"/>
  <c r="L24" i="15"/>
  <c r="L24" i="16"/>
  <c r="L24" i="21"/>
  <c r="L24" i="17"/>
  <c r="B25" i="2"/>
  <c r="N24" i="2"/>
  <c r="L24" i="7"/>
  <c r="B25" i="4"/>
  <c r="N24" i="4"/>
  <c r="L24" i="5"/>
  <c r="B27" i="3"/>
  <c r="D27" i="3" s="1"/>
  <c r="N26" i="3"/>
  <c r="B27" i="6" l="1"/>
  <c r="N26" i="6"/>
  <c r="B25" i="12"/>
  <c r="N24" i="12"/>
  <c r="B25" i="22"/>
  <c r="L27" i="18"/>
  <c r="J25" i="14"/>
  <c r="D25" i="14"/>
  <c r="J25" i="19"/>
  <c r="D25" i="19"/>
  <c r="B25" i="20"/>
  <c r="N24" i="20"/>
  <c r="B25" i="15"/>
  <c r="N24" i="15"/>
  <c r="B25" i="16"/>
  <c r="N24" i="16"/>
  <c r="B25" i="21"/>
  <c r="N24" i="21"/>
  <c r="B25" i="17"/>
  <c r="N24" i="17"/>
  <c r="B25" i="11"/>
  <c r="J25" i="2"/>
  <c r="D25" i="2"/>
  <c r="B25" i="7"/>
  <c r="N24" i="7"/>
  <c r="J25" i="4"/>
  <c r="D25" i="4"/>
  <c r="B25" i="5"/>
  <c r="N24" i="5"/>
  <c r="L27" i="3"/>
  <c r="J27" i="6" l="1"/>
  <c r="L27" i="6" s="1"/>
  <c r="D27" i="6"/>
  <c r="D25" i="12"/>
  <c r="J25" i="12"/>
  <c r="D25" i="22"/>
  <c r="J25" i="22"/>
  <c r="L25" i="22" s="1"/>
  <c r="B28" i="18"/>
  <c r="D28" i="18" s="1"/>
  <c r="N27" i="18"/>
  <c r="J37" i="14"/>
  <c r="L25" i="14"/>
  <c r="J35" i="19"/>
  <c r="L25" i="19"/>
  <c r="J25" i="20"/>
  <c r="D25" i="20"/>
  <c r="J25" i="15"/>
  <c r="D25" i="15"/>
  <c r="J25" i="16"/>
  <c r="D25" i="16"/>
  <c r="J25" i="21"/>
  <c r="D25" i="21"/>
  <c r="J25" i="17"/>
  <c r="D25" i="17"/>
  <c r="D25" i="11"/>
  <c r="J25" i="11"/>
  <c r="L25" i="11" s="1"/>
  <c r="J26" i="10"/>
  <c r="J50" i="2"/>
  <c r="L25" i="2"/>
  <c r="D25" i="7"/>
  <c r="J25" i="7"/>
  <c r="J49" i="4"/>
  <c r="L25" i="4"/>
  <c r="J25" i="5"/>
  <c r="D25" i="5"/>
  <c r="B28" i="3"/>
  <c r="D28" i="3" s="1"/>
  <c r="N27" i="3"/>
  <c r="L28" i="18" l="1"/>
  <c r="N25" i="22"/>
  <c r="N25" i="11"/>
  <c r="B28" i="6"/>
  <c r="N27" i="6"/>
  <c r="L28" i="3"/>
  <c r="B29" i="3" s="1"/>
  <c r="D29" i="3" s="1"/>
  <c r="J36" i="12"/>
  <c r="L25" i="12"/>
  <c r="J34" i="22"/>
  <c r="B29" i="18"/>
  <c r="L29" i="18" s="1"/>
  <c r="N29" i="18" s="1"/>
  <c r="N28" i="18"/>
  <c r="B26" i="14"/>
  <c r="L26" i="14" s="1"/>
  <c r="N25" i="14"/>
  <c r="B26" i="19"/>
  <c r="L26" i="19" s="1"/>
  <c r="N25" i="19"/>
  <c r="J34" i="20"/>
  <c r="L25" i="20"/>
  <c r="J36" i="15"/>
  <c r="L25" i="15"/>
  <c r="J36" i="16"/>
  <c r="L25" i="16"/>
  <c r="J34" i="21"/>
  <c r="L25" i="21"/>
  <c r="J33" i="17"/>
  <c r="L25" i="17"/>
  <c r="J37" i="11"/>
  <c r="D26" i="9"/>
  <c r="B26" i="9"/>
  <c r="J25" i="8"/>
  <c r="B26" i="2"/>
  <c r="D26" i="2" s="1"/>
  <c r="N25" i="2"/>
  <c r="J49" i="7"/>
  <c r="L25" i="7"/>
  <c r="B26" i="4"/>
  <c r="D26" i="4" s="1"/>
  <c r="N25" i="4"/>
  <c r="L25" i="5"/>
  <c r="B26" i="5" l="1"/>
  <c r="D28" i="6"/>
  <c r="J28" i="6"/>
  <c r="L28" i="6" s="1"/>
  <c r="N28" i="3"/>
  <c r="L29" i="3"/>
  <c r="N29" i="3" s="1"/>
  <c r="B26" i="12"/>
  <c r="L26" i="12" s="1"/>
  <c r="N25" i="12"/>
  <c r="B26" i="22"/>
  <c r="L26" i="22" s="1"/>
  <c r="L30" i="18"/>
  <c r="N30" i="18" s="1"/>
  <c r="D29" i="18"/>
  <c r="D35" i="18" s="1"/>
  <c r="B35" i="18"/>
  <c r="B27" i="14"/>
  <c r="D27" i="14" s="1"/>
  <c r="N26" i="14"/>
  <c r="D26" i="14"/>
  <c r="B27" i="19"/>
  <c r="D27" i="19" s="1"/>
  <c r="N26" i="19"/>
  <c r="D26" i="19"/>
  <c r="B26" i="20"/>
  <c r="L26" i="20"/>
  <c r="N25" i="20"/>
  <c r="B26" i="15"/>
  <c r="L26" i="15" s="1"/>
  <c r="N26" i="15" s="1"/>
  <c r="N25" i="15"/>
  <c r="B26" i="16"/>
  <c r="N25" i="16"/>
  <c r="B26" i="21"/>
  <c r="L26" i="21" s="1"/>
  <c r="N25" i="21"/>
  <c r="B26" i="17"/>
  <c r="L26" i="17" s="1"/>
  <c r="N25" i="17"/>
  <c r="B26" i="11"/>
  <c r="L26" i="11" s="1"/>
  <c r="L26" i="2"/>
  <c r="B26" i="7"/>
  <c r="L26" i="7" s="1"/>
  <c r="N26" i="7" s="1"/>
  <c r="N25" i="7"/>
  <c r="L26" i="4"/>
  <c r="N25" i="5"/>
  <c r="J26" i="5" l="1"/>
  <c r="L26" i="5" s="1"/>
  <c r="D26" i="5"/>
  <c r="N26" i="22"/>
  <c r="N26" i="11"/>
  <c r="B29" i="6"/>
  <c r="N28" i="6"/>
  <c r="B30" i="3"/>
  <c r="D30" i="3" s="1"/>
  <c r="B27" i="12"/>
  <c r="D27" i="12" s="1"/>
  <c r="N26" i="12"/>
  <c r="D26" i="12"/>
  <c r="D26" i="22"/>
  <c r="L31" i="18"/>
  <c r="L27" i="14"/>
  <c r="L27" i="19"/>
  <c r="B27" i="20"/>
  <c r="D27" i="20" s="1"/>
  <c r="N26" i="20"/>
  <c r="D26" i="20"/>
  <c r="D26" i="15"/>
  <c r="B27" i="15"/>
  <c r="D27" i="15" s="1"/>
  <c r="D26" i="16"/>
  <c r="L26" i="16"/>
  <c r="B27" i="21"/>
  <c r="D27" i="21" s="1"/>
  <c r="N26" i="21"/>
  <c r="D26" i="21"/>
  <c r="B27" i="17"/>
  <c r="D27" i="17" s="1"/>
  <c r="N26" i="17"/>
  <c r="D26" i="17"/>
  <c r="D26" i="11"/>
  <c r="D25" i="8"/>
  <c r="B25" i="8"/>
  <c r="B27" i="2"/>
  <c r="D27" i="2" s="1"/>
  <c r="N26" i="2"/>
  <c r="B27" i="7"/>
  <c r="D27" i="7" s="1"/>
  <c r="D26" i="7"/>
  <c r="B27" i="4"/>
  <c r="D27" i="4" s="1"/>
  <c r="N26" i="4"/>
  <c r="L30" i="3" l="1"/>
  <c r="N30" i="3" s="1"/>
  <c r="B27" i="5"/>
  <c r="N26" i="5"/>
  <c r="N31" i="18"/>
  <c r="N32" i="18"/>
  <c r="L27" i="4"/>
  <c r="B28" i="4" s="1"/>
  <c r="D28" i="4" s="1"/>
  <c r="J29" i="6"/>
  <c r="L29" i="6" s="1"/>
  <c r="D29" i="6"/>
  <c r="B27" i="11"/>
  <c r="L27" i="11" s="1"/>
  <c r="L27" i="12"/>
  <c r="B27" i="22"/>
  <c r="L27" i="22" s="1"/>
  <c r="F32" i="18"/>
  <c r="L32" i="18" s="1"/>
  <c r="B28" i="14"/>
  <c r="D28" i="14" s="1"/>
  <c r="N27" i="14"/>
  <c r="B28" i="19"/>
  <c r="D28" i="19" s="1"/>
  <c r="N27" i="19"/>
  <c r="L27" i="20"/>
  <c r="L27" i="15"/>
  <c r="B27" i="16"/>
  <c r="D27" i="16" s="1"/>
  <c r="N26" i="16"/>
  <c r="L27" i="21"/>
  <c r="L27" i="17"/>
  <c r="L27" i="2"/>
  <c r="L27" i="7"/>
  <c r="B31" i="3" l="1"/>
  <c r="D31" i="3" s="1"/>
  <c r="D27" i="5"/>
  <c r="J27" i="5"/>
  <c r="L27" i="5" s="1"/>
  <c r="N27" i="4"/>
  <c r="N27" i="22"/>
  <c r="B28" i="22"/>
  <c r="D28" i="22" s="1"/>
  <c r="N27" i="11"/>
  <c r="B30" i="6"/>
  <c r="N29" i="6"/>
  <c r="B28" i="17"/>
  <c r="B28" i="12"/>
  <c r="D27" i="11"/>
  <c r="N27" i="12"/>
  <c r="D27" i="22"/>
  <c r="H32" i="18"/>
  <c r="H35" i="18" s="1"/>
  <c r="F35" i="18"/>
  <c r="L28" i="14"/>
  <c r="L28" i="19"/>
  <c r="B28" i="20"/>
  <c r="D28" i="20" s="1"/>
  <c r="N27" i="20"/>
  <c r="B28" i="15"/>
  <c r="D28" i="15" s="1"/>
  <c r="N27" i="15"/>
  <c r="L27" i="16"/>
  <c r="B28" i="21"/>
  <c r="D28" i="21" s="1"/>
  <c r="N27" i="21"/>
  <c r="N27" i="17"/>
  <c r="H26" i="9"/>
  <c r="F26" i="9"/>
  <c r="B28" i="2"/>
  <c r="D28" i="2" s="1"/>
  <c r="N27" i="2"/>
  <c r="B28" i="7"/>
  <c r="D28" i="7" s="1"/>
  <c r="N27" i="7"/>
  <c r="L28" i="4"/>
  <c r="L31" i="3" l="1"/>
  <c r="B32" i="3" s="1"/>
  <c r="D32" i="3" s="1"/>
  <c r="L28" i="2"/>
  <c r="B29" i="2" s="1"/>
  <c r="D29" i="2" s="1"/>
  <c r="L28" i="15"/>
  <c r="B29" i="15" s="1"/>
  <c r="D29" i="15" s="1"/>
  <c r="L28" i="7"/>
  <c r="B29" i="7" s="1"/>
  <c r="D29" i="7" s="1"/>
  <c r="B28" i="5"/>
  <c r="N27" i="5"/>
  <c r="L28" i="22"/>
  <c r="B29" i="22" s="1"/>
  <c r="J30" i="6"/>
  <c r="L30" i="6" s="1"/>
  <c r="N30" i="6" s="1"/>
  <c r="D30" i="6"/>
  <c r="L28" i="17"/>
  <c r="D28" i="17"/>
  <c r="L28" i="20"/>
  <c r="D28" i="12"/>
  <c r="L28" i="12"/>
  <c r="B28" i="11"/>
  <c r="L28" i="11" s="1"/>
  <c r="P4" i="18"/>
  <c r="B29" i="14"/>
  <c r="D29" i="14" s="1"/>
  <c r="N28" i="14"/>
  <c r="B29" i="19"/>
  <c r="D29" i="19" s="1"/>
  <c r="N28" i="19"/>
  <c r="B28" i="16"/>
  <c r="D28" i="16" s="1"/>
  <c r="N27" i="16"/>
  <c r="L28" i="21"/>
  <c r="P4" i="9"/>
  <c r="B29" i="4"/>
  <c r="D29" i="4" s="1"/>
  <c r="N28" i="4"/>
  <c r="N28" i="7" l="1"/>
  <c r="N31" i="3"/>
  <c r="N28" i="15"/>
  <c r="N28" i="2"/>
  <c r="B31" i="6"/>
  <c r="D31" i="6" s="1"/>
  <c r="L29" i="7"/>
  <c r="N29" i="7" s="1"/>
  <c r="J28" i="5"/>
  <c r="L28" i="5" s="1"/>
  <c r="D28" i="5"/>
  <c r="L29" i="22"/>
  <c r="N29" i="22" s="1"/>
  <c r="N28" i="22"/>
  <c r="D29" i="22"/>
  <c r="D34" i="22" s="1"/>
  <c r="B34" i="22"/>
  <c r="N28" i="11"/>
  <c r="L29" i="15"/>
  <c r="B30" i="15" s="1"/>
  <c r="D30" i="15" s="1"/>
  <c r="L29" i="4"/>
  <c r="N29" i="4" s="1"/>
  <c r="L32" i="3"/>
  <c r="B29" i="17"/>
  <c r="L29" i="17" s="1"/>
  <c r="N29" i="17" s="1"/>
  <c r="N28" i="17"/>
  <c r="B29" i="20"/>
  <c r="D29" i="20" s="1"/>
  <c r="N28" i="20"/>
  <c r="N28" i="12"/>
  <c r="B29" i="12"/>
  <c r="B29" i="11"/>
  <c r="D29" i="11" s="1"/>
  <c r="D28" i="11"/>
  <c r="L29" i="14"/>
  <c r="L29" i="19"/>
  <c r="L28" i="16"/>
  <c r="B29" i="21"/>
  <c r="D29" i="21" s="1"/>
  <c r="N28" i="21"/>
  <c r="L29" i="2"/>
  <c r="B30" i="7"/>
  <c r="D30" i="7" s="1"/>
  <c r="J31" i="6" l="1"/>
  <c r="L31" i="6" s="1"/>
  <c r="B29" i="5"/>
  <c r="N28" i="5"/>
  <c r="L30" i="22"/>
  <c r="N30" i="22" s="1"/>
  <c r="L29" i="11"/>
  <c r="N29" i="15"/>
  <c r="B30" i="4"/>
  <c r="D30" i="4" s="1"/>
  <c r="B33" i="3"/>
  <c r="D33" i="3" s="1"/>
  <c r="N32" i="3"/>
  <c r="D29" i="17"/>
  <c r="L29" i="20"/>
  <c r="L29" i="12"/>
  <c r="D29" i="12"/>
  <c r="F32" i="22"/>
  <c r="B30" i="14"/>
  <c r="D30" i="14" s="1"/>
  <c r="N29" i="14"/>
  <c r="N29" i="19"/>
  <c r="L30" i="15"/>
  <c r="B29" i="16"/>
  <c r="D29" i="16" s="1"/>
  <c r="N28" i="16"/>
  <c r="L29" i="21"/>
  <c r="H25" i="8"/>
  <c r="B30" i="2"/>
  <c r="D30" i="2" s="1"/>
  <c r="N29" i="2"/>
  <c r="L30" i="7"/>
  <c r="L33" i="3" l="1"/>
  <c r="N33" i="3" s="1"/>
  <c r="D29" i="5"/>
  <c r="J29" i="5"/>
  <c r="L29" i="5" s="1"/>
  <c r="L30" i="4"/>
  <c r="N30" i="4" s="1"/>
  <c r="L31" i="22"/>
  <c r="N29" i="11"/>
  <c r="B32" i="6"/>
  <c r="N31" i="6"/>
  <c r="L29" i="16"/>
  <c r="N29" i="16" s="1"/>
  <c r="L30" i="17"/>
  <c r="N29" i="20"/>
  <c r="B30" i="12"/>
  <c r="N29" i="12"/>
  <c r="B30" i="11"/>
  <c r="L30" i="11" s="1"/>
  <c r="F34" i="22"/>
  <c r="H32" i="22"/>
  <c r="H34" i="22" s="1"/>
  <c r="N35" i="18"/>
  <c r="L30" i="14"/>
  <c r="L30" i="19"/>
  <c r="B31" i="15"/>
  <c r="D31" i="15" s="1"/>
  <c r="N30" i="15"/>
  <c r="N29" i="21"/>
  <c r="N26" i="9"/>
  <c r="L30" i="2"/>
  <c r="B31" i="7"/>
  <c r="D31" i="7" s="1"/>
  <c r="N30" i="7"/>
  <c r="B34" i="3" l="1"/>
  <c r="D34" i="3" s="1"/>
  <c r="B31" i="4"/>
  <c r="D31" i="4" s="1"/>
  <c r="L31" i="7"/>
  <c r="N31" i="7" s="1"/>
  <c r="N31" i="22"/>
  <c r="N32" i="22"/>
  <c r="B30" i="5"/>
  <c r="N29" i="5"/>
  <c r="B30" i="16"/>
  <c r="D30" i="16" s="1"/>
  <c r="L32" i="22"/>
  <c r="N30" i="11"/>
  <c r="D32" i="6"/>
  <c r="J32" i="6"/>
  <c r="L31" i="15"/>
  <c r="L31" i="17"/>
  <c r="N30" i="17"/>
  <c r="L30" i="20"/>
  <c r="L30" i="21"/>
  <c r="N30" i="21" s="1"/>
  <c r="D30" i="12"/>
  <c r="L30" i="12"/>
  <c r="B31" i="11"/>
  <c r="D31" i="11" s="1"/>
  <c r="D30" i="11"/>
  <c r="P4" i="22"/>
  <c r="P6" i="18"/>
  <c r="P7" i="18" s="1"/>
  <c r="P12" i="18"/>
  <c r="B31" i="14"/>
  <c r="D31" i="14" s="1"/>
  <c r="N30" i="14"/>
  <c r="N30" i="19"/>
  <c r="P6" i="9"/>
  <c r="P7" i="9" s="1"/>
  <c r="P12" i="9"/>
  <c r="B31" i="2"/>
  <c r="D31" i="2" s="1"/>
  <c r="N30" i="2"/>
  <c r="L34" i="3" l="1"/>
  <c r="B35" i="3" s="1"/>
  <c r="D35" i="3" s="1"/>
  <c r="L31" i="4"/>
  <c r="N31" i="4" s="1"/>
  <c r="J32" i="26"/>
  <c r="B32" i="7"/>
  <c r="D32" i="7" s="1"/>
  <c r="J16" i="26"/>
  <c r="L30" i="16"/>
  <c r="N30" i="16" s="1"/>
  <c r="F32" i="17"/>
  <c r="H32" i="17" s="1"/>
  <c r="H33" i="17" s="1"/>
  <c r="N32" i="17"/>
  <c r="J30" i="5"/>
  <c r="L30" i="5" s="1"/>
  <c r="D30" i="5"/>
  <c r="N34" i="22"/>
  <c r="P6" i="22" s="1"/>
  <c r="P7" i="22" s="1"/>
  <c r="L31" i="11"/>
  <c r="N31" i="15"/>
  <c r="L32" i="6"/>
  <c r="L31" i="19"/>
  <c r="N32" i="19" s="1"/>
  <c r="N31" i="17"/>
  <c r="N30" i="20"/>
  <c r="N30" i="12"/>
  <c r="B31" i="12"/>
  <c r="L31" i="12" s="1"/>
  <c r="N31" i="12" s="1"/>
  <c r="P22" i="18"/>
  <c r="R22" i="18" s="1"/>
  <c r="P23" i="18"/>
  <c r="P24" i="18"/>
  <c r="P25" i="18"/>
  <c r="P26" i="18"/>
  <c r="P27" i="18"/>
  <c r="P29" i="18"/>
  <c r="P28" i="18"/>
  <c r="P30" i="18"/>
  <c r="P31" i="18"/>
  <c r="P32" i="18"/>
  <c r="P9" i="18"/>
  <c r="P13" i="18"/>
  <c r="P14" i="18" s="1"/>
  <c r="L31" i="14"/>
  <c r="L32" i="15"/>
  <c r="P22" i="9"/>
  <c r="R22" i="9" s="1"/>
  <c r="P23" i="9"/>
  <c r="P9" i="9"/>
  <c r="H16" i="26" s="1"/>
  <c r="P13" i="9"/>
  <c r="P14" i="9" s="1"/>
  <c r="L31" i="2"/>
  <c r="N34" i="3" l="1"/>
  <c r="L35" i="3"/>
  <c r="L32" i="7"/>
  <c r="B33" i="7" s="1"/>
  <c r="D33" i="7" s="1"/>
  <c r="B32" i="4"/>
  <c r="D32" i="4" s="1"/>
  <c r="J15" i="23"/>
  <c r="B31" i="16"/>
  <c r="D31" i="16" s="1"/>
  <c r="J31" i="23"/>
  <c r="L32" i="17"/>
  <c r="F33" i="17"/>
  <c r="P9" i="22"/>
  <c r="P13" i="22"/>
  <c r="B31" i="5"/>
  <c r="N30" i="5"/>
  <c r="H41" i="26"/>
  <c r="H32" i="26"/>
  <c r="P12" i="22"/>
  <c r="N31" i="19"/>
  <c r="F32" i="19"/>
  <c r="H32" i="19" s="1"/>
  <c r="L31" i="21"/>
  <c r="L32" i="11"/>
  <c r="N32" i="11" s="1"/>
  <c r="N31" i="11"/>
  <c r="B33" i="6"/>
  <c r="N32" i="6"/>
  <c r="B33" i="17"/>
  <c r="D33" i="17"/>
  <c r="N33" i="17"/>
  <c r="P6" i="17" s="1"/>
  <c r="P7" i="17" s="1"/>
  <c r="L31" i="20"/>
  <c r="D31" i="12"/>
  <c r="R23" i="18"/>
  <c r="R24" i="18" s="1"/>
  <c r="R25" i="18" s="1"/>
  <c r="R26" i="18" s="1"/>
  <c r="R27" i="18" s="1"/>
  <c r="R28" i="18" s="1"/>
  <c r="R29" i="18" s="1"/>
  <c r="R30" i="18" s="1"/>
  <c r="R31" i="18" s="1"/>
  <c r="R32" i="18" s="1"/>
  <c r="L32" i="14"/>
  <c r="N31" i="14"/>
  <c r="N32" i="15"/>
  <c r="R23" i="9"/>
  <c r="B32" i="2"/>
  <c r="D32" i="2" s="1"/>
  <c r="N31" i="2"/>
  <c r="N32" i="7" l="1"/>
  <c r="N35" i="3"/>
  <c r="B36" i="3"/>
  <c r="D36" i="3" s="1"/>
  <c r="L31" i="16"/>
  <c r="N31" i="16" s="1"/>
  <c r="L32" i="4"/>
  <c r="B33" i="4" s="1"/>
  <c r="D33" i="4" s="1"/>
  <c r="L32" i="19"/>
  <c r="L32" i="2"/>
  <c r="B33" i="2" s="1"/>
  <c r="D33" i="2" s="1"/>
  <c r="J33" i="26"/>
  <c r="P14" i="22"/>
  <c r="H33" i="26"/>
  <c r="H42" i="26"/>
  <c r="D31" i="5"/>
  <c r="J31" i="5"/>
  <c r="L31" i="5" s="1"/>
  <c r="F32" i="20"/>
  <c r="H32" i="20" s="1"/>
  <c r="N32" i="20"/>
  <c r="F32" i="21"/>
  <c r="H32" i="21" s="1"/>
  <c r="N32" i="21"/>
  <c r="P23" i="22"/>
  <c r="P24" i="22"/>
  <c r="P25" i="22"/>
  <c r="P26" i="22"/>
  <c r="P27" i="22"/>
  <c r="P29" i="22"/>
  <c r="P28" i="22"/>
  <c r="P30" i="22"/>
  <c r="P31" i="22"/>
  <c r="P32" i="22"/>
  <c r="P22" i="22"/>
  <c r="R22" i="22" s="1"/>
  <c r="N31" i="21"/>
  <c r="L33" i="11"/>
  <c r="D33" i="6"/>
  <c r="J33" i="6"/>
  <c r="L32" i="12"/>
  <c r="N32" i="12" s="1"/>
  <c r="P4" i="17"/>
  <c r="P12" i="17"/>
  <c r="N31" i="20"/>
  <c r="N32" i="14"/>
  <c r="L33" i="15"/>
  <c r="N34" i="15" s="1"/>
  <c r="L33" i="7"/>
  <c r="L32" i="16" l="1"/>
  <c r="N32" i="16" s="1"/>
  <c r="L36" i="3"/>
  <c r="N32" i="4"/>
  <c r="L33" i="4"/>
  <c r="B34" i="4" s="1"/>
  <c r="D34" i="4" s="1"/>
  <c r="N32" i="2"/>
  <c r="J34" i="26"/>
  <c r="J32" i="23"/>
  <c r="L32" i="21"/>
  <c r="N34" i="11"/>
  <c r="F34" i="11"/>
  <c r="P13" i="17"/>
  <c r="P14" i="17" s="1"/>
  <c r="R23" i="22"/>
  <c r="R24" i="22" s="1"/>
  <c r="R25" i="22" s="1"/>
  <c r="R26" i="22" s="1"/>
  <c r="R27" i="22" s="1"/>
  <c r="R28" i="22" s="1"/>
  <c r="R29" i="22" s="1"/>
  <c r="R30" i="22" s="1"/>
  <c r="R31" i="22" s="1"/>
  <c r="R32" i="22" s="1"/>
  <c r="B32" i="5"/>
  <c r="N31" i="5"/>
  <c r="N33" i="11"/>
  <c r="F34" i="15"/>
  <c r="H34" i="15" s="1"/>
  <c r="L33" i="6"/>
  <c r="L33" i="2"/>
  <c r="B34" i="2" s="1"/>
  <c r="D34" i="2" s="1"/>
  <c r="L33" i="14"/>
  <c r="N34" i="14" s="1"/>
  <c r="P27" i="17"/>
  <c r="P28" i="17"/>
  <c r="P29" i="17"/>
  <c r="P22" i="17"/>
  <c r="R22" i="17" s="1"/>
  <c r="P30" i="17"/>
  <c r="P23" i="17"/>
  <c r="P24" i="17"/>
  <c r="P25" i="17"/>
  <c r="P26" i="17"/>
  <c r="P32" i="17"/>
  <c r="P31" i="17"/>
  <c r="P9" i="17"/>
  <c r="L32" i="20"/>
  <c r="N33" i="14"/>
  <c r="D36" i="12"/>
  <c r="B36" i="12"/>
  <c r="L33" i="12"/>
  <c r="N34" i="12" s="1"/>
  <c r="N33" i="15"/>
  <c r="B34" i="7"/>
  <c r="D34" i="7" s="1"/>
  <c r="N33" i="7"/>
  <c r="N36" i="3" l="1"/>
  <c r="B37" i="3"/>
  <c r="D37" i="3" s="1"/>
  <c r="L37" i="3"/>
  <c r="J33" i="23"/>
  <c r="N33" i="4"/>
  <c r="F34" i="14"/>
  <c r="H34" i="14" s="1"/>
  <c r="N33" i="2"/>
  <c r="F37" i="11"/>
  <c r="H34" i="11"/>
  <c r="H37" i="11" s="1"/>
  <c r="H34" i="26"/>
  <c r="H43" i="26"/>
  <c r="J32" i="5"/>
  <c r="L32" i="5" s="1"/>
  <c r="D32" i="5"/>
  <c r="B34" i="6"/>
  <c r="N33" i="6"/>
  <c r="R23" i="17"/>
  <c r="R24" i="17" s="1"/>
  <c r="R25" i="17" s="1"/>
  <c r="R26" i="17" s="1"/>
  <c r="R27" i="17" s="1"/>
  <c r="R28" i="17" s="1"/>
  <c r="R29" i="17" s="1"/>
  <c r="R30" i="17" s="1"/>
  <c r="R31" i="17" s="1"/>
  <c r="R32" i="17" s="1"/>
  <c r="N33" i="12"/>
  <c r="F34" i="12"/>
  <c r="N37" i="11"/>
  <c r="P6" i="11" s="1"/>
  <c r="P7" i="11" s="1"/>
  <c r="D37" i="11"/>
  <c r="B37" i="11"/>
  <c r="L34" i="15"/>
  <c r="L33" i="16"/>
  <c r="L34" i="2"/>
  <c r="L34" i="7"/>
  <c r="L34" i="4"/>
  <c r="N37" i="3" l="1"/>
  <c r="B38" i="3"/>
  <c r="P34" i="11"/>
  <c r="L34" i="14"/>
  <c r="B33" i="5"/>
  <c r="N32" i="5"/>
  <c r="F34" i="16"/>
  <c r="H34" i="16" s="1"/>
  <c r="N34" i="16"/>
  <c r="J34" i="6"/>
  <c r="L34" i="6" s="1"/>
  <c r="D34" i="6"/>
  <c r="H34" i="12"/>
  <c r="H36" i="12" s="1"/>
  <c r="F36" i="12"/>
  <c r="N36" i="12"/>
  <c r="P6" i="12" s="1"/>
  <c r="P7" i="12" s="1"/>
  <c r="P4" i="11"/>
  <c r="N33" i="16"/>
  <c r="B35" i="2"/>
  <c r="D35" i="2" s="1"/>
  <c r="N34" i="2"/>
  <c r="B35" i="7"/>
  <c r="D35" i="7" s="1"/>
  <c r="N34" i="7"/>
  <c r="B35" i="4"/>
  <c r="D35" i="4" s="1"/>
  <c r="N34" i="4"/>
  <c r="D38" i="3" l="1"/>
  <c r="L38" i="3"/>
  <c r="P31" i="11"/>
  <c r="P32" i="11"/>
  <c r="P30" i="11"/>
  <c r="P29" i="11"/>
  <c r="P28" i="11"/>
  <c r="P27" i="11"/>
  <c r="P26" i="11"/>
  <c r="P25" i="11"/>
  <c r="L35" i="2"/>
  <c r="B36" i="2" s="1"/>
  <c r="D36" i="2" s="1"/>
  <c r="P23" i="11"/>
  <c r="P24" i="11"/>
  <c r="P33" i="11"/>
  <c r="J25" i="26"/>
  <c r="P22" i="11"/>
  <c r="R22" i="11" s="1"/>
  <c r="J33" i="5"/>
  <c r="L33" i="5" s="1"/>
  <c r="D33" i="5"/>
  <c r="B35" i="6"/>
  <c r="N34" i="6"/>
  <c r="P4" i="12"/>
  <c r="P12" i="12"/>
  <c r="P9" i="11"/>
  <c r="H25" i="26" s="1"/>
  <c r="L34" i="16"/>
  <c r="L35" i="7"/>
  <c r="L35" i="4"/>
  <c r="N38" i="3" l="1"/>
  <c r="B39" i="3"/>
  <c r="N35" i="2"/>
  <c r="J24" i="23"/>
  <c r="R23" i="11"/>
  <c r="R24" i="11" s="1"/>
  <c r="R25" i="11" s="1"/>
  <c r="R26" i="11" s="1"/>
  <c r="R27" i="11" s="1"/>
  <c r="R28" i="11" s="1"/>
  <c r="R29" i="11" s="1"/>
  <c r="R30" i="11" s="1"/>
  <c r="R31" i="11" s="1"/>
  <c r="R32" i="11" s="1"/>
  <c r="R33" i="11" s="1"/>
  <c r="R34" i="11" s="1"/>
  <c r="J24" i="26"/>
  <c r="P13" i="12"/>
  <c r="P14" i="12" s="1"/>
  <c r="B34" i="5"/>
  <c r="N33" i="5"/>
  <c r="L36" i="2"/>
  <c r="J35" i="6"/>
  <c r="L35" i="6" s="1"/>
  <c r="D35" i="6"/>
  <c r="P22" i="12"/>
  <c r="R22" i="12" s="1"/>
  <c r="P23" i="12"/>
  <c r="P24" i="12"/>
  <c r="P25" i="12"/>
  <c r="P26" i="12"/>
  <c r="P28" i="12"/>
  <c r="P27" i="12"/>
  <c r="P29" i="12"/>
  <c r="P31" i="12"/>
  <c r="P30" i="12"/>
  <c r="P32" i="12"/>
  <c r="P34" i="12"/>
  <c r="P33" i="12"/>
  <c r="P9" i="12"/>
  <c r="H24" i="26" s="1"/>
  <c r="B36" i="7"/>
  <c r="D36" i="7" s="1"/>
  <c r="N35" i="7"/>
  <c r="B36" i="4"/>
  <c r="D36" i="4" s="1"/>
  <c r="N35" i="4"/>
  <c r="D39" i="3" l="1"/>
  <c r="L39" i="3"/>
  <c r="J23" i="23"/>
  <c r="B37" i="2"/>
  <c r="D37" i="2" s="1"/>
  <c r="J34" i="5"/>
  <c r="L34" i="5" s="1"/>
  <c r="D34" i="5"/>
  <c r="N36" i="2"/>
  <c r="L36" i="4"/>
  <c r="B37" i="4" s="1"/>
  <c r="D37" i="4" s="1"/>
  <c r="L36" i="7"/>
  <c r="N36" i="7" s="1"/>
  <c r="B36" i="6"/>
  <c r="N35" i="6"/>
  <c r="R23" i="12"/>
  <c r="R24" i="12" s="1"/>
  <c r="R25" i="12" s="1"/>
  <c r="R26" i="12" s="1"/>
  <c r="R27" i="12" s="1"/>
  <c r="R28" i="12" s="1"/>
  <c r="R29" i="12" s="1"/>
  <c r="R30" i="12" s="1"/>
  <c r="R31" i="12" s="1"/>
  <c r="R32" i="12" s="1"/>
  <c r="R33" i="12" s="1"/>
  <c r="R34" i="12" s="1"/>
  <c r="N39" i="3" l="1"/>
  <c r="B40" i="3"/>
  <c r="D40" i="3" s="1"/>
  <c r="L37" i="2"/>
  <c r="B35" i="5"/>
  <c r="N34" i="5"/>
  <c r="B37" i="7"/>
  <c r="D37" i="7" s="1"/>
  <c r="N36" i="4"/>
  <c r="L37" i="4"/>
  <c r="N37" i="4" s="1"/>
  <c r="D36" i="6"/>
  <c r="J36" i="6"/>
  <c r="L36" i="6" s="1"/>
  <c r="L40" i="3" l="1"/>
  <c r="B38" i="2"/>
  <c r="N37" i="2"/>
  <c r="J35" i="5"/>
  <c r="L35" i="5" s="1"/>
  <c r="D35" i="5"/>
  <c r="L37" i="7"/>
  <c r="B38" i="4"/>
  <c r="D38" i="4" s="1"/>
  <c r="B37" i="6"/>
  <c r="N36" i="6"/>
  <c r="N40" i="3" l="1"/>
  <c r="B41" i="3"/>
  <c r="D41" i="3" s="1"/>
  <c r="D38" i="2"/>
  <c r="L38" i="2"/>
  <c r="B36" i="5"/>
  <c r="N35" i="5"/>
  <c r="B38" i="7"/>
  <c r="N37" i="7"/>
  <c r="L38" i="4"/>
  <c r="B39" i="4" s="1"/>
  <c r="D39" i="4" s="1"/>
  <c r="J37" i="6"/>
  <c r="L37" i="6" s="1"/>
  <c r="D37" i="6"/>
  <c r="L41" i="3" l="1"/>
  <c r="B42" i="3" s="1"/>
  <c r="D42" i="3" s="1"/>
  <c r="N38" i="4"/>
  <c r="B39" i="2"/>
  <c r="D39" i="2" s="1"/>
  <c r="N38" i="2"/>
  <c r="L39" i="2"/>
  <c r="B40" i="2" s="1"/>
  <c r="D40" i="2" s="1"/>
  <c r="J36" i="5"/>
  <c r="L36" i="5" s="1"/>
  <c r="D36" i="5"/>
  <c r="D38" i="7"/>
  <c r="L38" i="7"/>
  <c r="B38" i="6"/>
  <c r="N37" i="6"/>
  <c r="L39" i="4"/>
  <c r="B40" i="4" s="1"/>
  <c r="D40" i="4" s="1"/>
  <c r="L42" i="3" l="1"/>
  <c r="N41" i="3"/>
  <c r="N42" i="3"/>
  <c r="B43" i="3"/>
  <c r="D43" i="3" s="1"/>
  <c r="N39" i="2"/>
  <c r="L40" i="2"/>
  <c r="N40" i="2" s="1"/>
  <c r="B37" i="5"/>
  <c r="N36" i="5"/>
  <c r="B39" i="7"/>
  <c r="D39" i="7" s="1"/>
  <c r="N38" i="7"/>
  <c r="L39" i="7"/>
  <c r="B40" i="7" s="1"/>
  <c r="D40" i="7" s="1"/>
  <c r="J38" i="6"/>
  <c r="L38" i="6" s="1"/>
  <c r="D38" i="6"/>
  <c r="N39" i="4"/>
  <c r="L40" i="4"/>
  <c r="L43" i="3" l="1"/>
  <c r="N43" i="3" s="1"/>
  <c r="B41" i="2"/>
  <c r="D41" i="2" s="1"/>
  <c r="J37" i="5"/>
  <c r="L37" i="5" s="1"/>
  <c r="D37" i="5"/>
  <c r="N39" i="7"/>
  <c r="L40" i="7"/>
  <c r="N40" i="7" s="1"/>
  <c r="B39" i="6"/>
  <c r="N38" i="6"/>
  <c r="B41" i="4"/>
  <c r="D41" i="4" s="1"/>
  <c r="N40" i="4"/>
  <c r="B44" i="3" l="1"/>
  <c r="D44" i="3" s="1"/>
  <c r="D50" i="3" s="1"/>
  <c r="L41" i="4"/>
  <c r="B42" i="4" s="1"/>
  <c r="D42" i="4" s="1"/>
  <c r="B41" i="7"/>
  <c r="D41" i="7" s="1"/>
  <c r="L41" i="2"/>
  <c r="B42" i="2" s="1"/>
  <c r="D42" i="2" s="1"/>
  <c r="B38" i="5"/>
  <c r="N37" i="5"/>
  <c r="L41" i="7"/>
  <c r="B42" i="7" s="1"/>
  <c r="D42" i="7" s="1"/>
  <c r="J39" i="6"/>
  <c r="L39" i="6" s="1"/>
  <c r="D39" i="6"/>
  <c r="L44" i="3" l="1"/>
  <c r="B50" i="3"/>
  <c r="N41" i="4"/>
  <c r="N41" i="2"/>
  <c r="J38" i="5"/>
  <c r="L38" i="5" s="1"/>
  <c r="D38" i="5"/>
  <c r="N41" i="7"/>
  <c r="B40" i="6"/>
  <c r="N39" i="6"/>
  <c r="L42" i="2"/>
  <c r="L42" i="7"/>
  <c r="L42" i="4"/>
  <c r="L45" i="3" l="1"/>
  <c r="N44" i="3"/>
  <c r="B39" i="5"/>
  <c r="N38" i="5"/>
  <c r="D40" i="6"/>
  <c r="J40" i="6"/>
  <c r="L40" i="6" s="1"/>
  <c r="B43" i="2"/>
  <c r="D43" i="2" s="1"/>
  <c r="N42" i="2"/>
  <c r="B43" i="7"/>
  <c r="D43" i="7" s="1"/>
  <c r="N42" i="7"/>
  <c r="B43" i="4"/>
  <c r="D43" i="4" s="1"/>
  <c r="N42" i="4"/>
  <c r="L46" i="3" l="1"/>
  <c r="N45" i="3"/>
  <c r="J39" i="5"/>
  <c r="L39" i="5" s="1"/>
  <c r="D39" i="5"/>
  <c r="B41" i="6"/>
  <c r="N40" i="6"/>
  <c r="L43" i="2"/>
  <c r="L43" i="7"/>
  <c r="L43" i="4"/>
  <c r="F47" i="3" l="1"/>
  <c r="N47" i="3"/>
  <c r="N46" i="3"/>
  <c r="B40" i="5"/>
  <c r="N39" i="5"/>
  <c r="J41" i="6"/>
  <c r="L41" i="6" s="1"/>
  <c r="D41" i="6"/>
  <c r="B44" i="2"/>
  <c r="D44" i="2" s="1"/>
  <c r="L44" i="2"/>
  <c r="N43" i="2"/>
  <c r="B44" i="7"/>
  <c r="D44" i="7" s="1"/>
  <c r="N43" i="7"/>
  <c r="B44" i="4"/>
  <c r="D44" i="4" s="1"/>
  <c r="N43" i="4"/>
  <c r="F50" i="3" l="1"/>
  <c r="H47" i="3"/>
  <c r="H50" i="3" s="1"/>
  <c r="L47" i="3"/>
  <c r="J40" i="5"/>
  <c r="L40" i="5" s="1"/>
  <c r="D40" i="5"/>
  <c r="B42" i="6"/>
  <c r="N41" i="6"/>
  <c r="D45" i="2"/>
  <c r="N44" i="2"/>
  <c r="L44" i="7"/>
  <c r="L44" i="4"/>
  <c r="P4" i="3" l="1"/>
  <c r="B41" i="5"/>
  <c r="N40" i="5"/>
  <c r="D42" i="6"/>
  <c r="J42" i="6"/>
  <c r="L42" i="6" s="1"/>
  <c r="N50" i="3"/>
  <c r="P6" i="3" s="1"/>
  <c r="P7" i="3" s="1"/>
  <c r="L45" i="2"/>
  <c r="N44" i="7"/>
  <c r="N44" i="4"/>
  <c r="P9" i="3" l="1"/>
  <c r="D41" i="5"/>
  <c r="J41" i="5"/>
  <c r="B43" i="6"/>
  <c r="N42" i="6"/>
  <c r="P12" i="3"/>
  <c r="H40" i="23" s="1"/>
  <c r="D46" i="2"/>
  <c r="N45" i="2"/>
  <c r="L45" i="7"/>
  <c r="L45" i="4"/>
  <c r="J40" i="23" l="1"/>
  <c r="L41" i="5"/>
  <c r="J43" i="6"/>
  <c r="L43" i="6" s="1"/>
  <c r="D43" i="6"/>
  <c r="P29" i="3"/>
  <c r="P30" i="3"/>
  <c r="P31" i="3"/>
  <c r="P32" i="3"/>
  <c r="P33" i="3"/>
  <c r="P34" i="3"/>
  <c r="P35" i="3"/>
  <c r="P36" i="3"/>
  <c r="P37" i="3"/>
  <c r="P38" i="3"/>
  <c r="P39" i="3"/>
  <c r="P22" i="3"/>
  <c r="R22" i="3" s="1"/>
  <c r="P23" i="3"/>
  <c r="P24" i="3"/>
  <c r="P25" i="3"/>
  <c r="P26" i="3"/>
  <c r="P27" i="3"/>
  <c r="P28" i="3"/>
  <c r="P40" i="3"/>
  <c r="P41" i="3"/>
  <c r="P42" i="3"/>
  <c r="P43" i="3"/>
  <c r="P44" i="3"/>
  <c r="P45" i="3"/>
  <c r="P46" i="3"/>
  <c r="P47" i="3"/>
  <c r="P13" i="3"/>
  <c r="P14" i="3" s="1"/>
  <c r="L46" i="2"/>
  <c r="F47" i="2" s="1"/>
  <c r="N45" i="7"/>
  <c r="N45" i="4"/>
  <c r="J41" i="26" l="1"/>
  <c r="B42" i="5"/>
  <c r="N41" i="5"/>
  <c r="R23" i="3"/>
  <c r="R24" i="3" s="1"/>
  <c r="R25" i="3" s="1"/>
  <c r="R26" i="3" s="1"/>
  <c r="R27" i="3" s="1"/>
  <c r="R28" i="3" s="1"/>
  <c r="R29" i="3" s="1"/>
  <c r="R30" i="3" s="1"/>
  <c r="R31" i="3" s="1"/>
  <c r="R32" i="3" s="1"/>
  <c r="R33" i="3" s="1"/>
  <c r="R34" i="3" s="1"/>
  <c r="R35" i="3" s="1"/>
  <c r="R36" i="3" s="1"/>
  <c r="R37" i="3" s="1"/>
  <c r="R38" i="3" s="1"/>
  <c r="R39" i="3" s="1"/>
  <c r="R40" i="3" s="1"/>
  <c r="R41" i="3" s="1"/>
  <c r="R42" i="3" s="1"/>
  <c r="R43" i="3" s="1"/>
  <c r="R44" i="3" s="1"/>
  <c r="R45" i="3" s="1"/>
  <c r="R46" i="3" s="1"/>
  <c r="R47" i="3" s="1"/>
  <c r="B44" i="6"/>
  <c r="N43" i="6"/>
  <c r="D47" i="2"/>
  <c r="N46" i="2"/>
  <c r="L46" i="7"/>
  <c r="L46" i="4"/>
  <c r="J42" i="5" l="1"/>
  <c r="D42" i="5"/>
  <c r="F47" i="7"/>
  <c r="H47" i="7" s="1"/>
  <c r="N47" i="7"/>
  <c r="F47" i="4"/>
  <c r="H47" i="4" s="1"/>
  <c r="N47" i="4"/>
  <c r="J44" i="6"/>
  <c r="L44" i="6" s="1"/>
  <c r="D44" i="6"/>
  <c r="L47" i="2"/>
  <c r="N46" i="7"/>
  <c r="N46" i="4"/>
  <c r="L42" i="5" l="1"/>
  <c r="N44" i="6"/>
  <c r="N47" i="2"/>
  <c r="L47" i="7"/>
  <c r="L47" i="4"/>
  <c r="B43" i="5" l="1"/>
  <c r="N42" i="5"/>
  <c r="J45" i="6"/>
  <c r="L45" i="6" s="1"/>
  <c r="D34" i="20"/>
  <c r="B34" i="20"/>
  <c r="D34" i="21"/>
  <c r="B34" i="21"/>
  <c r="J43" i="5" l="1"/>
  <c r="D43" i="5"/>
  <c r="N45" i="6"/>
  <c r="L43" i="5" l="1"/>
  <c r="J46" i="6"/>
  <c r="D50" i="6"/>
  <c r="B50" i="6"/>
  <c r="D36" i="15"/>
  <c r="B36" i="15"/>
  <c r="D49" i="7"/>
  <c r="B49" i="7"/>
  <c r="D49" i="4"/>
  <c r="B49" i="4"/>
  <c r="B44" i="5" l="1"/>
  <c r="N43" i="5"/>
  <c r="J50" i="6"/>
  <c r="L46" i="6"/>
  <c r="D36" i="16"/>
  <c r="B36" i="16"/>
  <c r="J44" i="5" l="1"/>
  <c r="D44" i="5"/>
  <c r="D49" i="5" s="1"/>
  <c r="B49" i="5"/>
  <c r="F47" i="6"/>
  <c r="N47" i="6" s="1"/>
  <c r="N46" i="6"/>
  <c r="H34" i="20"/>
  <c r="F34" i="20"/>
  <c r="N34" i="21"/>
  <c r="P6" i="21" s="1"/>
  <c r="P7" i="21" s="1"/>
  <c r="H34" i="21"/>
  <c r="F34" i="21"/>
  <c r="J49" i="5" l="1"/>
  <c r="L44" i="5"/>
  <c r="N50" i="6"/>
  <c r="P6" i="6" s="1"/>
  <c r="P7" i="6" s="1"/>
  <c r="H47" i="6"/>
  <c r="H50" i="6" s="1"/>
  <c r="F50" i="6"/>
  <c r="P4" i="20"/>
  <c r="N34" i="20"/>
  <c r="P6" i="20" s="1"/>
  <c r="P7" i="20" s="1"/>
  <c r="P9" i="20" s="1"/>
  <c r="N36" i="15"/>
  <c r="P6" i="15" s="1"/>
  <c r="P7" i="15" s="1"/>
  <c r="F36" i="15"/>
  <c r="H36" i="15"/>
  <c r="P4" i="21"/>
  <c r="P9" i="21" s="1"/>
  <c r="P12" i="21"/>
  <c r="N49" i="7"/>
  <c r="P6" i="7" s="1"/>
  <c r="P7" i="7" s="1"/>
  <c r="H49" i="7"/>
  <c r="F49" i="7"/>
  <c r="L45" i="5" l="1"/>
  <c r="N45" i="5" s="1"/>
  <c r="N44" i="5"/>
  <c r="H39" i="26"/>
  <c r="H30" i="26"/>
  <c r="H38" i="26"/>
  <c r="H29" i="26"/>
  <c r="J29" i="26"/>
  <c r="J28" i="23"/>
  <c r="P13" i="21"/>
  <c r="P14" i="21" s="1"/>
  <c r="P4" i="6"/>
  <c r="P13" i="6" s="1"/>
  <c r="P12" i="6"/>
  <c r="H42" i="23" s="1"/>
  <c r="P12" i="20"/>
  <c r="P13" i="20"/>
  <c r="P4" i="15"/>
  <c r="P12" i="15"/>
  <c r="P22" i="21"/>
  <c r="R22" i="21" s="1"/>
  <c r="P23" i="21"/>
  <c r="P24" i="21"/>
  <c r="P25" i="21"/>
  <c r="P26" i="21"/>
  <c r="P27" i="21"/>
  <c r="P28" i="21"/>
  <c r="P29" i="21"/>
  <c r="P30" i="21"/>
  <c r="P32" i="21"/>
  <c r="P31" i="21"/>
  <c r="P4" i="7"/>
  <c r="P13" i="7" s="1"/>
  <c r="P12" i="7"/>
  <c r="N49" i="4"/>
  <c r="P6" i="4" s="1"/>
  <c r="P7" i="4" s="1"/>
  <c r="F49" i="4"/>
  <c r="H49" i="4"/>
  <c r="P14" i="7" l="1"/>
  <c r="J21" i="23"/>
  <c r="J29" i="23"/>
  <c r="P14" i="20"/>
  <c r="J43" i="26"/>
  <c r="P14" i="6"/>
  <c r="L46" i="5"/>
  <c r="N46" i="5" s="1"/>
  <c r="P13" i="15"/>
  <c r="P14" i="15" s="1"/>
  <c r="J22" i="26"/>
  <c r="J39" i="26"/>
  <c r="J38" i="23"/>
  <c r="P9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22" i="6"/>
  <c r="R22" i="6" s="1"/>
  <c r="P41" i="6"/>
  <c r="P42" i="6"/>
  <c r="P43" i="6"/>
  <c r="P44" i="6"/>
  <c r="P45" i="6"/>
  <c r="P46" i="6"/>
  <c r="P47" i="6"/>
  <c r="P22" i="20"/>
  <c r="R22" i="20" s="1"/>
  <c r="P23" i="20"/>
  <c r="P24" i="20"/>
  <c r="P25" i="20"/>
  <c r="P26" i="20"/>
  <c r="P27" i="20"/>
  <c r="P29" i="20"/>
  <c r="P28" i="20"/>
  <c r="P30" i="20"/>
  <c r="P31" i="20"/>
  <c r="P32" i="20"/>
  <c r="P22" i="15"/>
  <c r="R22" i="15" s="1"/>
  <c r="P23" i="15"/>
  <c r="P24" i="15"/>
  <c r="P26" i="15"/>
  <c r="P25" i="15"/>
  <c r="P27" i="15"/>
  <c r="P28" i="15"/>
  <c r="P29" i="15"/>
  <c r="P30" i="15"/>
  <c r="P31" i="15"/>
  <c r="P32" i="15"/>
  <c r="P33" i="15"/>
  <c r="P34" i="15"/>
  <c r="P9" i="15"/>
  <c r="H22" i="26" s="1"/>
  <c r="N36" i="16"/>
  <c r="P6" i="16" s="1"/>
  <c r="P7" i="16" s="1"/>
  <c r="F36" i="16"/>
  <c r="H36" i="16"/>
  <c r="R23" i="21"/>
  <c r="R24" i="21" s="1"/>
  <c r="R25" i="21" s="1"/>
  <c r="R26" i="21" s="1"/>
  <c r="R27" i="21" s="1"/>
  <c r="R28" i="21" s="1"/>
  <c r="R29" i="21" s="1"/>
  <c r="R30" i="21" s="1"/>
  <c r="R31" i="21" s="1"/>
  <c r="R32" i="21" s="1"/>
  <c r="P22" i="7"/>
  <c r="R22" i="7" s="1"/>
  <c r="P23" i="7"/>
  <c r="P24" i="7"/>
  <c r="P26" i="7"/>
  <c r="P25" i="7"/>
  <c r="P27" i="7"/>
  <c r="P29" i="7"/>
  <c r="P28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9" i="7"/>
  <c r="P12" i="4"/>
  <c r="H37" i="23" s="1"/>
  <c r="P4" i="4"/>
  <c r="P13" i="4" s="1"/>
  <c r="J30" i="26" l="1"/>
  <c r="R23" i="6"/>
  <c r="R24" i="6" s="1"/>
  <c r="R25" i="6" s="1"/>
  <c r="R26" i="6" s="1"/>
  <c r="R27" i="6" s="1"/>
  <c r="R28" i="6" s="1"/>
  <c r="R29" i="6" s="1"/>
  <c r="R30" i="6" s="1"/>
  <c r="R31" i="6" s="1"/>
  <c r="R32" i="6" s="1"/>
  <c r="R33" i="6" s="1"/>
  <c r="R34" i="6" s="1"/>
  <c r="R35" i="6" s="1"/>
  <c r="R36" i="6" s="1"/>
  <c r="R37" i="6" s="1"/>
  <c r="R38" i="6" s="1"/>
  <c r="R39" i="6" s="1"/>
  <c r="R40" i="6" s="1"/>
  <c r="R41" i="6" s="1"/>
  <c r="R42" i="6" s="1"/>
  <c r="R43" i="6" s="1"/>
  <c r="R44" i="6" s="1"/>
  <c r="R45" i="6" s="1"/>
  <c r="R46" i="6" s="1"/>
  <c r="R47" i="6" s="1"/>
  <c r="J42" i="23"/>
  <c r="J38" i="26"/>
  <c r="P14" i="4"/>
  <c r="F47" i="5"/>
  <c r="L47" i="5" s="1"/>
  <c r="R23" i="7"/>
  <c r="R24" i="7" s="1"/>
  <c r="R25" i="7" s="1"/>
  <c r="R26" i="7" s="1"/>
  <c r="R27" i="7" s="1"/>
  <c r="R28" i="7" s="1"/>
  <c r="R29" i="7" s="1"/>
  <c r="R30" i="7" s="1"/>
  <c r="R31" i="7" s="1"/>
  <c r="R32" i="7" s="1"/>
  <c r="R33" i="7" s="1"/>
  <c r="R34" i="7" s="1"/>
  <c r="R35" i="7" s="1"/>
  <c r="R36" i="7" s="1"/>
  <c r="R37" i="7" s="1"/>
  <c r="R38" i="7" s="1"/>
  <c r="R39" i="7" s="1"/>
  <c r="R40" i="7" s="1"/>
  <c r="R41" i="7" s="1"/>
  <c r="R42" i="7" s="1"/>
  <c r="R43" i="7" s="1"/>
  <c r="R44" i="7" s="1"/>
  <c r="R45" i="7" s="1"/>
  <c r="R46" i="7" s="1"/>
  <c r="R47" i="7" s="1"/>
  <c r="R23" i="15"/>
  <c r="R24" i="15" s="1"/>
  <c r="R25" i="15" s="1"/>
  <c r="R26" i="15" s="1"/>
  <c r="R27" i="15" s="1"/>
  <c r="R28" i="15" s="1"/>
  <c r="R29" i="15" s="1"/>
  <c r="R30" i="15" s="1"/>
  <c r="R31" i="15" s="1"/>
  <c r="R32" i="15" s="1"/>
  <c r="R33" i="15" s="1"/>
  <c r="R34" i="15" s="1"/>
  <c r="R23" i="20"/>
  <c r="R24" i="20" s="1"/>
  <c r="R25" i="20" s="1"/>
  <c r="R26" i="20" s="1"/>
  <c r="R27" i="20" s="1"/>
  <c r="R28" i="20" s="1"/>
  <c r="R29" i="20" s="1"/>
  <c r="R30" i="20" s="1"/>
  <c r="R31" i="20" s="1"/>
  <c r="R32" i="20" s="1"/>
  <c r="P4" i="16"/>
  <c r="P12" i="16"/>
  <c r="P22" i="4"/>
  <c r="R22" i="4" s="1"/>
  <c r="P23" i="4"/>
  <c r="P24" i="4"/>
  <c r="P25" i="4"/>
  <c r="P26" i="4"/>
  <c r="P27" i="4"/>
  <c r="P29" i="4"/>
  <c r="P28" i="4"/>
  <c r="P30" i="4"/>
  <c r="P31" i="4"/>
  <c r="P32" i="4"/>
  <c r="P33" i="4"/>
  <c r="P34" i="4"/>
  <c r="P35" i="4"/>
  <c r="P37" i="4"/>
  <c r="P36" i="4"/>
  <c r="P38" i="4"/>
  <c r="P39" i="4"/>
  <c r="P40" i="4"/>
  <c r="P41" i="4"/>
  <c r="P42" i="4"/>
  <c r="P43" i="4"/>
  <c r="P44" i="4"/>
  <c r="P45" i="4"/>
  <c r="P46" i="4"/>
  <c r="P47" i="4"/>
  <c r="P9" i="4"/>
  <c r="J37" i="23" l="1"/>
  <c r="J21" i="26"/>
  <c r="N47" i="5"/>
  <c r="H47" i="5"/>
  <c r="H49" i="5" s="1"/>
  <c r="F49" i="5"/>
  <c r="P13" i="16"/>
  <c r="P14" i="16" s="1"/>
  <c r="P22" i="16"/>
  <c r="R22" i="16" s="1"/>
  <c r="P23" i="16"/>
  <c r="P24" i="16"/>
  <c r="P25" i="16"/>
  <c r="P26" i="16"/>
  <c r="P27" i="16"/>
  <c r="P29" i="16"/>
  <c r="P28" i="16"/>
  <c r="P31" i="16"/>
  <c r="P30" i="16"/>
  <c r="P32" i="16"/>
  <c r="P33" i="16"/>
  <c r="P34" i="16"/>
  <c r="P9" i="16"/>
  <c r="H21" i="26" s="1"/>
  <c r="R23" i="4"/>
  <c r="R24" i="4" s="1"/>
  <c r="R25" i="4" s="1"/>
  <c r="R26" i="4" s="1"/>
  <c r="R27" i="4" s="1"/>
  <c r="R28" i="4" s="1"/>
  <c r="R29" i="4" s="1"/>
  <c r="R30" i="4" s="1"/>
  <c r="R31" i="4" s="1"/>
  <c r="R32" i="4" s="1"/>
  <c r="R33" i="4" s="1"/>
  <c r="R34" i="4" s="1"/>
  <c r="R35" i="4" s="1"/>
  <c r="R36" i="4" s="1"/>
  <c r="R37" i="4" s="1"/>
  <c r="R38" i="4" s="1"/>
  <c r="R39" i="4" s="1"/>
  <c r="R40" i="4" s="1"/>
  <c r="R41" i="4" s="1"/>
  <c r="R42" i="4" s="1"/>
  <c r="R43" i="4" s="1"/>
  <c r="R44" i="4" s="1"/>
  <c r="R45" i="4" s="1"/>
  <c r="R46" i="4" s="1"/>
  <c r="R47" i="4" s="1"/>
  <c r="J20" i="23" l="1"/>
  <c r="P4" i="5"/>
  <c r="N49" i="5"/>
  <c r="P6" i="5" s="1"/>
  <c r="P7" i="5" s="1"/>
  <c r="R23" i="16"/>
  <c r="R24" i="16" s="1"/>
  <c r="R25" i="16" s="1"/>
  <c r="R26" i="16" s="1"/>
  <c r="R27" i="16" s="1"/>
  <c r="R28" i="16" s="1"/>
  <c r="R29" i="16" s="1"/>
  <c r="R30" i="16" s="1"/>
  <c r="R31" i="16" s="1"/>
  <c r="R32" i="16" s="1"/>
  <c r="R33" i="16" s="1"/>
  <c r="R34" i="16" s="1"/>
  <c r="P9" i="5" l="1"/>
  <c r="P12" i="5"/>
  <c r="H41" i="23" s="1"/>
  <c r="P13" i="5"/>
  <c r="P14" i="5" l="1"/>
  <c r="P29" i="5"/>
  <c r="P41" i="5"/>
  <c r="P30" i="5"/>
  <c r="P31" i="5"/>
  <c r="P23" i="5"/>
  <c r="P35" i="5"/>
  <c r="P22" i="5"/>
  <c r="R22" i="5" s="1"/>
  <c r="P38" i="5"/>
  <c r="P34" i="5"/>
  <c r="P25" i="5"/>
  <c r="P39" i="5"/>
  <c r="P40" i="5"/>
  <c r="P24" i="5"/>
  <c r="P37" i="5"/>
  <c r="P27" i="5"/>
  <c r="P32" i="5"/>
  <c r="P36" i="5"/>
  <c r="P26" i="5"/>
  <c r="P28" i="5"/>
  <c r="P33" i="5"/>
  <c r="P42" i="5"/>
  <c r="P43" i="5"/>
  <c r="P44" i="5"/>
  <c r="P45" i="5"/>
  <c r="P46" i="5"/>
  <c r="P47" i="5"/>
  <c r="R23" i="5" l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R34" i="5" s="1"/>
  <c r="R35" i="5" s="1"/>
  <c r="R36" i="5" s="1"/>
  <c r="R37" i="5" s="1"/>
  <c r="R38" i="5" s="1"/>
  <c r="R39" i="5" s="1"/>
  <c r="R40" i="5" s="1"/>
  <c r="R41" i="5" s="1"/>
  <c r="R42" i="5" s="1"/>
  <c r="R43" i="5" s="1"/>
  <c r="R44" i="5" s="1"/>
  <c r="R45" i="5" s="1"/>
  <c r="R46" i="5" s="1"/>
  <c r="R47" i="5" s="1"/>
  <c r="J42" i="26"/>
  <c r="J41" i="23"/>
  <c r="D37" i="14" l="1"/>
  <c r="B37" i="14"/>
  <c r="D35" i="19"/>
  <c r="B35" i="19"/>
  <c r="D50" i="2"/>
  <c r="B50" i="2"/>
  <c r="N37" i="14" l="1"/>
  <c r="P6" i="14" s="1"/>
  <c r="P7" i="14" s="1"/>
  <c r="F37" i="14"/>
  <c r="H37" i="14"/>
  <c r="N35" i="19"/>
  <c r="P6" i="19" s="1"/>
  <c r="P7" i="19" s="1"/>
  <c r="H35" i="19"/>
  <c r="F35" i="19"/>
  <c r="P12" i="14" l="1"/>
  <c r="P4" i="14"/>
  <c r="P4" i="19"/>
  <c r="P12" i="19"/>
  <c r="P9" i="19"/>
  <c r="D26" i="10"/>
  <c r="B26" i="10"/>
  <c r="N50" i="2"/>
  <c r="P6" i="2" s="1"/>
  <c r="P7" i="2" s="1"/>
  <c r="F50" i="2"/>
  <c r="H50" i="2"/>
  <c r="J31" i="26" l="1"/>
  <c r="J22" i="23"/>
  <c r="J25" i="23" s="1"/>
  <c r="H25" i="23" s="1"/>
  <c r="H40" i="26"/>
  <c r="H44" i="26" s="1"/>
  <c r="H31" i="26"/>
  <c r="H35" i="26" s="1"/>
  <c r="P13" i="19"/>
  <c r="P14" i="19" s="1"/>
  <c r="J23" i="26"/>
  <c r="P13" i="14"/>
  <c r="P14" i="14" s="1"/>
  <c r="P9" i="14"/>
  <c r="H23" i="26" s="1"/>
  <c r="H26" i="26" s="1"/>
  <c r="P22" i="14"/>
  <c r="R22" i="14" s="1"/>
  <c r="P23" i="14"/>
  <c r="P24" i="14"/>
  <c r="P25" i="14"/>
  <c r="P26" i="14"/>
  <c r="P27" i="14"/>
  <c r="P28" i="14"/>
  <c r="P29" i="14"/>
  <c r="P30" i="14"/>
  <c r="P31" i="14"/>
  <c r="P33" i="14"/>
  <c r="P32" i="14"/>
  <c r="P34" i="14"/>
  <c r="P22" i="19"/>
  <c r="R22" i="19" s="1"/>
  <c r="P23" i="19"/>
  <c r="P24" i="19"/>
  <c r="P25" i="19"/>
  <c r="P26" i="19"/>
  <c r="P27" i="19"/>
  <c r="P28" i="19"/>
  <c r="P29" i="19"/>
  <c r="P31" i="19"/>
  <c r="P30" i="19"/>
  <c r="P32" i="19"/>
  <c r="P4" i="2"/>
  <c r="P13" i="2" s="1"/>
  <c r="P12" i="2"/>
  <c r="H39" i="23" s="1"/>
  <c r="J30" i="23" l="1"/>
  <c r="J34" i="23" s="1"/>
  <c r="P14" i="2"/>
  <c r="P9" i="2"/>
  <c r="J26" i="26"/>
  <c r="F10" i="24"/>
  <c r="G10" i="24" s="1"/>
  <c r="H10" i="24" s="1"/>
  <c r="J40" i="26"/>
  <c r="J39" i="23"/>
  <c r="J43" i="23" s="1"/>
  <c r="H43" i="23" s="1"/>
  <c r="R23" i="14"/>
  <c r="R24" i="14" s="1"/>
  <c r="R25" i="14" s="1"/>
  <c r="R26" i="14" s="1"/>
  <c r="R27" i="14" s="1"/>
  <c r="R28" i="14" s="1"/>
  <c r="R29" i="14" s="1"/>
  <c r="R30" i="14" s="1"/>
  <c r="R31" i="14" s="1"/>
  <c r="R32" i="14" s="1"/>
  <c r="R33" i="14" s="1"/>
  <c r="R34" i="14" s="1"/>
  <c r="R23" i="19"/>
  <c r="R24" i="19" s="1"/>
  <c r="R25" i="19" s="1"/>
  <c r="R26" i="19" s="1"/>
  <c r="R27" i="19" s="1"/>
  <c r="R28" i="19" s="1"/>
  <c r="R29" i="19" s="1"/>
  <c r="R30" i="19" s="1"/>
  <c r="R31" i="19" s="1"/>
  <c r="R32" i="19" s="1"/>
  <c r="P22" i="2"/>
  <c r="R22" i="2" s="1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H34" i="23" l="1"/>
  <c r="J35" i="26" s="1"/>
  <c r="F12" i="24"/>
  <c r="G12" i="24" s="1"/>
  <c r="J44" i="26"/>
  <c r="R23" i="2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F11" i="24" l="1"/>
  <c r="G11" i="24" s="1"/>
  <c r="H11" i="24" s="1"/>
  <c r="H12" i="24"/>
  <c r="N26" i="10"/>
  <c r="P6" i="10" s="1"/>
  <c r="P7" i="10" s="1"/>
  <c r="F26" i="10"/>
  <c r="H26" i="10"/>
  <c r="P4" i="10" l="1"/>
  <c r="P12" i="10"/>
  <c r="J14" i="23" l="1"/>
  <c r="P13" i="10"/>
  <c r="P14" i="10" s="1"/>
  <c r="P9" i="10"/>
  <c r="H15" i="26" s="1"/>
  <c r="P22" i="10"/>
  <c r="R22" i="10" s="1"/>
  <c r="P23" i="10"/>
  <c r="J15" i="26" l="1"/>
  <c r="R23" i="10"/>
  <c r="F25" i="8"/>
  <c r="P4" i="8" s="1"/>
  <c r="L23" i="8"/>
  <c r="N25" i="8" l="1"/>
  <c r="P12" i="8" l="1"/>
  <c r="H16" i="23" s="1"/>
  <c r="P6" i="8"/>
  <c r="P7" i="8" s="1"/>
  <c r="J17" i="26" l="1"/>
  <c r="P9" i="8"/>
  <c r="H17" i="26" s="1"/>
  <c r="H18" i="26" s="1"/>
  <c r="P13" i="8"/>
  <c r="P14" i="8" s="1"/>
  <c r="P22" i="8"/>
  <c r="R22" i="8" s="1"/>
  <c r="P23" i="8"/>
  <c r="J16" i="23" l="1"/>
  <c r="J17" i="23" s="1"/>
  <c r="R23" i="8"/>
  <c r="H17" i="23" l="1"/>
  <c r="J18" i="26" s="1"/>
  <c r="F9" i="24" l="1"/>
  <c r="G9" i="24" s="1"/>
  <c r="H9" i="24" s="1"/>
  <c r="H13" i="24" s="1"/>
  <c r="G13" i="24" l="1"/>
</calcChain>
</file>

<file path=xl/sharedStrings.xml><?xml version="1.0" encoding="utf-8"?>
<sst xmlns="http://schemas.openxmlformats.org/spreadsheetml/2006/main" count="1956" uniqueCount="137">
  <si>
    <t>Generating Unit</t>
  </si>
  <si>
    <t>Plant Account</t>
  </si>
  <si>
    <t>Vintage Year</t>
  </si>
  <si>
    <t>Amount</t>
  </si>
  <si>
    <t>41401 OP-Smith 40 Mw (CT)-340-346</t>
  </si>
  <si>
    <t>341 - Structures and Improvements</t>
  </si>
  <si>
    <t>342 - Fuel Holders</t>
  </si>
  <si>
    <t>343 - Prime Movers</t>
  </si>
  <si>
    <t>344 - Generators</t>
  </si>
  <si>
    <t>345 - Accessory Electric Equipment</t>
  </si>
  <si>
    <t>346 - Misc Power Plant Equipment</t>
  </si>
  <si>
    <t>41403 OP-Smith 3 Combined Cyc (CC)-340-346</t>
  </si>
  <si>
    <t>41450 OP-Pace-Electric Generating Ctr-340-347</t>
  </si>
  <si>
    <t xml:space="preserve">41481 OP-Perdido Landfill Gas-340-346 </t>
  </si>
  <si>
    <t>Accessory Electric Equipment</t>
  </si>
  <si>
    <t>Fuel Holders</t>
  </si>
  <si>
    <t>Misc Power Plant Equipment</t>
  </si>
  <si>
    <t>Prime Movers</t>
  </si>
  <si>
    <t>Structures and Improvements</t>
  </si>
  <si>
    <t>Generators</t>
  </si>
  <si>
    <t xml:space="preserve"> </t>
  </si>
  <si>
    <t>341 - Structures and Improvements Total</t>
  </si>
  <si>
    <t>342 - Fuel Holders Total</t>
  </si>
  <si>
    <t>343 - Prime Movers Total</t>
  </si>
  <si>
    <t>344 - Generators Total</t>
  </si>
  <si>
    <t>345 - Accessory Electric Equipment Total</t>
  </si>
  <si>
    <t>346 - Misc Power Plant Equipment Total</t>
  </si>
  <si>
    <t>Grand Total</t>
  </si>
  <si>
    <t>Pace Plant</t>
  </si>
  <si>
    <t>Age</t>
  </si>
  <si>
    <t>Avg Age</t>
  </si>
  <si>
    <t>$ x Age</t>
  </si>
  <si>
    <t>E344 Generators</t>
  </si>
  <si>
    <t>Interim Net Salvage</t>
  </si>
  <si>
    <t>Terminal Net Salvage</t>
  </si>
  <si>
    <t>Average Net Salvage</t>
  </si>
  <si>
    <t>Average Age Survivors</t>
  </si>
  <si>
    <t>Average Remaining Life</t>
  </si>
  <si>
    <t>Average Service Life</t>
  </si>
  <si>
    <t>Book Reserve Ratio</t>
  </si>
  <si>
    <t xml:space="preserve">Theoretical Reserve </t>
  </si>
  <si>
    <t>Interim Retmt. Ratio</t>
  </si>
  <si>
    <t>Interim Addition Factor</t>
  </si>
  <si>
    <t>Depreciation Rate</t>
  </si>
  <si>
    <t>COR Rate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</si>
  <si>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</si>
  <si>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</si>
  <si>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</si>
  <si>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</si>
  <si>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</si>
  <si>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</si>
  <si>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</si>
  <si>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</si>
  <si>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</si>
  <si>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</si>
  <si>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INTERIM</t>
  </si>
  <si>
    <t>TERMINAL</t>
  </si>
  <si>
    <t>ENDING</t>
  </si>
  <si>
    <t>AVERAGE</t>
  </si>
  <si>
    <t>DEPREC.</t>
  </si>
  <si>
    <t>YEAR</t>
  </si>
  <si>
    <t>RETMTS</t>
  </si>
  <si>
    <t>NET SALV.</t>
  </si>
  <si>
    <t>RETMTS.</t>
  </si>
  <si>
    <t>ADDITIONS</t>
  </si>
  <si>
    <t>BALANCE</t>
  </si>
  <si>
    <t>AMOUNT</t>
  </si>
  <si>
    <t>RESERVE</t>
  </si>
  <si>
    <t>$</t>
  </si>
  <si>
    <t>TOTALS</t>
  </si>
  <si>
    <t>E345        Accessory Electric Equipment</t>
  </si>
  <si>
    <t>E346        Miscellaneous Power Plant Equipment</t>
  </si>
  <si>
    <t>ACCOUNT 341 - OTHER PROD, STRUCTS &amp; IMPROVS</t>
  </si>
  <si>
    <t>E342        Fuel Holders, Producers, and Accessories</t>
  </si>
  <si>
    <t>E343 Prime Movers</t>
  </si>
  <si>
    <t>GULF POWER</t>
  </si>
  <si>
    <t xml:space="preserve">PACE </t>
  </si>
  <si>
    <t>LOCATION 41450</t>
  </si>
  <si>
    <t>PERDIDO LANDFILL GAS</t>
  </si>
  <si>
    <t>LOCATION  41481</t>
  </si>
  <si>
    <t>LOCATION 41401</t>
  </si>
  <si>
    <t>SMITH CT</t>
  </si>
  <si>
    <t>LOCATION 41403</t>
  </si>
  <si>
    <t>SMITH CC</t>
  </si>
  <si>
    <t>Proposed</t>
  </si>
  <si>
    <t>Annual</t>
  </si>
  <si>
    <t>Accrual</t>
  </si>
  <si>
    <t>Account</t>
  </si>
  <si>
    <t>Description</t>
  </si>
  <si>
    <t>Plant Balance</t>
  </si>
  <si>
    <t>Book Reserve</t>
  </si>
  <si>
    <t>Rate</t>
  </si>
  <si>
    <t>Computation of Composite Accual Rate</t>
  </si>
  <si>
    <t>For Other Production Plant</t>
  </si>
  <si>
    <t>As of December 31, 2016</t>
  </si>
  <si>
    <t>Amounf</t>
  </si>
  <si>
    <t xml:space="preserve">PACE PLANT  </t>
  </si>
  <si>
    <t>Total Pace Plant</t>
  </si>
  <si>
    <t>PERDIDO LANDFILL</t>
  </si>
  <si>
    <t>Total Perdido Landfill</t>
  </si>
  <si>
    <t>Total Smith CT</t>
  </si>
  <si>
    <t>Smith CT</t>
  </si>
  <si>
    <t>Perdido Landfill</t>
  </si>
  <si>
    <t>Existing</t>
  </si>
  <si>
    <t xml:space="preserve">Plant  </t>
  </si>
  <si>
    <t>In Service</t>
  </si>
  <si>
    <t>Rates</t>
  </si>
  <si>
    <t>Difference</t>
  </si>
  <si>
    <t>COMPARISON OF DEPRECIATION ACCRUAL RATES AT DECEMBER 31, 2016</t>
  </si>
  <si>
    <t>OTHER PRODUCTION</t>
  </si>
  <si>
    <t>Smith CC</t>
  </si>
  <si>
    <t>Comparison of Reserve and Accrual Rate</t>
  </si>
  <si>
    <t>RL</t>
  </si>
  <si>
    <t>Life</t>
  </si>
  <si>
    <t>Theoretical</t>
  </si>
  <si>
    <t>Reserve</t>
  </si>
  <si>
    <t>Book</t>
  </si>
  <si>
    <t>Whole</t>
  </si>
  <si>
    <t>CT</t>
  </si>
  <si>
    <t>CC</t>
  </si>
  <si>
    <t>Existing IRR</t>
  </si>
  <si>
    <t>IRR proposed</t>
  </si>
  <si>
    <t>NS</t>
  </si>
  <si>
    <t>Life Rate</t>
  </si>
  <si>
    <t>Total Smith CC</t>
  </si>
  <si>
    <t>Smith</t>
  </si>
  <si>
    <t>41123 SP-Smith Common-FERC 310-317</t>
  </si>
  <si>
    <t>311 - Structures and Improvements</t>
  </si>
  <si>
    <t>41122 SP-Smith 2-FERC 312, 314, 315, 317</t>
  </si>
  <si>
    <t>312 - Boiler Plant Equipment</t>
  </si>
  <si>
    <t>41121 SP-Smith 1-FERC 312, 314, 315, 317</t>
  </si>
  <si>
    <t>314 - Turbogenerator Units</t>
  </si>
  <si>
    <t>315 - Accessory Electric Equipment</t>
  </si>
  <si>
    <t>316 - Misc Power Plant Equipment</t>
  </si>
  <si>
    <t>Fully Accrued</t>
  </si>
  <si>
    <t>Original Reserve</t>
  </si>
  <si>
    <t>Cumulative Smith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</si>
</sst>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0.0000%"/>
    <numFmt numFmtId="168" formatCode="&quot;$&quot;#,##0.00"/>
    <numFmt numFmtId="169" formatCode="&quot;$&quot;#,##0.00;\(&quot;$&quot;#,##0.00\)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2" fillId="0" borderId="0"/>
  </cellStyleXfs>
  <cellXfs count="93">
    <xf numFmtId="0" fontId="0" fillId="0" borderId="0" xfId="0"/>
    <xf numFmtId="0" fontId="1" fillId="0" borderId="0" xfId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0" fontId="0" fillId="0" borderId="0" xfId="0" applyBorder="1"/>
    <xf numFmtId="0" fontId="1" fillId="2" borderId="0" xfId="1" applyFont="1" applyFill="1" applyBorder="1" applyAlignment="1">
      <alignment horizontal="center"/>
    </xf>
    <xf numFmtId="39" fontId="1" fillId="2" borderId="0" xfId="1" applyNumberFormat="1" applyFont="1" applyFill="1" applyBorder="1" applyAlignment="1">
      <alignment horizontal="center"/>
    </xf>
    <xf numFmtId="39" fontId="1" fillId="0" borderId="0" xfId="1" applyNumberFormat="1" applyFont="1" applyFill="1" applyBorder="1" applyAlignment="1">
      <alignment horizontal="right" wrapText="1"/>
    </xf>
    <xf numFmtId="39" fontId="0" fillId="0" borderId="0" xfId="0" applyNumberFormat="1" applyBorder="1"/>
    <xf numFmtId="39" fontId="4" fillId="0" borderId="0" xfId="2" applyNumberFormat="1" applyFont="1" applyBorder="1" applyAlignment="1">
      <alignment horizontal="right"/>
    </xf>
    <xf numFmtId="39" fontId="4" fillId="0" borderId="0" xfId="0" applyNumberFormat="1" applyFont="1" applyBorder="1" applyAlignment="1">
      <alignment horizontal="right"/>
    </xf>
    <xf numFmtId="0" fontId="7" fillId="0" borderId="0" xfId="1" applyFont="1" applyFill="1" applyBorder="1" applyAlignment="1">
      <alignment wrapText="1"/>
    </xf>
    <xf numFmtId="39" fontId="8" fillId="2" borderId="0" xfId="1" applyNumberFormat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2" fontId="0" fillId="0" borderId="0" xfId="0" applyNumberFormat="1"/>
    <xf numFmtId="39" fontId="0" fillId="0" borderId="0" xfId="0" applyNumberFormat="1" applyFill="1" applyBorder="1"/>
    <xf numFmtId="0" fontId="0" fillId="0" borderId="0" xfId="0" applyFill="1"/>
    <xf numFmtId="164" fontId="9" fillId="0" borderId="0" xfId="3" applyNumberFormat="1" applyFont="1"/>
    <xf numFmtId="164" fontId="5" fillId="0" borderId="0" xfId="3" applyNumberFormat="1"/>
    <xf numFmtId="0" fontId="9" fillId="0" borderId="0" xfId="0" applyFont="1"/>
    <xf numFmtId="165" fontId="5" fillId="0" borderId="0" xfId="4" applyNumberFormat="1"/>
    <xf numFmtId="43" fontId="5" fillId="0" borderId="0" xfId="3" applyFill="1"/>
    <xf numFmtId="43" fontId="5" fillId="0" borderId="0" xfId="3"/>
    <xf numFmtId="10" fontId="5" fillId="0" borderId="0" xfId="4" applyNumberFormat="1"/>
    <xf numFmtId="166" fontId="5" fillId="0" borderId="0" xfId="3" applyNumberFormat="1"/>
    <xf numFmtId="167" fontId="10" fillId="0" borderId="0" xfId="4" applyNumberFormat="1" applyFont="1"/>
    <xf numFmtId="164" fontId="5" fillId="0" borderId="0" xfId="3" applyNumberForma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3" applyNumberFormat="1" applyFont="1" applyAlignment="1">
      <alignment horizontal="center"/>
    </xf>
    <xf numFmtId="164" fontId="9" fillId="0" borderId="0" xfId="3" applyNumberFormat="1" applyFont="1" applyFill="1"/>
    <xf numFmtId="164" fontId="5" fillId="0" borderId="0" xfId="3" applyNumberFormat="1" applyFill="1"/>
    <xf numFmtId="164" fontId="5" fillId="0" borderId="1" xfId="3" applyNumberFormat="1" applyBorder="1"/>
    <xf numFmtId="164" fontId="0" fillId="0" borderId="1" xfId="3" applyNumberFormat="1" applyFont="1" applyBorder="1"/>
    <xf numFmtId="164" fontId="0" fillId="0" borderId="0" xfId="3" applyNumberFormat="1" applyFont="1"/>
    <xf numFmtId="0" fontId="6" fillId="0" borderId="0" xfId="0" applyFont="1" applyAlignment="1">
      <alignment horizontal="center"/>
    </xf>
    <xf numFmtId="10" fontId="0" fillId="0" borderId="0" xfId="0" applyNumberFormat="1"/>
    <xf numFmtId="39" fontId="0" fillId="0" borderId="0" xfId="0" applyNumberFormat="1"/>
    <xf numFmtId="39" fontId="0" fillId="0" borderId="1" xfId="0" applyNumberFormat="1" applyBorder="1"/>
    <xf numFmtId="0" fontId="0" fillId="0" borderId="1" xfId="0" applyBorder="1"/>
    <xf numFmtId="0" fontId="12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39" fontId="14" fillId="0" borderId="0" xfId="0" applyNumberFormat="1" applyFont="1" applyAlignment="1">
      <alignment horizontal="center"/>
    </xf>
    <xf numFmtId="10" fontId="14" fillId="0" borderId="0" xfId="0" applyNumberFormat="1" applyFont="1" applyFill="1" applyBorder="1" applyAlignment="1">
      <alignment horizontal="center"/>
    </xf>
    <xf numFmtId="14" fontId="14" fillId="0" borderId="0" xfId="0" applyNumberFormat="1" applyFont="1" applyBorder="1" applyAlignment="1">
      <alignment horizontal="center"/>
    </xf>
    <xf numFmtId="39" fontId="14" fillId="0" borderId="0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4" fontId="14" fillId="0" borderId="3" xfId="0" applyNumberFormat="1" applyFont="1" applyBorder="1" applyAlignment="1">
      <alignment horizontal="center"/>
    </xf>
    <xf numFmtId="10" fontId="14" fillId="0" borderId="3" xfId="0" applyNumberFormat="1" applyFont="1" applyFill="1" applyBorder="1" applyAlignment="1">
      <alignment horizontal="center"/>
    </xf>
    <xf numFmtId="39" fontId="14" fillId="0" borderId="3" xfId="0" applyNumberFormat="1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0" xfId="0" applyFont="1" applyBorder="1"/>
    <xf numFmtId="0" fontId="17" fillId="0" borderId="0" xfId="0" applyFont="1"/>
    <xf numFmtId="39" fontId="17" fillId="0" borderId="0" xfId="0" applyNumberFormat="1" applyFont="1"/>
    <xf numFmtId="0" fontId="15" fillId="0" borderId="0" xfId="0" applyFont="1"/>
    <xf numFmtId="39" fontId="17" fillId="0" borderId="1" xfId="0" applyNumberFormat="1" applyFont="1" applyBorder="1"/>
    <xf numFmtId="37" fontId="17" fillId="0" borderId="0" xfId="0" applyNumberFormat="1" applyFont="1"/>
    <xf numFmtId="37" fontId="17" fillId="0" borderId="1" xfId="0" applyNumberFormat="1" applyFont="1" applyBorder="1"/>
    <xf numFmtId="9" fontId="0" fillId="0" borderId="0" xfId="0" applyNumberFormat="1"/>
    <xf numFmtId="0" fontId="1" fillId="0" borderId="4" xfId="20" applyFont="1" applyFill="1" applyBorder="1" applyAlignment="1">
      <alignment wrapText="1"/>
    </xf>
    <xf numFmtId="0" fontId="1" fillId="0" borderId="4" xfId="20" applyFont="1" applyFill="1" applyBorder="1" applyAlignment="1">
      <alignment horizontal="right" wrapText="1"/>
    </xf>
    <xf numFmtId="169" fontId="1" fillId="0" borderId="4" xfId="20" applyNumberFormat="1" applyFont="1" applyFill="1" applyBorder="1" applyAlignment="1">
      <alignment horizontal="right" wrapText="1"/>
    </xf>
    <xf numFmtId="7" fontId="0" fillId="0" borderId="0" xfId="0" applyNumberFormat="1"/>
    <xf numFmtId="164" fontId="0" fillId="0" borderId="0" xfId="0" applyNumberFormat="1"/>
    <xf numFmtId="165" fontId="6" fillId="0" borderId="0" xfId="0" applyNumberFormat="1" applyFont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0" fillId="0" borderId="0" xfId="0" applyNumberFormat="1"/>
    <xf numFmtId="165" fontId="0" fillId="0" borderId="1" xfId="0" applyNumberFormat="1" applyBorder="1"/>
    <xf numFmtId="165" fontId="0" fillId="0" borderId="0" xfId="0" applyNumberFormat="1" applyBorder="1"/>
    <xf numFmtId="165" fontId="16" fillId="0" borderId="0" xfId="0" applyNumberFormat="1" applyFont="1" applyAlignment="1">
      <alignment horizontal="center"/>
    </xf>
    <xf numFmtId="165" fontId="14" fillId="0" borderId="0" xfId="0" applyNumberFormat="1" applyFont="1" applyBorder="1" applyAlignment="1">
      <alignment horizontal="center"/>
    </xf>
    <xf numFmtId="165" fontId="14" fillId="0" borderId="3" xfId="0" applyNumberFormat="1" applyFont="1" applyBorder="1" applyAlignment="1">
      <alignment horizontal="center"/>
    </xf>
    <xf numFmtId="165" fontId="17" fillId="0" borderId="0" xfId="0" applyNumberFormat="1" applyFont="1"/>
    <xf numFmtId="165" fontId="17" fillId="0" borderId="1" xfId="0" applyNumberFormat="1" applyFont="1" applyBorder="1"/>
    <xf numFmtId="165" fontId="13" fillId="0" borderId="0" xfId="0" applyNumberFormat="1" applyFont="1" applyBorder="1" applyAlignment="1">
      <alignment horizontal="right"/>
    </xf>
    <xf numFmtId="165" fontId="6" fillId="0" borderId="3" xfId="0" applyNumberFormat="1" applyFont="1" applyFill="1" applyBorder="1" applyAlignment="1">
      <alignment horizontal="center"/>
    </xf>
    <xf numFmtId="165" fontId="0" fillId="0" borderId="1" xfId="4" applyNumberFormat="1" applyFont="1" applyBorder="1"/>
    <xf numFmtId="165" fontId="0" fillId="0" borderId="0" xfId="4" applyNumberFormat="1" applyFont="1"/>
    <xf numFmtId="0" fontId="8" fillId="0" borderId="0" xfId="1" applyFont="1" applyFill="1" applyBorder="1" applyAlignment="1"/>
    <xf numFmtId="0" fontId="0" fillId="0" borderId="0" xfId="0" applyAlignment="1"/>
    <xf numFmtId="0" fontId="1" fillId="0" borderId="0" xfId="1" applyFont="1" applyFill="1" applyBorder="1" applyAlignment="1"/>
    <xf numFmtId="168" fontId="6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/>
  </cellXfs>
  <cellStyles count="21">
    <cellStyle name="Comma" xfId="3" builtinId="3"/>
    <cellStyle name="Comma 2" xfId="6"/>
    <cellStyle name="Comma 2 2" xfId="7"/>
    <cellStyle name="Comma 3" xfId="8"/>
    <cellStyle name="Comma 4" xfId="9"/>
    <cellStyle name="Currency 2" xfId="10"/>
    <cellStyle name="Normal" xfId="0" builtinId="0"/>
    <cellStyle name="Normal 2" xfId="2"/>
    <cellStyle name="Normal 2 2" xfId="12"/>
    <cellStyle name="Normal 2 3" xfId="13"/>
    <cellStyle name="Normal 2 4" xfId="11"/>
    <cellStyle name="Normal 3" xfId="14"/>
    <cellStyle name="Normal 3 2" xfId="15"/>
    <cellStyle name="Normal 4" xfId="16"/>
    <cellStyle name="Normal 5" xfId="17"/>
    <cellStyle name="Normal 6" xfId="18"/>
    <cellStyle name="Normal 7" xfId="19"/>
    <cellStyle name="Normal_Avg Age v2" xfId="20"/>
    <cellStyle name="Normal_Sheet1" xfId="1"/>
    <cellStyle name="Percent" xfId="4" builtinId="5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/Southern%20Company/Gulf%20Power/Forecast%20Data/2016%20Forecasted%20Schedule%2071-B%20Schedule%2075-B%20with%202015%20actu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_In_Service_(2015-2016"/>
      <sheetName val="Accumulated_Reserve_(2015-2016)"/>
      <sheetName val="Scenario Data"/>
    </sheetNames>
    <sheetDataSet>
      <sheetData sheetId="0"/>
      <sheetData sheetId="1">
        <row r="89">
          <cell r="R89">
            <v>453185.54894726607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5"/>
  <sheetViews>
    <sheetView topLeftCell="A272" workbookViewId="0">
      <selection activeCell="H272" sqref="H1:J1048576"/>
    </sheetView>
  </sheetViews>
  <sheetFormatPr defaultRowHeight="15" outlineLevelRow="2" x14ac:dyDescent="0.25"/>
  <cols>
    <col min="1" max="1" width="49.140625" style="3" customWidth="1"/>
    <col min="2" max="2" width="59" style="3" customWidth="1"/>
    <col min="3" max="4" width="9.140625" style="3"/>
    <col min="5" max="5" width="21.85546875" style="7" customWidth="1"/>
    <col min="6" max="6" width="18.7109375" style="7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29</v>
      </c>
      <c r="E1" s="5" t="s">
        <v>3</v>
      </c>
      <c r="F1" s="11" t="s">
        <v>31</v>
      </c>
      <c r="G1" s="12" t="s">
        <v>30</v>
      </c>
    </row>
    <row r="2" spans="1:7" outlineLevel="2" x14ac:dyDescent="0.25">
      <c r="A2" s="2" t="s">
        <v>4</v>
      </c>
      <c r="B2" s="2" t="s">
        <v>5</v>
      </c>
      <c r="C2" s="1">
        <v>1998</v>
      </c>
      <c r="D2" s="1">
        <f>2016.5-C2</f>
        <v>18.5</v>
      </c>
      <c r="E2" s="6">
        <v>65753.72</v>
      </c>
      <c r="F2" s="7">
        <f>+E2*D2</f>
        <v>1216443.82</v>
      </c>
    </row>
    <row r="3" spans="1:7" outlineLevel="2" x14ac:dyDescent="0.25">
      <c r="A3" s="2" t="s">
        <v>4</v>
      </c>
      <c r="B3" s="2" t="s">
        <v>5</v>
      </c>
      <c r="C3" s="1">
        <v>2002</v>
      </c>
      <c r="D3" s="1">
        <f t="shared" ref="D3:D86" si="0">2016.5-C3</f>
        <v>14.5</v>
      </c>
      <c r="E3" s="6">
        <v>12644.85</v>
      </c>
      <c r="F3" s="7">
        <f t="shared" ref="F3:F86" si="1">+E3*D3</f>
        <v>183350.32500000001</v>
      </c>
    </row>
    <row r="4" spans="1:7" outlineLevel="2" x14ac:dyDescent="0.25">
      <c r="A4" s="2" t="s">
        <v>4</v>
      </c>
      <c r="B4" s="2" t="s">
        <v>5</v>
      </c>
      <c r="C4" s="1">
        <v>2011</v>
      </c>
      <c r="D4" s="1">
        <f t="shared" si="0"/>
        <v>5.5</v>
      </c>
      <c r="E4" s="6">
        <v>1170046.72</v>
      </c>
      <c r="F4" s="7">
        <f t="shared" si="1"/>
        <v>6435256.96</v>
      </c>
    </row>
    <row r="5" spans="1:7" outlineLevel="2" x14ac:dyDescent="0.25">
      <c r="A5" s="2" t="s">
        <v>4</v>
      </c>
      <c r="B5" s="2" t="s">
        <v>5</v>
      </c>
      <c r="C5" s="1">
        <v>2016</v>
      </c>
      <c r="D5" s="1">
        <f t="shared" si="0"/>
        <v>0.5</v>
      </c>
      <c r="E5" s="8">
        <v>121049.51156008591</v>
      </c>
      <c r="F5" s="7">
        <f t="shared" si="1"/>
        <v>60524.755780042957</v>
      </c>
    </row>
    <row r="6" spans="1:7" outlineLevel="1" x14ac:dyDescent="0.25">
      <c r="A6" s="2" t="str">
        <f>+A5</f>
        <v>41401 OP-Smith 40 Mw (CT)-340-346</v>
      </c>
      <c r="B6" s="10" t="s">
        <v>21</v>
      </c>
      <c r="C6" s="1"/>
      <c r="D6" s="1"/>
      <c r="E6" s="8">
        <f>SUBTOTAL(9,E2:E5)</f>
        <v>1369494.801560086</v>
      </c>
      <c r="F6" s="7">
        <f>SUBTOTAL(9,F2:F5)</f>
        <v>7895575.8607800435</v>
      </c>
      <c r="G6" s="13">
        <f>+F6/E6</f>
        <v>5.7653200667761926</v>
      </c>
    </row>
    <row r="7" spans="1:7" outlineLevel="2" x14ac:dyDescent="0.25">
      <c r="A7" s="2" t="str">
        <f>+A5</f>
        <v>41401 OP-Smith 40 Mw (CT)-340-346</v>
      </c>
      <c r="B7" s="2" t="s">
        <v>6</v>
      </c>
      <c r="C7" s="1">
        <v>2007</v>
      </c>
      <c r="D7" s="1">
        <f t="shared" si="0"/>
        <v>9.5</v>
      </c>
      <c r="E7" s="6">
        <v>169643.82283467401</v>
      </c>
      <c r="F7" s="7">
        <f t="shared" si="1"/>
        <v>1611616.316929403</v>
      </c>
    </row>
    <row r="8" spans="1:7" outlineLevel="2" x14ac:dyDescent="0.25">
      <c r="A8" s="2" t="s">
        <v>4</v>
      </c>
      <c r="B8" s="2" t="s">
        <v>6</v>
      </c>
      <c r="C8" s="1">
        <v>2011</v>
      </c>
      <c r="D8" s="1">
        <f t="shared" si="0"/>
        <v>5.5</v>
      </c>
      <c r="E8" s="6">
        <v>269418.46999999997</v>
      </c>
      <c r="F8" s="7">
        <f t="shared" si="1"/>
        <v>1481801.585</v>
      </c>
    </row>
    <row r="9" spans="1:7" outlineLevel="2" x14ac:dyDescent="0.25">
      <c r="A9" s="2" t="s">
        <v>4</v>
      </c>
      <c r="B9" s="2" t="s">
        <v>6</v>
      </c>
      <c r="C9" s="1">
        <v>2016</v>
      </c>
      <c r="D9" s="1">
        <f t="shared" si="0"/>
        <v>0.5</v>
      </c>
      <c r="E9" s="8">
        <v>506972.21881916194</v>
      </c>
      <c r="F9" s="7">
        <f t="shared" si="1"/>
        <v>253486.10940958097</v>
      </c>
    </row>
    <row r="10" spans="1:7" outlineLevel="1" x14ac:dyDescent="0.25">
      <c r="A10" s="2" t="str">
        <f>+A9</f>
        <v>41401 OP-Smith 40 Mw (CT)-340-346</v>
      </c>
      <c r="B10" s="10" t="s">
        <v>22</v>
      </c>
      <c r="C10" s="1"/>
      <c r="D10" s="1"/>
      <c r="E10" s="8">
        <f>SUBTOTAL(9,E7:E9)</f>
        <v>946034.51165383589</v>
      </c>
      <c r="F10" s="7">
        <f>SUBTOTAL(9,F7:F9)</f>
        <v>3346904.0113389837</v>
      </c>
      <c r="G10" s="13">
        <f>+F10/E10</f>
        <v>3.5378244346371703</v>
      </c>
    </row>
    <row r="11" spans="1:7" outlineLevel="2" x14ac:dyDescent="0.25">
      <c r="A11" s="2" t="s">
        <v>4</v>
      </c>
      <c r="B11" s="2" t="s">
        <v>7</v>
      </c>
      <c r="C11" s="1">
        <v>1971</v>
      </c>
      <c r="D11" s="1">
        <f t="shared" si="0"/>
        <v>45.5</v>
      </c>
      <c r="E11" s="8">
        <v>-6911.7706764879986</v>
      </c>
      <c r="F11" s="7">
        <f t="shared" si="1"/>
        <v>-314485.56578020391</v>
      </c>
    </row>
    <row r="12" spans="1:7" outlineLevel="2" x14ac:dyDescent="0.25">
      <c r="A12" s="2" t="s">
        <v>4</v>
      </c>
      <c r="B12" s="2" t="s">
        <v>7</v>
      </c>
      <c r="C12" s="1">
        <v>1971</v>
      </c>
      <c r="D12" s="1">
        <f t="shared" si="0"/>
        <v>45.5</v>
      </c>
      <c r="E12" s="6">
        <v>35668.43</v>
      </c>
      <c r="F12" s="7">
        <f t="shared" si="1"/>
        <v>1622913.5649999999</v>
      </c>
    </row>
    <row r="13" spans="1:7" outlineLevel="2" x14ac:dyDescent="0.25">
      <c r="A13" s="2" t="s">
        <v>4</v>
      </c>
      <c r="B13" s="2" t="s">
        <v>7</v>
      </c>
      <c r="C13" s="1">
        <v>1977</v>
      </c>
      <c r="D13" s="1">
        <f t="shared" si="0"/>
        <v>39.5</v>
      </c>
      <c r="E13" s="6">
        <v>13727.27</v>
      </c>
      <c r="F13" s="7">
        <f t="shared" si="1"/>
        <v>542227.16500000004</v>
      </c>
    </row>
    <row r="14" spans="1:7" outlineLevel="2" x14ac:dyDescent="0.25">
      <c r="A14" s="2" t="s">
        <v>4</v>
      </c>
      <c r="B14" s="2" t="s">
        <v>7</v>
      </c>
      <c r="C14" s="1">
        <v>1978</v>
      </c>
      <c r="D14" s="1">
        <f t="shared" si="0"/>
        <v>38.5</v>
      </c>
      <c r="E14" s="6">
        <v>39.979999999999997</v>
      </c>
      <c r="F14" s="7">
        <f t="shared" si="1"/>
        <v>1539.2299999999998</v>
      </c>
    </row>
    <row r="15" spans="1:7" outlineLevel="2" x14ac:dyDescent="0.25">
      <c r="A15" s="2" t="s">
        <v>4</v>
      </c>
      <c r="B15" s="2" t="s">
        <v>7</v>
      </c>
      <c r="C15" s="1">
        <v>1980</v>
      </c>
      <c r="D15" s="1">
        <f t="shared" si="0"/>
        <v>36.5</v>
      </c>
      <c r="E15" s="6">
        <v>2490.9499999999998</v>
      </c>
      <c r="F15" s="7">
        <f t="shared" si="1"/>
        <v>90919.674999999988</v>
      </c>
    </row>
    <row r="16" spans="1:7" outlineLevel="2" x14ac:dyDescent="0.25">
      <c r="A16" s="2" t="s">
        <v>4</v>
      </c>
      <c r="B16" s="2" t="s">
        <v>7</v>
      </c>
      <c r="C16" s="1">
        <v>1990</v>
      </c>
      <c r="D16" s="1">
        <f t="shared" si="0"/>
        <v>26.5</v>
      </c>
      <c r="E16" s="6">
        <v>22237.33</v>
      </c>
      <c r="F16" s="7">
        <f t="shared" si="1"/>
        <v>589289.245</v>
      </c>
    </row>
    <row r="17" spans="1:7" outlineLevel="2" x14ac:dyDescent="0.25">
      <c r="A17" s="2" t="s">
        <v>4</v>
      </c>
      <c r="B17" s="2" t="s">
        <v>7</v>
      </c>
      <c r="C17" s="1">
        <v>1998</v>
      </c>
      <c r="D17" s="1">
        <f t="shared" si="0"/>
        <v>18.5</v>
      </c>
      <c r="E17" s="6">
        <v>8942.44</v>
      </c>
      <c r="F17" s="7">
        <f t="shared" si="1"/>
        <v>165435.14000000001</v>
      </c>
    </row>
    <row r="18" spans="1:7" outlineLevel="2" x14ac:dyDescent="0.25">
      <c r="A18" s="2" t="s">
        <v>4</v>
      </c>
      <c r="B18" s="2" t="s">
        <v>7</v>
      </c>
      <c r="C18" s="1">
        <v>2011</v>
      </c>
      <c r="D18" s="1">
        <f t="shared" si="0"/>
        <v>5.5</v>
      </c>
      <c r="E18" s="6">
        <v>29774.67</v>
      </c>
      <c r="F18" s="7">
        <f t="shared" si="1"/>
        <v>163760.685</v>
      </c>
    </row>
    <row r="19" spans="1:7" outlineLevel="2" x14ac:dyDescent="0.25">
      <c r="A19" s="2" t="s">
        <v>4</v>
      </c>
      <c r="B19" s="2" t="s">
        <v>7</v>
      </c>
      <c r="C19" s="1">
        <v>2011</v>
      </c>
      <c r="D19" s="1">
        <f t="shared" si="0"/>
        <v>5.5</v>
      </c>
      <c r="E19" s="6">
        <v>2051878.56</v>
      </c>
      <c r="F19" s="7">
        <f t="shared" si="1"/>
        <v>11285332.08</v>
      </c>
    </row>
    <row r="20" spans="1:7" outlineLevel="2" x14ac:dyDescent="0.25">
      <c r="A20" s="2" t="s">
        <v>4</v>
      </c>
      <c r="B20" s="2" t="s">
        <v>7</v>
      </c>
      <c r="C20" s="1">
        <v>2013</v>
      </c>
      <c r="D20" s="1">
        <f t="shared" si="0"/>
        <v>3.5</v>
      </c>
      <c r="E20" s="6">
        <v>37477.22</v>
      </c>
      <c r="F20" s="7">
        <f t="shared" si="1"/>
        <v>131170.27000000002</v>
      </c>
    </row>
    <row r="21" spans="1:7" outlineLevel="2" x14ac:dyDescent="0.25">
      <c r="A21" s="2" t="s">
        <v>4</v>
      </c>
      <c r="B21" s="2" t="s">
        <v>7</v>
      </c>
      <c r="C21" s="1">
        <v>2014</v>
      </c>
      <c r="D21" s="1">
        <f t="shared" si="0"/>
        <v>2.5</v>
      </c>
      <c r="E21" s="6">
        <v>73113.259999999995</v>
      </c>
      <c r="F21" s="7">
        <f t="shared" si="1"/>
        <v>182783.15</v>
      </c>
    </row>
    <row r="22" spans="1:7" outlineLevel="2" x14ac:dyDescent="0.25">
      <c r="A22" s="2" t="s">
        <v>4</v>
      </c>
      <c r="B22" s="2" t="s">
        <v>7</v>
      </c>
      <c r="C22" s="1">
        <v>2014</v>
      </c>
      <c r="D22" s="1">
        <f t="shared" si="0"/>
        <v>2.5</v>
      </c>
      <c r="E22" s="6">
        <v>304007.44</v>
      </c>
      <c r="F22" s="7">
        <f t="shared" si="1"/>
        <v>760018.6</v>
      </c>
    </row>
    <row r="23" spans="1:7" outlineLevel="2" x14ac:dyDescent="0.25">
      <c r="A23" s="2" t="s">
        <v>4</v>
      </c>
      <c r="B23" s="2" t="s">
        <v>7</v>
      </c>
      <c r="C23" s="1">
        <v>2015</v>
      </c>
      <c r="D23" s="1">
        <f t="shared" si="0"/>
        <v>1.5</v>
      </c>
      <c r="E23" s="8">
        <v>22507.99</v>
      </c>
      <c r="F23" s="7">
        <f t="shared" si="1"/>
        <v>33761.985000000001</v>
      </c>
    </row>
    <row r="24" spans="1:7" outlineLevel="2" x14ac:dyDescent="0.25">
      <c r="A24" s="2" t="s">
        <v>4</v>
      </c>
      <c r="B24" s="2" t="s">
        <v>7</v>
      </c>
      <c r="C24" s="1">
        <v>2016</v>
      </c>
      <c r="D24" s="1">
        <f t="shared" si="0"/>
        <v>0.5</v>
      </c>
      <c r="E24" s="8">
        <v>13539.665626209438</v>
      </c>
      <c r="F24" s="7">
        <f t="shared" si="1"/>
        <v>6769.8328131047192</v>
      </c>
    </row>
    <row r="25" spans="1:7" outlineLevel="1" x14ac:dyDescent="0.25">
      <c r="A25" s="2" t="str">
        <f>+A24</f>
        <v>41401 OP-Smith 40 Mw (CT)-340-346</v>
      </c>
      <c r="B25" s="10" t="s">
        <v>23</v>
      </c>
      <c r="C25" s="1"/>
      <c r="D25" s="1"/>
      <c r="E25" s="8">
        <f>SUBTOTAL(9,E11:E24)</f>
        <v>2608493.4349497212</v>
      </c>
      <c r="F25" s="7">
        <f>SUBTOTAL(9,F11:F24)</f>
        <v>15261435.0570329</v>
      </c>
      <c r="G25" s="13">
        <f>+F25/E25</f>
        <v>5.8506702959469266</v>
      </c>
    </row>
    <row r="26" spans="1:7" outlineLevel="2" x14ac:dyDescent="0.25">
      <c r="A26" s="2" t="s">
        <v>4</v>
      </c>
      <c r="B26" s="2" t="s">
        <v>8</v>
      </c>
      <c r="C26" s="1">
        <v>1971</v>
      </c>
      <c r="D26" s="1">
        <f t="shared" si="0"/>
        <v>45.5</v>
      </c>
      <c r="E26" s="8">
        <v>-435093.95639975206</v>
      </c>
      <c r="F26" s="7">
        <f t="shared" si="1"/>
        <v>-19796775.016188718</v>
      </c>
    </row>
    <row r="27" spans="1:7" outlineLevel="2" x14ac:dyDescent="0.25">
      <c r="A27" s="2" t="s">
        <v>4</v>
      </c>
      <c r="B27" s="2" t="s">
        <v>8</v>
      </c>
      <c r="C27" s="1">
        <v>1971</v>
      </c>
      <c r="D27" s="1">
        <f t="shared" si="0"/>
        <v>45.5</v>
      </c>
      <c r="E27" s="6">
        <v>2881361.06</v>
      </c>
      <c r="F27" s="7">
        <f t="shared" si="1"/>
        <v>131101928.23</v>
      </c>
    </row>
    <row r="28" spans="1:7" outlineLevel="2" x14ac:dyDescent="0.25">
      <c r="A28" s="2" t="s">
        <v>4</v>
      </c>
      <c r="B28" s="2" t="s">
        <v>8</v>
      </c>
      <c r="C28" s="1">
        <v>1972</v>
      </c>
      <c r="D28" s="1">
        <f t="shared" si="0"/>
        <v>44.5</v>
      </c>
      <c r="E28" s="6">
        <v>3233.68</v>
      </c>
      <c r="F28" s="7">
        <f t="shared" si="1"/>
        <v>143898.75999999998</v>
      </c>
    </row>
    <row r="29" spans="1:7" outlineLevel="2" x14ac:dyDescent="0.25">
      <c r="A29" s="2" t="s">
        <v>4</v>
      </c>
      <c r="B29" s="2" t="s">
        <v>8</v>
      </c>
      <c r="C29" s="1">
        <v>2007</v>
      </c>
      <c r="D29" s="1">
        <f t="shared" si="0"/>
        <v>9.5</v>
      </c>
      <c r="E29" s="6">
        <v>554326.61</v>
      </c>
      <c r="F29" s="7">
        <f t="shared" si="1"/>
        <v>5266102.7949999999</v>
      </c>
    </row>
    <row r="30" spans="1:7" outlineLevel="2" x14ac:dyDescent="0.25">
      <c r="A30" s="2" t="s">
        <v>4</v>
      </c>
      <c r="B30" s="2" t="s">
        <v>8</v>
      </c>
      <c r="C30" s="1">
        <v>2016</v>
      </c>
      <c r="D30" s="1">
        <f t="shared" si="0"/>
        <v>0.5</v>
      </c>
      <c r="E30" s="8">
        <v>852318.01825788175</v>
      </c>
      <c r="F30" s="7">
        <f t="shared" si="1"/>
        <v>426159.00912894087</v>
      </c>
    </row>
    <row r="31" spans="1:7" outlineLevel="1" x14ac:dyDescent="0.25">
      <c r="A31" s="2" t="str">
        <f>+A30</f>
        <v>41401 OP-Smith 40 Mw (CT)-340-346</v>
      </c>
      <c r="B31" s="10" t="s">
        <v>24</v>
      </c>
      <c r="C31" s="1"/>
      <c r="D31" s="1"/>
      <c r="E31" s="8">
        <f>SUBTOTAL(9,E26:E30)</f>
        <v>3856145.4118581293</v>
      </c>
      <c r="F31" s="7">
        <f>SUBTOTAL(9,F26:F30)</f>
        <v>117141313.77794023</v>
      </c>
      <c r="G31" s="13">
        <f>+F31/E31</f>
        <v>30.377825851098883</v>
      </c>
    </row>
    <row r="32" spans="1:7" outlineLevel="2" x14ac:dyDescent="0.25">
      <c r="A32" s="2" t="s">
        <v>4</v>
      </c>
      <c r="B32" s="2" t="s">
        <v>9</v>
      </c>
      <c r="C32" s="1">
        <v>2002</v>
      </c>
      <c r="D32" s="1">
        <f t="shared" si="0"/>
        <v>14.5</v>
      </c>
      <c r="E32" s="6">
        <v>3147951.1370793278</v>
      </c>
      <c r="F32" s="7">
        <f t="shared" si="1"/>
        <v>45645291.487650253</v>
      </c>
    </row>
    <row r="33" spans="1:7" outlineLevel="2" x14ac:dyDescent="0.25">
      <c r="A33" s="2" t="s">
        <v>4</v>
      </c>
      <c r="B33" s="2" t="s">
        <v>9</v>
      </c>
      <c r="C33" s="1">
        <v>2003</v>
      </c>
      <c r="D33" s="1">
        <f t="shared" si="0"/>
        <v>13.5</v>
      </c>
      <c r="E33" s="6">
        <v>1682.01</v>
      </c>
      <c r="F33" s="7">
        <f t="shared" si="1"/>
        <v>22707.134999999998</v>
      </c>
    </row>
    <row r="34" spans="1:7" outlineLevel="2" x14ac:dyDescent="0.25">
      <c r="A34" s="2" t="s">
        <v>4</v>
      </c>
      <c r="B34" s="2" t="s">
        <v>9</v>
      </c>
      <c r="C34" s="1">
        <v>2005</v>
      </c>
      <c r="D34" s="1">
        <f t="shared" si="0"/>
        <v>11.5</v>
      </c>
      <c r="E34" s="6">
        <v>11589.4</v>
      </c>
      <c r="F34" s="7">
        <f t="shared" si="1"/>
        <v>133278.1</v>
      </c>
    </row>
    <row r="35" spans="1:7" outlineLevel="2" x14ac:dyDescent="0.25">
      <c r="A35" s="2" t="s">
        <v>4</v>
      </c>
      <c r="B35" s="2" t="s">
        <v>9</v>
      </c>
      <c r="C35" s="1">
        <v>2014</v>
      </c>
      <c r="D35" s="1">
        <f t="shared" si="0"/>
        <v>2.5</v>
      </c>
      <c r="E35" s="6">
        <v>7773.21</v>
      </c>
      <c r="F35" s="7">
        <f t="shared" si="1"/>
        <v>19433.025000000001</v>
      </c>
    </row>
    <row r="36" spans="1:7" outlineLevel="2" x14ac:dyDescent="0.25">
      <c r="A36" s="2" t="s">
        <v>4</v>
      </c>
      <c r="B36" s="2" t="s">
        <v>9</v>
      </c>
      <c r="C36" s="1">
        <v>2014</v>
      </c>
      <c r="D36" s="1">
        <f t="shared" si="0"/>
        <v>2.5</v>
      </c>
      <c r="E36" s="6">
        <v>72945.72</v>
      </c>
      <c r="F36" s="7">
        <f t="shared" si="1"/>
        <v>182364.3</v>
      </c>
    </row>
    <row r="37" spans="1:7" outlineLevel="2" x14ac:dyDescent="0.25">
      <c r="A37" s="2" t="s">
        <v>4</v>
      </c>
      <c r="B37" s="2" t="s">
        <v>9</v>
      </c>
      <c r="C37" s="1">
        <v>2015</v>
      </c>
      <c r="D37" s="1">
        <f t="shared" si="0"/>
        <v>1.5</v>
      </c>
      <c r="E37" s="8">
        <v>21387.279999999999</v>
      </c>
      <c r="F37" s="7">
        <f t="shared" si="1"/>
        <v>32080.92</v>
      </c>
    </row>
    <row r="38" spans="1:7" outlineLevel="2" x14ac:dyDescent="0.25">
      <c r="A38" s="2" t="s">
        <v>4</v>
      </c>
      <c r="B38" s="2" t="s">
        <v>9</v>
      </c>
      <c r="C38" s="1">
        <v>2016</v>
      </c>
      <c r="D38" s="1">
        <f t="shared" si="0"/>
        <v>0.5</v>
      </c>
      <c r="E38" s="8">
        <v>42259.38588979136</v>
      </c>
      <c r="F38" s="7">
        <f t="shared" si="1"/>
        <v>21129.69294489568</v>
      </c>
    </row>
    <row r="39" spans="1:7" outlineLevel="1" x14ac:dyDescent="0.25">
      <c r="A39" s="2" t="str">
        <f>+A38</f>
        <v>41401 OP-Smith 40 Mw (CT)-340-346</v>
      </c>
      <c r="B39" s="10" t="s">
        <v>25</v>
      </c>
      <c r="C39" s="1"/>
      <c r="D39" s="1"/>
      <c r="E39" s="8">
        <f>SUBTOTAL(9,E32:E38)</f>
        <v>3305588.1429691189</v>
      </c>
      <c r="F39" s="7">
        <f>SUBTOTAL(9,F32:F38)</f>
        <v>46056284.660595149</v>
      </c>
      <c r="G39" s="13">
        <f>+F39/E39</f>
        <v>13.932856323482223</v>
      </c>
    </row>
    <row r="40" spans="1:7" outlineLevel="2" x14ac:dyDescent="0.25">
      <c r="A40" s="2" t="s">
        <v>4</v>
      </c>
      <c r="B40" s="2" t="s">
        <v>10</v>
      </c>
      <c r="C40" s="1">
        <v>2011</v>
      </c>
      <c r="D40" s="1">
        <f t="shared" si="0"/>
        <v>5.5</v>
      </c>
      <c r="E40" s="6">
        <v>35046.713210050002</v>
      </c>
      <c r="F40" s="7">
        <f t="shared" si="1"/>
        <v>192756.922655275</v>
      </c>
    </row>
    <row r="41" spans="1:7" outlineLevel="2" x14ac:dyDescent="0.25">
      <c r="A41" s="2" t="s">
        <v>4</v>
      </c>
      <c r="B41" s="2" t="s">
        <v>10</v>
      </c>
      <c r="C41" s="1">
        <v>2016</v>
      </c>
      <c r="D41" s="1">
        <f t="shared" si="0"/>
        <v>0.5</v>
      </c>
      <c r="E41" s="8">
        <v>15868.412807031002</v>
      </c>
      <c r="F41" s="7">
        <f t="shared" si="1"/>
        <v>7934.2064035155008</v>
      </c>
    </row>
    <row r="42" spans="1:7" outlineLevel="1" x14ac:dyDescent="0.25">
      <c r="A42" s="2" t="str">
        <f>+A41</f>
        <v>41401 OP-Smith 40 Mw (CT)-340-346</v>
      </c>
      <c r="B42" s="10" t="s">
        <v>26</v>
      </c>
      <c r="C42" s="1"/>
      <c r="D42" s="1"/>
      <c r="E42" s="8">
        <f>SUBTOTAL(9,E40:E41)</f>
        <v>50915.126017081006</v>
      </c>
      <c r="F42" s="7">
        <f>SUBTOTAL(9,F40:F41)</f>
        <v>200691.12905879051</v>
      </c>
      <c r="G42" s="13">
        <f>+F42/E42</f>
        <v>3.9416799045427613</v>
      </c>
    </row>
    <row r="43" spans="1:7" outlineLevel="2" x14ac:dyDescent="0.25">
      <c r="A43" s="2" t="s">
        <v>11</v>
      </c>
      <c r="B43" s="2" t="s">
        <v>5</v>
      </c>
      <c r="C43" s="1">
        <v>2002</v>
      </c>
      <c r="D43" s="1">
        <f t="shared" si="0"/>
        <v>14.5</v>
      </c>
      <c r="E43" s="9">
        <v>-944564.74834501604</v>
      </c>
      <c r="F43" s="7">
        <f t="shared" si="1"/>
        <v>-13696188.851002732</v>
      </c>
    </row>
    <row r="44" spans="1:7" outlineLevel="2" x14ac:dyDescent="0.25">
      <c r="A44" s="2" t="s">
        <v>11</v>
      </c>
      <c r="B44" s="2" t="s">
        <v>5</v>
      </c>
      <c r="C44" s="1">
        <v>2002</v>
      </c>
      <c r="D44" s="1">
        <f t="shared" si="0"/>
        <v>14.5</v>
      </c>
      <c r="E44" s="6">
        <v>1388117.62</v>
      </c>
      <c r="F44" s="7">
        <f t="shared" si="1"/>
        <v>20127705.490000002</v>
      </c>
    </row>
    <row r="45" spans="1:7" outlineLevel="2" x14ac:dyDescent="0.25">
      <c r="A45" t="s">
        <v>126</v>
      </c>
      <c r="B45" t="s">
        <v>127</v>
      </c>
      <c r="C45">
        <v>2002</v>
      </c>
      <c r="D45">
        <v>14.5</v>
      </c>
      <c r="E45">
        <v>92265.9</v>
      </c>
      <c r="F45">
        <v>1337855.5499999998</v>
      </c>
    </row>
    <row r="46" spans="1:7" outlineLevel="2" x14ac:dyDescent="0.25">
      <c r="A46" t="s">
        <v>126</v>
      </c>
      <c r="B46" t="s">
        <v>127</v>
      </c>
      <c r="C46">
        <v>2004</v>
      </c>
      <c r="D46">
        <v>12.5</v>
      </c>
      <c r="E46">
        <v>149202.75</v>
      </c>
      <c r="F46">
        <v>1865034.375</v>
      </c>
    </row>
    <row r="47" spans="1:7" outlineLevel="2" x14ac:dyDescent="0.25">
      <c r="A47" t="s">
        <v>126</v>
      </c>
      <c r="B47" t="s">
        <v>127</v>
      </c>
      <c r="C47">
        <v>2005</v>
      </c>
      <c r="D47">
        <v>11.5</v>
      </c>
      <c r="E47">
        <v>2514074.04</v>
      </c>
      <c r="F47">
        <v>28911851.460000001</v>
      </c>
    </row>
    <row r="48" spans="1:7" outlineLevel="2" x14ac:dyDescent="0.25">
      <c r="A48" t="s">
        <v>126</v>
      </c>
      <c r="B48" t="s">
        <v>127</v>
      </c>
      <c r="C48">
        <v>2006</v>
      </c>
      <c r="D48">
        <v>10.5</v>
      </c>
      <c r="E48">
        <v>496859.52</v>
      </c>
      <c r="F48">
        <v>5217024.96</v>
      </c>
    </row>
    <row r="49" spans="1:6" outlineLevel="2" x14ac:dyDescent="0.25">
      <c r="A49" t="s">
        <v>126</v>
      </c>
      <c r="B49" t="s">
        <v>127</v>
      </c>
      <c r="C49">
        <v>2007</v>
      </c>
      <c r="D49">
        <v>9.5</v>
      </c>
      <c r="E49">
        <v>559412.02</v>
      </c>
      <c r="F49">
        <v>5314414.1900000004</v>
      </c>
    </row>
    <row r="50" spans="1:6" outlineLevel="2" x14ac:dyDescent="0.25">
      <c r="A50" t="s">
        <v>126</v>
      </c>
      <c r="B50" t="s">
        <v>127</v>
      </c>
      <c r="C50">
        <v>2008</v>
      </c>
      <c r="D50">
        <v>8.5</v>
      </c>
      <c r="E50">
        <v>2297777.41</v>
      </c>
      <c r="F50">
        <v>19531107.984999999</v>
      </c>
    </row>
    <row r="51" spans="1:6" outlineLevel="2" x14ac:dyDescent="0.25">
      <c r="A51" t="s">
        <v>126</v>
      </c>
      <c r="B51" t="s">
        <v>127</v>
      </c>
      <c r="C51">
        <v>2009</v>
      </c>
      <c r="D51">
        <v>7.5</v>
      </c>
      <c r="E51">
        <v>287303.56</v>
      </c>
      <c r="F51">
        <v>2154776.7000000002</v>
      </c>
    </row>
    <row r="52" spans="1:6" outlineLevel="2" x14ac:dyDescent="0.25">
      <c r="A52" t="s">
        <v>126</v>
      </c>
      <c r="B52" t="s">
        <v>127</v>
      </c>
      <c r="C52">
        <v>2010</v>
      </c>
      <c r="D52">
        <v>6.5</v>
      </c>
      <c r="E52">
        <v>229025.31</v>
      </c>
      <c r="F52">
        <v>1488664.5149999999</v>
      </c>
    </row>
    <row r="53" spans="1:6" outlineLevel="2" x14ac:dyDescent="0.25">
      <c r="A53" t="s">
        <v>126</v>
      </c>
      <c r="B53" t="s">
        <v>127</v>
      </c>
      <c r="C53">
        <v>2011</v>
      </c>
      <c r="D53">
        <v>5.5</v>
      </c>
      <c r="E53">
        <v>1351373.23</v>
      </c>
      <c r="F53">
        <v>7432552.7649999997</v>
      </c>
    </row>
    <row r="54" spans="1:6" outlineLevel="2" x14ac:dyDescent="0.25">
      <c r="A54" t="s">
        <v>126</v>
      </c>
      <c r="B54" t="s">
        <v>127</v>
      </c>
      <c r="C54">
        <v>2012</v>
      </c>
      <c r="D54">
        <v>4.5</v>
      </c>
      <c r="E54">
        <v>1501425.7</v>
      </c>
      <c r="F54">
        <v>6756415.6499999994</v>
      </c>
    </row>
    <row r="55" spans="1:6" outlineLevel="2" x14ac:dyDescent="0.25">
      <c r="A55" t="s">
        <v>126</v>
      </c>
      <c r="B55" t="s">
        <v>127</v>
      </c>
      <c r="C55">
        <v>2013</v>
      </c>
      <c r="D55">
        <v>3.5</v>
      </c>
      <c r="E55">
        <v>224618.98</v>
      </c>
      <c r="F55">
        <v>786166.43</v>
      </c>
    </row>
    <row r="56" spans="1:6" outlineLevel="2" x14ac:dyDescent="0.25">
      <c r="A56" t="s">
        <v>126</v>
      </c>
      <c r="B56" t="s">
        <v>127</v>
      </c>
      <c r="C56">
        <v>2014</v>
      </c>
      <c r="D56">
        <v>2.5</v>
      </c>
      <c r="E56">
        <v>435518.14</v>
      </c>
      <c r="F56">
        <v>1088795.3500000001</v>
      </c>
    </row>
    <row r="57" spans="1:6" outlineLevel="2" x14ac:dyDescent="0.25">
      <c r="A57" t="s">
        <v>126</v>
      </c>
      <c r="B57" t="s">
        <v>127</v>
      </c>
      <c r="C57">
        <v>2015</v>
      </c>
      <c r="D57">
        <v>1.5</v>
      </c>
      <c r="E57">
        <v>85381.09</v>
      </c>
      <c r="F57">
        <v>128071.63499999999</v>
      </c>
    </row>
    <row r="58" spans="1:6" outlineLevel="2" x14ac:dyDescent="0.25">
      <c r="A58" t="s">
        <v>126</v>
      </c>
      <c r="B58" t="s">
        <v>127</v>
      </c>
      <c r="C58">
        <v>2016</v>
      </c>
      <c r="D58">
        <v>0.5</v>
      </c>
      <c r="E58">
        <v>1160128.45</v>
      </c>
      <c r="F58">
        <v>580064.22499999998</v>
      </c>
    </row>
    <row r="59" spans="1:6" outlineLevel="2" x14ac:dyDescent="0.25">
      <c r="A59" s="2" t="s">
        <v>11</v>
      </c>
      <c r="B59" s="2" t="s">
        <v>5</v>
      </c>
      <c r="C59" s="1">
        <v>2002</v>
      </c>
      <c r="D59" s="1">
        <f t="shared" si="0"/>
        <v>14.5</v>
      </c>
      <c r="E59" s="6">
        <v>6421816.9800000004</v>
      </c>
      <c r="F59" s="7">
        <f t="shared" si="1"/>
        <v>93116346.210000008</v>
      </c>
    </row>
    <row r="60" spans="1:6" outlineLevel="2" x14ac:dyDescent="0.25">
      <c r="A60" s="2" t="s">
        <v>11</v>
      </c>
      <c r="B60" s="2" t="s">
        <v>5</v>
      </c>
      <c r="C60" s="1">
        <v>2004</v>
      </c>
      <c r="D60" s="1">
        <f t="shared" si="0"/>
        <v>12.5</v>
      </c>
      <c r="E60" s="6">
        <v>2511.09</v>
      </c>
      <c r="F60" s="7">
        <f t="shared" si="1"/>
        <v>31388.625</v>
      </c>
    </row>
    <row r="61" spans="1:6" outlineLevel="2" x14ac:dyDescent="0.25">
      <c r="A61" s="2" t="s">
        <v>11</v>
      </c>
      <c r="B61" s="2" t="s">
        <v>5</v>
      </c>
      <c r="C61" s="1">
        <v>2005</v>
      </c>
      <c r="D61" s="1">
        <f t="shared" si="0"/>
        <v>11.5</v>
      </c>
      <c r="E61" s="6">
        <v>15614.32</v>
      </c>
      <c r="F61" s="7">
        <f t="shared" si="1"/>
        <v>179564.68</v>
      </c>
    </row>
    <row r="62" spans="1:6" outlineLevel="2" x14ac:dyDescent="0.25">
      <c r="A62" s="2" t="s">
        <v>11</v>
      </c>
      <c r="B62" s="2" t="s">
        <v>5</v>
      </c>
      <c r="C62" s="1">
        <v>2005</v>
      </c>
      <c r="D62" s="1">
        <f t="shared" si="0"/>
        <v>11.5</v>
      </c>
      <c r="E62" s="6">
        <v>51241.7</v>
      </c>
      <c r="F62" s="7">
        <f t="shared" si="1"/>
        <v>589279.54999999993</v>
      </c>
    </row>
    <row r="63" spans="1:6" outlineLevel="2" x14ac:dyDescent="0.25">
      <c r="A63" s="2" t="s">
        <v>11</v>
      </c>
      <c r="B63" s="2" t="s">
        <v>5</v>
      </c>
      <c r="C63" s="1">
        <v>2005</v>
      </c>
      <c r="D63" s="1">
        <f t="shared" si="0"/>
        <v>11.5</v>
      </c>
      <c r="E63" s="6">
        <v>106814.31</v>
      </c>
      <c r="F63" s="7">
        <f t="shared" si="1"/>
        <v>1228364.5649999999</v>
      </c>
    </row>
    <row r="64" spans="1:6" outlineLevel="2" x14ac:dyDescent="0.25">
      <c r="A64" s="2" t="s">
        <v>11</v>
      </c>
      <c r="B64" s="2" t="s">
        <v>5</v>
      </c>
      <c r="C64" s="1">
        <v>2007</v>
      </c>
      <c r="D64" s="1">
        <f t="shared" si="0"/>
        <v>9.5</v>
      </c>
      <c r="E64" s="6">
        <v>60516.84</v>
      </c>
      <c r="F64" s="7">
        <f t="shared" si="1"/>
        <v>574909.98</v>
      </c>
    </row>
    <row r="65" spans="1:6" outlineLevel="2" x14ac:dyDescent="0.25">
      <c r="A65" s="2" t="s">
        <v>11</v>
      </c>
      <c r="B65" s="2" t="s">
        <v>5</v>
      </c>
      <c r="C65" s="1">
        <v>2007</v>
      </c>
      <c r="D65" s="1">
        <f t="shared" si="0"/>
        <v>9.5</v>
      </c>
      <c r="E65" s="6">
        <v>237652.42</v>
      </c>
      <c r="F65" s="7">
        <f t="shared" si="1"/>
        <v>2257697.9900000002</v>
      </c>
    </row>
    <row r="66" spans="1:6" outlineLevel="2" x14ac:dyDescent="0.25">
      <c r="A66" s="2" t="s">
        <v>11</v>
      </c>
      <c r="B66" s="2" t="s">
        <v>5</v>
      </c>
      <c r="C66" s="1">
        <v>2008</v>
      </c>
      <c r="D66" s="1">
        <f t="shared" si="0"/>
        <v>8.5</v>
      </c>
      <c r="E66" s="6">
        <v>175851.63</v>
      </c>
      <c r="F66" s="7">
        <f t="shared" si="1"/>
        <v>1494738.855</v>
      </c>
    </row>
    <row r="67" spans="1:6" outlineLevel="2" x14ac:dyDescent="0.25">
      <c r="A67" s="2" t="s">
        <v>11</v>
      </c>
      <c r="B67" s="2" t="s">
        <v>5</v>
      </c>
      <c r="C67" s="1">
        <v>2008</v>
      </c>
      <c r="D67" s="1">
        <f t="shared" si="0"/>
        <v>8.5</v>
      </c>
      <c r="E67" s="6">
        <v>239450.17</v>
      </c>
      <c r="F67" s="7">
        <f t="shared" si="1"/>
        <v>2035326.4450000001</v>
      </c>
    </row>
    <row r="68" spans="1:6" outlineLevel="2" x14ac:dyDescent="0.25">
      <c r="A68" s="2" t="s">
        <v>11</v>
      </c>
      <c r="B68" s="2" t="s">
        <v>5</v>
      </c>
      <c r="C68" s="1">
        <v>2009</v>
      </c>
      <c r="D68" s="1">
        <f t="shared" si="0"/>
        <v>7.5</v>
      </c>
      <c r="E68" s="6">
        <v>7898.49</v>
      </c>
      <c r="F68" s="7">
        <f t="shared" si="1"/>
        <v>59238.674999999996</v>
      </c>
    </row>
    <row r="69" spans="1:6" outlineLevel="2" x14ac:dyDescent="0.25">
      <c r="A69" s="2" t="s">
        <v>11</v>
      </c>
      <c r="B69" s="2" t="s">
        <v>5</v>
      </c>
      <c r="C69" s="1">
        <v>2009</v>
      </c>
      <c r="D69" s="1">
        <f t="shared" si="0"/>
        <v>7.5</v>
      </c>
      <c r="E69" s="6">
        <v>11105.21</v>
      </c>
      <c r="F69" s="7">
        <f t="shared" si="1"/>
        <v>83289.074999999997</v>
      </c>
    </row>
    <row r="70" spans="1:6" outlineLevel="2" x14ac:dyDescent="0.25">
      <c r="A70" s="2" t="s">
        <v>11</v>
      </c>
      <c r="B70" s="2" t="s">
        <v>5</v>
      </c>
      <c r="C70" s="1">
        <v>2009</v>
      </c>
      <c r="D70" s="1">
        <f t="shared" si="0"/>
        <v>7.5</v>
      </c>
      <c r="E70" s="6">
        <v>43293.19</v>
      </c>
      <c r="F70" s="7">
        <f t="shared" si="1"/>
        <v>324698.92500000005</v>
      </c>
    </row>
    <row r="71" spans="1:6" outlineLevel="2" x14ac:dyDescent="0.25">
      <c r="A71" s="2" t="s">
        <v>11</v>
      </c>
      <c r="B71" s="2" t="s">
        <v>5</v>
      </c>
      <c r="C71" s="1">
        <v>2009</v>
      </c>
      <c r="D71" s="1">
        <f t="shared" si="0"/>
        <v>7.5</v>
      </c>
      <c r="E71" s="6">
        <v>295449.59000000003</v>
      </c>
      <c r="F71" s="7">
        <f t="shared" si="1"/>
        <v>2215871.9250000003</v>
      </c>
    </row>
    <row r="72" spans="1:6" outlineLevel="2" x14ac:dyDescent="0.25">
      <c r="A72" s="2" t="s">
        <v>11</v>
      </c>
      <c r="B72" s="2" t="s">
        <v>5</v>
      </c>
      <c r="C72" s="1">
        <v>2010</v>
      </c>
      <c r="D72" s="1">
        <f t="shared" si="0"/>
        <v>6.5</v>
      </c>
      <c r="E72" s="6">
        <v>42759.6</v>
      </c>
      <c r="F72" s="7">
        <f t="shared" si="1"/>
        <v>277937.39999999997</v>
      </c>
    </row>
    <row r="73" spans="1:6" outlineLevel="2" x14ac:dyDescent="0.25">
      <c r="A73" s="2" t="s">
        <v>11</v>
      </c>
      <c r="B73" s="2" t="s">
        <v>5</v>
      </c>
      <c r="C73" s="1">
        <v>2010</v>
      </c>
      <c r="D73" s="1">
        <f t="shared" si="0"/>
        <v>6.5</v>
      </c>
      <c r="E73" s="6">
        <v>55295.66</v>
      </c>
      <c r="F73" s="7">
        <f t="shared" si="1"/>
        <v>359421.79000000004</v>
      </c>
    </row>
    <row r="74" spans="1:6" outlineLevel="2" x14ac:dyDescent="0.25">
      <c r="A74" s="2" t="s">
        <v>11</v>
      </c>
      <c r="B74" s="2" t="s">
        <v>5</v>
      </c>
      <c r="C74" s="1">
        <v>2010</v>
      </c>
      <c r="D74" s="1">
        <f t="shared" si="0"/>
        <v>6.5</v>
      </c>
      <c r="E74" s="6">
        <v>982962.02</v>
      </c>
      <c r="F74" s="7">
        <f t="shared" si="1"/>
        <v>6389253.1299999999</v>
      </c>
    </row>
    <row r="75" spans="1:6" outlineLevel="2" x14ac:dyDescent="0.25">
      <c r="A75" s="2" t="s">
        <v>11</v>
      </c>
      <c r="B75" s="2" t="s">
        <v>5</v>
      </c>
      <c r="C75" s="1">
        <v>2011</v>
      </c>
      <c r="D75" s="1">
        <f t="shared" si="0"/>
        <v>5.5</v>
      </c>
      <c r="E75" s="6">
        <v>11950.93</v>
      </c>
      <c r="F75" s="7">
        <f t="shared" si="1"/>
        <v>65730.115000000005</v>
      </c>
    </row>
    <row r="76" spans="1:6" outlineLevel="2" x14ac:dyDescent="0.25">
      <c r="A76" s="2" t="s">
        <v>11</v>
      </c>
      <c r="B76" s="2" t="s">
        <v>5</v>
      </c>
      <c r="C76" s="1">
        <v>2011</v>
      </c>
      <c r="D76" s="1">
        <f t="shared" si="0"/>
        <v>5.5</v>
      </c>
      <c r="E76" s="6">
        <v>361354.04</v>
      </c>
      <c r="F76" s="7">
        <f t="shared" si="1"/>
        <v>1987447.22</v>
      </c>
    </row>
    <row r="77" spans="1:6" outlineLevel="2" x14ac:dyDescent="0.25">
      <c r="A77" s="2" t="s">
        <v>11</v>
      </c>
      <c r="B77" s="2" t="s">
        <v>5</v>
      </c>
      <c r="C77" s="1">
        <v>2011</v>
      </c>
      <c r="D77" s="1">
        <f t="shared" si="0"/>
        <v>5.5</v>
      </c>
      <c r="E77" s="6">
        <v>460412.87</v>
      </c>
      <c r="F77" s="7">
        <f t="shared" si="1"/>
        <v>2532270.7850000001</v>
      </c>
    </row>
    <row r="78" spans="1:6" outlineLevel="2" x14ac:dyDescent="0.25">
      <c r="A78" s="2" t="s">
        <v>11</v>
      </c>
      <c r="B78" s="2" t="s">
        <v>5</v>
      </c>
      <c r="C78" s="1">
        <v>2011</v>
      </c>
      <c r="D78" s="1">
        <f t="shared" si="0"/>
        <v>5.5</v>
      </c>
      <c r="E78" s="6">
        <v>642860.74</v>
      </c>
      <c r="F78" s="7">
        <f t="shared" si="1"/>
        <v>3535734.07</v>
      </c>
    </row>
    <row r="79" spans="1:6" outlineLevel="2" x14ac:dyDescent="0.25">
      <c r="A79" s="2" t="s">
        <v>11</v>
      </c>
      <c r="B79" s="2" t="s">
        <v>5</v>
      </c>
      <c r="C79" s="1">
        <v>2012</v>
      </c>
      <c r="D79" s="1">
        <f t="shared" si="0"/>
        <v>4.5</v>
      </c>
      <c r="E79" s="6">
        <v>21611.88</v>
      </c>
      <c r="F79" s="7">
        <f t="shared" si="1"/>
        <v>97253.46</v>
      </c>
    </row>
    <row r="80" spans="1:6" outlineLevel="2" x14ac:dyDescent="0.25">
      <c r="A80" s="2" t="s">
        <v>11</v>
      </c>
      <c r="B80" s="2" t="s">
        <v>5</v>
      </c>
      <c r="C80" s="1">
        <v>2012</v>
      </c>
      <c r="D80" s="1">
        <f t="shared" si="0"/>
        <v>4.5</v>
      </c>
      <c r="E80" s="6">
        <v>1622115.67</v>
      </c>
      <c r="F80" s="7">
        <f t="shared" si="1"/>
        <v>7299520.5149999997</v>
      </c>
    </row>
    <row r="81" spans="1:7" outlineLevel="2" x14ac:dyDescent="0.25">
      <c r="A81" s="2" t="s">
        <v>11</v>
      </c>
      <c r="B81" s="2" t="s">
        <v>5</v>
      </c>
      <c r="C81" s="1">
        <v>2013</v>
      </c>
      <c r="D81" s="1">
        <f t="shared" si="0"/>
        <v>3.5</v>
      </c>
      <c r="E81" s="6">
        <v>6495.01</v>
      </c>
      <c r="F81" s="7">
        <f t="shared" si="1"/>
        <v>22732.535</v>
      </c>
    </row>
    <row r="82" spans="1:7" outlineLevel="2" x14ac:dyDescent="0.25">
      <c r="A82" s="2" t="s">
        <v>11</v>
      </c>
      <c r="B82" s="2" t="s">
        <v>5</v>
      </c>
      <c r="C82" s="1">
        <v>2013</v>
      </c>
      <c r="D82" s="1">
        <f t="shared" si="0"/>
        <v>3.5</v>
      </c>
      <c r="E82" s="6">
        <v>274455.96000000002</v>
      </c>
      <c r="F82" s="7">
        <f t="shared" si="1"/>
        <v>960595.8600000001</v>
      </c>
    </row>
    <row r="83" spans="1:7" outlineLevel="2" x14ac:dyDescent="0.25">
      <c r="A83" s="2" t="s">
        <v>11</v>
      </c>
      <c r="B83" s="2" t="s">
        <v>5</v>
      </c>
      <c r="C83" s="1">
        <v>2013</v>
      </c>
      <c r="D83" s="1">
        <f t="shared" si="0"/>
        <v>3.5</v>
      </c>
      <c r="E83" s="6">
        <v>366060.61</v>
      </c>
      <c r="F83" s="7">
        <f t="shared" si="1"/>
        <v>1281212.135</v>
      </c>
    </row>
    <row r="84" spans="1:7" outlineLevel="2" x14ac:dyDescent="0.25">
      <c r="A84" s="2" t="s">
        <v>11</v>
      </c>
      <c r="B84" s="2" t="s">
        <v>5</v>
      </c>
      <c r="C84" s="1">
        <v>2014</v>
      </c>
      <c r="D84" s="1">
        <f t="shared" si="0"/>
        <v>2.5</v>
      </c>
      <c r="E84" s="6">
        <v>27830.21</v>
      </c>
      <c r="F84" s="7">
        <f t="shared" si="1"/>
        <v>69575.524999999994</v>
      </c>
    </row>
    <row r="85" spans="1:7" outlineLevel="2" x14ac:dyDescent="0.25">
      <c r="A85" s="2" t="s">
        <v>11</v>
      </c>
      <c r="B85" s="2" t="s">
        <v>5</v>
      </c>
      <c r="C85" s="1">
        <v>2014</v>
      </c>
      <c r="D85" s="1">
        <f t="shared" si="0"/>
        <v>2.5</v>
      </c>
      <c r="E85" s="6">
        <v>62627.95</v>
      </c>
      <c r="F85" s="7">
        <f t="shared" si="1"/>
        <v>156569.875</v>
      </c>
    </row>
    <row r="86" spans="1:7" outlineLevel="2" x14ac:dyDescent="0.25">
      <c r="A86" s="2" t="s">
        <v>11</v>
      </c>
      <c r="B86" s="2" t="s">
        <v>5</v>
      </c>
      <c r="C86" s="1">
        <v>2015</v>
      </c>
      <c r="D86" s="1">
        <f t="shared" si="0"/>
        <v>1.5</v>
      </c>
      <c r="E86" s="9">
        <v>1750614.43</v>
      </c>
      <c r="F86" s="7">
        <f t="shared" si="1"/>
        <v>2625921.645</v>
      </c>
    </row>
    <row r="87" spans="1:7" outlineLevel="2" x14ac:dyDescent="0.25">
      <c r="A87" s="2" t="s">
        <v>11</v>
      </c>
      <c r="B87" s="2" t="s">
        <v>5</v>
      </c>
      <c r="C87" s="1">
        <v>2016</v>
      </c>
      <c r="D87" s="1">
        <f t="shared" ref="D87:D179" si="2">2016.5-C87</f>
        <v>0.5</v>
      </c>
      <c r="E87" s="9">
        <v>1850334.9508399141</v>
      </c>
      <c r="F87" s="7">
        <f t="shared" ref="F87:F179" si="3">+E87*D87</f>
        <v>925167.47541995707</v>
      </c>
    </row>
    <row r="88" spans="1:7" outlineLevel="1" x14ac:dyDescent="0.25">
      <c r="A88" s="2" t="str">
        <f>+A87</f>
        <v>41403 OP-Smith 3 Combined Cyc (CC)-340-346</v>
      </c>
      <c r="B88" s="10" t="s">
        <v>21</v>
      </c>
      <c r="C88" s="1"/>
      <c r="D88" s="1"/>
      <c r="E88" s="9">
        <f>SUBTOTAL(9,E43:E87)</f>
        <v>28036877.442494899</v>
      </c>
      <c r="F88" s="7">
        <f>SUBTOTAL(9,F43:F87)</f>
        <v>221801371.46441728</v>
      </c>
      <c r="G88" s="13">
        <f>+F88/E88</f>
        <v>7.9110582809852303</v>
      </c>
    </row>
    <row r="89" spans="1:7" outlineLevel="2" x14ac:dyDescent="0.25">
      <c r="A89" s="2" t="s">
        <v>11</v>
      </c>
      <c r="B89" s="2" t="s">
        <v>6</v>
      </c>
      <c r="C89" s="1">
        <v>2002</v>
      </c>
      <c r="D89" s="1">
        <f t="shared" si="2"/>
        <v>14.5</v>
      </c>
      <c r="E89" s="9">
        <v>-1502326.582834674</v>
      </c>
      <c r="F89" s="7">
        <f t="shared" si="3"/>
        <v>-21783735.451102775</v>
      </c>
    </row>
    <row r="90" spans="1:7" outlineLevel="2" x14ac:dyDescent="0.25">
      <c r="A90" s="2" t="s">
        <v>11</v>
      </c>
      <c r="B90" s="2" t="s">
        <v>6</v>
      </c>
      <c r="C90" s="1">
        <v>2002</v>
      </c>
      <c r="D90" s="1">
        <f t="shared" si="2"/>
        <v>14.5</v>
      </c>
      <c r="E90" s="9">
        <v>-46899.929999999993</v>
      </c>
      <c r="F90" s="7">
        <f t="shared" si="3"/>
        <v>-680048.98499999987</v>
      </c>
    </row>
    <row r="91" spans="1:7" outlineLevel="2" x14ac:dyDescent="0.25">
      <c r="A91" s="2" t="s">
        <v>11</v>
      </c>
      <c r="B91" s="2" t="s">
        <v>6</v>
      </c>
      <c r="C91" s="1">
        <v>2002</v>
      </c>
      <c r="D91" s="1">
        <f t="shared" si="2"/>
        <v>14.5</v>
      </c>
      <c r="E91" s="6">
        <v>942329.83</v>
      </c>
      <c r="F91" s="7">
        <f t="shared" si="3"/>
        <v>13663782.535</v>
      </c>
    </row>
    <row r="92" spans="1:7" outlineLevel="2" x14ac:dyDescent="0.25">
      <c r="A92" s="2" t="s">
        <v>11</v>
      </c>
      <c r="B92" s="2" t="s">
        <v>6</v>
      </c>
      <c r="C92" s="1">
        <v>2002</v>
      </c>
      <c r="D92" s="1">
        <f t="shared" si="2"/>
        <v>14.5</v>
      </c>
      <c r="E92" s="6">
        <v>1467498.93</v>
      </c>
      <c r="F92" s="7">
        <f t="shared" si="3"/>
        <v>21278734.484999999</v>
      </c>
    </row>
    <row r="93" spans="1:7" outlineLevel="2" x14ac:dyDescent="0.25">
      <c r="A93" s="2" t="s">
        <v>11</v>
      </c>
      <c r="B93" s="2" t="s">
        <v>6</v>
      </c>
      <c r="C93" s="1">
        <v>2006</v>
      </c>
      <c r="D93" s="1">
        <f t="shared" si="2"/>
        <v>10.5</v>
      </c>
      <c r="E93" s="6">
        <v>53941.34</v>
      </c>
      <c r="F93" s="7">
        <f t="shared" si="3"/>
        <v>566384.06999999995</v>
      </c>
    </row>
    <row r="94" spans="1:7" outlineLevel="2" x14ac:dyDescent="0.25">
      <c r="A94" s="2" t="s">
        <v>11</v>
      </c>
      <c r="B94" s="2" t="s">
        <v>6</v>
      </c>
      <c r="C94" s="1">
        <v>2009</v>
      </c>
      <c r="D94" s="1">
        <f t="shared" si="2"/>
        <v>7.5</v>
      </c>
      <c r="E94" s="6">
        <v>28696.01</v>
      </c>
      <c r="F94" s="7">
        <f t="shared" si="3"/>
        <v>215220.07499999998</v>
      </c>
    </row>
    <row r="95" spans="1:7" outlineLevel="2" x14ac:dyDescent="0.25">
      <c r="A95" s="2" t="s">
        <v>11</v>
      </c>
      <c r="B95" s="2" t="s">
        <v>6</v>
      </c>
      <c r="C95" s="1">
        <v>2010</v>
      </c>
      <c r="D95" s="1">
        <f t="shared" si="2"/>
        <v>6.5</v>
      </c>
      <c r="E95" s="6">
        <v>78713.240000000005</v>
      </c>
      <c r="F95" s="7">
        <f t="shared" si="3"/>
        <v>511636.06000000006</v>
      </c>
    </row>
    <row r="96" spans="1:7" outlineLevel="2" x14ac:dyDescent="0.25">
      <c r="A96" s="2" t="s">
        <v>11</v>
      </c>
      <c r="B96" s="2" t="s">
        <v>6</v>
      </c>
      <c r="C96" s="1">
        <v>2010</v>
      </c>
      <c r="D96" s="1">
        <f t="shared" si="2"/>
        <v>6.5</v>
      </c>
      <c r="E96" s="6">
        <v>168043.35</v>
      </c>
      <c r="F96" s="7">
        <f t="shared" si="3"/>
        <v>1092281.7750000001</v>
      </c>
    </row>
    <row r="97" spans="1:7" outlineLevel="2" x14ac:dyDescent="0.25">
      <c r="A97" s="2" t="s">
        <v>11</v>
      </c>
      <c r="B97" s="2" t="s">
        <v>6</v>
      </c>
      <c r="C97" s="1">
        <v>2011</v>
      </c>
      <c r="D97" s="1">
        <f t="shared" si="2"/>
        <v>5.5</v>
      </c>
      <c r="E97" s="6">
        <v>15154.69</v>
      </c>
      <c r="F97" s="7">
        <f t="shared" si="3"/>
        <v>83350.794999999998</v>
      </c>
    </row>
    <row r="98" spans="1:7" outlineLevel="2" x14ac:dyDescent="0.25">
      <c r="A98" s="2" t="s">
        <v>11</v>
      </c>
      <c r="B98" s="2" t="s">
        <v>6</v>
      </c>
      <c r="C98" s="1">
        <v>2012</v>
      </c>
      <c r="D98" s="1">
        <f t="shared" si="2"/>
        <v>4.5</v>
      </c>
      <c r="E98" s="6">
        <v>5348.54</v>
      </c>
      <c r="F98" s="7">
        <f t="shared" si="3"/>
        <v>24068.43</v>
      </c>
    </row>
    <row r="99" spans="1:7" outlineLevel="2" x14ac:dyDescent="0.25">
      <c r="A99" s="2" t="s">
        <v>11</v>
      </c>
      <c r="B99" s="2" t="s">
        <v>6</v>
      </c>
      <c r="C99" s="1">
        <v>2013</v>
      </c>
      <c r="D99" s="1">
        <f t="shared" si="2"/>
        <v>3.5</v>
      </c>
      <c r="E99" s="6">
        <v>126251.67</v>
      </c>
      <c r="F99" s="7">
        <f t="shared" si="3"/>
        <v>441880.84499999997</v>
      </c>
    </row>
    <row r="100" spans="1:7" outlineLevel="2" x14ac:dyDescent="0.25">
      <c r="A100" s="2" t="s">
        <v>11</v>
      </c>
      <c r="B100" s="2" t="s">
        <v>6</v>
      </c>
      <c r="C100" s="1">
        <v>2014</v>
      </c>
      <c r="D100" s="1">
        <f t="shared" si="2"/>
        <v>2.5</v>
      </c>
      <c r="E100" s="6">
        <v>15856.56</v>
      </c>
      <c r="F100" s="7">
        <f t="shared" si="3"/>
        <v>39641.4</v>
      </c>
    </row>
    <row r="101" spans="1:7" outlineLevel="2" x14ac:dyDescent="0.25">
      <c r="A101" s="2" t="s">
        <v>11</v>
      </c>
      <c r="B101" s="2" t="s">
        <v>6</v>
      </c>
      <c r="C101" s="1">
        <v>2014</v>
      </c>
      <c r="D101" s="1">
        <f t="shared" si="2"/>
        <v>2.5</v>
      </c>
      <c r="E101" s="6">
        <v>27995.97</v>
      </c>
      <c r="F101" s="7">
        <f t="shared" si="3"/>
        <v>69989.925000000003</v>
      </c>
    </row>
    <row r="102" spans="1:7" outlineLevel="2" x14ac:dyDescent="0.25">
      <c r="A102" s="2" t="s">
        <v>11</v>
      </c>
      <c r="B102" s="2" t="s">
        <v>6</v>
      </c>
      <c r="C102" s="1">
        <v>2014</v>
      </c>
      <c r="D102" s="1">
        <f t="shared" si="2"/>
        <v>2.5</v>
      </c>
      <c r="E102" s="6">
        <v>29689.040000000001</v>
      </c>
      <c r="F102" s="7">
        <f t="shared" si="3"/>
        <v>74222.600000000006</v>
      </c>
    </row>
    <row r="103" spans="1:7" outlineLevel="2" x14ac:dyDescent="0.25">
      <c r="A103" s="2" t="s">
        <v>11</v>
      </c>
      <c r="B103" s="2" t="s">
        <v>6</v>
      </c>
      <c r="C103" s="1">
        <v>2014</v>
      </c>
      <c r="D103" s="1">
        <f t="shared" si="2"/>
        <v>2.5</v>
      </c>
      <c r="E103" s="6">
        <v>77948.460000000006</v>
      </c>
      <c r="F103" s="7">
        <f t="shared" si="3"/>
        <v>194871.15000000002</v>
      </c>
    </row>
    <row r="104" spans="1:7" outlineLevel="2" x14ac:dyDescent="0.25">
      <c r="A104" s="2" t="s">
        <v>11</v>
      </c>
      <c r="B104" s="2" t="s">
        <v>6</v>
      </c>
      <c r="C104" s="1">
        <v>2014</v>
      </c>
      <c r="D104" s="1">
        <f t="shared" si="2"/>
        <v>2.5</v>
      </c>
      <c r="E104" s="6">
        <v>190608.53</v>
      </c>
      <c r="F104" s="7">
        <f t="shared" si="3"/>
        <v>476521.32500000001</v>
      </c>
    </row>
    <row r="105" spans="1:7" outlineLevel="2" x14ac:dyDescent="0.25">
      <c r="A105" s="2" t="s">
        <v>11</v>
      </c>
      <c r="B105" s="2" t="s">
        <v>6</v>
      </c>
      <c r="C105" s="1">
        <v>2015</v>
      </c>
      <c r="D105" s="1">
        <f t="shared" si="2"/>
        <v>1.5</v>
      </c>
      <c r="E105" s="9">
        <v>76221.830000000016</v>
      </c>
      <c r="F105" s="7">
        <f t="shared" si="3"/>
        <v>114332.74500000002</v>
      </c>
    </row>
    <row r="106" spans="1:7" outlineLevel="2" x14ac:dyDescent="0.25">
      <c r="A106" s="2" t="s">
        <v>11</v>
      </c>
      <c r="B106" s="2" t="s">
        <v>6</v>
      </c>
      <c r="C106" s="1">
        <v>2016</v>
      </c>
      <c r="D106" s="1">
        <f t="shared" si="2"/>
        <v>0.5</v>
      </c>
      <c r="E106" s="9">
        <v>2942950.5903808377</v>
      </c>
      <c r="F106" s="7">
        <f t="shared" si="3"/>
        <v>1471475.2951904188</v>
      </c>
    </row>
    <row r="107" spans="1:7" outlineLevel="1" x14ac:dyDescent="0.25">
      <c r="A107" s="2" t="str">
        <f>+A106</f>
        <v>41403 OP-Smith 3 Combined Cyc (CC)-340-346</v>
      </c>
      <c r="B107" s="10" t="s">
        <v>22</v>
      </c>
      <c r="C107" s="1"/>
      <c r="D107" s="1"/>
      <c r="E107" s="9">
        <f>SUBTOTAL(9,E89:E106)</f>
        <v>4698022.0675461637</v>
      </c>
      <c r="F107" s="7">
        <f>SUBTOTAL(9,F89:F106)</f>
        <v>17854609.074087646</v>
      </c>
      <c r="G107" s="13">
        <f>+F107/E107</f>
        <v>3.8004523642889856</v>
      </c>
    </row>
    <row r="108" spans="1:7" outlineLevel="2" x14ac:dyDescent="0.25">
      <c r="A108" s="2" t="s">
        <v>11</v>
      </c>
      <c r="B108" s="2" t="s">
        <v>7</v>
      </c>
      <c r="C108" s="1">
        <v>2002</v>
      </c>
      <c r="D108" s="1">
        <f t="shared" si="2"/>
        <v>14.5</v>
      </c>
      <c r="E108" s="9">
        <v>-9491915.0409988184</v>
      </c>
      <c r="F108" s="7">
        <f t="shared" si="3"/>
        <v>-137632768.09448287</v>
      </c>
    </row>
    <row r="109" spans="1:7" outlineLevel="2" x14ac:dyDescent="0.25">
      <c r="A109" s="2" t="s">
        <v>11</v>
      </c>
      <c r="B109" s="2" t="s">
        <v>7</v>
      </c>
      <c r="C109" s="1">
        <v>2002</v>
      </c>
      <c r="D109" s="1">
        <f t="shared" si="2"/>
        <v>14.5</v>
      </c>
      <c r="E109" s="9">
        <v>-257191.83999999997</v>
      </c>
      <c r="F109" s="7">
        <f t="shared" si="3"/>
        <v>-3729281.6799999997</v>
      </c>
    </row>
    <row r="110" spans="1:7" outlineLevel="2" x14ac:dyDescent="0.25">
      <c r="A110" s="2" t="s">
        <v>11</v>
      </c>
      <c r="B110" s="2" t="s">
        <v>7</v>
      </c>
      <c r="C110" s="1">
        <v>2002</v>
      </c>
      <c r="D110" s="1">
        <f t="shared" si="2"/>
        <v>14.5</v>
      </c>
      <c r="E110" s="6">
        <v>20561684.670000002</v>
      </c>
      <c r="F110" s="7">
        <f t="shared" si="3"/>
        <v>298144427.71500003</v>
      </c>
    </row>
    <row r="111" spans="1:7" outlineLevel="2" x14ac:dyDescent="0.25">
      <c r="A111" s="2" t="s">
        <v>11</v>
      </c>
      <c r="B111" s="2" t="s">
        <v>7</v>
      </c>
      <c r="C111" s="1">
        <v>2002</v>
      </c>
      <c r="D111" s="1">
        <f t="shared" si="2"/>
        <v>14.5</v>
      </c>
      <c r="E111" s="6">
        <v>44636768.950000003</v>
      </c>
      <c r="F111" s="7">
        <f t="shared" si="3"/>
        <v>647233149.7750001</v>
      </c>
    </row>
    <row r="112" spans="1:7" outlineLevel="2" x14ac:dyDescent="0.25">
      <c r="A112" s="2" t="s">
        <v>11</v>
      </c>
      <c r="B112" s="2" t="s">
        <v>7</v>
      </c>
      <c r="C112" s="1">
        <v>2003</v>
      </c>
      <c r="D112" s="1">
        <f t="shared" si="2"/>
        <v>13.5</v>
      </c>
      <c r="E112" s="6">
        <v>486608.03</v>
      </c>
      <c r="F112" s="7">
        <f t="shared" si="3"/>
        <v>6569208.4050000003</v>
      </c>
    </row>
    <row r="113" spans="1:8" outlineLevel="2" x14ac:dyDescent="0.25">
      <c r="A113" s="2" t="s">
        <v>11</v>
      </c>
      <c r="B113" s="2" t="s">
        <v>7</v>
      </c>
      <c r="C113" s="1">
        <v>2004</v>
      </c>
      <c r="D113" s="1">
        <f t="shared" si="2"/>
        <v>12.5</v>
      </c>
      <c r="E113" s="6">
        <v>6740.77</v>
      </c>
      <c r="F113" s="7">
        <f t="shared" si="3"/>
        <v>84259.625</v>
      </c>
    </row>
    <row r="114" spans="1:8" outlineLevel="2" x14ac:dyDescent="0.25">
      <c r="A114" s="2" t="s">
        <v>11</v>
      </c>
      <c r="B114" s="2" t="s">
        <v>7</v>
      </c>
      <c r="C114" s="1">
        <v>2004</v>
      </c>
      <c r="D114" s="1">
        <f t="shared" si="2"/>
        <v>12.5</v>
      </c>
      <c r="E114" s="6">
        <v>51591.47</v>
      </c>
      <c r="F114" s="7">
        <f t="shared" si="3"/>
        <v>644893.375</v>
      </c>
    </row>
    <row r="115" spans="1:8" outlineLevel="2" x14ac:dyDescent="0.25">
      <c r="A115" s="2" t="s">
        <v>11</v>
      </c>
      <c r="B115" s="2" t="s">
        <v>7</v>
      </c>
      <c r="C115" s="1">
        <v>2004</v>
      </c>
      <c r="D115" s="1">
        <f t="shared" si="2"/>
        <v>12.5</v>
      </c>
      <c r="E115" s="6">
        <v>94027.9</v>
      </c>
      <c r="F115" s="7">
        <f t="shared" si="3"/>
        <v>1175348.75</v>
      </c>
    </row>
    <row r="116" spans="1:8" outlineLevel="2" x14ac:dyDescent="0.25">
      <c r="A116" s="2" t="s">
        <v>11</v>
      </c>
      <c r="B116" s="2" t="s">
        <v>7</v>
      </c>
      <c r="C116" s="1">
        <v>2004</v>
      </c>
      <c r="D116" s="1">
        <f t="shared" si="2"/>
        <v>12.5</v>
      </c>
      <c r="E116" s="6">
        <v>144346.22</v>
      </c>
      <c r="F116" s="7">
        <f t="shared" si="3"/>
        <v>1804327.75</v>
      </c>
    </row>
    <row r="117" spans="1:8" outlineLevel="2" x14ac:dyDescent="0.25">
      <c r="A117" s="2" t="s">
        <v>11</v>
      </c>
      <c r="B117" s="2" t="s">
        <v>7</v>
      </c>
      <c r="C117" s="1">
        <v>2005</v>
      </c>
      <c r="D117" s="1">
        <f t="shared" si="2"/>
        <v>11.5</v>
      </c>
      <c r="E117" s="6">
        <v>3709.14</v>
      </c>
      <c r="F117" s="7">
        <f t="shared" si="3"/>
        <v>42655.11</v>
      </c>
    </row>
    <row r="118" spans="1:8" outlineLevel="2" x14ac:dyDescent="0.25">
      <c r="A118" s="2" t="s">
        <v>11</v>
      </c>
      <c r="B118" s="2" t="s">
        <v>7</v>
      </c>
      <c r="C118" s="1">
        <v>2005</v>
      </c>
      <c r="D118" s="1">
        <f t="shared" si="2"/>
        <v>11.5</v>
      </c>
      <c r="E118" s="6">
        <v>697898.53</v>
      </c>
      <c r="F118" s="7">
        <f t="shared" si="3"/>
        <v>8025833.0950000007</v>
      </c>
    </row>
    <row r="119" spans="1:8" outlineLevel="2" x14ac:dyDescent="0.25">
      <c r="A119" s="2" t="s">
        <v>11</v>
      </c>
      <c r="B119" s="2" t="s">
        <v>7</v>
      </c>
      <c r="C119" s="1">
        <v>2006</v>
      </c>
      <c r="D119" s="1">
        <f t="shared" si="2"/>
        <v>10.5</v>
      </c>
      <c r="E119" s="6">
        <v>38837.85</v>
      </c>
      <c r="F119" s="7">
        <f t="shared" si="3"/>
        <v>407797.42499999999</v>
      </c>
    </row>
    <row r="120" spans="1:8" outlineLevel="2" x14ac:dyDescent="0.25">
      <c r="A120" s="2" t="s">
        <v>11</v>
      </c>
      <c r="B120" s="2" t="s">
        <v>7</v>
      </c>
      <c r="C120" s="1">
        <v>2006</v>
      </c>
      <c r="D120" s="1">
        <f t="shared" si="2"/>
        <v>10.5</v>
      </c>
      <c r="E120" s="6">
        <v>84518.69</v>
      </c>
      <c r="F120" s="7">
        <f t="shared" si="3"/>
        <v>887446.245</v>
      </c>
    </row>
    <row r="121" spans="1:8" outlineLevel="2" x14ac:dyDescent="0.25">
      <c r="A121" s="2" t="s">
        <v>11</v>
      </c>
      <c r="B121" s="2" t="s">
        <v>7</v>
      </c>
      <c r="C121" s="1">
        <v>2007</v>
      </c>
      <c r="D121" s="1">
        <f t="shared" si="2"/>
        <v>9.5</v>
      </c>
      <c r="E121" s="6">
        <v>6622.53</v>
      </c>
      <c r="F121" s="7">
        <f t="shared" si="3"/>
        <v>62914.034999999996</v>
      </c>
    </row>
    <row r="122" spans="1:8" outlineLevel="2" x14ac:dyDescent="0.25">
      <c r="A122" s="2" t="s">
        <v>11</v>
      </c>
      <c r="B122" s="2" t="s">
        <v>7</v>
      </c>
      <c r="C122" s="1">
        <v>2007</v>
      </c>
      <c r="D122" s="1">
        <f t="shared" si="2"/>
        <v>9.5</v>
      </c>
      <c r="E122" s="6">
        <v>4786864.22</v>
      </c>
      <c r="F122" s="7">
        <f t="shared" si="3"/>
        <v>45475210.089999996</v>
      </c>
      <c r="H122" t="s">
        <v>125</v>
      </c>
    </row>
    <row r="123" spans="1:8" outlineLevel="2" x14ac:dyDescent="0.25">
      <c r="A123" s="2" t="s">
        <v>11</v>
      </c>
      <c r="B123" s="2" t="s">
        <v>7</v>
      </c>
      <c r="C123" s="1">
        <v>2008</v>
      </c>
      <c r="D123" s="1">
        <f t="shared" si="2"/>
        <v>8.5</v>
      </c>
      <c r="E123" s="6">
        <v>16809.39</v>
      </c>
      <c r="F123" s="7">
        <f t="shared" si="3"/>
        <v>142879.815</v>
      </c>
      <c r="H123" t="s">
        <v>125</v>
      </c>
    </row>
    <row r="124" spans="1:8" outlineLevel="2" x14ac:dyDescent="0.25">
      <c r="A124" s="66" t="s">
        <v>128</v>
      </c>
      <c r="B124" s="66" t="s">
        <v>129</v>
      </c>
      <c r="C124" s="67">
        <v>2005</v>
      </c>
      <c r="D124">
        <f t="shared" ref="D124:D150" si="4">2016.5-C124</f>
        <v>11.5</v>
      </c>
      <c r="E124" s="68">
        <v>4632880.3099999996</v>
      </c>
      <c r="F124" s="69">
        <f t="shared" ref="F124:F150" si="5">+D124*E124</f>
        <v>53278123.564999998</v>
      </c>
      <c r="H124" t="s">
        <v>125</v>
      </c>
    </row>
    <row r="125" spans="1:8" outlineLevel="2" x14ac:dyDescent="0.25">
      <c r="A125" s="66" t="s">
        <v>128</v>
      </c>
      <c r="B125" s="66" t="s">
        <v>129</v>
      </c>
      <c r="C125" s="67">
        <v>2006</v>
      </c>
      <c r="D125">
        <f t="shared" si="4"/>
        <v>10.5</v>
      </c>
      <c r="E125" s="68">
        <v>206178.75</v>
      </c>
      <c r="F125" s="69">
        <f t="shared" si="5"/>
        <v>2164876.875</v>
      </c>
      <c r="H125" t="s">
        <v>125</v>
      </c>
    </row>
    <row r="126" spans="1:8" outlineLevel="2" x14ac:dyDescent="0.25">
      <c r="A126" s="66" t="s">
        <v>130</v>
      </c>
      <c r="B126" s="66" t="s">
        <v>129</v>
      </c>
      <c r="C126" s="67">
        <v>2007</v>
      </c>
      <c r="D126">
        <f t="shared" si="4"/>
        <v>9.5</v>
      </c>
      <c r="E126" s="68">
        <v>4678993.83</v>
      </c>
      <c r="F126" s="69">
        <f t="shared" si="5"/>
        <v>44450441.384999998</v>
      </c>
      <c r="H126" t="s">
        <v>125</v>
      </c>
    </row>
    <row r="127" spans="1:8" outlineLevel="2" x14ac:dyDescent="0.25">
      <c r="A127" s="66" t="s">
        <v>128</v>
      </c>
      <c r="B127" s="66" t="s">
        <v>129</v>
      </c>
      <c r="C127" s="67">
        <v>2007</v>
      </c>
      <c r="D127">
        <f t="shared" si="4"/>
        <v>9.5</v>
      </c>
      <c r="E127" s="68">
        <v>76227.490000000005</v>
      </c>
      <c r="F127" s="69">
        <f t="shared" si="5"/>
        <v>724161.15500000003</v>
      </c>
      <c r="H127" t="s">
        <v>125</v>
      </c>
    </row>
    <row r="128" spans="1:8" outlineLevel="2" x14ac:dyDescent="0.25">
      <c r="A128" s="66" t="s">
        <v>130</v>
      </c>
      <c r="B128" s="66" t="s">
        <v>129</v>
      </c>
      <c r="C128" s="67">
        <v>2008</v>
      </c>
      <c r="D128">
        <f t="shared" si="4"/>
        <v>8.5</v>
      </c>
      <c r="E128" s="68">
        <v>65819.899999999994</v>
      </c>
      <c r="F128" s="69">
        <f t="shared" si="5"/>
        <v>559469.14999999991</v>
      </c>
      <c r="H128" t="s">
        <v>125</v>
      </c>
    </row>
    <row r="129" spans="1:8" outlineLevel="2" x14ac:dyDescent="0.25">
      <c r="A129" s="66" t="s">
        <v>128</v>
      </c>
      <c r="B129" s="66" t="s">
        <v>129</v>
      </c>
      <c r="C129" s="67">
        <v>2008</v>
      </c>
      <c r="D129">
        <f t="shared" si="4"/>
        <v>8.5</v>
      </c>
      <c r="E129" s="68">
        <v>3274002.94</v>
      </c>
      <c r="F129" s="69">
        <f t="shared" si="5"/>
        <v>27829024.989999998</v>
      </c>
      <c r="H129" t="s">
        <v>125</v>
      </c>
    </row>
    <row r="130" spans="1:8" outlineLevel="2" x14ac:dyDescent="0.25">
      <c r="A130" s="66" t="s">
        <v>126</v>
      </c>
      <c r="B130" s="66" t="s">
        <v>129</v>
      </c>
      <c r="C130" s="67">
        <v>2008</v>
      </c>
      <c r="D130">
        <f t="shared" si="4"/>
        <v>8.5</v>
      </c>
      <c r="E130" s="68">
        <v>5742710.3799999999</v>
      </c>
      <c r="F130" s="69">
        <f t="shared" si="5"/>
        <v>48813038.229999997</v>
      </c>
      <c r="H130" t="s">
        <v>125</v>
      </c>
    </row>
    <row r="131" spans="1:8" outlineLevel="2" x14ac:dyDescent="0.25">
      <c r="A131" s="66" t="s">
        <v>130</v>
      </c>
      <c r="B131" s="66" t="s">
        <v>129</v>
      </c>
      <c r="C131" s="67">
        <v>2009</v>
      </c>
      <c r="D131">
        <f t="shared" si="4"/>
        <v>7.5</v>
      </c>
      <c r="E131" s="68">
        <v>3544094.63</v>
      </c>
      <c r="F131" s="69">
        <f t="shared" si="5"/>
        <v>26580709.724999998</v>
      </c>
      <c r="H131" t="s">
        <v>125</v>
      </c>
    </row>
    <row r="132" spans="1:8" outlineLevel="2" x14ac:dyDescent="0.25">
      <c r="A132" s="66" t="s">
        <v>128</v>
      </c>
      <c r="B132" s="66" t="s">
        <v>129</v>
      </c>
      <c r="C132" s="67">
        <v>2009</v>
      </c>
      <c r="D132">
        <f t="shared" si="4"/>
        <v>7.5</v>
      </c>
      <c r="E132" s="68">
        <v>1528375.13</v>
      </c>
      <c r="F132" s="69">
        <f t="shared" si="5"/>
        <v>11462813.475</v>
      </c>
      <c r="H132" t="s">
        <v>125</v>
      </c>
    </row>
    <row r="133" spans="1:8" outlineLevel="2" x14ac:dyDescent="0.25">
      <c r="A133" s="66" t="s">
        <v>126</v>
      </c>
      <c r="B133" s="66" t="s">
        <v>129</v>
      </c>
      <c r="C133" s="67">
        <v>2009</v>
      </c>
      <c r="D133">
        <f t="shared" si="4"/>
        <v>7.5</v>
      </c>
      <c r="E133" s="68">
        <v>75601.58</v>
      </c>
      <c r="F133" s="69">
        <f t="shared" si="5"/>
        <v>567011.85</v>
      </c>
      <c r="H133" t="s">
        <v>125</v>
      </c>
    </row>
    <row r="134" spans="1:8" outlineLevel="2" x14ac:dyDescent="0.25">
      <c r="A134" s="66" t="s">
        <v>130</v>
      </c>
      <c r="B134" s="66" t="s">
        <v>129</v>
      </c>
      <c r="C134" s="67">
        <v>2010</v>
      </c>
      <c r="D134">
        <f t="shared" si="4"/>
        <v>6.5</v>
      </c>
      <c r="E134" s="68">
        <v>84498.21</v>
      </c>
      <c r="F134" s="69">
        <f t="shared" si="5"/>
        <v>549238.36499999999</v>
      </c>
      <c r="H134" t="s">
        <v>125</v>
      </c>
    </row>
    <row r="135" spans="1:8" outlineLevel="2" x14ac:dyDescent="0.25">
      <c r="A135" s="66" t="s">
        <v>128</v>
      </c>
      <c r="B135" s="66" t="s">
        <v>129</v>
      </c>
      <c r="C135" s="67">
        <v>2010</v>
      </c>
      <c r="D135">
        <f t="shared" si="4"/>
        <v>6.5</v>
      </c>
      <c r="E135" s="68">
        <v>1185405.94</v>
      </c>
      <c r="F135" s="69">
        <f t="shared" si="5"/>
        <v>7705138.6099999994</v>
      </c>
      <c r="H135" t="s">
        <v>125</v>
      </c>
    </row>
    <row r="136" spans="1:8" outlineLevel="2" x14ac:dyDescent="0.25">
      <c r="A136" s="66" t="s">
        <v>126</v>
      </c>
      <c r="B136" s="66" t="s">
        <v>129</v>
      </c>
      <c r="C136" s="67">
        <v>2010</v>
      </c>
      <c r="D136">
        <f t="shared" si="4"/>
        <v>6.5</v>
      </c>
      <c r="E136" s="68">
        <v>3918.13</v>
      </c>
      <c r="F136" s="69">
        <f t="shared" si="5"/>
        <v>25467.845000000001</v>
      </c>
      <c r="H136" t="s">
        <v>125</v>
      </c>
    </row>
    <row r="137" spans="1:8" outlineLevel="2" x14ac:dyDescent="0.25">
      <c r="A137" s="66" t="s">
        <v>130</v>
      </c>
      <c r="B137" s="66" t="s">
        <v>129</v>
      </c>
      <c r="C137" s="67">
        <v>2011</v>
      </c>
      <c r="D137">
        <f t="shared" si="4"/>
        <v>5.5</v>
      </c>
      <c r="E137" s="68">
        <v>254098.37</v>
      </c>
      <c r="F137" s="69">
        <f t="shared" si="5"/>
        <v>1397541.0349999999</v>
      </c>
      <c r="H137" t="s">
        <v>125</v>
      </c>
    </row>
    <row r="138" spans="1:8" outlineLevel="2" x14ac:dyDescent="0.25">
      <c r="A138" s="66" t="s">
        <v>128</v>
      </c>
      <c r="B138" s="66" t="s">
        <v>129</v>
      </c>
      <c r="C138" s="67">
        <v>2011</v>
      </c>
      <c r="D138">
        <f t="shared" si="4"/>
        <v>5.5</v>
      </c>
      <c r="E138" s="68">
        <v>9912.27</v>
      </c>
      <c r="F138" s="69">
        <f t="shared" si="5"/>
        <v>54517.485000000001</v>
      </c>
      <c r="H138" t="s">
        <v>125</v>
      </c>
    </row>
    <row r="139" spans="1:8" outlineLevel="2" x14ac:dyDescent="0.25">
      <c r="A139" s="66" t="s">
        <v>126</v>
      </c>
      <c r="B139" s="66" t="s">
        <v>129</v>
      </c>
      <c r="C139" s="67">
        <v>2011</v>
      </c>
      <c r="D139">
        <f t="shared" si="4"/>
        <v>5.5</v>
      </c>
      <c r="E139" s="68">
        <v>155634.68</v>
      </c>
      <c r="F139" s="69">
        <f t="shared" si="5"/>
        <v>855990.74</v>
      </c>
      <c r="H139" t="s">
        <v>125</v>
      </c>
    </row>
    <row r="140" spans="1:8" outlineLevel="2" x14ac:dyDescent="0.25">
      <c r="A140" s="66" t="s">
        <v>130</v>
      </c>
      <c r="B140" s="66" t="s">
        <v>129</v>
      </c>
      <c r="C140" s="67">
        <v>2012</v>
      </c>
      <c r="D140">
        <f t="shared" si="4"/>
        <v>4.5</v>
      </c>
      <c r="E140" s="68">
        <v>4040.95</v>
      </c>
      <c r="F140" s="69">
        <f t="shared" si="5"/>
        <v>18184.274999999998</v>
      </c>
      <c r="H140" t="s">
        <v>125</v>
      </c>
    </row>
    <row r="141" spans="1:8" outlineLevel="2" x14ac:dyDescent="0.25">
      <c r="A141" s="66" t="s">
        <v>128</v>
      </c>
      <c r="B141" s="66" t="s">
        <v>129</v>
      </c>
      <c r="C141" s="67">
        <v>2012</v>
      </c>
      <c r="D141">
        <f t="shared" si="4"/>
        <v>4.5</v>
      </c>
      <c r="E141" s="68">
        <v>9849.01</v>
      </c>
      <c r="F141" s="69">
        <f t="shared" si="5"/>
        <v>44320.544999999998</v>
      </c>
      <c r="H141" t="s">
        <v>125</v>
      </c>
    </row>
    <row r="142" spans="1:8" outlineLevel="2" x14ac:dyDescent="0.25">
      <c r="A142" s="66" t="s">
        <v>126</v>
      </c>
      <c r="B142" s="66" t="s">
        <v>129</v>
      </c>
      <c r="C142" s="67">
        <v>2013</v>
      </c>
      <c r="D142">
        <f t="shared" si="4"/>
        <v>3.5</v>
      </c>
      <c r="E142" s="68">
        <v>224490.74</v>
      </c>
      <c r="F142" s="69">
        <f t="shared" si="5"/>
        <v>785717.59</v>
      </c>
      <c r="H142" t="s">
        <v>125</v>
      </c>
    </row>
    <row r="143" spans="1:8" outlineLevel="2" x14ac:dyDescent="0.25">
      <c r="A143" s="66" t="s">
        <v>130</v>
      </c>
      <c r="B143" s="66" t="s">
        <v>129</v>
      </c>
      <c r="C143" s="67">
        <v>2014</v>
      </c>
      <c r="D143">
        <f t="shared" si="4"/>
        <v>2.5</v>
      </c>
      <c r="E143" s="68">
        <v>170981.07</v>
      </c>
      <c r="F143" s="69">
        <f t="shared" si="5"/>
        <v>427452.67500000005</v>
      </c>
      <c r="H143" t="s">
        <v>125</v>
      </c>
    </row>
    <row r="144" spans="1:8" outlineLevel="2" x14ac:dyDescent="0.25">
      <c r="A144" s="66" t="s">
        <v>128</v>
      </c>
      <c r="B144" s="66" t="s">
        <v>129</v>
      </c>
      <c r="C144" s="67">
        <v>2014</v>
      </c>
      <c r="D144">
        <f t="shared" si="4"/>
        <v>2.5</v>
      </c>
      <c r="E144" s="68">
        <v>10783.23</v>
      </c>
      <c r="F144" s="69">
        <f t="shared" si="5"/>
        <v>26958.074999999997</v>
      </c>
      <c r="H144" t="s">
        <v>125</v>
      </c>
    </row>
    <row r="145" spans="1:13" outlineLevel="2" x14ac:dyDescent="0.25">
      <c r="A145" s="66" t="s">
        <v>126</v>
      </c>
      <c r="B145" s="66" t="s">
        <v>129</v>
      </c>
      <c r="C145" s="67">
        <v>2014</v>
      </c>
      <c r="D145">
        <f t="shared" si="4"/>
        <v>2.5</v>
      </c>
      <c r="E145" s="68">
        <v>147470.70000000001</v>
      </c>
      <c r="F145" s="69">
        <f t="shared" si="5"/>
        <v>368676.75</v>
      </c>
      <c r="H145" t="s">
        <v>125</v>
      </c>
    </row>
    <row r="146" spans="1:13" outlineLevel="2" x14ac:dyDescent="0.25">
      <c r="A146" s="66" t="s">
        <v>130</v>
      </c>
      <c r="B146" s="66" t="s">
        <v>129</v>
      </c>
      <c r="C146" s="67">
        <v>2015</v>
      </c>
      <c r="D146">
        <f t="shared" si="4"/>
        <v>1.5</v>
      </c>
      <c r="E146" s="68">
        <v>15105.17</v>
      </c>
      <c r="F146" s="69">
        <f t="shared" si="5"/>
        <v>22657.755000000001</v>
      </c>
      <c r="H146" t="s">
        <v>125</v>
      </c>
    </row>
    <row r="147" spans="1:13" outlineLevel="2" x14ac:dyDescent="0.25">
      <c r="A147" s="66" t="s">
        <v>126</v>
      </c>
      <c r="B147" s="66" t="s">
        <v>129</v>
      </c>
      <c r="C147" s="67">
        <v>2015</v>
      </c>
      <c r="D147">
        <f t="shared" si="4"/>
        <v>1.5</v>
      </c>
      <c r="E147" s="68">
        <v>24730.82</v>
      </c>
      <c r="F147" s="69">
        <f t="shared" si="5"/>
        <v>37096.229999999996</v>
      </c>
      <c r="H147" t="s">
        <v>125</v>
      </c>
    </row>
    <row r="148" spans="1:13" outlineLevel="2" x14ac:dyDescent="0.25">
      <c r="A148" s="66" t="s">
        <v>130</v>
      </c>
      <c r="B148" s="66" t="s">
        <v>129</v>
      </c>
      <c r="C148" s="67">
        <v>2016</v>
      </c>
      <c r="D148">
        <f t="shared" si="4"/>
        <v>0.5</v>
      </c>
      <c r="E148" s="68">
        <v>1025500.8</v>
      </c>
      <c r="F148" s="69">
        <f t="shared" si="5"/>
        <v>512750.4</v>
      </c>
      <c r="H148" t="s">
        <v>125</v>
      </c>
    </row>
    <row r="149" spans="1:13" outlineLevel="2" x14ac:dyDescent="0.25">
      <c r="A149" s="66" t="s">
        <v>128</v>
      </c>
      <c r="B149" s="66" t="s">
        <v>129</v>
      </c>
      <c r="C149" s="67">
        <v>2016</v>
      </c>
      <c r="D149">
        <f t="shared" si="4"/>
        <v>0.5</v>
      </c>
      <c r="E149" s="68">
        <v>1340889.8799999999</v>
      </c>
      <c r="F149" s="69">
        <f t="shared" si="5"/>
        <v>670444.93999999994</v>
      </c>
    </row>
    <row r="150" spans="1:13" outlineLevel="2" x14ac:dyDescent="0.25">
      <c r="A150" s="66" t="s">
        <v>126</v>
      </c>
      <c r="B150" s="66" t="s">
        <v>129</v>
      </c>
      <c r="C150" s="67">
        <v>2016</v>
      </c>
      <c r="D150">
        <f t="shared" si="4"/>
        <v>0.5</v>
      </c>
      <c r="E150" s="68">
        <v>746499.33</v>
      </c>
      <c r="F150" s="69">
        <f t="shared" si="5"/>
        <v>373249.66499999998</v>
      </c>
      <c r="I150" s="66"/>
      <c r="J150" s="67"/>
      <c r="L150" s="68"/>
      <c r="M150" s="69"/>
    </row>
    <row r="151" spans="1:13" outlineLevel="2" x14ac:dyDescent="0.25">
      <c r="A151" s="2" t="s">
        <v>11</v>
      </c>
      <c r="B151" s="2" t="s">
        <v>7</v>
      </c>
      <c r="C151" s="1">
        <v>2008</v>
      </c>
      <c r="D151" s="1">
        <f t="shared" si="2"/>
        <v>8.5</v>
      </c>
      <c r="E151" s="6">
        <v>57797.29</v>
      </c>
      <c r="F151" s="7">
        <f t="shared" si="3"/>
        <v>491276.96500000003</v>
      </c>
    </row>
    <row r="152" spans="1:13" outlineLevel="2" x14ac:dyDescent="0.25">
      <c r="A152" s="2" t="s">
        <v>11</v>
      </c>
      <c r="B152" s="2" t="s">
        <v>7</v>
      </c>
      <c r="C152" s="1">
        <v>2008</v>
      </c>
      <c r="D152" s="1">
        <f t="shared" si="2"/>
        <v>8.5</v>
      </c>
      <c r="E152" s="6">
        <v>119044.35</v>
      </c>
      <c r="F152" s="7">
        <f t="shared" si="3"/>
        <v>1011876.9750000001</v>
      </c>
    </row>
    <row r="153" spans="1:13" outlineLevel="2" x14ac:dyDescent="0.25">
      <c r="A153" s="2" t="s">
        <v>11</v>
      </c>
      <c r="B153" s="2" t="s">
        <v>7</v>
      </c>
      <c r="C153" s="1">
        <v>2008</v>
      </c>
      <c r="D153" s="1">
        <f t="shared" si="2"/>
        <v>8.5</v>
      </c>
      <c r="E153" s="6">
        <v>228555.85</v>
      </c>
      <c r="F153" s="7">
        <f t="shared" si="3"/>
        <v>1942724.7250000001</v>
      </c>
    </row>
    <row r="154" spans="1:13" outlineLevel="2" x14ac:dyDescent="0.25">
      <c r="A154" s="2" t="s">
        <v>11</v>
      </c>
      <c r="B154" s="2" t="s">
        <v>7</v>
      </c>
      <c r="C154" s="1">
        <v>2009</v>
      </c>
      <c r="D154" s="1">
        <f t="shared" si="2"/>
        <v>7.5</v>
      </c>
      <c r="E154" s="6">
        <v>28186.85</v>
      </c>
      <c r="F154" s="7">
        <f t="shared" si="3"/>
        <v>211401.375</v>
      </c>
    </row>
    <row r="155" spans="1:13" outlineLevel="2" x14ac:dyDescent="0.25">
      <c r="A155" s="2" t="s">
        <v>11</v>
      </c>
      <c r="B155" s="2" t="s">
        <v>7</v>
      </c>
      <c r="C155" s="1">
        <v>2010</v>
      </c>
      <c r="D155" s="1">
        <f t="shared" si="2"/>
        <v>6.5</v>
      </c>
      <c r="E155" s="6">
        <v>85222.81</v>
      </c>
      <c r="F155" s="7">
        <f t="shared" si="3"/>
        <v>553948.26500000001</v>
      </c>
    </row>
    <row r="156" spans="1:13" outlineLevel="2" x14ac:dyDescent="0.25">
      <c r="A156" s="2" t="s">
        <v>11</v>
      </c>
      <c r="B156" s="2" t="s">
        <v>7</v>
      </c>
      <c r="C156" s="1">
        <v>2010</v>
      </c>
      <c r="D156" s="1">
        <f t="shared" si="2"/>
        <v>6.5</v>
      </c>
      <c r="E156" s="6">
        <v>20727966.010000002</v>
      </c>
      <c r="F156" s="7">
        <f t="shared" si="3"/>
        <v>134731779.065</v>
      </c>
    </row>
    <row r="157" spans="1:13" outlineLevel="2" x14ac:dyDescent="0.25">
      <c r="A157" s="2" t="s">
        <v>11</v>
      </c>
      <c r="B157" s="2" t="s">
        <v>7</v>
      </c>
      <c r="C157" s="1">
        <v>2011</v>
      </c>
      <c r="D157" s="1">
        <f t="shared" si="2"/>
        <v>5.5</v>
      </c>
      <c r="E157" s="6">
        <v>35693.64</v>
      </c>
      <c r="F157" s="7">
        <f t="shared" si="3"/>
        <v>196315.02</v>
      </c>
    </row>
    <row r="158" spans="1:13" outlineLevel="2" x14ac:dyDescent="0.25">
      <c r="A158" s="2" t="s">
        <v>11</v>
      </c>
      <c r="B158" s="2" t="s">
        <v>7</v>
      </c>
      <c r="C158" s="1">
        <v>2011</v>
      </c>
      <c r="D158" s="1">
        <f t="shared" si="2"/>
        <v>5.5</v>
      </c>
      <c r="E158" s="6">
        <v>51331.63</v>
      </c>
      <c r="F158" s="7">
        <f t="shared" si="3"/>
        <v>282323.96499999997</v>
      </c>
    </row>
    <row r="159" spans="1:13" outlineLevel="2" x14ac:dyDescent="0.25">
      <c r="A159" s="2" t="s">
        <v>11</v>
      </c>
      <c r="B159" s="2" t="s">
        <v>7</v>
      </c>
      <c r="C159" s="1">
        <v>2011</v>
      </c>
      <c r="D159" s="1">
        <f t="shared" si="2"/>
        <v>5.5</v>
      </c>
      <c r="E159" s="6">
        <v>160457.60000000001</v>
      </c>
      <c r="F159" s="7">
        <f t="shared" si="3"/>
        <v>882516.8</v>
      </c>
    </row>
    <row r="160" spans="1:13" outlineLevel="2" x14ac:dyDescent="0.25">
      <c r="A160" s="2" t="s">
        <v>11</v>
      </c>
      <c r="B160" s="2" t="s">
        <v>7</v>
      </c>
      <c r="C160" s="1">
        <v>2012</v>
      </c>
      <c r="D160" s="1">
        <f t="shared" si="2"/>
        <v>4.5</v>
      </c>
      <c r="E160" s="6">
        <v>13176.64</v>
      </c>
      <c r="F160" s="7">
        <f t="shared" si="3"/>
        <v>59294.879999999997</v>
      </c>
    </row>
    <row r="161" spans="1:6" outlineLevel="2" x14ac:dyDescent="0.25">
      <c r="A161" s="2" t="s">
        <v>11</v>
      </c>
      <c r="B161" s="2" t="s">
        <v>7</v>
      </c>
      <c r="C161" s="1">
        <v>2012</v>
      </c>
      <c r="D161" s="1">
        <f t="shared" si="2"/>
        <v>4.5</v>
      </c>
      <c r="E161" s="6">
        <v>82719.600000000006</v>
      </c>
      <c r="F161" s="7">
        <f t="shared" si="3"/>
        <v>372238.2</v>
      </c>
    </row>
    <row r="162" spans="1:6" outlineLevel="2" x14ac:dyDescent="0.25">
      <c r="A162" s="2" t="s">
        <v>11</v>
      </c>
      <c r="B162" s="2" t="s">
        <v>7</v>
      </c>
      <c r="C162" s="1">
        <v>2012</v>
      </c>
      <c r="D162" s="1">
        <f t="shared" si="2"/>
        <v>4.5</v>
      </c>
      <c r="E162" s="6">
        <v>84342.24</v>
      </c>
      <c r="F162" s="7">
        <f t="shared" si="3"/>
        <v>379540.08</v>
      </c>
    </row>
    <row r="163" spans="1:6" outlineLevel="2" x14ac:dyDescent="0.25">
      <c r="A163" s="2" t="s">
        <v>11</v>
      </c>
      <c r="B163" s="2" t="s">
        <v>7</v>
      </c>
      <c r="C163" s="1">
        <v>2012</v>
      </c>
      <c r="D163" s="1">
        <f t="shared" si="2"/>
        <v>4.5</v>
      </c>
      <c r="E163" s="6">
        <v>305243.32</v>
      </c>
      <c r="F163" s="7">
        <f t="shared" si="3"/>
        <v>1373594.94</v>
      </c>
    </row>
    <row r="164" spans="1:6" outlineLevel="2" x14ac:dyDescent="0.25">
      <c r="A164" s="2" t="s">
        <v>11</v>
      </c>
      <c r="B164" s="2" t="s">
        <v>7</v>
      </c>
      <c r="C164" s="1">
        <v>2013</v>
      </c>
      <c r="D164" s="1">
        <f t="shared" si="2"/>
        <v>3.5</v>
      </c>
      <c r="E164" s="6">
        <v>6626.82</v>
      </c>
      <c r="F164" s="7">
        <f t="shared" si="3"/>
        <v>23193.87</v>
      </c>
    </row>
    <row r="165" spans="1:6" outlineLevel="2" x14ac:dyDescent="0.25">
      <c r="A165" s="2" t="s">
        <v>11</v>
      </c>
      <c r="B165" s="2" t="s">
        <v>7</v>
      </c>
      <c r="C165" s="1">
        <v>2013</v>
      </c>
      <c r="D165" s="1">
        <f t="shared" si="2"/>
        <v>3.5</v>
      </c>
      <c r="E165" s="6">
        <v>8793.16</v>
      </c>
      <c r="F165" s="7">
        <f t="shared" si="3"/>
        <v>30776.059999999998</v>
      </c>
    </row>
    <row r="166" spans="1:6" outlineLevel="2" x14ac:dyDescent="0.25">
      <c r="A166" s="2" t="s">
        <v>11</v>
      </c>
      <c r="B166" s="2" t="s">
        <v>7</v>
      </c>
      <c r="C166" s="1">
        <v>2013</v>
      </c>
      <c r="D166" s="1">
        <f t="shared" si="2"/>
        <v>3.5</v>
      </c>
      <c r="E166" s="6">
        <v>14182.28</v>
      </c>
      <c r="F166" s="7">
        <f t="shared" si="3"/>
        <v>49637.98</v>
      </c>
    </row>
    <row r="167" spans="1:6" outlineLevel="2" x14ac:dyDescent="0.25">
      <c r="A167" s="2" t="s">
        <v>11</v>
      </c>
      <c r="B167" s="2" t="s">
        <v>7</v>
      </c>
      <c r="C167" s="1">
        <v>2013</v>
      </c>
      <c r="D167" s="1">
        <f t="shared" si="2"/>
        <v>3.5</v>
      </c>
      <c r="E167" s="6">
        <v>174986.76</v>
      </c>
      <c r="F167" s="7">
        <f t="shared" si="3"/>
        <v>612453.66</v>
      </c>
    </row>
    <row r="168" spans="1:6" outlineLevel="2" x14ac:dyDescent="0.25">
      <c r="A168" s="2" t="s">
        <v>11</v>
      </c>
      <c r="B168" s="2" t="s">
        <v>7</v>
      </c>
      <c r="C168" s="1">
        <v>2013</v>
      </c>
      <c r="D168" s="1">
        <f t="shared" si="2"/>
        <v>3.5</v>
      </c>
      <c r="E168" s="6">
        <v>264867.17</v>
      </c>
      <c r="F168" s="7">
        <f t="shared" si="3"/>
        <v>927035.09499999997</v>
      </c>
    </row>
    <row r="169" spans="1:6" outlineLevel="2" x14ac:dyDescent="0.25">
      <c r="A169" s="2" t="s">
        <v>11</v>
      </c>
      <c r="B169" s="2" t="s">
        <v>7</v>
      </c>
      <c r="C169" s="1">
        <v>2013</v>
      </c>
      <c r="D169" s="1">
        <f t="shared" si="2"/>
        <v>3.5</v>
      </c>
      <c r="E169" s="6">
        <v>1497760.52</v>
      </c>
      <c r="F169" s="7">
        <f t="shared" si="3"/>
        <v>5242161.82</v>
      </c>
    </row>
    <row r="170" spans="1:6" outlineLevel="2" x14ac:dyDescent="0.25">
      <c r="A170" s="2" t="s">
        <v>11</v>
      </c>
      <c r="B170" s="2" t="s">
        <v>7</v>
      </c>
      <c r="C170" s="1">
        <v>2013</v>
      </c>
      <c r="D170" s="1">
        <f t="shared" si="2"/>
        <v>3.5</v>
      </c>
      <c r="E170" s="6">
        <v>3584612.01</v>
      </c>
      <c r="F170" s="7">
        <f t="shared" si="3"/>
        <v>12546142.035</v>
      </c>
    </row>
    <row r="171" spans="1:6" outlineLevel="2" x14ac:dyDescent="0.25">
      <c r="A171" s="2" t="s">
        <v>11</v>
      </c>
      <c r="B171" s="2" t="s">
        <v>7</v>
      </c>
      <c r="C171" s="1">
        <v>2013</v>
      </c>
      <c r="D171" s="1">
        <f t="shared" si="2"/>
        <v>3.5</v>
      </c>
      <c r="E171" s="6">
        <v>19833485.32</v>
      </c>
      <c r="F171" s="7">
        <f t="shared" si="3"/>
        <v>69417198.620000005</v>
      </c>
    </row>
    <row r="172" spans="1:6" outlineLevel="2" x14ac:dyDescent="0.25">
      <c r="A172" s="2" t="s">
        <v>11</v>
      </c>
      <c r="B172" s="2" t="s">
        <v>7</v>
      </c>
      <c r="C172" s="1">
        <v>2014</v>
      </c>
      <c r="D172" s="1">
        <f t="shared" si="2"/>
        <v>2.5</v>
      </c>
      <c r="E172" s="6">
        <v>6233.37</v>
      </c>
      <c r="F172" s="7">
        <f t="shared" si="3"/>
        <v>15583.424999999999</v>
      </c>
    </row>
    <row r="173" spans="1:6" outlineLevel="2" x14ac:dyDescent="0.25">
      <c r="A173" s="2" t="s">
        <v>11</v>
      </c>
      <c r="B173" s="2" t="s">
        <v>7</v>
      </c>
      <c r="C173" s="1">
        <v>2014</v>
      </c>
      <c r="D173" s="1">
        <f t="shared" si="2"/>
        <v>2.5</v>
      </c>
      <c r="E173" s="6">
        <v>8671.35</v>
      </c>
      <c r="F173" s="7">
        <f t="shared" si="3"/>
        <v>21678.375</v>
      </c>
    </row>
    <row r="174" spans="1:6" outlineLevel="2" x14ac:dyDescent="0.25">
      <c r="A174" s="2" t="s">
        <v>11</v>
      </c>
      <c r="B174" s="2" t="s">
        <v>7</v>
      </c>
      <c r="C174" s="1">
        <v>2014</v>
      </c>
      <c r="D174" s="1">
        <f t="shared" si="2"/>
        <v>2.5</v>
      </c>
      <c r="E174" s="6">
        <v>14450.73</v>
      </c>
      <c r="F174" s="7">
        <f t="shared" si="3"/>
        <v>36126.824999999997</v>
      </c>
    </row>
    <row r="175" spans="1:6" outlineLevel="2" x14ac:dyDescent="0.25">
      <c r="A175" s="2" t="s">
        <v>11</v>
      </c>
      <c r="B175" s="2" t="s">
        <v>7</v>
      </c>
      <c r="C175" s="1">
        <v>2014</v>
      </c>
      <c r="D175" s="1">
        <f t="shared" si="2"/>
        <v>2.5</v>
      </c>
      <c r="E175" s="6">
        <v>33229.949999999997</v>
      </c>
      <c r="F175" s="7">
        <f t="shared" si="3"/>
        <v>83074.875</v>
      </c>
    </row>
    <row r="176" spans="1:6" outlineLevel="2" x14ac:dyDescent="0.25">
      <c r="A176" s="2" t="s">
        <v>11</v>
      </c>
      <c r="B176" s="2" t="s">
        <v>7</v>
      </c>
      <c r="C176" s="1">
        <v>2014</v>
      </c>
      <c r="D176" s="1">
        <f t="shared" si="2"/>
        <v>2.5</v>
      </c>
      <c r="E176" s="6">
        <v>38081.339999999997</v>
      </c>
      <c r="F176" s="7">
        <f t="shared" si="3"/>
        <v>95203.349999999991</v>
      </c>
    </row>
    <row r="177" spans="1:14" outlineLevel="2" x14ac:dyDescent="0.25">
      <c r="A177" s="2" t="s">
        <v>11</v>
      </c>
      <c r="B177" s="2" t="s">
        <v>7</v>
      </c>
      <c r="C177" s="1">
        <v>2014</v>
      </c>
      <c r="D177" s="1">
        <f t="shared" si="2"/>
        <v>2.5</v>
      </c>
      <c r="E177" s="6">
        <v>55701.33</v>
      </c>
      <c r="F177" s="7">
        <f t="shared" si="3"/>
        <v>139253.32500000001</v>
      </c>
    </row>
    <row r="178" spans="1:14" outlineLevel="2" x14ac:dyDescent="0.25">
      <c r="A178" s="2" t="s">
        <v>11</v>
      </c>
      <c r="B178" s="2" t="s">
        <v>7</v>
      </c>
      <c r="C178" s="1">
        <v>2014</v>
      </c>
      <c r="D178" s="1">
        <f t="shared" si="2"/>
        <v>2.5</v>
      </c>
      <c r="E178" s="6">
        <v>224956.22</v>
      </c>
      <c r="F178" s="7">
        <f t="shared" si="3"/>
        <v>562390.55000000005</v>
      </c>
    </row>
    <row r="179" spans="1:14" outlineLevel="2" x14ac:dyDescent="0.25">
      <c r="A179" s="2" t="s">
        <v>11</v>
      </c>
      <c r="B179" s="2" t="s">
        <v>7</v>
      </c>
      <c r="C179" s="1">
        <v>2015</v>
      </c>
      <c r="D179" s="1">
        <f t="shared" si="2"/>
        <v>1.5</v>
      </c>
      <c r="E179" s="9">
        <v>1010693.4700000001</v>
      </c>
      <c r="F179" s="7">
        <f t="shared" si="3"/>
        <v>1516040.2050000001</v>
      </c>
    </row>
    <row r="180" spans="1:14" outlineLevel="2" x14ac:dyDescent="0.25">
      <c r="A180" s="2" t="s">
        <v>11</v>
      </c>
      <c r="B180" s="2" t="s">
        <v>7</v>
      </c>
      <c r="C180" s="1">
        <v>2016</v>
      </c>
      <c r="D180" s="1">
        <f t="shared" ref="D180:D314" si="6">2016.5-C180</f>
        <v>0.5</v>
      </c>
      <c r="E180" s="9">
        <v>18593984.352619488</v>
      </c>
      <c r="F180" s="7">
        <f t="shared" ref="F180:F314" si="7">+E180*D180</f>
        <v>9296992.1763097439</v>
      </c>
    </row>
    <row r="181" spans="1:14" outlineLevel="1" x14ac:dyDescent="0.25">
      <c r="A181" s="2" t="str">
        <f>+A180</f>
        <v>41403 OP-Smith 3 Combined Cyc (CC)-340-346</v>
      </c>
      <c r="B181" s="10" t="s">
        <v>23</v>
      </c>
      <c r="C181" s="1"/>
      <c r="D181" s="1"/>
      <c r="E181" s="9">
        <f>SUBTOTAL(9,E108:E180)</f>
        <v>158457669.70162061</v>
      </c>
      <c r="F181" s="7">
        <f>SUBTOTAL(9,F108:F180)</f>
        <v>1342747148.3168271</v>
      </c>
      <c r="G181" s="13">
        <f>+F181/E181</f>
        <v>8.4738539374285278</v>
      </c>
      <c r="I181" t="s">
        <v>125</v>
      </c>
    </row>
    <row r="182" spans="1:14" outlineLevel="2" x14ac:dyDescent="0.25">
      <c r="A182" s="2" t="s">
        <v>11</v>
      </c>
      <c r="B182" s="2" t="s">
        <v>8</v>
      </c>
      <c r="C182" s="1">
        <v>2002</v>
      </c>
      <c r="D182" s="1">
        <f t="shared" si="6"/>
        <v>14.5</v>
      </c>
      <c r="E182" s="9">
        <v>-8480593.377088191</v>
      </c>
      <c r="F182" s="7">
        <f t="shared" si="7"/>
        <v>-122968603.96777877</v>
      </c>
      <c r="I182" t="s">
        <v>125</v>
      </c>
    </row>
    <row r="183" spans="1:14" outlineLevel="2" x14ac:dyDescent="0.25">
      <c r="A183" s="66" t="s">
        <v>126</v>
      </c>
      <c r="B183" s="66" t="s">
        <v>131</v>
      </c>
      <c r="C183" s="67">
        <v>1987</v>
      </c>
      <c r="D183">
        <f t="shared" ref="D183:D208" si="8">2016.5-C183</f>
        <v>29.5</v>
      </c>
      <c r="E183" s="68">
        <v>43052.06</v>
      </c>
      <c r="F183" s="69">
        <f t="shared" ref="F183:F208" si="9">+D183*E183</f>
        <v>1270035.77</v>
      </c>
      <c r="J183" s="66"/>
      <c r="K183" s="67"/>
      <c r="M183" s="68"/>
      <c r="N183" s="69"/>
    </row>
    <row r="184" spans="1:14" outlineLevel="2" x14ac:dyDescent="0.25">
      <c r="A184" s="66" t="s">
        <v>126</v>
      </c>
      <c r="B184" s="66" t="s">
        <v>131</v>
      </c>
      <c r="C184" s="67">
        <v>1988</v>
      </c>
      <c r="D184">
        <f t="shared" si="8"/>
        <v>28.5</v>
      </c>
      <c r="E184" s="68">
        <v>83846.34</v>
      </c>
      <c r="F184" s="69">
        <f t="shared" si="9"/>
        <v>2389620.69</v>
      </c>
      <c r="J184" s="66"/>
      <c r="K184" s="67"/>
      <c r="M184" s="68"/>
      <c r="N184" s="69"/>
    </row>
    <row r="185" spans="1:14" outlineLevel="2" x14ac:dyDescent="0.25">
      <c r="A185" s="66" t="s">
        <v>126</v>
      </c>
      <c r="B185" s="66" t="s">
        <v>131</v>
      </c>
      <c r="C185" s="67">
        <v>1989</v>
      </c>
      <c r="D185">
        <f t="shared" si="8"/>
        <v>27.5</v>
      </c>
      <c r="E185" s="68">
        <v>6668.67</v>
      </c>
      <c r="F185" s="69">
        <f t="shared" si="9"/>
        <v>183388.42499999999</v>
      </c>
      <c r="J185" s="66"/>
      <c r="K185" s="67"/>
      <c r="M185" s="68"/>
      <c r="N185" s="69"/>
    </row>
    <row r="186" spans="1:14" outlineLevel="2" x14ac:dyDescent="0.25">
      <c r="A186" s="66" t="s">
        <v>130</v>
      </c>
      <c r="B186" s="66" t="s">
        <v>131</v>
      </c>
      <c r="C186" s="67">
        <v>1999</v>
      </c>
      <c r="D186">
        <f t="shared" si="8"/>
        <v>17.5</v>
      </c>
      <c r="E186" s="68">
        <v>2581281.96</v>
      </c>
      <c r="F186" s="69">
        <f t="shared" si="9"/>
        <v>45172434.299999997</v>
      </c>
      <c r="J186" s="66"/>
      <c r="K186" s="67"/>
      <c r="M186" s="68"/>
      <c r="N186" s="69"/>
    </row>
    <row r="187" spans="1:14" outlineLevel="2" x14ac:dyDescent="0.25">
      <c r="A187" s="66" t="s">
        <v>126</v>
      </c>
      <c r="B187" s="66" t="s">
        <v>131</v>
      </c>
      <c r="C187" s="67">
        <v>1999</v>
      </c>
      <c r="D187">
        <f t="shared" si="8"/>
        <v>17.5</v>
      </c>
      <c r="E187" s="68">
        <v>59070.1</v>
      </c>
      <c r="F187" s="69">
        <f t="shared" si="9"/>
        <v>1033726.75</v>
      </c>
      <c r="J187" s="66"/>
      <c r="K187" s="67"/>
      <c r="M187" s="68"/>
      <c r="N187" s="69"/>
    </row>
    <row r="188" spans="1:14" outlineLevel="2" x14ac:dyDescent="0.25">
      <c r="A188" s="66" t="s">
        <v>130</v>
      </c>
      <c r="B188" s="66" t="s">
        <v>131</v>
      </c>
      <c r="C188" s="67">
        <v>2001</v>
      </c>
      <c r="D188">
        <f t="shared" si="8"/>
        <v>15.5</v>
      </c>
      <c r="E188" s="68">
        <v>7402.01</v>
      </c>
      <c r="F188" s="69">
        <f t="shared" si="9"/>
        <v>114731.155</v>
      </c>
      <c r="J188" s="66"/>
      <c r="K188" s="67"/>
      <c r="M188" s="68"/>
      <c r="N188" s="69"/>
    </row>
    <row r="189" spans="1:14" outlineLevel="2" x14ac:dyDescent="0.25">
      <c r="A189" s="66" t="s">
        <v>130</v>
      </c>
      <c r="B189" s="66" t="s">
        <v>131</v>
      </c>
      <c r="C189" s="67">
        <v>2002</v>
      </c>
      <c r="D189">
        <f t="shared" si="8"/>
        <v>14.5</v>
      </c>
      <c r="E189" s="68">
        <v>55192.22</v>
      </c>
      <c r="F189" s="69">
        <f t="shared" si="9"/>
        <v>800287.19000000006</v>
      </c>
      <c r="J189" s="66"/>
      <c r="K189" s="67"/>
      <c r="M189" s="68"/>
      <c r="N189" s="69"/>
    </row>
    <row r="190" spans="1:14" outlineLevel="2" x14ac:dyDescent="0.25">
      <c r="A190" s="66" t="s">
        <v>128</v>
      </c>
      <c r="B190" s="66" t="s">
        <v>131</v>
      </c>
      <c r="C190" s="67">
        <v>2002</v>
      </c>
      <c r="D190">
        <f t="shared" si="8"/>
        <v>14.5</v>
      </c>
      <c r="E190" s="68">
        <v>1856874.25</v>
      </c>
      <c r="F190" s="69">
        <f t="shared" si="9"/>
        <v>26924676.625</v>
      </c>
      <c r="J190" s="66"/>
      <c r="K190" s="67"/>
      <c r="M190" s="68"/>
      <c r="N190" s="69"/>
    </row>
    <row r="191" spans="1:14" outlineLevel="2" x14ac:dyDescent="0.25">
      <c r="A191" s="66" t="s">
        <v>126</v>
      </c>
      <c r="B191" s="66" t="s">
        <v>131</v>
      </c>
      <c r="C191" s="67">
        <v>2002</v>
      </c>
      <c r="D191">
        <f t="shared" si="8"/>
        <v>14.5</v>
      </c>
      <c r="E191" s="68">
        <v>263352.34000000003</v>
      </c>
      <c r="F191" s="69">
        <f t="shared" si="9"/>
        <v>3818608.93</v>
      </c>
      <c r="J191" s="66"/>
      <c r="K191" s="67"/>
      <c r="M191" s="68"/>
      <c r="N191" s="69"/>
    </row>
    <row r="192" spans="1:14" outlineLevel="2" x14ac:dyDescent="0.25">
      <c r="A192" s="66" t="s">
        <v>130</v>
      </c>
      <c r="B192" s="66" t="s">
        <v>131</v>
      </c>
      <c r="C192" s="67">
        <v>2003</v>
      </c>
      <c r="D192">
        <f t="shared" si="8"/>
        <v>13.5</v>
      </c>
      <c r="E192" s="68">
        <v>64634.34</v>
      </c>
      <c r="F192" s="69">
        <f t="shared" si="9"/>
        <v>872563.59</v>
      </c>
      <c r="J192" s="66"/>
      <c r="K192" s="67"/>
      <c r="M192" s="68"/>
      <c r="N192" s="69"/>
    </row>
    <row r="193" spans="1:14" outlineLevel="2" x14ac:dyDescent="0.25">
      <c r="A193" s="66" t="s">
        <v>126</v>
      </c>
      <c r="B193" s="66" t="s">
        <v>131</v>
      </c>
      <c r="C193" s="67">
        <v>2004</v>
      </c>
      <c r="D193">
        <f t="shared" si="8"/>
        <v>12.5</v>
      </c>
      <c r="E193" s="68">
        <v>67099.240000000005</v>
      </c>
      <c r="F193" s="69">
        <f t="shared" si="9"/>
        <v>838740.50000000012</v>
      </c>
      <c r="J193" s="66"/>
      <c r="K193" s="67"/>
      <c r="M193" s="68"/>
      <c r="N193" s="69"/>
    </row>
    <row r="194" spans="1:14" outlineLevel="2" x14ac:dyDescent="0.25">
      <c r="A194" s="66" t="s">
        <v>128</v>
      </c>
      <c r="B194" s="66" t="s">
        <v>131</v>
      </c>
      <c r="C194" s="67">
        <v>2005</v>
      </c>
      <c r="D194">
        <f t="shared" si="8"/>
        <v>11.5</v>
      </c>
      <c r="E194" s="68">
        <v>345059.57</v>
      </c>
      <c r="F194" s="69">
        <f t="shared" si="9"/>
        <v>3968185.0550000002</v>
      </c>
      <c r="J194" s="66"/>
      <c r="K194" s="67"/>
      <c r="M194" s="68"/>
      <c r="N194" s="69"/>
    </row>
    <row r="195" spans="1:14" outlineLevel="2" x14ac:dyDescent="0.25">
      <c r="A195" s="66" t="s">
        <v>126</v>
      </c>
      <c r="B195" s="66" t="s">
        <v>131</v>
      </c>
      <c r="C195" s="67">
        <v>2005</v>
      </c>
      <c r="D195">
        <f t="shared" si="8"/>
        <v>11.5</v>
      </c>
      <c r="E195" s="68">
        <v>6054.39</v>
      </c>
      <c r="F195" s="69">
        <f t="shared" si="9"/>
        <v>69625.485000000001</v>
      </c>
      <c r="J195" s="66"/>
      <c r="K195" s="67"/>
      <c r="M195" s="68"/>
      <c r="N195" s="69"/>
    </row>
    <row r="196" spans="1:14" outlineLevel="2" x14ac:dyDescent="0.25">
      <c r="A196" s="66" t="s">
        <v>128</v>
      </c>
      <c r="B196" s="66" t="s">
        <v>131</v>
      </c>
      <c r="C196" s="67">
        <v>2006</v>
      </c>
      <c r="D196">
        <f t="shared" si="8"/>
        <v>10.5</v>
      </c>
      <c r="E196" s="68">
        <v>1080325.19</v>
      </c>
      <c r="F196" s="69">
        <f t="shared" si="9"/>
        <v>11343414.494999999</v>
      </c>
      <c r="I196" t="s">
        <v>125</v>
      </c>
    </row>
    <row r="197" spans="1:14" outlineLevel="2" x14ac:dyDescent="0.25">
      <c r="A197" s="66" t="s">
        <v>130</v>
      </c>
      <c r="B197" s="66" t="s">
        <v>131</v>
      </c>
      <c r="C197" s="67">
        <v>2007</v>
      </c>
      <c r="D197">
        <f t="shared" si="8"/>
        <v>9.5</v>
      </c>
      <c r="E197" s="68">
        <v>849767.3</v>
      </c>
      <c r="F197" s="69">
        <f t="shared" si="9"/>
        <v>8072789.3500000006</v>
      </c>
      <c r="I197" t="s">
        <v>125</v>
      </c>
    </row>
    <row r="198" spans="1:14" outlineLevel="2" x14ac:dyDescent="0.25">
      <c r="A198" s="66" t="s">
        <v>130</v>
      </c>
      <c r="B198" s="66" t="s">
        <v>131</v>
      </c>
      <c r="C198" s="67">
        <v>2008</v>
      </c>
      <c r="D198">
        <f t="shared" si="8"/>
        <v>8.5</v>
      </c>
      <c r="E198" s="68">
        <v>62295.61</v>
      </c>
      <c r="F198" s="69">
        <f t="shared" si="9"/>
        <v>529512.68500000006</v>
      </c>
      <c r="I198" t="s">
        <v>125</v>
      </c>
    </row>
    <row r="199" spans="1:14" outlineLevel="2" x14ac:dyDescent="0.25">
      <c r="A199" s="66" t="s">
        <v>128</v>
      </c>
      <c r="B199" s="66" t="s">
        <v>131</v>
      </c>
      <c r="C199" s="67">
        <v>2008</v>
      </c>
      <c r="D199">
        <f t="shared" si="8"/>
        <v>8.5</v>
      </c>
      <c r="E199" s="68">
        <v>3683.9</v>
      </c>
      <c r="F199" s="69">
        <f t="shared" si="9"/>
        <v>31313.15</v>
      </c>
      <c r="I199" t="s">
        <v>125</v>
      </c>
    </row>
    <row r="200" spans="1:14" outlineLevel="2" x14ac:dyDescent="0.25">
      <c r="A200" s="66" t="s">
        <v>126</v>
      </c>
      <c r="B200" s="66" t="s">
        <v>131</v>
      </c>
      <c r="C200" s="67">
        <v>2009</v>
      </c>
      <c r="D200">
        <f t="shared" si="8"/>
        <v>7.5</v>
      </c>
      <c r="E200" s="68">
        <v>118805.53</v>
      </c>
      <c r="F200" s="69">
        <f t="shared" si="9"/>
        <v>891041.47499999998</v>
      </c>
      <c r="I200" t="s">
        <v>125</v>
      </c>
    </row>
    <row r="201" spans="1:14" outlineLevel="2" x14ac:dyDescent="0.25">
      <c r="A201" s="66" t="s">
        <v>128</v>
      </c>
      <c r="B201" s="66" t="s">
        <v>131</v>
      </c>
      <c r="C201" s="67">
        <v>2010</v>
      </c>
      <c r="D201">
        <f t="shared" si="8"/>
        <v>6.5</v>
      </c>
      <c r="E201" s="68">
        <v>61805.440000000002</v>
      </c>
      <c r="F201" s="69">
        <f t="shared" si="9"/>
        <v>401735.36</v>
      </c>
      <c r="I201" t="s">
        <v>125</v>
      </c>
    </row>
    <row r="202" spans="1:14" outlineLevel="2" x14ac:dyDescent="0.25">
      <c r="A202" s="66" t="s">
        <v>126</v>
      </c>
      <c r="B202" s="66" t="s">
        <v>131</v>
      </c>
      <c r="C202" s="67">
        <v>2011</v>
      </c>
      <c r="D202">
        <f t="shared" si="8"/>
        <v>5.5</v>
      </c>
      <c r="E202" s="68">
        <v>108805.32</v>
      </c>
      <c r="F202" s="69">
        <f t="shared" si="9"/>
        <v>598429.26</v>
      </c>
    </row>
    <row r="203" spans="1:14" outlineLevel="2" x14ac:dyDescent="0.25">
      <c r="A203" s="66" t="s">
        <v>126</v>
      </c>
      <c r="B203" s="66" t="s">
        <v>131</v>
      </c>
      <c r="C203" s="67">
        <v>2012</v>
      </c>
      <c r="D203">
        <f t="shared" si="8"/>
        <v>4.5</v>
      </c>
      <c r="E203" s="68">
        <v>4153.57</v>
      </c>
      <c r="F203" s="69">
        <f t="shared" si="9"/>
        <v>18691.064999999999</v>
      </c>
    </row>
    <row r="204" spans="1:14" outlineLevel="2" x14ac:dyDescent="0.25">
      <c r="A204" s="66" t="s">
        <v>126</v>
      </c>
      <c r="B204" s="66" t="s">
        <v>131</v>
      </c>
      <c r="C204" s="67">
        <v>2014</v>
      </c>
      <c r="D204">
        <f t="shared" si="8"/>
        <v>2.5</v>
      </c>
      <c r="E204" s="68">
        <v>93819.02</v>
      </c>
      <c r="F204" s="69">
        <f t="shared" si="9"/>
        <v>234547.55000000002</v>
      </c>
    </row>
    <row r="205" spans="1:14" outlineLevel="2" x14ac:dyDescent="0.25">
      <c r="A205" s="66" t="s">
        <v>130</v>
      </c>
      <c r="B205" s="66" t="s">
        <v>131</v>
      </c>
      <c r="C205" s="67">
        <v>2015</v>
      </c>
      <c r="D205">
        <f t="shared" si="8"/>
        <v>1.5</v>
      </c>
      <c r="E205" s="68">
        <v>15369</v>
      </c>
      <c r="F205" s="69">
        <f t="shared" si="9"/>
        <v>23053.5</v>
      </c>
    </row>
    <row r="206" spans="1:14" outlineLevel="2" x14ac:dyDescent="0.25">
      <c r="A206" s="66" t="s">
        <v>130</v>
      </c>
      <c r="B206" s="66" t="s">
        <v>131</v>
      </c>
      <c r="C206" s="67">
        <v>2016</v>
      </c>
      <c r="D206">
        <f t="shared" si="8"/>
        <v>0.5</v>
      </c>
      <c r="E206" s="68">
        <v>422176.3</v>
      </c>
      <c r="F206" s="69">
        <f t="shared" si="9"/>
        <v>211088.15</v>
      </c>
    </row>
    <row r="207" spans="1:14" outlineLevel="2" x14ac:dyDescent="0.25">
      <c r="A207" s="66" t="s">
        <v>128</v>
      </c>
      <c r="B207" s="66" t="s">
        <v>131</v>
      </c>
      <c r="C207" s="67">
        <v>2016</v>
      </c>
      <c r="D207">
        <f t="shared" si="8"/>
        <v>0.5</v>
      </c>
      <c r="E207" s="68">
        <v>392810.93</v>
      </c>
      <c r="F207" s="69">
        <f t="shared" si="9"/>
        <v>196405.465</v>
      </c>
    </row>
    <row r="208" spans="1:14" outlineLevel="2" x14ac:dyDescent="0.25">
      <c r="A208" s="66" t="s">
        <v>126</v>
      </c>
      <c r="B208" s="66" t="s">
        <v>131</v>
      </c>
      <c r="C208" s="67">
        <v>2016</v>
      </c>
      <c r="D208">
        <f t="shared" si="8"/>
        <v>0.5</v>
      </c>
      <c r="E208" s="68">
        <v>75714.600000000006</v>
      </c>
      <c r="F208" s="69">
        <f t="shared" si="9"/>
        <v>37857.300000000003</v>
      </c>
    </row>
    <row r="209" spans="1:9" outlineLevel="2" x14ac:dyDescent="0.25">
      <c r="A209" s="2" t="s">
        <v>11</v>
      </c>
      <c r="B209" s="2" t="s">
        <v>8</v>
      </c>
      <c r="C209" s="1">
        <v>2002</v>
      </c>
      <c r="D209" s="1">
        <f t="shared" si="6"/>
        <v>14.5</v>
      </c>
      <c r="E209" s="9">
        <v>-37371.129999999997</v>
      </c>
      <c r="F209" s="7">
        <f t="shared" si="7"/>
        <v>-541881.38500000001</v>
      </c>
      <c r="I209" t="s">
        <v>125</v>
      </c>
    </row>
    <row r="210" spans="1:9" outlineLevel="2" x14ac:dyDescent="0.25">
      <c r="A210" s="2" t="s">
        <v>11</v>
      </c>
      <c r="B210" s="2" t="s">
        <v>8</v>
      </c>
      <c r="C210" s="1">
        <v>2002</v>
      </c>
      <c r="D210" s="1">
        <f t="shared" si="6"/>
        <v>14.5</v>
      </c>
      <c r="E210" s="6">
        <v>14540922.48</v>
      </c>
      <c r="F210" s="7">
        <f t="shared" si="7"/>
        <v>210843375.96000001</v>
      </c>
      <c r="I210" t="s">
        <v>125</v>
      </c>
    </row>
    <row r="211" spans="1:9" outlineLevel="2" x14ac:dyDescent="0.25">
      <c r="A211" s="2" t="s">
        <v>11</v>
      </c>
      <c r="B211" s="2" t="s">
        <v>8</v>
      </c>
      <c r="C211" s="1">
        <v>2002</v>
      </c>
      <c r="D211" s="1">
        <f t="shared" si="6"/>
        <v>14.5</v>
      </c>
      <c r="E211" s="6">
        <v>52021605.969999999</v>
      </c>
      <c r="F211" s="7">
        <f t="shared" si="7"/>
        <v>754313286.56499994</v>
      </c>
      <c r="I211" t="s">
        <v>125</v>
      </c>
    </row>
    <row r="212" spans="1:9" outlineLevel="2" x14ac:dyDescent="0.25">
      <c r="A212" s="2" t="s">
        <v>11</v>
      </c>
      <c r="B212" s="2" t="s">
        <v>8</v>
      </c>
      <c r="C212" s="1">
        <v>2003</v>
      </c>
      <c r="D212" s="1">
        <f t="shared" si="6"/>
        <v>13.5</v>
      </c>
      <c r="E212" s="6">
        <v>124964.45</v>
      </c>
      <c r="F212" s="7">
        <f t="shared" si="7"/>
        <v>1687020.075</v>
      </c>
      <c r="I212" t="s">
        <v>125</v>
      </c>
    </row>
    <row r="213" spans="1:9" outlineLevel="2" x14ac:dyDescent="0.25">
      <c r="A213" s="2" t="s">
        <v>11</v>
      </c>
      <c r="B213" s="2" t="s">
        <v>8</v>
      </c>
      <c r="C213" s="1">
        <v>2005</v>
      </c>
      <c r="D213" s="1">
        <f t="shared" si="6"/>
        <v>11.5</v>
      </c>
      <c r="E213" s="6">
        <v>9502.23</v>
      </c>
      <c r="F213" s="7">
        <f t="shared" si="7"/>
        <v>109275.64499999999</v>
      </c>
      <c r="I213" t="s">
        <v>125</v>
      </c>
    </row>
    <row r="214" spans="1:9" outlineLevel="2" x14ac:dyDescent="0.25">
      <c r="A214" s="2" t="s">
        <v>11</v>
      </c>
      <c r="B214" s="2" t="s">
        <v>8</v>
      </c>
      <c r="C214" s="1">
        <v>2007</v>
      </c>
      <c r="D214" s="1">
        <f t="shared" si="6"/>
        <v>9.5</v>
      </c>
      <c r="E214" s="6">
        <v>8749.17</v>
      </c>
      <c r="F214" s="7">
        <f t="shared" si="7"/>
        <v>83117.115000000005</v>
      </c>
    </row>
    <row r="215" spans="1:9" outlineLevel="2" x14ac:dyDescent="0.25">
      <c r="A215" s="2" t="s">
        <v>11</v>
      </c>
      <c r="B215" s="2" t="s">
        <v>8</v>
      </c>
      <c r="C215" s="1">
        <v>2008</v>
      </c>
      <c r="D215" s="1">
        <f t="shared" si="6"/>
        <v>8.5</v>
      </c>
      <c r="E215" s="6">
        <v>61722.79</v>
      </c>
      <c r="F215" s="7">
        <f t="shared" si="7"/>
        <v>524643.71499999997</v>
      </c>
    </row>
    <row r="216" spans="1:9" outlineLevel="2" x14ac:dyDescent="0.25">
      <c r="A216" s="2" t="s">
        <v>11</v>
      </c>
      <c r="B216" s="2" t="s">
        <v>8</v>
      </c>
      <c r="C216" s="1">
        <v>2011</v>
      </c>
      <c r="D216" s="1">
        <f t="shared" si="6"/>
        <v>5.5</v>
      </c>
      <c r="E216" s="6">
        <v>3939.76</v>
      </c>
      <c r="F216" s="7">
        <f t="shared" si="7"/>
        <v>21668.68</v>
      </c>
    </row>
    <row r="217" spans="1:9" outlineLevel="2" x14ac:dyDescent="0.25">
      <c r="A217" s="2" t="s">
        <v>11</v>
      </c>
      <c r="B217" s="2" t="s">
        <v>8</v>
      </c>
      <c r="C217" s="1">
        <v>2011</v>
      </c>
      <c r="D217" s="1">
        <f t="shared" si="6"/>
        <v>5.5</v>
      </c>
      <c r="E217" s="6">
        <v>9166.07</v>
      </c>
      <c r="F217" s="7">
        <f t="shared" si="7"/>
        <v>50413.384999999995</v>
      </c>
    </row>
    <row r="218" spans="1:9" outlineLevel="2" x14ac:dyDescent="0.25">
      <c r="A218" s="2" t="s">
        <v>11</v>
      </c>
      <c r="B218" s="2" t="s">
        <v>8</v>
      </c>
      <c r="C218" s="1">
        <v>2011</v>
      </c>
      <c r="D218" s="1">
        <f t="shared" si="6"/>
        <v>5.5</v>
      </c>
      <c r="E218" s="6">
        <v>34382.82</v>
      </c>
      <c r="F218" s="7">
        <f t="shared" si="7"/>
        <v>189105.51</v>
      </c>
    </row>
    <row r="219" spans="1:9" outlineLevel="2" x14ac:dyDescent="0.25">
      <c r="A219" s="2" t="s">
        <v>11</v>
      </c>
      <c r="B219" s="2" t="s">
        <v>8</v>
      </c>
      <c r="C219" s="1">
        <v>2011</v>
      </c>
      <c r="D219" s="1">
        <f t="shared" si="6"/>
        <v>5.5</v>
      </c>
      <c r="E219" s="6">
        <v>202089.11</v>
      </c>
      <c r="F219" s="7">
        <f t="shared" si="7"/>
        <v>1111490.105</v>
      </c>
    </row>
    <row r="220" spans="1:9" outlineLevel="2" x14ac:dyDescent="0.25">
      <c r="A220" s="2" t="s">
        <v>11</v>
      </c>
      <c r="B220" s="2" t="s">
        <v>8</v>
      </c>
      <c r="C220" s="1">
        <v>2012</v>
      </c>
      <c r="D220" s="1">
        <f t="shared" si="6"/>
        <v>4.5</v>
      </c>
      <c r="E220" s="6">
        <v>8749.33</v>
      </c>
      <c r="F220" s="7">
        <f t="shared" si="7"/>
        <v>39371.985000000001</v>
      </c>
    </row>
    <row r="221" spans="1:9" outlineLevel="2" x14ac:dyDescent="0.25">
      <c r="A221" s="2" t="s">
        <v>11</v>
      </c>
      <c r="B221" s="2" t="s">
        <v>8</v>
      </c>
      <c r="C221" s="1">
        <v>2013</v>
      </c>
      <c r="D221" s="1">
        <f t="shared" si="6"/>
        <v>3.5</v>
      </c>
      <c r="E221" s="6">
        <v>21072.37</v>
      </c>
      <c r="F221" s="7">
        <f t="shared" si="7"/>
        <v>73753.294999999998</v>
      </c>
    </row>
    <row r="222" spans="1:9" outlineLevel="2" x14ac:dyDescent="0.25">
      <c r="A222" s="2" t="s">
        <v>11</v>
      </c>
      <c r="B222" s="2" t="s">
        <v>8</v>
      </c>
      <c r="C222" s="1">
        <v>2013</v>
      </c>
      <c r="D222" s="1">
        <f t="shared" si="6"/>
        <v>3.5</v>
      </c>
      <c r="E222" s="6">
        <v>149720.89000000001</v>
      </c>
      <c r="F222" s="7">
        <f t="shared" si="7"/>
        <v>524023.11500000005</v>
      </c>
    </row>
    <row r="223" spans="1:9" outlineLevel="2" x14ac:dyDescent="0.25">
      <c r="A223" s="2" t="s">
        <v>11</v>
      </c>
      <c r="B223" s="2" t="s">
        <v>8</v>
      </c>
      <c r="C223" s="1">
        <v>2014</v>
      </c>
      <c r="D223" s="1">
        <f t="shared" si="6"/>
        <v>2.5</v>
      </c>
      <c r="E223" s="6">
        <v>7262.86</v>
      </c>
      <c r="F223" s="7">
        <f t="shared" si="7"/>
        <v>18157.149999999998</v>
      </c>
    </row>
    <row r="224" spans="1:9" outlineLevel="2" x14ac:dyDescent="0.25">
      <c r="A224" s="2" t="s">
        <v>11</v>
      </c>
      <c r="B224" s="2" t="s">
        <v>8</v>
      </c>
      <c r="C224" s="1">
        <v>2014</v>
      </c>
      <c r="D224" s="1">
        <f t="shared" si="6"/>
        <v>2.5</v>
      </c>
      <c r="E224" s="6">
        <v>13837.22</v>
      </c>
      <c r="F224" s="7">
        <f t="shared" si="7"/>
        <v>34593.049999999996</v>
      </c>
    </row>
    <row r="225" spans="1:9" outlineLevel="2" x14ac:dyDescent="0.25">
      <c r="A225" s="2" t="s">
        <v>11</v>
      </c>
      <c r="B225" s="2" t="s">
        <v>8</v>
      </c>
      <c r="C225" s="1">
        <v>2014</v>
      </c>
      <c r="D225" s="1">
        <f t="shared" si="6"/>
        <v>2.5</v>
      </c>
      <c r="E225" s="6">
        <v>25722.12</v>
      </c>
      <c r="F225" s="7">
        <f t="shared" si="7"/>
        <v>64305.299999999996</v>
      </c>
    </row>
    <row r="226" spans="1:9" outlineLevel="2" x14ac:dyDescent="0.25">
      <c r="A226" s="2" t="s">
        <v>11</v>
      </c>
      <c r="B226" s="2" t="s">
        <v>8</v>
      </c>
      <c r="C226" s="1">
        <v>2014</v>
      </c>
      <c r="D226" s="1">
        <f t="shared" si="6"/>
        <v>2.5</v>
      </c>
      <c r="E226" s="6">
        <v>149337.98000000001</v>
      </c>
      <c r="F226" s="7">
        <f t="shared" si="7"/>
        <v>373344.95</v>
      </c>
    </row>
    <row r="227" spans="1:9" outlineLevel="2" x14ac:dyDescent="0.25">
      <c r="A227" s="2" t="s">
        <v>11</v>
      </c>
      <c r="B227" s="2" t="s">
        <v>8</v>
      </c>
      <c r="C227" s="1">
        <v>2015</v>
      </c>
      <c r="D227" s="1">
        <f t="shared" si="6"/>
        <v>1.5</v>
      </c>
      <c r="E227" s="9">
        <v>372263.86</v>
      </c>
      <c r="F227" s="7">
        <f t="shared" si="7"/>
        <v>558395.79</v>
      </c>
    </row>
    <row r="228" spans="1:9" outlineLevel="2" x14ac:dyDescent="0.25">
      <c r="A228" s="2" t="s">
        <v>11</v>
      </c>
      <c r="B228" s="2" t="s">
        <v>8</v>
      </c>
      <c r="C228" s="1">
        <v>2016</v>
      </c>
      <c r="D228" s="1">
        <f t="shared" si="6"/>
        <v>0.5</v>
      </c>
      <c r="E228" s="9">
        <v>16612877.367043208</v>
      </c>
      <c r="F228" s="7">
        <f t="shared" si="7"/>
        <v>8306438.6835216042</v>
      </c>
    </row>
    <row r="229" spans="1:9" outlineLevel="1" x14ac:dyDescent="0.25">
      <c r="A229" s="2" t="str">
        <f>+A228</f>
        <v>41403 OP-Smith 3 Combined Cyc (CC)-340-346</v>
      </c>
      <c r="B229" s="10" t="s">
        <v>24</v>
      </c>
      <c r="C229" s="1"/>
      <c r="D229" s="1"/>
      <c r="E229" s="9">
        <f>SUBTOTAL(9,E182:E228)</f>
        <v>84589043.539955035</v>
      </c>
      <c r="F229" s="7">
        <f>SUBTOTAL(9,F182:F228)</f>
        <v>965461797.99074268</v>
      </c>
      <c r="G229" s="13">
        <f>+F229/E229</f>
        <v>11.413556148494736</v>
      </c>
    </row>
    <row r="230" spans="1:9" outlineLevel="2" x14ac:dyDescent="0.25">
      <c r="A230" s="2" t="s">
        <v>11</v>
      </c>
      <c r="B230" s="2" t="s">
        <v>9</v>
      </c>
      <c r="C230" s="1">
        <v>2002</v>
      </c>
      <c r="D230" s="1">
        <f t="shared" si="6"/>
        <v>14.5</v>
      </c>
      <c r="E230" s="6">
        <v>4005918.25</v>
      </c>
      <c r="F230" s="7">
        <f t="shared" si="7"/>
        <v>58085814.625</v>
      </c>
      <c r="I230" t="s">
        <v>125</v>
      </c>
    </row>
    <row r="231" spans="1:9" outlineLevel="2" x14ac:dyDescent="0.25">
      <c r="A231" s="66" t="s">
        <v>126</v>
      </c>
      <c r="B231" s="66" t="s">
        <v>132</v>
      </c>
      <c r="C231" s="67">
        <v>1991</v>
      </c>
      <c r="D231">
        <f t="shared" ref="D231:D259" si="10">2016.5-C231</f>
        <v>25.5</v>
      </c>
      <c r="E231" s="68">
        <v>275041.09999999998</v>
      </c>
      <c r="F231" s="69">
        <f t="shared" ref="F231:F259" si="11">+D231*E231</f>
        <v>7013548.0499999998</v>
      </c>
      <c r="I231" t="s">
        <v>125</v>
      </c>
    </row>
    <row r="232" spans="1:9" outlineLevel="2" x14ac:dyDescent="0.25">
      <c r="A232" s="66" t="s">
        <v>126</v>
      </c>
      <c r="B232" s="66" t="s">
        <v>132</v>
      </c>
      <c r="C232" s="67">
        <v>1992</v>
      </c>
      <c r="D232">
        <f t="shared" si="10"/>
        <v>24.5</v>
      </c>
      <c r="E232" s="68">
        <v>19505.43</v>
      </c>
      <c r="F232" s="69">
        <f t="shared" si="11"/>
        <v>477883.03500000003</v>
      </c>
      <c r="I232" t="s">
        <v>125</v>
      </c>
    </row>
    <row r="233" spans="1:9" outlineLevel="2" x14ac:dyDescent="0.25">
      <c r="A233" s="66" t="s">
        <v>128</v>
      </c>
      <c r="B233" s="66" t="s">
        <v>132</v>
      </c>
      <c r="C233" s="67">
        <v>1993</v>
      </c>
      <c r="D233">
        <f t="shared" si="10"/>
        <v>23.5</v>
      </c>
      <c r="E233" s="68">
        <v>50736.93</v>
      </c>
      <c r="F233" s="69">
        <f t="shared" si="11"/>
        <v>1192317.855</v>
      </c>
      <c r="I233" t="s">
        <v>125</v>
      </c>
    </row>
    <row r="234" spans="1:9" outlineLevel="2" x14ac:dyDescent="0.25">
      <c r="A234" s="66" t="s">
        <v>128</v>
      </c>
      <c r="B234" s="66" t="s">
        <v>132</v>
      </c>
      <c r="C234" s="67">
        <v>1995</v>
      </c>
      <c r="D234">
        <f t="shared" si="10"/>
        <v>21.5</v>
      </c>
      <c r="E234" s="68">
        <v>2051.12</v>
      </c>
      <c r="F234" s="69">
        <f t="shared" si="11"/>
        <v>44099.079999999994</v>
      </c>
      <c r="I234" t="s">
        <v>125</v>
      </c>
    </row>
    <row r="235" spans="1:9" outlineLevel="2" x14ac:dyDescent="0.25">
      <c r="A235" s="66" t="s">
        <v>126</v>
      </c>
      <c r="B235" s="66" t="s">
        <v>132</v>
      </c>
      <c r="C235" s="67">
        <v>1995</v>
      </c>
      <c r="D235">
        <f t="shared" si="10"/>
        <v>21.5</v>
      </c>
      <c r="E235" s="68">
        <v>186770.48</v>
      </c>
      <c r="F235" s="69">
        <f t="shared" si="11"/>
        <v>4015565.3200000003</v>
      </c>
      <c r="I235" t="s">
        <v>125</v>
      </c>
    </row>
    <row r="236" spans="1:9" outlineLevel="2" x14ac:dyDescent="0.25">
      <c r="A236" s="66" t="s">
        <v>126</v>
      </c>
      <c r="B236" s="66" t="s">
        <v>132</v>
      </c>
      <c r="C236" s="67">
        <v>1997</v>
      </c>
      <c r="D236">
        <f t="shared" si="10"/>
        <v>19.5</v>
      </c>
      <c r="E236" s="68">
        <v>8825.65</v>
      </c>
      <c r="F236" s="69">
        <f t="shared" si="11"/>
        <v>172100.17499999999</v>
      </c>
      <c r="I236" t="s">
        <v>125</v>
      </c>
    </row>
    <row r="237" spans="1:9" outlineLevel="2" x14ac:dyDescent="0.25">
      <c r="A237" s="66" t="s">
        <v>128</v>
      </c>
      <c r="B237" s="66" t="s">
        <v>132</v>
      </c>
      <c r="C237" s="67">
        <v>1999</v>
      </c>
      <c r="D237">
        <f t="shared" si="10"/>
        <v>17.5</v>
      </c>
      <c r="E237" s="68">
        <v>1223.29</v>
      </c>
      <c r="F237" s="69">
        <f t="shared" si="11"/>
        <v>21407.575000000001</v>
      </c>
      <c r="I237" t="s">
        <v>125</v>
      </c>
    </row>
    <row r="238" spans="1:9" outlineLevel="2" x14ac:dyDescent="0.25">
      <c r="A238" s="66" t="s">
        <v>128</v>
      </c>
      <c r="B238" s="66" t="s">
        <v>132</v>
      </c>
      <c r="C238" s="67">
        <v>2000</v>
      </c>
      <c r="D238">
        <f t="shared" si="10"/>
        <v>16.5</v>
      </c>
      <c r="E238" s="68">
        <v>12068.35</v>
      </c>
      <c r="F238" s="69">
        <f t="shared" si="11"/>
        <v>199127.77499999999</v>
      </c>
      <c r="I238" t="s">
        <v>125</v>
      </c>
    </row>
    <row r="239" spans="1:9" outlineLevel="2" x14ac:dyDescent="0.25">
      <c r="A239" s="66" t="s">
        <v>130</v>
      </c>
      <c r="B239" s="66" t="s">
        <v>132</v>
      </c>
      <c r="C239" s="67">
        <v>2001</v>
      </c>
      <c r="D239">
        <f t="shared" si="10"/>
        <v>15.5</v>
      </c>
      <c r="E239" s="68">
        <v>13370.17</v>
      </c>
      <c r="F239" s="69">
        <f t="shared" si="11"/>
        <v>207237.63500000001</v>
      </c>
      <c r="I239" t="s">
        <v>125</v>
      </c>
    </row>
    <row r="240" spans="1:9" outlineLevel="2" x14ac:dyDescent="0.25">
      <c r="A240" s="66" t="s">
        <v>128</v>
      </c>
      <c r="B240" s="66" t="s">
        <v>132</v>
      </c>
      <c r="C240" s="67">
        <v>2001</v>
      </c>
      <c r="D240">
        <f t="shared" si="10"/>
        <v>15.5</v>
      </c>
      <c r="E240" s="68">
        <v>80186.509999999995</v>
      </c>
      <c r="F240" s="69">
        <f t="shared" si="11"/>
        <v>1242890.905</v>
      </c>
      <c r="I240" t="s">
        <v>125</v>
      </c>
    </row>
    <row r="241" spans="1:9" outlineLevel="2" x14ac:dyDescent="0.25">
      <c r="A241" s="66" t="s">
        <v>130</v>
      </c>
      <c r="B241" s="66" t="s">
        <v>132</v>
      </c>
      <c r="C241" s="67">
        <v>2002</v>
      </c>
      <c r="D241">
        <f t="shared" si="10"/>
        <v>14.5</v>
      </c>
      <c r="E241" s="68">
        <v>14858.86</v>
      </c>
      <c r="F241" s="69">
        <f t="shared" si="11"/>
        <v>215453.47</v>
      </c>
      <c r="I241" t="s">
        <v>125</v>
      </c>
    </row>
    <row r="242" spans="1:9" outlineLevel="2" x14ac:dyDescent="0.25">
      <c r="A242" s="66" t="s">
        <v>128</v>
      </c>
      <c r="B242" s="66" t="s">
        <v>132</v>
      </c>
      <c r="C242" s="67">
        <v>2002</v>
      </c>
      <c r="D242">
        <f t="shared" si="10"/>
        <v>14.5</v>
      </c>
      <c r="E242" s="68">
        <v>99438.89</v>
      </c>
      <c r="F242" s="69">
        <f t="shared" si="11"/>
        <v>1441863.905</v>
      </c>
      <c r="I242" t="s">
        <v>125</v>
      </c>
    </row>
    <row r="243" spans="1:9" outlineLevel="2" x14ac:dyDescent="0.25">
      <c r="A243" s="66" t="s">
        <v>130</v>
      </c>
      <c r="B243" s="66" t="s">
        <v>132</v>
      </c>
      <c r="C243" s="67">
        <v>2003</v>
      </c>
      <c r="D243">
        <f t="shared" si="10"/>
        <v>13.5</v>
      </c>
      <c r="E243" s="68">
        <v>70802.27</v>
      </c>
      <c r="F243" s="69">
        <f t="shared" si="11"/>
        <v>955830.64500000002</v>
      </c>
      <c r="I243" t="s">
        <v>125</v>
      </c>
    </row>
    <row r="244" spans="1:9" outlineLevel="2" x14ac:dyDescent="0.25">
      <c r="A244" s="66" t="s">
        <v>128</v>
      </c>
      <c r="B244" s="66" t="s">
        <v>132</v>
      </c>
      <c r="C244" s="67">
        <v>2003</v>
      </c>
      <c r="D244">
        <f t="shared" si="10"/>
        <v>13.5</v>
      </c>
      <c r="E244" s="68">
        <v>67285.899999999994</v>
      </c>
      <c r="F244" s="69">
        <f t="shared" si="11"/>
        <v>908359.64999999991</v>
      </c>
      <c r="I244" t="s">
        <v>125</v>
      </c>
    </row>
    <row r="245" spans="1:9" outlineLevel="2" x14ac:dyDescent="0.25">
      <c r="A245" s="66" t="s">
        <v>126</v>
      </c>
      <c r="B245" s="66" t="s">
        <v>132</v>
      </c>
      <c r="C245" s="67">
        <v>2003</v>
      </c>
      <c r="D245">
        <f t="shared" si="10"/>
        <v>13.5</v>
      </c>
      <c r="E245" s="68">
        <v>178727.67999999999</v>
      </c>
      <c r="F245" s="69">
        <f t="shared" si="11"/>
        <v>2412823.6799999997</v>
      </c>
      <c r="I245" t="s">
        <v>125</v>
      </c>
    </row>
    <row r="246" spans="1:9" outlineLevel="2" x14ac:dyDescent="0.25">
      <c r="A246" s="66" t="s">
        <v>128</v>
      </c>
      <c r="B246" s="66" t="s">
        <v>132</v>
      </c>
      <c r="C246" s="67">
        <v>2004</v>
      </c>
      <c r="D246">
        <f t="shared" si="10"/>
        <v>12.5</v>
      </c>
      <c r="E246" s="68">
        <v>9546.16</v>
      </c>
      <c r="F246" s="69">
        <f t="shared" si="11"/>
        <v>119327</v>
      </c>
      <c r="I246" t="s">
        <v>125</v>
      </c>
    </row>
    <row r="247" spans="1:9" outlineLevel="2" x14ac:dyDescent="0.25">
      <c r="A247" s="66" t="s">
        <v>130</v>
      </c>
      <c r="B247" s="66" t="s">
        <v>132</v>
      </c>
      <c r="C247" s="67">
        <v>2005</v>
      </c>
      <c r="D247">
        <f t="shared" si="10"/>
        <v>11.5</v>
      </c>
      <c r="E247" s="68">
        <v>56678.83</v>
      </c>
      <c r="F247" s="69">
        <f t="shared" si="11"/>
        <v>651806.54500000004</v>
      </c>
      <c r="I247" t="s">
        <v>125</v>
      </c>
    </row>
    <row r="248" spans="1:9" outlineLevel="2" x14ac:dyDescent="0.25">
      <c r="A248" s="66" t="s">
        <v>126</v>
      </c>
      <c r="B248" s="66" t="s">
        <v>132</v>
      </c>
      <c r="C248" s="67">
        <v>2005</v>
      </c>
      <c r="D248">
        <f t="shared" si="10"/>
        <v>11.5</v>
      </c>
      <c r="E248" s="68">
        <v>71732.17</v>
      </c>
      <c r="F248" s="69">
        <f t="shared" si="11"/>
        <v>824919.95499999996</v>
      </c>
      <c r="I248" t="s">
        <v>125</v>
      </c>
    </row>
    <row r="249" spans="1:9" outlineLevel="2" x14ac:dyDescent="0.25">
      <c r="A249" s="66" t="s">
        <v>130</v>
      </c>
      <c r="B249" s="66" t="s">
        <v>132</v>
      </c>
      <c r="C249" s="67">
        <v>2006</v>
      </c>
      <c r="D249">
        <f t="shared" si="10"/>
        <v>10.5</v>
      </c>
      <c r="E249" s="68">
        <v>97854.44</v>
      </c>
      <c r="F249" s="69">
        <f t="shared" si="11"/>
        <v>1027471.62</v>
      </c>
      <c r="I249" t="s">
        <v>125</v>
      </c>
    </row>
    <row r="250" spans="1:9" outlineLevel="2" x14ac:dyDescent="0.25">
      <c r="A250" s="66" t="s">
        <v>128</v>
      </c>
      <c r="B250" s="66" t="s">
        <v>132</v>
      </c>
      <c r="C250" s="67">
        <v>2006</v>
      </c>
      <c r="D250">
        <f t="shared" si="10"/>
        <v>10.5</v>
      </c>
      <c r="E250" s="68">
        <v>97975.71</v>
      </c>
      <c r="F250" s="69">
        <f t="shared" si="11"/>
        <v>1028744.9550000001</v>
      </c>
      <c r="I250" t="s">
        <v>125</v>
      </c>
    </row>
    <row r="251" spans="1:9" outlineLevel="2" x14ac:dyDescent="0.25">
      <c r="A251" s="66" t="s">
        <v>130</v>
      </c>
      <c r="B251" s="66" t="s">
        <v>132</v>
      </c>
      <c r="C251" s="67">
        <v>2007</v>
      </c>
      <c r="D251">
        <f t="shared" si="10"/>
        <v>9.5</v>
      </c>
      <c r="E251" s="68">
        <v>866667.24</v>
      </c>
      <c r="F251" s="69">
        <f t="shared" si="11"/>
        <v>8233338.7800000003</v>
      </c>
      <c r="I251" t="s">
        <v>125</v>
      </c>
    </row>
    <row r="252" spans="1:9" outlineLevel="2" x14ac:dyDescent="0.25">
      <c r="A252" s="66" t="s">
        <v>126</v>
      </c>
      <c r="B252" s="66" t="s">
        <v>132</v>
      </c>
      <c r="C252" s="67">
        <v>2008</v>
      </c>
      <c r="D252">
        <f t="shared" si="10"/>
        <v>8.5</v>
      </c>
      <c r="E252" s="68">
        <v>274619.90000000002</v>
      </c>
      <c r="F252" s="69">
        <f t="shared" si="11"/>
        <v>2334269.1500000004</v>
      </c>
      <c r="I252" t="s">
        <v>125</v>
      </c>
    </row>
    <row r="253" spans="1:9" outlineLevel="2" x14ac:dyDescent="0.25">
      <c r="A253" s="66" t="s">
        <v>126</v>
      </c>
      <c r="B253" s="66" t="s">
        <v>132</v>
      </c>
      <c r="C253" s="67">
        <v>2010</v>
      </c>
      <c r="D253">
        <f t="shared" si="10"/>
        <v>6.5</v>
      </c>
      <c r="E253" s="68">
        <v>18245.36</v>
      </c>
      <c r="F253" s="69">
        <f t="shared" si="11"/>
        <v>118594.84</v>
      </c>
      <c r="I253" t="s">
        <v>125</v>
      </c>
    </row>
    <row r="254" spans="1:9" outlineLevel="2" x14ac:dyDescent="0.25">
      <c r="A254" s="66" t="s">
        <v>128</v>
      </c>
      <c r="B254" s="66" t="s">
        <v>132</v>
      </c>
      <c r="C254" s="67">
        <v>2011</v>
      </c>
      <c r="D254">
        <f t="shared" si="10"/>
        <v>5.5</v>
      </c>
      <c r="E254" s="68">
        <v>12802.27</v>
      </c>
      <c r="F254" s="69">
        <f t="shared" si="11"/>
        <v>70412.485000000001</v>
      </c>
      <c r="I254" t="s">
        <v>125</v>
      </c>
    </row>
    <row r="255" spans="1:9" outlineLevel="2" x14ac:dyDescent="0.25">
      <c r="A255" s="66" t="s">
        <v>126</v>
      </c>
      <c r="B255" s="66" t="s">
        <v>132</v>
      </c>
      <c r="C255" s="67">
        <v>2011</v>
      </c>
      <c r="D255">
        <f t="shared" si="10"/>
        <v>5.5</v>
      </c>
      <c r="E255" s="68">
        <v>74441.039999999994</v>
      </c>
      <c r="F255" s="69">
        <f t="shared" si="11"/>
        <v>409425.72</v>
      </c>
      <c r="I255" t="s">
        <v>125</v>
      </c>
    </row>
    <row r="256" spans="1:9" outlineLevel="2" x14ac:dyDescent="0.25">
      <c r="A256" s="66" t="s">
        <v>126</v>
      </c>
      <c r="B256" s="66" t="s">
        <v>132</v>
      </c>
      <c r="C256" s="67">
        <v>2014</v>
      </c>
      <c r="D256">
        <f t="shared" si="10"/>
        <v>2.5</v>
      </c>
      <c r="E256" s="68">
        <v>26321.91</v>
      </c>
      <c r="F256" s="69">
        <f t="shared" si="11"/>
        <v>65804.774999999994</v>
      </c>
      <c r="I256" t="s">
        <v>125</v>
      </c>
    </row>
    <row r="257" spans="1:9" outlineLevel="2" x14ac:dyDescent="0.25">
      <c r="A257" s="66" t="s">
        <v>130</v>
      </c>
      <c r="B257" s="66" t="s">
        <v>132</v>
      </c>
      <c r="C257" s="67">
        <v>2016</v>
      </c>
      <c r="D257">
        <f t="shared" si="10"/>
        <v>0.5</v>
      </c>
      <c r="E257" s="68">
        <v>132412.15</v>
      </c>
      <c r="F257" s="69">
        <f t="shared" si="11"/>
        <v>66206.074999999997</v>
      </c>
      <c r="I257" t="s">
        <v>125</v>
      </c>
    </row>
    <row r="258" spans="1:9" outlineLevel="2" x14ac:dyDescent="0.25">
      <c r="A258" s="66" t="s">
        <v>128</v>
      </c>
      <c r="B258" s="66" t="s">
        <v>132</v>
      </c>
      <c r="C258" s="67">
        <v>2016</v>
      </c>
      <c r="D258">
        <f t="shared" si="10"/>
        <v>0.5</v>
      </c>
      <c r="E258" s="68">
        <v>49702.9</v>
      </c>
      <c r="F258" s="69">
        <f t="shared" si="11"/>
        <v>24851.45</v>
      </c>
      <c r="I258" t="s">
        <v>125</v>
      </c>
    </row>
    <row r="259" spans="1:9" outlineLevel="2" x14ac:dyDescent="0.25">
      <c r="A259" s="66" t="s">
        <v>126</v>
      </c>
      <c r="B259" s="66" t="s">
        <v>132</v>
      </c>
      <c r="C259" s="67">
        <v>2016</v>
      </c>
      <c r="D259">
        <f t="shared" si="10"/>
        <v>0.5</v>
      </c>
      <c r="E259" s="68">
        <v>123914.7</v>
      </c>
      <c r="F259" s="69">
        <f t="shared" si="11"/>
        <v>61957.35</v>
      </c>
    </row>
    <row r="260" spans="1:9" outlineLevel="2" x14ac:dyDescent="0.25">
      <c r="A260" s="2" t="s">
        <v>11</v>
      </c>
      <c r="B260" s="2" t="s">
        <v>9</v>
      </c>
      <c r="C260" s="1">
        <v>2005</v>
      </c>
      <c r="D260" s="1">
        <f t="shared" si="6"/>
        <v>11.5</v>
      </c>
      <c r="E260" s="6">
        <v>47472.94</v>
      </c>
      <c r="F260" s="7">
        <f t="shared" si="7"/>
        <v>545938.81000000006</v>
      </c>
    </row>
    <row r="261" spans="1:9" outlineLevel="2" x14ac:dyDescent="0.25">
      <c r="A261" s="2" t="s">
        <v>11</v>
      </c>
      <c r="B261" s="2" t="s">
        <v>9</v>
      </c>
      <c r="C261" s="1">
        <v>2009</v>
      </c>
      <c r="D261" s="1">
        <f t="shared" si="6"/>
        <v>7.5</v>
      </c>
      <c r="E261" s="6">
        <v>19838.16</v>
      </c>
      <c r="F261" s="7">
        <f t="shared" si="7"/>
        <v>148786.20000000001</v>
      </c>
    </row>
    <row r="262" spans="1:9" outlineLevel="2" x14ac:dyDescent="0.25">
      <c r="A262" s="2" t="s">
        <v>11</v>
      </c>
      <c r="B262" s="2" t="s">
        <v>9</v>
      </c>
      <c r="C262" s="1">
        <v>2010</v>
      </c>
      <c r="D262" s="1">
        <f t="shared" si="6"/>
        <v>6.5</v>
      </c>
      <c r="E262" s="6">
        <v>144234.04</v>
      </c>
      <c r="F262" s="7">
        <f t="shared" si="7"/>
        <v>937521.26</v>
      </c>
    </row>
    <row r="263" spans="1:9" outlineLevel="2" x14ac:dyDescent="0.25">
      <c r="A263" s="2" t="s">
        <v>11</v>
      </c>
      <c r="B263" s="2" t="s">
        <v>9</v>
      </c>
      <c r="C263" s="1">
        <v>2010</v>
      </c>
      <c r="D263" s="1">
        <f t="shared" si="6"/>
        <v>6.5</v>
      </c>
      <c r="E263" s="6">
        <v>834978.2</v>
      </c>
      <c r="F263" s="7">
        <f t="shared" si="7"/>
        <v>5427358.2999999998</v>
      </c>
    </row>
    <row r="264" spans="1:9" outlineLevel="2" x14ac:dyDescent="0.25">
      <c r="A264" s="2" t="s">
        <v>11</v>
      </c>
      <c r="B264" s="2" t="s">
        <v>9</v>
      </c>
      <c r="C264" s="1">
        <v>2011</v>
      </c>
      <c r="D264" s="1">
        <f t="shared" si="6"/>
        <v>5.5</v>
      </c>
      <c r="E264" s="6">
        <v>7671.9</v>
      </c>
      <c r="F264" s="7">
        <f t="shared" si="7"/>
        <v>42195.45</v>
      </c>
    </row>
    <row r="265" spans="1:9" outlineLevel="2" x14ac:dyDescent="0.25">
      <c r="A265" s="2" t="s">
        <v>11</v>
      </c>
      <c r="B265" s="2" t="s">
        <v>9</v>
      </c>
      <c r="C265" s="1">
        <v>2011</v>
      </c>
      <c r="D265" s="1">
        <f t="shared" si="6"/>
        <v>5.5</v>
      </c>
      <c r="E265" s="6">
        <v>17598.009999999998</v>
      </c>
      <c r="F265" s="7">
        <f t="shared" si="7"/>
        <v>96789.054999999993</v>
      </c>
    </row>
    <row r="266" spans="1:9" outlineLevel="2" x14ac:dyDescent="0.25">
      <c r="A266" s="2" t="s">
        <v>11</v>
      </c>
      <c r="B266" s="2" t="s">
        <v>9</v>
      </c>
      <c r="C266" s="1">
        <v>2011</v>
      </c>
      <c r="D266" s="1">
        <f t="shared" si="6"/>
        <v>5.5</v>
      </c>
      <c r="E266" s="6">
        <v>194815.54</v>
      </c>
      <c r="F266" s="7">
        <f t="shared" si="7"/>
        <v>1071485.47</v>
      </c>
    </row>
    <row r="267" spans="1:9" outlineLevel="2" x14ac:dyDescent="0.25">
      <c r="A267" s="2" t="s">
        <v>11</v>
      </c>
      <c r="B267" s="2" t="s">
        <v>9</v>
      </c>
      <c r="C267" s="1">
        <v>2011</v>
      </c>
      <c r="D267" s="1">
        <f t="shared" si="6"/>
        <v>5.5</v>
      </c>
      <c r="E267" s="6">
        <v>869956.55</v>
      </c>
      <c r="F267" s="7">
        <f t="shared" si="7"/>
        <v>4784761.0250000004</v>
      </c>
    </row>
    <row r="268" spans="1:9" outlineLevel="2" x14ac:dyDescent="0.25">
      <c r="A268" s="2" t="s">
        <v>11</v>
      </c>
      <c r="B268" s="2" t="s">
        <v>9</v>
      </c>
      <c r="C268" s="1">
        <v>2013</v>
      </c>
      <c r="D268" s="1">
        <f t="shared" si="6"/>
        <v>3.5</v>
      </c>
      <c r="E268" s="6">
        <v>4588.46</v>
      </c>
      <c r="F268" s="7">
        <f t="shared" si="7"/>
        <v>16059.61</v>
      </c>
    </row>
    <row r="269" spans="1:9" outlineLevel="2" x14ac:dyDescent="0.25">
      <c r="A269" s="2" t="s">
        <v>11</v>
      </c>
      <c r="B269" s="2" t="s">
        <v>9</v>
      </c>
      <c r="C269" s="1">
        <v>2013</v>
      </c>
      <c r="D269" s="1">
        <f t="shared" si="6"/>
        <v>3.5</v>
      </c>
      <c r="E269" s="6">
        <v>13262.35</v>
      </c>
      <c r="F269" s="7">
        <f t="shared" si="7"/>
        <v>46418.224999999999</v>
      </c>
    </row>
    <row r="270" spans="1:9" outlineLevel="2" x14ac:dyDescent="0.25">
      <c r="A270" s="2" t="s">
        <v>11</v>
      </c>
      <c r="B270" s="2" t="s">
        <v>9</v>
      </c>
      <c r="C270" s="1">
        <v>2013</v>
      </c>
      <c r="D270" s="1">
        <f t="shared" si="6"/>
        <v>3.5</v>
      </c>
      <c r="E270" s="6">
        <v>107270.22</v>
      </c>
      <c r="F270" s="7">
        <f t="shared" si="7"/>
        <v>375445.77</v>
      </c>
    </row>
    <row r="271" spans="1:9" outlineLevel="2" x14ac:dyDescent="0.25">
      <c r="A271" s="2" t="s">
        <v>11</v>
      </c>
      <c r="B271" s="2" t="s">
        <v>9</v>
      </c>
      <c r="C271" s="1">
        <v>2013</v>
      </c>
      <c r="D271" s="1">
        <f t="shared" si="6"/>
        <v>3.5</v>
      </c>
      <c r="E271" s="6">
        <v>570489.61</v>
      </c>
      <c r="F271" s="7">
        <f t="shared" si="7"/>
        <v>1996713.635</v>
      </c>
    </row>
    <row r="272" spans="1:9" outlineLevel="2" x14ac:dyDescent="0.25">
      <c r="A272" s="2" t="s">
        <v>11</v>
      </c>
      <c r="B272" s="2" t="s">
        <v>9</v>
      </c>
      <c r="C272" s="1">
        <v>2014</v>
      </c>
      <c r="D272" s="1">
        <f t="shared" si="6"/>
        <v>2.5</v>
      </c>
      <c r="E272" s="6">
        <v>16694.41</v>
      </c>
      <c r="F272" s="7">
        <f t="shared" si="7"/>
        <v>41736.025000000001</v>
      </c>
    </row>
    <row r="273" spans="1:7" outlineLevel="2" x14ac:dyDescent="0.25">
      <c r="A273" s="2" t="s">
        <v>11</v>
      </c>
      <c r="B273" s="2" t="s">
        <v>9</v>
      </c>
      <c r="C273" s="1">
        <v>2014</v>
      </c>
      <c r="D273" s="1">
        <f t="shared" si="6"/>
        <v>2.5</v>
      </c>
      <c r="E273" s="6">
        <v>18689.810000000001</v>
      </c>
      <c r="F273" s="7">
        <f t="shared" si="7"/>
        <v>46724.525000000001</v>
      </c>
    </row>
    <row r="274" spans="1:7" outlineLevel="2" x14ac:dyDescent="0.25">
      <c r="A274" s="2" t="s">
        <v>11</v>
      </c>
      <c r="B274" s="2" t="s">
        <v>9</v>
      </c>
      <c r="C274" s="1">
        <v>2014</v>
      </c>
      <c r="D274" s="1">
        <f t="shared" si="6"/>
        <v>2.5</v>
      </c>
      <c r="E274" s="6">
        <v>197520.92</v>
      </c>
      <c r="F274" s="7">
        <f t="shared" si="7"/>
        <v>493802.30000000005</v>
      </c>
    </row>
    <row r="275" spans="1:7" outlineLevel="2" x14ac:dyDescent="0.25">
      <c r="A275" s="2" t="s">
        <v>11</v>
      </c>
      <c r="B275" s="2" t="s">
        <v>9</v>
      </c>
      <c r="C275" s="1">
        <v>2015</v>
      </c>
      <c r="D275" s="1">
        <f t="shared" si="6"/>
        <v>1.5</v>
      </c>
      <c r="E275" s="9">
        <v>238015.18</v>
      </c>
      <c r="F275" s="7">
        <f t="shared" si="7"/>
        <v>357022.77</v>
      </c>
    </row>
    <row r="276" spans="1:7" outlineLevel="2" x14ac:dyDescent="0.25">
      <c r="A276" s="2" t="s">
        <v>11</v>
      </c>
      <c r="B276" s="2" t="s">
        <v>9</v>
      </c>
      <c r="C276" s="1">
        <v>2016</v>
      </c>
      <c r="D276" s="1">
        <f t="shared" si="6"/>
        <v>0.5</v>
      </c>
      <c r="E276" s="9">
        <v>3705033.758325797</v>
      </c>
      <c r="F276" s="7">
        <f t="shared" si="7"/>
        <v>1852516.8791628985</v>
      </c>
    </row>
    <row r="277" spans="1:7" outlineLevel="1" x14ac:dyDescent="0.25">
      <c r="A277" s="2" t="str">
        <f>+A276</f>
        <v>41403 OP-Smith 3 Combined Cyc (CC)-340-346</v>
      </c>
      <c r="B277" s="10" t="s">
        <v>25</v>
      </c>
      <c r="C277" s="1"/>
      <c r="D277" s="1"/>
      <c r="E277" s="9">
        <f>SUBTOTAL(9,E230:E276)</f>
        <v>14007855.718325799</v>
      </c>
      <c r="F277" s="7">
        <f>SUBTOTAL(9,F230:F276)</f>
        <v>111924729.38916293</v>
      </c>
      <c r="G277" s="13">
        <f>+F277/E277</f>
        <v>7.9901400785230265</v>
      </c>
    </row>
    <row r="278" spans="1:7" outlineLevel="2" x14ac:dyDescent="0.25">
      <c r="A278" s="2" t="s">
        <v>11</v>
      </c>
      <c r="B278" s="2" t="s">
        <v>10</v>
      </c>
      <c r="C278" s="1">
        <v>2010</v>
      </c>
      <c r="D278" s="1">
        <f t="shared" si="6"/>
        <v>6.5</v>
      </c>
      <c r="E278" s="6">
        <v>58602.98</v>
      </c>
      <c r="F278" s="7">
        <f t="shared" si="7"/>
        <v>380919.37</v>
      </c>
    </row>
    <row r="279" spans="1:7" outlineLevel="2" x14ac:dyDescent="0.25">
      <c r="A279" t="s">
        <v>126</v>
      </c>
      <c r="B279" t="s">
        <v>133</v>
      </c>
      <c r="C279">
        <v>2010</v>
      </c>
      <c r="D279">
        <v>6.5</v>
      </c>
      <c r="E279">
        <v>50294.16</v>
      </c>
      <c r="F279">
        <v>326912.04000000004</v>
      </c>
    </row>
    <row r="280" spans="1:7" outlineLevel="2" x14ac:dyDescent="0.25">
      <c r="A280" t="s">
        <v>126</v>
      </c>
      <c r="B280" t="s">
        <v>133</v>
      </c>
      <c r="C280">
        <v>2011</v>
      </c>
      <c r="D280">
        <v>5.5</v>
      </c>
      <c r="E280">
        <v>305663.45</v>
      </c>
      <c r="F280">
        <v>1681148.9750000001</v>
      </c>
    </row>
    <row r="281" spans="1:7" outlineLevel="2" x14ac:dyDescent="0.25">
      <c r="A281" t="s">
        <v>126</v>
      </c>
      <c r="B281" t="s">
        <v>133</v>
      </c>
      <c r="C281">
        <v>2012</v>
      </c>
      <c r="D281">
        <v>4.5</v>
      </c>
      <c r="E281">
        <v>21774.78</v>
      </c>
      <c r="F281">
        <v>97986.51</v>
      </c>
    </row>
    <row r="282" spans="1:7" outlineLevel="2" x14ac:dyDescent="0.25">
      <c r="A282" t="s">
        <v>126</v>
      </c>
      <c r="B282" t="s">
        <v>133</v>
      </c>
      <c r="C282">
        <v>2014</v>
      </c>
      <c r="D282">
        <v>2.5</v>
      </c>
      <c r="E282">
        <v>65142.23</v>
      </c>
      <c r="F282">
        <v>162855.57500000001</v>
      </c>
    </row>
    <row r="283" spans="1:7" outlineLevel="2" x14ac:dyDescent="0.25">
      <c r="A283" t="s">
        <v>126</v>
      </c>
      <c r="B283" t="s">
        <v>133</v>
      </c>
      <c r="C283">
        <v>2015</v>
      </c>
      <c r="D283">
        <v>1.5</v>
      </c>
      <c r="E283">
        <v>11171.17</v>
      </c>
      <c r="F283">
        <v>16756.755000000001</v>
      </c>
    </row>
    <row r="284" spans="1:7" outlineLevel="2" x14ac:dyDescent="0.25">
      <c r="A284" t="s">
        <v>126</v>
      </c>
      <c r="B284" t="s">
        <v>133</v>
      </c>
      <c r="C284">
        <v>2016</v>
      </c>
      <c r="D284">
        <v>0.5</v>
      </c>
      <c r="E284">
        <v>55250</v>
      </c>
      <c r="F284">
        <v>27625</v>
      </c>
    </row>
    <row r="285" spans="1:7" outlineLevel="2" x14ac:dyDescent="0.25">
      <c r="A285" s="2" t="s">
        <v>11</v>
      </c>
      <c r="B285" s="2" t="s">
        <v>10</v>
      </c>
      <c r="C285" s="1">
        <v>2011</v>
      </c>
      <c r="D285" s="1">
        <f t="shared" si="6"/>
        <v>5.5</v>
      </c>
      <c r="E285" s="6">
        <v>17460.560000000001</v>
      </c>
      <c r="F285" s="7">
        <f t="shared" si="7"/>
        <v>96033.08</v>
      </c>
    </row>
    <row r="286" spans="1:7" outlineLevel="2" x14ac:dyDescent="0.25">
      <c r="A286" s="2" t="s">
        <v>11</v>
      </c>
      <c r="B286" s="2" t="s">
        <v>10</v>
      </c>
      <c r="C286" s="1">
        <v>2012</v>
      </c>
      <c r="D286" s="1">
        <f t="shared" si="6"/>
        <v>4.5</v>
      </c>
      <c r="E286" s="6">
        <v>12273.59</v>
      </c>
      <c r="F286" s="7">
        <f t="shared" si="7"/>
        <v>55231.154999999999</v>
      </c>
    </row>
    <row r="287" spans="1:7" outlineLevel="2" x14ac:dyDescent="0.25">
      <c r="A287" s="2" t="s">
        <v>11</v>
      </c>
      <c r="B287" s="2" t="s">
        <v>10</v>
      </c>
      <c r="C287" s="1">
        <v>2012</v>
      </c>
      <c r="D287" s="1">
        <f t="shared" si="6"/>
        <v>4.5</v>
      </c>
      <c r="E287" s="6">
        <v>14853.69</v>
      </c>
      <c r="F287" s="7">
        <f t="shared" si="7"/>
        <v>66841.604999999996</v>
      </c>
    </row>
    <row r="288" spans="1:7" outlineLevel="2" x14ac:dyDescent="0.25">
      <c r="A288" s="2" t="s">
        <v>11</v>
      </c>
      <c r="B288" s="2" t="s">
        <v>10</v>
      </c>
      <c r="C288" s="1">
        <v>2012</v>
      </c>
      <c r="D288" s="1">
        <f t="shared" si="6"/>
        <v>4.5</v>
      </c>
      <c r="E288" s="6">
        <v>19720.18</v>
      </c>
      <c r="F288" s="7">
        <f t="shared" si="7"/>
        <v>88740.81</v>
      </c>
    </row>
    <row r="289" spans="1:7" outlineLevel="2" x14ac:dyDescent="0.25">
      <c r="A289" s="2" t="s">
        <v>11</v>
      </c>
      <c r="B289" s="2" t="s">
        <v>10</v>
      </c>
      <c r="C289" s="1">
        <v>2013</v>
      </c>
      <c r="D289" s="1">
        <f t="shared" si="6"/>
        <v>3.5</v>
      </c>
      <c r="E289" s="6">
        <v>11755.89</v>
      </c>
      <c r="F289" s="7">
        <f t="shared" si="7"/>
        <v>41145.614999999998</v>
      </c>
    </row>
    <row r="290" spans="1:7" outlineLevel="2" x14ac:dyDescent="0.25">
      <c r="A290" s="2" t="s">
        <v>11</v>
      </c>
      <c r="B290" s="2" t="s">
        <v>10</v>
      </c>
      <c r="C290" s="1">
        <v>2013</v>
      </c>
      <c r="D290" s="1">
        <f t="shared" si="6"/>
        <v>3.5</v>
      </c>
      <c r="E290" s="6">
        <v>32555.51</v>
      </c>
      <c r="F290" s="7">
        <f t="shared" si="7"/>
        <v>113944.28499999999</v>
      </c>
    </row>
    <row r="291" spans="1:7" outlineLevel="2" x14ac:dyDescent="0.25">
      <c r="A291" s="2" t="s">
        <v>11</v>
      </c>
      <c r="B291" s="2" t="s">
        <v>10</v>
      </c>
      <c r="C291" s="1">
        <v>2014</v>
      </c>
      <c r="D291" s="1">
        <f t="shared" si="6"/>
        <v>2.5</v>
      </c>
      <c r="E291" s="6">
        <v>4348</v>
      </c>
      <c r="F291" s="7">
        <f t="shared" si="7"/>
        <v>10870</v>
      </c>
    </row>
    <row r="292" spans="1:7" outlineLevel="2" x14ac:dyDescent="0.25">
      <c r="A292" s="2" t="s">
        <v>11</v>
      </c>
      <c r="B292" s="2" t="s">
        <v>10</v>
      </c>
      <c r="C292" s="1">
        <v>2015</v>
      </c>
      <c r="D292" s="1">
        <f t="shared" si="6"/>
        <v>1.5</v>
      </c>
      <c r="E292" s="9">
        <v>3811.9500000000003</v>
      </c>
      <c r="F292" s="7">
        <f t="shared" si="7"/>
        <v>5717.9250000000002</v>
      </c>
    </row>
    <row r="293" spans="1:7" outlineLevel="2" x14ac:dyDescent="0.25">
      <c r="A293" s="2" t="s">
        <v>11</v>
      </c>
      <c r="B293" s="2" t="s">
        <v>10</v>
      </c>
      <c r="C293" s="1">
        <v>2016</v>
      </c>
      <c r="D293" s="1">
        <f t="shared" si="6"/>
        <v>0.5</v>
      </c>
      <c r="E293" s="9">
        <v>1955516.049592969</v>
      </c>
      <c r="F293" s="7">
        <f t="shared" si="7"/>
        <v>977758.0247964845</v>
      </c>
    </row>
    <row r="294" spans="1:7" outlineLevel="1" x14ac:dyDescent="0.25">
      <c r="A294" s="2" t="str">
        <f>+A293</f>
        <v>41403 OP-Smith 3 Combined Cyc (CC)-340-346</v>
      </c>
      <c r="B294" s="10" t="s">
        <v>26</v>
      </c>
      <c r="C294" s="1"/>
      <c r="D294" s="1"/>
      <c r="E294" s="9">
        <f>SUBTOTAL(9,E278:E293)</f>
        <v>2640194.1895929691</v>
      </c>
      <c r="F294" s="7">
        <f>SUBTOTAL(9,F278:F293)</f>
        <v>4150486.7247964847</v>
      </c>
      <c r="G294" s="13">
        <f>+F294/E294</f>
        <v>1.5720384285204236</v>
      </c>
    </row>
    <row r="295" spans="1:7" outlineLevel="2" x14ac:dyDescent="0.25">
      <c r="A295" s="2" t="s">
        <v>12</v>
      </c>
      <c r="B295" s="2" t="s">
        <v>7</v>
      </c>
      <c r="C295" s="1">
        <v>1998</v>
      </c>
      <c r="D295" s="1">
        <f t="shared" si="6"/>
        <v>18.5</v>
      </c>
      <c r="E295" s="7">
        <v>-564757.99</v>
      </c>
      <c r="F295" s="7">
        <f t="shared" si="7"/>
        <v>-10448022.814999999</v>
      </c>
    </row>
    <row r="296" spans="1:7" outlineLevel="2" x14ac:dyDescent="0.25">
      <c r="A296" s="2" t="s">
        <v>12</v>
      </c>
      <c r="B296" s="2" t="s">
        <v>7</v>
      </c>
      <c r="C296" s="1">
        <v>1998</v>
      </c>
      <c r="D296" s="1">
        <f t="shared" si="6"/>
        <v>18.5</v>
      </c>
      <c r="E296" s="6">
        <v>6790595.4400000004</v>
      </c>
      <c r="F296" s="7">
        <f t="shared" si="7"/>
        <v>125626015.64</v>
      </c>
    </row>
    <row r="297" spans="1:7" outlineLevel="2" x14ac:dyDescent="0.25">
      <c r="A297" s="2" t="s">
        <v>12</v>
      </c>
      <c r="B297" s="2" t="s">
        <v>7</v>
      </c>
      <c r="C297" s="1">
        <v>2016</v>
      </c>
      <c r="D297" s="1">
        <f t="shared" si="6"/>
        <v>0.5</v>
      </c>
      <c r="E297" s="7">
        <v>1106320.6100000001</v>
      </c>
      <c r="F297" s="7">
        <f t="shared" si="7"/>
        <v>553160.30500000005</v>
      </c>
    </row>
    <row r="298" spans="1:7" outlineLevel="1" x14ac:dyDescent="0.25">
      <c r="A298" s="2" t="str">
        <f>+A297</f>
        <v>41450 OP-Pace-Electric Generating Ctr-340-347</v>
      </c>
      <c r="B298" s="10" t="s">
        <v>23</v>
      </c>
      <c r="C298" s="1"/>
      <c r="D298" s="1"/>
      <c r="E298" s="7">
        <f>SUBTOTAL(9,E295:E297)</f>
        <v>7332158.0600000005</v>
      </c>
      <c r="F298" s="7">
        <f>SUBTOTAL(9,F295:F297)</f>
        <v>115731153.13000001</v>
      </c>
      <c r="G298" s="13">
        <f>+F298/E298</f>
        <v>15.784050505043259</v>
      </c>
    </row>
    <row r="299" spans="1:7" outlineLevel="2" x14ac:dyDescent="0.25">
      <c r="A299" s="2" t="s">
        <v>12</v>
      </c>
      <c r="B299" s="2" t="s">
        <v>8</v>
      </c>
      <c r="C299" s="1">
        <v>1998</v>
      </c>
      <c r="D299" s="1">
        <f t="shared" si="6"/>
        <v>18.5</v>
      </c>
      <c r="E299" s="7">
        <v>-393128.6</v>
      </c>
      <c r="F299" s="7">
        <f t="shared" si="7"/>
        <v>-7272879.0999999996</v>
      </c>
    </row>
    <row r="300" spans="1:7" outlineLevel="2" x14ac:dyDescent="0.25">
      <c r="A300" s="2" t="s">
        <v>12</v>
      </c>
      <c r="B300" s="2" t="s">
        <v>8</v>
      </c>
      <c r="C300" s="1">
        <v>1998</v>
      </c>
      <c r="D300" s="1">
        <f t="shared" si="6"/>
        <v>18.5</v>
      </c>
      <c r="E300" s="6">
        <v>3107233.23</v>
      </c>
      <c r="F300" s="7">
        <f t="shared" si="7"/>
        <v>57483814.755000003</v>
      </c>
    </row>
    <row r="301" spans="1:7" outlineLevel="2" x14ac:dyDescent="0.25">
      <c r="A301" s="2" t="s">
        <v>12</v>
      </c>
      <c r="B301" s="2" t="s">
        <v>8</v>
      </c>
      <c r="C301" s="1">
        <v>2016</v>
      </c>
      <c r="D301" s="1">
        <f t="shared" si="6"/>
        <v>0.5</v>
      </c>
      <c r="E301" s="7">
        <v>770110.89</v>
      </c>
      <c r="F301" s="7">
        <f t="shared" si="7"/>
        <v>385055.44500000001</v>
      </c>
    </row>
    <row r="302" spans="1:7" outlineLevel="1" x14ac:dyDescent="0.25">
      <c r="A302" s="2" t="str">
        <f>+A301</f>
        <v>41450 OP-Pace-Electric Generating Ctr-340-347</v>
      </c>
      <c r="B302" s="10" t="s">
        <v>24</v>
      </c>
      <c r="C302" s="1"/>
      <c r="D302" s="1"/>
      <c r="E302" s="7">
        <f>SUBTOTAL(9,E299:E301)</f>
        <v>3484215.52</v>
      </c>
      <c r="F302" s="7">
        <f>SUBTOTAL(9,F299:F301)</f>
        <v>50595991.100000001</v>
      </c>
      <c r="G302" s="13">
        <f>+F302/E302</f>
        <v>14.521487206968185</v>
      </c>
    </row>
    <row r="303" spans="1:7" outlineLevel="2" x14ac:dyDescent="0.25">
      <c r="A303" s="2" t="s">
        <v>12</v>
      </c>
      <c r="B303" s="2" t="s">
        <v>9</v>
      </c>
      <c r="C303" s="1">
        <v>1998</v>
      </c>
      <c r="D303" s="1">
        <f t="shared" si="6"/>
        <v>18.5</v>
      </c>
      <c r="E303" s="7">
        <v>-99787.08</v>
      </c>
      <c r="F303" s="7">
        <f t="shared" si="7"/>
        <v>-1846060.98</v>
      </c>
    </row>
    <row r="304" spans="1:7" outlineLevel="2" x14ac:dyDescent="0.25">
      <c r="A304" s="2" t="s">
        <v>12</v>
      </c>
      <c r="B304" s="2" t="s">
        <v>9</v>
      </c>
      <c r="C304" s="1">
        <v>1998</v>
      </c>
      <c r="D304" s="1">
        <f t="shared" si="6"/>
        <v>18.5</v>
      </c>
      <c r="E304" s="6">
        <v>584090.42000000004</v>
      </c>
      <c r="F304" s="7">
        <f t="shared" si="7"/>
        <v>10805672.770000001</v>
      </c>
    </row>
    <row r="305" spans="1:7" outlineLevel="2" x14ac:dyDescent="0.25">
      <c r="A305" s="2" t="s">
        <v>12</v>
      </c>
      <c r="B305" s="2" t="s">
        <v>9</v>
      </c>
      <c r="C305" s="1">
        <v>2016</v>
      </c>
      <c r="D305" s="1">
        <f t="shared" si="6"/>
        <v>0.5</v>
      </c>
      <c r="E305" s="7">
        <v>195475.78</v>
      </c>
      <c r="F305" s="7">
        <f t="shared" si="7"/>
        <v>97737.89</v>
      </c>
    </row>
    <row r="306" spans="1:7" outlineLevel="1" x14ac:dyDescent="0.25">
      <c r="A306" s="2" t="str">
        <f>+A305</f>
        <v>41450 OP-Pace-Electric Generating Ctr-340-347</v>
      </c>
      <c r="B306" s="10" t="s">
        <v>25</v>
      </c>
      <c r="C306" s="1"/>
      <c r="D306" s="1"/>
      <c r="E306" s="7">
        <f>SUBTOTAL(9,E303:E305)</f>
        <v>679779.12</v>
      </c>
      <c r="F306" s="7">
        <f>SUBTOTAL(9,F303:F305)</f>
        <v>9057349.6800000016</v>
      </c>
      <c r="G306" s="13">
        <f>+F306/E306</f>
        <v>13.323959818006768</v>
      </c>
    </row>
    <row r="307" spans="1:7" outlineLevel="2" x14ac:dyDescent="0.25">
      <c r="A307" s="2" t="s">
        <v>13</v>
      </c>
      <c r="B307" s="2" t="s">
        <v>5</v>
      </c>
      <c r="C307" s="1">
        <v>2010</v>
      </c>
      <c r="D307" s="1">
        <f t="shared" si="6"/>
        <v>6.5</v>
      </c>
      <c r="E307" s="6">
        <v>942439.92</v>
      </c>
      <c r="F307" s="7">
        <f t="shared" si="7"/>
        <v>6125859.4800000004</v>
      </c>
    </row>
    <row r="308" spans="1:7" outlineLevel="2" x14ac:dyDescent="0.25">
      <c r="A308" s="2" t="s">
        <v>13</v>
      </c>
      <c r="B308" s="2" t="s">
        <v>5</v>
      </c>
      <c r="C308" s="1">
        <v>2016</v>
      </c>
      <c r="D308" s="1">
        <f t="shared" si="6"/>
        <v>0.5</v>
      </c>
      <c r="E308" s="6">
        <v>1279200</v>
      </c>
      <c r="F308" s="14">
        <f t="shared" si="7"/>
        <v>639600</v>
      </c>
      <c r="G308" s="15"/>
    </row>
    <row r="309" spans="1:7" outlineLevel="1" x14ac:dyDescent="0.25">
      <c r="A309" s="2" t="str">
        <f>+A307</f>
        <v xml:space="preserve">41481 OP-Perdido Landfill Gas-340-346 </v>
      </c>
      <c r="B309" s="10" t="s">
        <v>21</v>
      </c>
      <c r="C309" s="1"/>
      <c r="D309" s="1"/>
      <c r="E309" s="6">
        <f>SUBTOTAL(9,E307:E308)</f>
        <v>2221639.92</v>
      </c>
      <c r="F309" s="6">
        <f>SUBTOTAL(9,F307:F308)</f>
        <v>6765459.4800000004</v>
      </c>
      <c r="G309" s="13">
        <f>+F309/E309</f>
        <v>3.0452547323690515</v>
      </c>
    </row>
    <row r="310" spans="1:7" outlineLevel="2" x14ac:dyDescent="0.25">
      <c r="A310" s="2" t="s">
        <v>13</v>
      </c>
      <c r="B310" s="2" t="s">
        <v>6</v>
      </c>
      <c r="C310" s="1">
        <v>2010</v>
      </c>
      <c r="D310" s="1">
        <f t="shared" si="6"/>
        <v>6.5</v>
      </c>
      <c r="E310" s="6">
        <v>578764.94999999995</v>
      </c>
      <c r="F310" s="7">
        <f t="shared" si="7"/>
        <v>3761972.1749999998</v>
      </c>
    </row>
    <row r="311" spans="1:7" outlineLevel="2" x14ac:dyDescent="0.25">
      <c r="A311" s="2" t="s">
        <v>13</v>
      </c>
      <c r="B311" s="2" t="s">
        <v>6</v>
      </c>
      <c r="C311" s="1">
        <v>2016</v>
      </c>
      <c r="D311" s="1">
        <f t="shared" si="6"/>
        <v>0.5</v>
      </c>
      <c r="E311" s="7">
        <v>218400</v>
      </c>
      <c r="F311" s="7">
        <f t="shared" si="7"/>
        <v>109200</v>
      </c>
    </row>
    <row r="312" spans="1:7" outlineLevel="1" x14ac:dyDescent="0.25">
      <c r="A312" s="2" t="str">
        <f>+A311</f>
        <v xml:space="preserve">41481 OP-Perdido Landfill Gas-340-346 </v>
      </c>
      <c r="B312" s="10" t="s">
        <v>22</v>
      </c>
      <c r="C312" s="1"/>
      <c r="D312" s="1"/>
      <c r="E312" s="7">
        <f>SUBTOTAL(9,E310:E311)</f>
        <v>797164.95</v>
      </c>
      <c r="F312" s="7">
        <f>SUBTOTAL(9,F310:F311)</f>
        <v>3871172.1749999998</v>
      </c>
      <c r="G312" s="13">
        <f>+F312/E312</f>
        <v>4.8561745909676537</v>
      </c>
    </row>
    <row r="313" spans="1:7" outlineLevel="2" x14ac:dyDescent="0.25">
      <c r="A313" s="2" t="s">
        <v>13</v>
      </c>
      <c r="B313" s="2" t="s">
        <v>7</v>
      </c>
      <c r="C313" s="1">
        <v>2010</v>
      </c>
      <c r="D313" s="1">
        <f t="shared" si="6"/>
        <v>6.5</v>
      </c>
      <c r="E313" s="6">
        <v>2745649.29</v>
      </c>
      <c r="F313" s="7">
        <f t="shared" si="7"/>
        <v>17846720.385000002</v>
      </c>
    </row>
    <row r="314" spans="1:7" outlineLevel="2" x14ac:dyDescent="0.25">
      <c r="A314" s="2" t="s">
        <v>13</v>
      </c>
      <c r="B314" s="2" t="s">
        <v>7</v>
      </c>
      <c r="C314" s="1">
        <v>2016</v>
      </c>
      <c r="D314" s="1">
        <f t="shared" si="6"/>
        <v>0.5</v>
      </c>
      <c r="E314" s="6">
        <v>1248000</v>
      </c>
      <c r="F314" s="7">
        <f t="shared" si="7"/>
        <v>624000</v>
      </c>
    </row>
    <row r="315" spans="1:7" outlineLevel="1" x14ac:dyDescent="0.25">
      <c r="A315" s="2" t="str">
        <f>+A314</f>
        <v xml:space="preserve">41481 OP-Perdido Landfill Gas-340-346 </v>
      </c>
      <c r="B315" s="10" t="s">
        <v>23</v>
      </c>
      <c r="C315" s="1"/>
      <c r="D315" s="1"/>
      <c r="E315" s="6">
        <f>SUBTOTAL(9,E313:E314)</f>
        <v>3993649.29</v>
      </c>
      <c r="F315" s="7">
        <f>SUBTOTAL(9,F313:F314)</f>
        <v>18470720.385000002</v>
      </c>
      <c r="G315" s="13">
        <f>+F315/E315</f>
        <v>4.6250231414286258</v>
      </c>
    </row>
    <row r="316" spans="1:7" outlineLevel="2" x14ac:dyDescent="0.25">
      <c r="A316" s="2" t="s">
        <v>13</v>
      </c>
      <c r="B316" s="2" t="s">
        <v>9</v>
      </c>
      <c r="C316" s="1">
        <v>2010</v>
      </c>
      <c r="D316" s="1">
        <f t="shared" ref="D316:D321" si="12">2016.5-C316</f>
        <v>6.5</v>
      </c>
      <c r="E316" s="6">
        <v>788715.19</v>
      </c>
      <c r="F316" s="7">
        <f t="shared" ref="F316:F321" si="13">+E316*D316</f>
        <v>5126648.7349999994</v>
      </c>
    </row>
    <row r="317" spans="1:7" outlineLevel="2" x14ac:dyDescent="0.25">
      <c r="A317" s="2" t="s">
        <v>13</v>
      </c>
      <c r="B317" s="2" t="s">
        <v>9</v>
      </c>
      <c r="C317" s="1">
        <v>2012</v>
      </c>
      <c r="D317" s="1">
        <f t="shared" si="12"/>
        <v>4.5</v>
      </c>
      <c r="E317" s="6">
        <v>17966.64</v>
      </c>
      <c r="F317" s="7">
        <f t="shared" si="13"/>
        <v>80849.88</v>
      </c>
    </row>
    <row r="318" spans="1:7" outlineLevel="2" x14ac:dyDescent="0.25">
      <c r="A318" s="2" t="s">
        <v>13</v>
      </c>
      <c r="B318" s="2" t="s">
        <v>9</v>
      </c>
      <c r="C318" s="1">
        <v>2016</v>
      </c>
      <c r="D318" s="1">
        <f t="shared" si="12"/>
        <v>0.5</v>
      </c>
      <c r="E318" s="7">
        <v>249600</v>
      </c>
      <c r="F318" s="7">
        <f t="shared" si="13"/>
        <v>124800</v>
      </c>
    </row>
    <row r="319" spans="1:7" outlineLevel="1" x14ac:dyDescent="0.25">
      <c r="A319" s="2" t="str">
        <f>+A318</f>
        <v xml:space="preserve">41481 OP-Perdido Landfill Gas-340-346 </v>
      </c>
      <c r="B319" s="10" t="s">
        <v>25</v>
      </c>
      <c r="C319" s="1"/>
      <c r="D319" s="1"/>
      <c r="E319" s="7">
        <f>SUBTOTAL(9,E316:E318)</f>
        <v>1056281.83</v>
      </c>
      <c r="F319" s="7">
        <f>SUBTOTAL(9,F316:F318)</f>
        <v>5332298.6149999993</v>
      </c>
      <c r="G319" s="13">
        <f>+F319/E319</f>
        <v>5.0481779233104849</v>
      </c>
    </row>
    <row r="320" spans="1:7" outlineLevel="2" x14ac:dyDescent="0.25">
      <c r="A320" s="2" t="s">
        <v>13</v>
      </c>
      <c r="B320" s="2" t="s">
        <v>10</v>
      </c>
      <c r="C320" s="1">
        <v>2010</v>
      </c>
      <c r="D320" s="1">
        <f t="shared" si="12"/>
        <v>6.5</v>
      </c>
      <c r="E320" s="6">
        <v>45549.599999999999</v>
      </c>
      <c r="F320" s="7">
        <f t="shared" si="13"/>
        <v>296072.39999999997</v>
      </c>
    </row>
    <row r="321" spans="1:7" outlineLevel="2" x14ac:dyDescent="0.25">
      <c r="A321" s="2" t="s">
        <v>13</v>
      </c>
      <c r="B321" s="2" t="s">
        <v>10</v>
      </c>
      <c r="C321" s="1">
        <v>2016</v>
      </c>
      <c r="D321" s="1">
        <f t="shared" si="12"/>
        <v>0.5</v>
      </c>
      <c r="E321" s="7">
        <v>124800</v>
      </c>
      <c r="F321" s="7">
        <f t="shared" si="13"/>
        <v>62400</v>
      </c>
    </row>
    <row r="322" spans="1:7" outlineLevel="1" x14ac:dyDescent="0.25">
      <c r="A322" s="2" t="str">
        <f>+A321</f>
        <v xml:space="preserve">41481 OP-Perdido Landfill Gas-340-346 </v>
      </c>
      <c r="B322" s="10" t="s">
        <v>26</v>
      </c>
      <c r="C322" s="1"/>
      <c r="D322" s="1"/>
      <c r="E322" s="7">
        <f>SUBTOTAL(9,E320:E321)</f>
        <v>170349.6</v>
      </c>
      <c r="F322" s="7">
        <f>SUBTOTAL(9,F320:F321)</f>
        <v>358472.39999999997</v>
      </c>
      <c r="G322" s="13">
        <f>+F322/E322</f>
        <v>2.1043336761577365</v>
      </c>
    </row>
    <row r="323" spans="1:7" x14ac:dyDescent="0.25">
      <c r="A323" s="2"/>
      <c r="B323" s="10" t="s">
        <v>27</v>
      </c>
      <c r="C323" s="1"/>
      <c r="D323" s="1"/>
      <c r="E323" s="7">
        <f>SUBTOTAL(9,E2:E321)</f>
        <v>324301572.37854362</v>
      </c>
      <c r="F323" s="7">
        <f>SUBTOTAL(9,F2:F321)</f>
        <v>3064024964.4217811</v>
      </c>
      <c r="G323" s="13">
        <f>+F323/E323</f>
        <v>9.4480731066122416</v>
      </c>
    </row>
    <row r="325" spans="1:7" x14ac:dyDescent="0.25">
      <c r="E325" s="7">
        <v>271446289.61999995</v>
      </c>
    </row>
  </sheetData>
  <sortState ref="A2:D260">
    <sortCondition ref="A2:A260"/>
    <sortCondition ref="B2:B260"/>
    <sortCondition ref="C2:C260"/>
  </sortState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activeCell="L14" sqref="L14:P14"/>
    </sheetView>
  </sheetViews>
  <sheetFormatPr defaultRowHeight="15" x14ac:dyDescent="0.25"/>
  <cols>
    <col min="3" max="3" width="1.28515625" customWidth="1"/>
    <col min="4" max="4" width="8.5703125" customWidth="1"/>
    <col min="5" max="5" width="9.140625" hidden="1" customWidth="1"/>
    <col min="6" max="6" width="10.5703125" bestFit="1" customWidth="1"/>
    <col min="7" max="7" width="2.5703125" customWidth="1"/>
    <col min="9" max="9" width="1" customWidth="1"/>
    <col min="11" max="11" width="1.85546875" customWidth="1"/>
    <col min="12" max="12" width="14.140625" customWidth="1"/>
    <col min="13" max="13" width="2.5703125" customWidth="1"/>
    <col min="14" max="14" width="12.140625" customWidth="1"/>
    <col min="15" max="15" width="3.140625" customWidth="1"/>
    <col min="17" max="17" width="1.28515625" customWidth="1"/>
    <col min="18" max="18" width="12.5703125" customWidth="1"/>
  </cols>
  <sheetData>
    <row r="1" spans="1:18" x14ac:dyDescent="0.25">
      <c r="B1" s="16" t="s">
        <v>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B2" s="16" t="s">
        <v>72</v>
      </c>
      <c r="C2" s="17"/>
      <c r="D2" s="17"/>
      <c r="E2" s="17"/>
      <c r="F2" s="17"/>
      <c r="G2" s="17"/>
      <c r="H2" s="17"/>
      <c r="I2" s="17"/>
      <c r="J2" s="17"/>
      <c r="K2" s="17"/>
      <c r="L2" s="16" t="s">
        <v>33</v>
      </c>
      <c r="M2" s="17"/>
      <c r="N2" s="17"/>
      <c r="O2" s="17"/>
      <c r="P2" s="19">
        <f>'IRR and Int Ret %'!$F$5</f>
        <v>-0.05</v>
      </c>
      <c r="Q2" s="17"/>
      <c r="R2" s="17"/>
    </row>
    <row r="3" spans="1:18" x14ac:dyDescent="0.25">
      <c r="B3" s="16" t="s">
        <v>81</v>
      </c>
      <c r="C3" s="17"/>
      <c r="D3" s="17"/>
      <c r="E3" s="17"/>
      <c r="F3" s="17"/>
      <c r="G3" s="17"/>
      <c r="H3" s="17"/>
      <c r="I3" s="17"/>
      <c r="J3" s="17"/>
      <c r="K3" s="17"/>
      <c r="L3" s="16" t="s">
        <v>34</v>
      </c>
      <c r="M3" s="17"/>
      <c r="N3" s="17"/>
      <c r="O3" s="17"/>
      <c r="P3" s="19">
        <v>0</v>
      </c>
      <c r="Q3" s="17"/>
      <c r="R3" s="17"/>
    </row>
    <row r="4" spans="1:18" x14ac:dyDescent="0.25">
      <c r="B4" s="33" t="s">
        <v>80</v>
      </c>
      <c r="C4" s="17"/>
      <c r="D4" s="17"/>
      <c r="E4" s="17"/>
      <c r="F4" s="17"/>
      <c r="G4" s="17"/>
      <c r="H4" s="17"/>
      <c r="I4" s="17"/>
      <c r="J4" s="17"/>
      <c r="K4" s="17"/>
      <c r="L4" s="16" t="s">
        <v>35</v>
      </c>
      <c r="M4" s="17"/>
      <c r="N4" s="17"/>
      <c r="O4" s="17"/>
      <c r="P4" s="19">
        <f>(D34+H34)/(B34+F34)</f>
        <v>-8.151408776432733E-3</v>
      </c>
      <c r="Q4" s="17"/>
      <c r="R4" s="17"/>
    </row>
    <row r="5" spans="1:18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6" t="s">
        <v>36</v>
      </c>
      <c r="M5" s="17"/>
      <c r="N5" s="17"/>
      <c r="O5" s="17"/>
      <c r="P5" s="20">
        <f>'Avg Age'!$G$6</f>
        <v>5.7653200667761926</v>
      </c>
      <c r="Q5" s="17"/>
      <c r="R5" s="17"/>
    </row>
    <row r="6" spans="1:18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6" t="s">
        <v>37</v>
      </c>
      <c r="M6" s="17"/>
      <c r="N6" s="17"/>
      <c r="O6" s="17"/>
      <c r="P6" s="21">
        <f>N34/(L21+J34)</f>
        <v>9.8397730005885577</v>
      </c>
      <c r="Q6" s="17"/>
      <c r="R6" s="17"/>
    </row>
    <row r="7" spans="1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6" t="s">
        <v>38</v>
      </c>
      <c r="M7" s="17"/>
      <c r="N7" s="17"/>
      <c r="O7" s="17"/>
      <c r="P7" s="21">
        <f>P5+P6</f>
        <v>15.60509306736475</v>
      </c>
      <c r="Q7" s="17"/>
      <c r="R7" s="17"/>
    </row>
    <row r="8" spans="1:18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6" t="s">
        <v>39</v>
      </c>
      <c r="M8" s="17"/>
      <c r="N8" s="17"/>
      <c r="O8" s="17"/>
      <c r="P8" s="19">
        <f>R21/L21</f>
        <v>0.16648622298251564</v>
      </c>
      <c r="Q8" s="17"/>
      <c r="R8" s="17"/>
    </row>
    <row r="9" spans="1:18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6" t="s">
        <v>40</v>
      </c>
      <c r="M9" s="17"/>
      <c r="N9" s="17"/>
      <c r="O9" s="17"/>
      <c r="P9" s="17">
        <f>((P5/P7)*((1-P4))*L21)</f>
        <v>510085.77089446347</v>
      </c>
      <c r="Q9" s="17"/>
      <c r="R9" s="17"/>
    </row>
    <row r="10" spans="1:18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 t="s">
        <v>41</v>
      </c>
      <c r="M10" s="17"/>
      <c r="N10" s="17"/>
      <c r="O10" s="17"/>
      <c r="P10" s="22">
        <f>'IRR and Int Ret %'!$D$5</f>
        <v>2.1999999999999999E-2</v>
      </c>
      <c r="Q10" s="17"/>
      <c r="R10" s="17"/>
    </row>
    <row r="11" spans="1:18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 t="s">
        <v>42</v>
      </c>
      <c r="M11" s="17"/>
      <c r="N11" s="17"/>
      <c r="O11" s="17"/>
      <c r="P11" s="23">
        <v>0</v>
      </c>
      <c r="Q11" s="17"/>
      <c r="R11" s="17"/>
    </row>
    <row r="12" spans="1:18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 t="s">
        <v>43</v>
      </c>
      <c r="M12" s="17"/>
      <c r="N12" s="17"/>
      <c r="O12" s="17"/>
      <c r="P12" s="24">
        <f>(L21+J34-D34-H34-R21)/N34</f>
        <v>8.5537053115308015E-2</v>
      </c>
      <c r="Q12" s="17"/>
      <c r="R12" s="17"/>
    </row>
    <row r="13" spans="1:18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6" t="s">
        <v>44</v>
      </c>
      <c r="M13" s="17"/>
      <c r="N13" s="17"/>
      <c r="O13" s="17"/>
      <c r="P13" s="24">
        <f>-P4/P7</f>
        <v>5.2235566563072541E-4</v>
      </c>
      <c r="Q13" s="17"/>
      <c r="R13" s="17"/>
    </row>
    <row r="14" spans="1:18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 t="s">
        <v>123</v>
      </c>
      <c r="M14" s="17"/>
      <c r="N14" s="17"/>
      <c r="O14" s="17"/>
      <c r="P14" s="24">
        <f>P12-P13</f>
        <v>8.5014697449677296E-2</v>
      </c>
      <c r="Q14" s="17"/>
      <c r="R14" s="17"/>
    </row>
    <row r="15" spans="1:18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5"/>
      <c r="M15" s="17"/>
      <c r="N15" s="17"/>
      <c r="O15" s="17"/>
      <c r="P15" s="17"/>
      <c r="Q15" s="17"/>
      <c r="R15" s="17"/>
    </row>
    <row r="16" spans="1:18" x14ac:dyDescent="0.25">
      <c r="A16" s="26" t="s">
        <v>45</v>
      </c>
      <c r="B16" s="25" t="s">
        <v>46</v>
      </c>
      <c r="C16" s="25"/>
      <c r="D16" s="25" t="s">
        <v>47</v>
      </c>
      <c r="E16" s="25"/>
      <c r="F16" s="25" t="s">
        <v>48</v>
      </c>
      <c r="G16" s="25"/>
      <c r="H16" s="25" t="s">
        <v>49</v>
      </c>
      <c r="I16" s="25"/>
      <c r="J16" s="25" t="s">
        <v>50</v>
      </c>
      <c r="K16" s="17"/>
      <c r="L16" s="25" t="s">
        <v>51</v>
      </c>
      <c r="M16" s="17"/>
      <c r="N16" s="25" t="s">
        <v>52</v>
      </c>
      <c r="O16" s="25"/>
      <c r="P16" s="25" t="s">
        <v>53</v>
      </c>
      <c r="Q16" s="25"/>
      <c r="R16" s="25" t="s">
        <v>54</v>
      </c>
    </row>
    <row r="17" spans="1:18" x14ac:dyDescent="0.25">
      <c r="A17" s="26"/>
      <c r="B17" s="25" t="s">
        <v>55</v>
      </c>
      <c r="C17" s="25"/>
      <c r="D17" s="25" t="s">
        <v>55</v>
      </c>
      <c r="E17" s="25"/>
      <c r="F17" s="25" t="s">
        <v>56</v>
      </c>
      <c r="G17" s="25"/>
      <c r="H17" s="25" t="s">
        <v>56</v>
      </c>
      <c r="I17" s="25"/>
      <c r="J17" s="25" t="s">
        <v>55</v>
      </c>
      <c r="K17" s="17"/>
      <c r="L17" s="25" t="s">
        <v>57</v>
      </c>
      <c r="M17" s="17"/>
      <c r="N17" s="25" t="s">
        <v>58</v>
      </c>
      <c r="O17" s="25"/>
      <c r="P17" s="25" t="s">
        <v>59</v>
      </c>
      <c r="Q17" s="25"/>
      <c r="R17" s="25" t="s">
        <v>57</v>
      </c>
    </row>
    <row r="18" spans="1:18" x14ac:dyDescent="0.25">
      <c r="A18" s="27" t="s">
        <v>60</v>
      </c>
      <c r="B18" s="28" t="s">
        <v>61</v>
      </c>
      <c r="C18" s="28"/>
      <c r="D18" s="28" t="s">
        <v>62</v>
      </c>
      <c r="E18" s="28"/>
      <c r="F18" s="28" t="s">
        <v>63</v>
      </c>
      <c r="G18" s="28"/>
      <c r="H18" s="28" t="s">
        <v>62</v>
      </c>
      <c r="I18" s="28"/>
      <c r="J18" s="28" t="s">
        <v>64</v>
      </c>
      <c r="K18" s="17"/>
      <c r="L18" s="28" t="s">
        <v>65</v>
      </c>
      <c r="M18" s="17"/>
      <c r="N18" s="28" t="s">
        <v>65</v>
      </c>
      <c r="O18" s="28"/>
      <c r="P18" s="28" t="s">
        <v>66</v>
      </c>
      <c r="Q18" s="28"/>
      <c r="R18" s="28" t="s">
        <v>67</v>
      </c>
    </row>
    <row r="19" spans="1:18" x14ac:dyDescent="0.25">
      <c r="B19" s="25" t="s">
        <v>68</v>
      </c>
      <c r="C19" s="17"/>
      <c r="D19" s="25" t="s">
        <v>68</v>
      </c>
      <c r="E19" s="17"/>
      <c r="F19" s="25" t="s">
        <v>68</v>
      </c>
      <c r="G19" s="17"/>
      <c r="H19" s="25" t="s">
        <v>68</v>
      </c>
      <c r="I19" s="17"/>
      <c r="J19" s="25" t="s">
        <v>68</v>
      </c>
      <c r="K19" s="17"/>
      <c r="L19" s="25" t="s">
        <v>68</v>
      </c>
      <c r="M19" s="17"/>
      <c r="N19" s="25" t="s">
        <v>68</v>
      </c>
      <c r="O19" s="17"/>
      <c r="P19" s="25" t="s">
        <v>68</v>
      </c>
      <c r="Q19" s="17"/>
      <c r="R19" s="25" t="s">
        <v>68</v>
      </c>
    </row>
    <row r="20" spans="1:18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>
        <v>2016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0">
        <f>'Avg Age'!$E$6</f>
        <v>1369494.801560086</v>
      </c>
      <c r="M21" s="17"/>
      <c r="N21" s="17"/>
      <c r="O21" s="17"/>
      <c r="P21" s="17"/>
      <c r="Q21" s="17"/>
      <c r="R21" s="30">
        <v>228002.01690592847</v>
      </c>
    </row>
    <row r="22" spans="1:18" x14ac:dyDescent="0.25">
      <c r="A22">
        <f>A21+1</f>
        <v>2017</v>
      </c>
      <c r="B22" s="17">
        <f>L21*$P$10</f>
        <v>30128.88563432189</v>
      </c>
      <c r="C22" s="17"/>
      <c r="D22" s="17">
        <f>B22*$P$2</f>
        <v>-1506.4442817160946</v>
      </c>
      <c r="E22" s="17"/>
      <c r="F22" s="17"/>
      <c r="G22" s="17"/>
      <c r="H22" s="17"/>
      <c r="I22" s="17"/>
      <c r="J22" s="17">
        <f>B22*$P$11</f>
        <v>0</v>
      </c>
      <c r="K22" s="17"/>
      <c r="L22" s="17">
        <f>L21+J22-B22-F22</f>
        <v>1339365.915925764</v>
      </c>
      <c r="M22" s="17"/>
      <c r="N22" s="17">
        <f>(L21+L22)/2</f>
        <v>1354430.3587429249</v>
      </c>
      <c r="O22" s="17"/>
      <c r="P22" s="17">
        <f>N22*$P$12</f>
        <v>115853.98153677925</v>
      </c>
      <c r="Q22" s="17"/>
      <c r="R22" s="17">
        <f>R21+P22-B22-F22+D22+H22</f>
        <v>312220.66852666973</v>
      </c>
    </row>
    <row r="23" spans="1:18" x14ac:dyDescent="0.25">
      <c r="A23">
        <f>A22+1</f>
        <v>2018</v>
      </c>
      <c r="B23" s="17">
        <f t="shared" ref="B23:B29" si="0">L22*$P$10</f>
        <v>29466.050150366806</v>
      </c>
      <c r="C23" s="17"/>
      <c r="D23" s="17">
        <f t="shared" ref="D23:D29" si="1">B23*$P$2</f>
        <v>-1473.3025075183405</v>
      </c>
      <c r="E23" s="17"/>
      <c r="F23" s="17"/>
      <c r="G23" s="17"/>
      <c r="H23" s="17"/>
      <c r="I23" s="17"/>
      <c r="J23" s="17">
        <f>B23*$P$11</f>
        <v>0</v>
      </c>
      <c r="K23" s="17"/>
      <c r="L23" s="17">
        <f>L22+J23-B23-F23</f>
        <v>1309899.8657753973</v>
      </c>
      <c r="M23" s="17"/>
      <c r="N23" s="17">
        <f>(L22+L23)/2</f>
        <v>1324632.8908505808</v>
      </c>
      <c r="O23" s="17"/>
      <c r="P23" s="17">
        <f>N23*$P$12</f>
        <v>113305.19394297013</v>
      </c>
      <c r="Q23" s="17"/>
      <c r="R23" s="17">
        <f>R22+P23-B23-F23+D23+H23</f>
        <v>394586.50981175475</v>
      </c>
    </row>
    <row r="24" spans="1:18" x14ac:dyDescent="0.25">
      <c r="A24">
        <f>A23+1</f>
        <v>2019</v>
      </c>
      <c r="B24" s="17">
        <f t="shared" si="0"/>
        <v>28817.797047058739</v>
      </c>
      <c r="C24" s="17"/>
      <c r="D24" s="17">
        <f t="shared" si="1"/>
        <v>-1440.8898523529369</v>
      </c>
      <c r="E24" s="17"/>
      <c r="F24" s="17"/>
      <c r="G24" s="17"/>
      <c r="H24" s="17"/>
      <c r="I24" s="17"/>
      <c r="J24" s="17">
        <f>B24*$P$11</f>
        <v>0</v>
      </c>
      <c r="K24" s="17"/>
      <c r="L24" s="17">
        <f>L23+J24-B24-F24</f>
        <v>1281082.0687283385</v>
      </c>
      <c r="M24" s="17"/>
      <c r="N24" s="17">
        <f>(L23+L24)/2</f>
        <v>1295490.967251868</v>
      </c>
      <c r="O24" s="17"/>
      <c r="P24" s="17">
        <f>N24*$P$12</f>
        <v>110812.47967622479</v>
      </c>
      <c r="Q24" s="17"/>
      <c r="R24" s="17">
        <f>R23+P24-B24-F24+D24+H24</f>
        <v>475140.30258856784</v>
      </c>
    </row>
    <row r="25" spans="1:18" x14ac:dyDescent="0.25">
      <c r="A25">
        <f>A24+1</f>
        <v>2020</v>
      </c>
      <c r="B25" s="17">
        <f t="shared" si="0"/>
        <v>28183.805512023446</v>
      </c>
      <c r="C25" s="17"/>
      <c r="D25" s="17">
        <f t="shared" si="1"/>
        <v>-1409.1902756011723</v>
      </c>
      <c r="E25" s="17"/>
      <c r="F25" s="17"/>
      <c r="G25" s="17"/>
      <c r="H25" s="17"/>
      <c r="I25" s="17"/>
      <c r="J25" s="17">
        <f>B25*$P$11</f>
        <v>0</v>
      </c>
      <c r="K25" s="17"/>
      <c r="L25" s="17">
        <f>L24+J25-B25-F25</f>
        <v>1252898.2632163151</v>
      </c>
      <c r="M25" s="17"/>
      <c r="N25" s="17">
        <f>(L24+L25)/2</f>
        <v>1266990.1659723269</v>
      </c>
      <c r="O25" s="17"/>
      <c r="P25" s="17">
        <f>N25*$P$12</f>
        <v>108374.60512334784</v>
      </c>
      <c r="Q25" s="17"/>
      <c r="R25" s="17">
        <f>R24+P25-B25-F25+D25+H25</f>
        <v>553921.91192429105</v>
      </c>
    </row>
    <row r="26" spans="1:18" x14ac:dyDescent="0.25">
      <c r="A26">
        <f t="shared" ref="A26:A32" si="2">A25+1</f>
        <v>2021</v>
      </c>
      <c r="B26" s="17">
        <f t="shared" si="0"/>
        <v>27563.76179075893</v>
      </c>
      <c r="C26" s="17"/>
      <c r="D26" s="17">
        <f t="shared" si="1"/>
        <v>-1378.1880895379466</v>
      </c>
      <c r="E26" s="17"/>
      <c r="F26" s="17"/>
      <c r="G26" s="17"/>
      <c r="H26" s="17"/>
      <c r="I26" s="17"/>
      <c r="J26" s="17"/>
      <c r="K26" s="17"/>
      <c r="L26" s="17">
        <f t="shared" ref="L26:L32" si="3">L25+J26-B26-F26</f>
        <v>1225334.5014255561</v>
      </c>
      <c r="M26" s="17"/>
      <c r="N26" s="17">
        <f t="shared" ref="N26:N31" si="4">(L25+L26)/2</f>
        <v>1239116.3823209356</v>
      </c>
      <c r="O26" s="17"/>
      <c r="P26" s="17">
        <f t="shared" ref="P26:P32" si="5">N26*$P$12</f>
        <v>105990.36381063418</v>
      </c>
      <c r="Q26" s="17"/>
      <c r="R26" s="17">
        <f t="shared" ref="R26:R32" si="6">R25+P26-B26-F26+D26+H26</f>
        <v>630970.32585462835</v>
      </c>
    </row>
    <row r="27" spans="1:18" x14ac:dyDescent="0.25">
      <c r="A27">
        <f t="shared" si="2"/>
        <v>2022</v>
      </c>
      <c r="B27" s="17">
        <f t="shared" si="0"/>
        <v>26957.359031362234</v>
      </c>
      <c r="C27" s="17"/>
      <c r="D27" s="17">
        <f t="shared" si="1"/>
        <v>-1347.8679515681117</v>
      </c>
      <c r="E27" s="17"/>
      <c r="F27" s="17"/>
      <c r="G27" s="17"/>
      <c r="H27" s="17"/>
      <c r="I27" s="17"/>
      <c r="J27" s="17"/>
      <c r="K27" s="17"/>
      <c r="L27" s="17">
        <f t="shared" si="3"/>
        <v>1198377.1423941939</v>
      </c>
      <c r="M27" s="17"/>
      <c r="N27" s="17">
        <f t="shared" si="4"/>
        <v>1211855.8219098751</v>
      </c>
      <c r="O27" s="17"/>
      <c r="P27" s="17">
        <f t="shared" si="5"/>
        <v>103658.57580680025</v>
      </c>
      <c r="Q27" s="17"/>
      <c r="R27" s="17">
        <f t="shared" si="6"/>
        <v>706323.6746784983</v>
      </c>
    </row>
    <row r="28" spans="1:18" x14ac:dyDescent="0.25">
      <c r="A28">
        <f t="shared" si="2"/>
        <v>2023</v>
      </c>
      <c r="B28" s="17">
        <f t="shared" si="0"/>
        <v>26364.297132672265</v>
      </c>
      <c r="C28" s="17"/>
      <c r="D28" s="17">
        <f t="shared" si="1"/>
        <v>-1318.2148566336134</v>
      </c>
      <c r="E28" s="17"/>
      <c r="F28" s="17"/>
      <c r="G28" s="17"/>
      <c r="H28" s="17"/>
      <c r="I28" s="17"/>
      <c r="J28" s="17"/>
      <c r="K28" s="17"/>
      <c r="L28" s="17">
        <f t="shared" si="3"/>
        <v>1172012.8452615216</v>
      </c>
      <c r="M28" s="17"/>
      <c r="N28" s="17">
        <f t="shared" si="4"/>
        <v>1185194.9938278578</v>
      </c>
      <c r="O28" s="17"/>
      <c r="P28" s="17">
        <f t="shared" si="5"/>
        <v>101378.08713905062</v>
      </c>
      <c r="Q28" s="17"/>
      <c r="R28" s="17">
        <f t="shared" si="6"/>
        <v>780019.24982824305</v>
      </c>
    </row>
    <row r="29" spans="1:18" x14ac:dyDescent="0.25">
      <c r="A29">
        <f t="shared" si="2"/>
        <v>2024</v>
      </c>
      <c r="B29" s="17">
        <f t="shared" si="0"/>
        <v>25784.282595753473</v>
      </c>
      <c r="C29" s="17"/>
      <c r="D29" s="17">
        <f t="shared" si="1"/>
        <v>-1289.2141297876738</v>
      </c>
      <c r="E29" s="17"/>
      <c r="F29" s="17"/>
      <c r="G29" s="17"/>
      <c r="H29" s="17"/>
      <c r="I29" s="17"/>
      <c r="J29" s="17"/>
      <c r="K29" s="17"/>
      <c r="L29" s="17">
        <f t="shared" si="3"/>
        <v>1146228.5626657682</v>
      </c>
      <c r="M29" s="17"/>
      <c r="N29" s="17">
        <f t="shared" si="4"/>
        <v>1159120.7039636448</v>
      </c>
      <c r="O29" s="17"/>
      <c r="P29" s="17">
        <f t="shared" si="5"/>
        <v>99147.769221991504</v>
      </c>
      <c r="Q29" s="17"/>
      <c r="R29" s="17">
        <f t="shared" si="6"/>
        <v>852093.52232469351</v>
      </c>
    </row>
    <row r="30" spans="1:18" x14ac:dyDescent="0.25">
      <c r="A30">
        <f t="shared" si="2"/>
        <v>2025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>
        <f t="shared" si="3"/>
        <v>1146228.5626657682</v>
      </c>
      <c r="M30" s="17"/>
      <c r="N30" s="17">
        <f t="shared" si="4"/>
        <v>1146228.5626657682</v>
      </c>
      <c r="O30" s="17"/>
      <c r="P30" s="17">
        <f t="shared" si="5"/>
        <v>98045.013447024976</v>
      </c>
      <c r="Q30" s="17"/>
      <c r="R30" s="17">
        <f t="shared" si="6"/>
        <v>950138.53577171848</v>
      </c>
    </row>
    <row r="31" spans="1:18" x14ac:dyDescent="0.25">
      <c r="A31">
        <f t="shared" si="2"/>
        <v>2026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>
        <f t="shared" si="3"/>
        <v>1146228.5626657682</v>
      </c>
      <c r="M31" s="17"/>
      <c r="N31" s="17">
        <f t="shared" si="4"/>
        <v>1146228.5626657682</v>
      </c>
      <c r="O31" s="17"/>
      <c r="P31" s="17">
        <f t="shared" si="5"/>
        <v>98045.013447024976</v>
      </c>
      <c r="Q31" s="17"/>
      <c r="R31" s="17">
        <f t="shared" si="6"/>
        <v>1048183.5492187435</v>
      </c>
    </row>
    <row r="32" spans="1:18" x14ac:dyDescent="0.25">
      <c r="A32">
        <f t="shared" si="2"/>
        <v>2027</v>
      </c>
      <c r="B32" s="17"/>
      <c r="C32" s="17"/>
      <c r="D32" s="17"/>
      <c r="E32" s="17"/>
      <c r="F32" s="17">
        <f>+L31</f>
        <v>1146228.5626657682</v>
      </c>
      <c r="G32" s="17"/>
      <c r="H32" s="17">
        <f>+P3*F32</f>
        <v>0</v>
      </c>
      <c r="I32" s="17"/>
      <c r="J32" s="17"/>
      <c r="K32" s="17"/>
      <c r="L32" s="17">
        <f t="shared" si="3"/>
        <v>0</v>
      </c>
      <c r="M32" s="17"/>
      <c r="N32" s="17">
        <f>+L31</f>
        <v>1146228.5626657682</v>
      </c>
      <c r="O32" s="17"/>
      <c r="P32" s="17">
        <f t="shared" si="5"/>
        <v>98045.013447024976</v>
      </c>
      <c r="Q32" s="17"/>
      <c r="R32" s="17">
        <f t="shared" si="6"/>
        <v>2.3283064365386963E-10</v>
      </c>
    </row>
    <row r="33" spans="1:18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x14ac:dyDescent="0.25">
      <c r="A34" s="26" t="s">
        <v>69</v>
      </c>
      <c r="B34" s="31">
        <f>SUM(B22:B32)</f>
        <v>223266.23889431779</v>
      </c>
      <c r="C34" s="31">
        <f>SUM(C22:C32)</f>
        <v>0</v>
      </c>
      <c r="D34" s="31">
        <f>SUM(D22:D32)</f>
        <v>-11163.311944715888</v>
      </c>
      <c r="E34" s="17"/>
      <c r="F34" s="31">
        <f>SUM(F22:F32)</f>
        <v>1146228.5626657682</v>
      </c>
      <c r="G34" s="17"/>
      <c r="H34" s="31">
        <f>SUM(H22:H32)</f>
        <v>0</v>
      </c>
      <c r="I34" s="17"/>
      <c r="J34" s="31">
        <f>SUM(J22:J32)</f>
        <v>0</v>
      </c>
      <c r="K34" s="17"/>
      <c r="L34" s="17"/>
      <c r="M34" s="17"/>
      <c r="N34" s="31">
        <f>SUM(N22:N32)</f>
        <v>13475517.972837318</v>
      </c>
      <c r="O34" s="17"/>
      <c r="P34" s="17"/>
      <c r="Q34" s="17"/>
      <c r="R34" s="1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selection activeCell="L14" sqref="L14:P14"/>
    </sheetView>
  </sheetViews>
  <sheetFormatPr defaultRowHeight="15" x14ac:dyDescent="0.25"/>
  <cols>
    <col min="3" max="3" width="3.140625" customWidth="1"/>
    <col min="5" max="5" width="2.85546875" customWidth="1"/>
    <col min="7" max="7" width="2.7109375" customWidth="1"/>
    <col min="9" max="9" width="0.7109375" customWidth="1"/>
    <col min="11" max="11" width="1.42578125" customWidth="1"/>
    <col min="13" max="13" width="0.5703125" customWidth="1"/>
    <col min="14" max="14" width="12" customWidth="1"/>
    <col min="15" max="15" width="1.7109375" customWidth="1"/>
    <col min="17" max="17" width="1.42578125" customWidth="1"/>
  </cols>
  <sheetData>
    <row r="1" spans="1:18" x14ac:dyDescent="0.25">
      <c r="B1" s="16" t="s">
        <v>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B2" s="18" t="s">
        <v>73</v>
      </c>
      <c r="C2" s="17"/>
      <c r="D2" s="17"/>
      <c r="E2" s="17"/>
      <c r="F2" s="17"/>
      <c r="G2" s="17"/>
      <c r="H2" s="17"/>
      <c r="I2" s="17"/>
      <c r="J2" s="17"/>
      <c r="K2" s="17"/>
      <c r="L2" s="16" t="s">
        <v>33</v>
      </c>
      <c r="M2" s="17"/>
      <c r="N2" s="17"/>
      <c r="O2" s="17"/>
      <c r="P2" s="19">
        <f>'IRR and Int Ret %'!$F$6</f>
        <v>-0.05</v>
      </c>
      <c r="Q2" s="17"/>
      <c r="R2" s="17"/>
    </row>
    <row r="3" spans="1:18" x14ac:dyDescent="0.25">
      <c r="B3" s="16" t="s">
        <v>81</v>
      </c>
      <c r="C3" s="17"/>
      <c r="D3" s="17"/>
      <c r="E3" s="17"/>
      <c r="F3" s="17"/>
      <c r="G3" s="17"/>
      <c r="H3" s="17"/>
      <c r="I3" s="17"/>
      <c r="J3" s="17"/>
      <c r="K3" s="17"/>
      <c r="L3" s="16" t="s">
        <v>34</v>
      </c>
      <c r="M3" s="17"/>
      <c r="N3" s="17"/>
      <c r="O3" s="17"/>
      <c r="P3" s="19">
        <v>0</v>
      </c>
      <c r="Q3" s="17"/>
      <c r="R3" s="17"/>
    </row>
    <row r="4" spans="1:18" x14ac:dyDescent="0.25">
      <c r="B4" s="33" t="s">
        <v>80</v>
      </c>
      <c r="C4" s="17"/>
      <c r="D4" s="17"/>
      <c r="E4" s="17"/>
      <c r="F4" s="17"/>
      <c r="G4" s="17"/>
      <c r="H4" s="17"/>
      <c r="I4" s="17"/>
      <c r="J4" s="17"/>
      <c r="K4" s="17"/>
      <c r="L4" s="16" t="s">
        <v>35</v>
      </c>
      <c r="M4" s="17"/>
      <c r="N4" s="17"/>
      <c r="O4" s="17"/>
      <c r="P4" s="19">
        <f>(D34+H34)/(B34+F34)</f>
        <v>-4.9694526693879271E-3</v>
      </c>
      <c r="Q4" s="17"/>
      <c r="R4" s="17"/>
    </row>
    <row r="5" spans="1:18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6" t="s">
        <v>36</v>
      </c>
      <c r="M5" s="17"/>
      <c r="N5" s="17"/>
      <c r="O5" s="17"/>
      <c r="P5" s="20">
        <f>'Avg Age'!$G$10</f>
        <v>3.5378244346371703</v>
      </c>
      <c r="Q5" s="17"/>
      <c r="R5" s="17"/>
    </row>
    <row r="6" spans="1:18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6" t="s">
        <v>37</v>
      </c>
      <c r="M6" s="17"/>
      <c r="N6" s="17"/>
      <c r="O6" s="17"/>
      <c r="P6" s="21">
        <f>N34/(L21+J34)</f>
        <v>10.29745011220119</v>
      </c>
      <c r="Q6" s="17"/>
      <c r="R6" s="17"/>
    </row>
    <row r="7" spans="1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6" t="s">
        <v>38</v>
      </c>
      <c r="M7" s="17"/>
      <c r="N7" s="17"/>
      <c r="O7" s="17"/>
      <c r="P7" s="21">
        <f>P5+P6</f>
        <v>13.83527454683836</v>
      </c>
      <c r="Q7" s="17"/>
      <c r="R7" s="17"/>
    </row>
    <row r="8" spans="1:18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6" t="s">
        <v>39</v>
      </c>
      <c r="M8" s="17"/>
      <c r="N8" s="17"/>
      <c r="O8" s="17"/>
      <c r="P8" s="19">
        <f>R21/L21</f>
        <v>2.1812426639576596E-2</v>
      </c>
      <c r="Q8" s="17"/>
      <c r="R8" s="17"/>
    </row>
    <row r="9" spans="1:18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6" t="s">
        <v>40</v>
      </c>
      <c r="M9" s="17"/>
      <c r="N9" s="17"/>
      <c r="O9" s="17"/>
      <c r="P9" s="17">
        <f>((P5/P7)*((1-P4))*L21)</f>
        <v>243113.08612093667</v>
      </c>
      <c r="Q9" s="17"/>
      <c r="R9" s="17"/>
    </row>
    <row r="10" spans="1:18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 t="s">
        <v>41</v>
      </c>
      <c r="M10" s="17"/>
      <c r="N10" s="17"/>
      <c r="O10" s="17"/>
      <c r="P10" s="22">
        <f>'IRR and Int Ret %'!$D$6</f>
        <v>1.2999999999999999E-2</v>
      </c>
      <c r="Q10" s="17"/>
      <c r="R10" s="17"/>
    </row>
    <row r="11" spans="1:18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 t="s">
        <v>42</v>
      </c>
      <c r="M11" s="17"/>
      <c r="N11" s="17"/>
      <c r="O11" s="17"/>
      <c r="P11" s="23">
        <v>0</v>
      </c>
      <c r="Q11" s="17"/>
      <c r="R11" s="17"/>
    </row>
    <row r="12" spans="1:18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 t="s">
        <v>43</v>
      </c>
      <c r="M12" s="17"/>
      <c r="N12" s="17"/>
      <c r="O12" s="17"/>
      <c r="P12" s="24">
        <f>(L21+J34-D34-H34-R21)/N34</f>
        <v>9.5475774615785033E-2</v>
      </c>
      <c r="Q12" s="17"/>
      <c r="R12" s="17"/>
    </row>
    <row r="13" spans="1:18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6" t="s">
        <v>44</v>
      </c>
      <c r="M13" s="17"/>
      <c r="N13" s="17"/>
      <c r="O13" s="17"/>
      <c r="P13" s="24">
        <f>-P4/P7</f>
        <v>3.59187138105875E-4</v>
      </c>
      <c r="Q13" s="17"/>
      <c r="R13" s="17"/>
    </row>
    <row r="14" spans="1:18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 t="s">
        <v>123</v>
      </c>
      <c r="M14" s="17"/>
      <c r="N14" s="17"/>
      <c r="O14" s="17"/>
      <c r="P14" s="24">
        <f>P12-P13</f>
        <v>9.5116587477679163E-2</v>
      </c>
      <c r="Q14" s="17"/>
      <c r="R14" s="17"/>
    </row>
    <row r="15" spans="1:18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5"/>
      <c r="M15" s="17"/>
      <c r="N15" s="17"/>
      <c r="O15" s="17"/>
      <c r="P15" s="17"/>
      <c r="Q15" s="17"/>
      <c r="R15" s="17"/>
    </row>
    <row r="16" spans="1:18" x14ac:dyDescent="0.25">
      <c r="A16" s="26" t="s">
        <v>45</v>
      </c>
      <c r="B16" s="25" t="s">
        <v>46</v>
      </c>
      <c r="C16" s="25"/>
      <c r="D16" s="25" t="s">
        <v>47</v>
      </c>
      <c r="E16" s="25"/>
      <c r="F16" s="25" t="s">
        <v>48</v>
      </c>
      <c r="G16" s="25"/>
      <c r="H16" s="25" t="s">
        <v>49</v>
      </c>
      <c r="I16" s="25"/>
      <c r="J16" s="25" t="s">
        <v>50</v>
      </c>
      <c r="K16" s="17"/>
      <c r="L16" s="25" t="s">
        <v>51</v>
      </c>
      <c r="M16" s="17"/>
      <c r="N16" s="25" t="s">
        <v>52</v>
      </c>
      <c r="O16" s="25"/>
      <c r="P16" s="25" t="s">
        <v>53</v>
      </c>
      <c r="Q16" s="25"/>
      <c r="R16" s="25" t="s">
        <v>54</v>
      </c>
    </row>
    <row r="17" spans="1:18" x14ac:dyDescent="0.25">
      <c r="A17" s="26"/>
      <c r="B17" s="25" t="s">
        <v>55</v>
      </c>
      <c r="C17" s="25"/>
      <c r="D17" s="25" t="s">
        <v>55</v>
      </c>
      <c r="E17" s="25"/>
      <c r="F17" s="25" t="s">
        <v>56</v>
      </c>
      <c r="G17" s="25"/>
      <c r="H17" s="25" t="s">
        <v>56</v>
      </c>
      <c r="I17" s="25"/>
      <c r="J17" s="25" t="s">
        <v>55</v>
      </c>
      <c r="K17" s="17"/>
      <c r="L17" s="25" t="s">
        <v>57</v>
      </c>
      <c r="M17" s="17"/>
      <c r="N17" s="25" t="s">
        <v>58</v>
      </c>
      <c r="O17" s="25"/>
      <c r="P17" s="25" t="s">
        <v>59</v>
      </c>
      <c r="Q17" s="25"/>
      <c r="R17" s="25" t="s">
        <v>57</v>
      </c>
    </row>
    <row r="18" spans="1:18" x14ac:dyDescent="0.25">
      <c r="A18" s="27" t="s">
        <v>60</v>
      </c>
      <c r="B18" s="28" t="s">
        <v>61</v>
      </c>
      <c r="C18" s="28"/>
      <c r="D18" s="28" t="s">
        <v>62</v>
      </c>
      <c r="E18" s="28"/>
      <c r="F18" s="28" t="s">
        <v>63</v>
      </c>
      <c r="G18" s="28"/>
      <c r="H18" s="28" t="s">
        <v>62</v>
      </c>
      <c r="I18" s="28"/>
      <c r="J18" s="28" t="s">
        <v>64</v>
      </c>
      <c r="K18" s="17"/>
      <c r="L18" s="28" t="s">
        <v>65</v>
      </c>
      <c r="M18" s="17"/>
      <c r="N18" s="28" t="s">
        <v>65</v>
      </c>
      <c r="O18" s="28"/>
      <c r="P18" s="28" t="s">
        <v>66</v>
      </c>
      <c r="Q18" s="28"/>
      <c r="R18" s="28" t="s">
        <v>67</v>
      </c>
    </row>
    <row r="19" spans="1:18" x14ac:dyDescent="0.25">
      <c r="B19" s="25" t="s">
        <v>68</v>
      </c>
      <c r="C19" s="17"/>
      <c r="D19" s="25" t="s">
        <v>68</v>
      </c>
      <c r="E19" s="17"/>
      <c r="F19" s="25" t="s">
        <v>68</v>
      </c>
      <c r="G19" s="17"/>
      <c r="H19" s="25" t="s">
        <v>68</v>
      </c>
      <c r="I19" s="17"/>
      <c r="J19" s="25" t="s">
        <v>68</v>
      </c>
      <c r="K19" s="17"/>
      <c r="L19" s="25" t="s">
        <v>68</v>
      </c>
      <c r="M19" s="17"/>
      <c r="N19" s="25" t="s">
        <v>68</v>
      </c>
      <c r="O19" s="17"/>
      <c r="P19" s="25" t="s">
        <v>68</v>
      </c>
      <c r="Q19" s="17"/>
      <c r="R19" s="25" t="s">
        <v>68</v>
      </c>
    </row>
    <row r="20" spans="1:18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>
        <v>2016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0">
        <f>'Avg Age'!$E$10</f>
        <v>946034.51165383589</v>
      </c>
      <c r="M21" s="17"/>
      <c r="N21" s="17"/>
      <c r="O21" s="17"/>
      <c r="P21" s="17"/>
      <c r="Q21" s="17"/>
      <c r="R21" s="30">
        <v>20635.308383956966</v>
      </c>
    </row>
    <row r="22" spans="1:18" x14ac:dyDescent="0.25">
      <c r="A22">
        <f t="shared" ref="A22:A32" si="0">A21+1</f>
        <v>2017</v>
      </c>
      <c r="B22" s="17">
        <f t="shared" ref="B22:B29" si="1">L21*$P$10</f>
        <v>12298.448651499866</v>
      </c>
      <c r="C22" s="17"/>
      <c r="D22" s="17">
        <f t="shared" ref="D22:D29" si="2">B22*$P$2</f>
        <v>-614.92243257499331</v>
      </c>
      <c r="E22" s="17"/>
      <c r="F22" s="17"/>
      <c r="G22" s="17"/>
      <c r="H22" s="17"/>
      <c r="I22" s="17"/>
      <c r="J22" s="17">
        <f>B22*$P$11</f>
        <v>0</v>
      </c>
      <c r="K22" s="17"/>
      <c r="L22" s="17">
        <f t="shared" ref="L22:L32" si="3">L21+J22-B22-F22</f>
        <v>933736.06300233607</v>
      </c>
      <c r="M22" s="17"/>
      <c r="N22" s="17">
        <f t="shared" ref="N22:N31" si="4">(L21+L22)/2</f>
        <v>939885.28732808598</v>
      </c>
      <c r="O22" s="17"/>
      <c r="P22" s="17">
        <f t="shared" ref="P22:P32" si="5">N22*$P$12</f>
        <v>89736.275857628687</v>
      </c>
      <c r="Q22" s="17"/>
      <c r="R22" s="17">
        <f t="shared" ref="R22:R32" si="6">R21+P22-B22-F22+D22+H22</f>
        <v>97458.213157510792</v>
      </c>
    </row>
    <row r="23" spans="1:18" x14ac:dyDescent="0.25">
      <c r="A23">
        <f t="shared" si="0"/>
        <v>2018</v>
      </c>
      <c r="B23" s="17">
        <f t="shared" si="1"/>
        <v>12138.568819030368</v>
      </c>
      <c r="C23" s="17"/>
      <c r="D23" s="17">
        <f t="shared" si="2"/>
        <v>-606.92844095151838</v>
      </c>
      <c r="E23" s="17"/>
      <c r="F23" s="17"/>
      <c r="G23" s="17"/>
      <c r="H23" s="17"/>
      <c r="I23" s="17"/>
      <c r="J23" s="17">
        <f>B23*$P$11</f>
        <v>0</v>
      </c>
      <c r="K23" s="17"/>
      <c r="L23" s="17">
        <f t="shared" si="3"/>
        <v>921597.49418330565</v>
      </c>
      <c r="M23" s="17"/>
      <c r="N23" s="17">
        <f t="shared" si="4"/>
        <v>927666.77859282086</v>
      </c>
      <c r="O23" s="17"/>
      <c r="P23" s="17">
        <f t="shared" si="5"/>
        <v>88569.704271479524</v>
      </c>
      <c r="Q23" s="17"/>
      <c r="R23" s="17">
        <f t="shared" si="6"/>
        <v>173282.42016900843</v>
      </c>
    </row>
    <row r="24" spans="1:18" x14ac:dyDescent="0.25">
      <c r="A24">
        <f t="shared" si="0"/>
        <v>2019</v>
      </c>
      <c r="B24" s="17">
        <f t="shared" si="1"/>
        <v>11980.767424382973</v>
      </c>
      <c r="C24" s="17"/>
      <c r="D24" s="17">
        <f t="shared" si="2"/>
        <v>-599.03837121914864</v>
      </c>
      <c r="E24" s="17"/>
      <c r="F24" s="17"/>
      <c r="G24" s="17"/>
      <c r="H24" s="17"/>
      <c r="I24" s="17"/>
      <c r="J24" s="17">
        <f>B24*$P$11</f>
        <v>0</v>
      </c>
      <c r="K24" s="17"/>
      <c r="L24" s="17">
        <f t="shared" si="3"/>
        <v>909616.72675892268</v>
      </c>
      <c r="M24" s="17"/>
      <c r="N24" s="17">
        <f t="shared" si="4"/>
        <v>915607.11047111417</v>
      </c>
      <c r="O24" s="17"/>
      <c r="P24" s="17">
        <f t="shared" si="5"/>
        <v>87418.298115950281</v>
      </c>
      <c r="Q24" s="17"/>
      <c r="R24" s="17">
        <f t="shared" si="6"/>
        <v>248120.91248935659</v>
      </c>
    </row>
    <row r="25" spans="1:18" x14ac:dyDescent="0.25">
      <c r="A25">
        <f t="shared" si="0"/>
        <v>2020</v>
      </c>
      <c r="B25" s="17">
        <f t="shared" si="1"/>
        <v>11825.017447865994</v>
      </c>
      <c r="C25" s="17"/>
      <c r="D25" s="17">
        <f t="shared" si="2"/>
        <v>-591.25087239329969</v>
      </c>
      <c r="E25" s="17"/>
      <c r="F25" s="17"/>
      <c r="G25" s="17"/>
      <c r="H25" s="17"/>
      <c r="I25" s="17"/>
      <c r="J25" s="17">
        <f>B25*$P$11</f>
        <v>0</v>
      </c>
      <c r="K25" s="17"/>
      <c r="L25" s="17">
        <f t="shared" si="3"/>
        <v>897791.70931105665</v>
      </c>
      <c r="M25" s="17"/>
      <c r="N25" s="17">
        <f t="shared" si="4"/>
        <v>903704.21803498967</v>
      </c>
      <c r="O25" s="17"/>
      <c r="P25" s="17">
        <f t="shared" si="5"/>
        <v>86281.860240442926</v>
      </c>
      <c r="Q25" s="17"/>
      <c r="R25" s="17">
        <f t="shared" si="6"/>
        <v>321986.50440954021</v>
      </c>
    </row>
    <row r="26" spans="1:18" x14ac:dyDescent="0.25">
      <c r="A26">
        <f t="shared" si="0"/>
        <v>2021</v>
      </c>
      <c r="B26" s="17">
        <f t="shared" si="1"/>
        <v>11671.292221043735</v>
      </c>
      <c r="C26" s="17"/>
      <c r="D26" s="17">
        <f t="shared" si="2"/>
        <v>-583.56461105218682</v>
      </c>
      <c r="E26" s="17"/>
      <c r="F26" s="17"/>
      <c r="G26" s="17"/>
      <c r="H26" s="17"/>
      <c r="I26" s="17"/>
      <c r="J26" s="17"/>
      <c r="K26" s="17"/>
      <c r="L26" s="17">
        <f t="shared" si="3"/>
        <v>886120.41709001292</v>
      </c>
      <c r="M26" s="17"/>
      <c r="N26" s="17">
        <f t="shared" si="4"/>
        <v>891956.06320053479</v>
      </c>
      <c r="O26" s="17"/>
      <c r="P26" s="17">
        <f t="shared" si="5"/>
        <v>85160.196057317167</v>
      </c>
      <c r="Q26" s="17"/>
      <c r="R26" s="17">
        <f t="shared" si="6"/>
        <v>394891.84363476152</v>
      </c>
    </row>
    <row r="27" spans="1:18" x14ac:dyDescent="0.25">
      <c r="A27">
        <f t="shared" si="0"/>
        <v>2022</v>
      </c>
      <c r="B27" s="17">
        <f t="shared" si="1"/>
        <v>11519.565422170168</v>
      </c>
      <c r="C27" s="17"/>
      <c r="D27" s="17">
        <f t="shared" si="2"/>
        <v>-575.97827110850847</v>
      </c>
      <c r="E27" s="17"/>
      <c r="F27" s="17"/>
      <c r="G27" s="17"/>
      <c r="H27" s="17"/>
      <c r="I27" s="17"/>
      <c r="J27" s="17"/>
      <c r="K27" s="17"/>
      <c r="L27" s="17">
        <f t="shared" si="3"/>
        <v>874600.85166784271</v>
      </c>
      <c r="M27" s="17"/>
      <c r="N27" s="17">
        <f t="shared" si="4"/>
        <v>880360.63437892776</v>
      </c>
      <c r="O27" s="17"/>
      <c r="P27" s="17">
        <f t="shared" si="5"/>
        <v>84053.113508572045</v>
      </c>
      <c r="Q27" s="17"/>
      <c r="R27" s="17">
        <f t="shared" si="6"/>
        <v>466849.41345005488</v>
      </c>
    </row>
    <row r="28" spans="1:18" x14ac:dyDescent="0.25">
      <c r="A28">
        <f t="shared" si="0"/>
        <v>2023</v>
      </c>
      <c r="B28" s="17">
        <f t="shared" si="1"/>
        <v>11369.811071681956</v>
      </c>
      <c r="C28" s="17"/>
      <c r="D28" s="17">
        <f t="shared" si="2"/>
        <v>-568.49055358409782</v>
      </c>
      <c r="E28" s="17"/>
      <c r="F28" s="17"/>
      <c r="G28" s="17"/>
      <c r="H28" s="17"/>
      <c r="I28" s="17"/>
      <c r="J28" s="17"/>
      <c r="K28" s="17"/>
      <c r="L28" s="17">
        <f t="shared" si="3"/>
        <v>863231.0405961608</v>
      </c>
      <c r="M28" s="17"/>
      <c r="N28" s="17">
        <f t="shared" si="4"/>
        <v>868915.9461320017</v>
      </c>
      <c r="O28" s="17"/>
      <c r="P28" s="17">
        <f t="shared" si="5"/>
        <v>82960.423032960607</v>
      </c>
      <c r="Q28" s="17"/>
      <c r="R28" s="17">
        <f t="shared" si="6"/>
        <v>537871.53485774947</v>
      </c>
    </row>
    <row r="29" spans="1:18" x14ac:dyDescent="0.25">
      <c r="A29">
        <f t="shared" si="0"/>
        <v>2024</v>
      </c>
      <c r="B29" s="17">
        <f t="shared" si="1"/>
        <v>11222.00352775009</v>
      </c>
      <c r="C29" s="17"/>
      <c r="D29" s="17">
        <f t="shared" si="2"/>
        <v>-561.10017638750458</v>
      </c>
      <c r="E29" s="17"/>
      <c r="F29" s="17"/>
      <c r="G29" s="17"/>
      <c r="H29" s="17"/>
      <c r="I29" s="17"/>
      <c r="J29" s="17"/>
      <c r="K29" s="17"/>
      <c r="L29" s="17">
        <f t="shared" si="3"/>
        <v>852009.03706841066</v>
      </c>
      <c r="M29" s="17"/>
      <c r="N29" s="17">
        <f t="shared" si="4"/>
        <v>857620.03883228567</v>
      </c>
      <c r="O29" s="17"/>
      <c r="P29" s="17">
        <f t="shared" si="5"/>
        <v>81881.937533532109</v>
      </c>
      <c r="Q29" s="17"/>
      <c r="R29" s="17">
        <f t="shared" si="6"/>
        <v>607970.36868714401</v>
      </c>
    </row>
    <row r="30" spans="1:18" x14ac:dyDescent="0.25">
      <c r="A30">
        <f t="shared" si="0"/>
        <v>2025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>
        <f t="shared" si="3"/>
        <v>852009.03706841066</v>
      </c>
      <c r="M30" s="17"/>
      <c r="N30" s="17">
        <f t="shared" si="4"/>
        <v>852009.03706841066</v>
      </c>
      <c r="O30" s="17"/>
      <c r="P30" s="17">
        <f t="shared" si="5"/>
        <v>81346.222793755616</v>
      </c>
      <c r="Q30" s="17"/>
      <c r="R30" s="17">
        <f t="shared" si="6"/>
        <v>689316.5914808996</v>
      </c>
    </row>
    <row r="31" spans="1:18" x14ac:dyDescent="0.25">
      <c r="A31">
        <f t="shared" si="0"/>
        <v>2026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>
        <f t="shared" si="3"/>
        <v>852009.03706841066</v>
      </c>
      <c r="M31" s="17"/>
      <c r="N31" s="17">
        <f t="shared" si="4"/>
        <v>852009.03706841066</v>
      </c>
      <c r="O31" s="17"/>
      <c r="P31" s="17">
        <f t="shared" si="5"/>
        <v>81346.222793755616</v>
      </c>
      <c r="Q31" s="17"/>
      <c r="R31" s="17">
        <f t="shared" si="6"/>
        <v>770662.81427465519</v>
      </c>
    </row>
    <row r="32" spans="1:18" x14ac:dyDescent="0.25">
      <c r="A32">
        <f t="shared" si="0"/>
        <v>2027</v>
      </c>
      <c r="B32" s="17"/>
      <c r="C32" s="17"/>
      <c r="D32" s="17"/>
      <c r="E32" s="17"/>
      <c r="F32" s="17">
        <f>+L31</f>
        <v>852009.03706841066</v>
      </c>
      <c r="G32" s="17"/>
      <c r="H32" s="17">
        <f>+P3*F32</f>
        <v>0</v>
      </c>
      <c r="I32" s="17"/>
      <c r="J32" s="17"/>
      <c r="K32" s="17"/>
      <c r="L32" s="17">
        <f t="shared" si="3"/>
        <v>0</v>
      </c>
      <c r="M32" s="17"/>
      <c r="N32" s="17">
        <f>+L31</f>
        <v>852009.03706841066</v>
      </c>
      <c r="O32" s="17"/>
      <c r="P32" s="17">
        <f t="shared" si="5"/>
        <v>81346.222793755616</v>
      </c>
      <c r="Q32" s="17"/>
      <c r="R32" s="17">
        <f t="shared" si="6"/>
        <v>1.1641532182693481E-10</v>
      </c>
    </row>
    <row r="33" spans="1:18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x14ac:dyDescent="0.25">
      <c r="A34" s="26" t="s">
        <v>69</v>
      </c>
      <c r="B34" s="31">
        <f>SUM(B22:B32)</f>
        <v>94025.474585425152</v>
      </c>
      <c r="C34" s="31">
        <f>SUM(C22:C32)</f>
        <v>0</v>
      </c>
      <c r="D34" s="31">
        <f>SUM(D22:D32)</f>
        <v>-4701.2737292712582</v>
      </c>
      <c r="E34" s="17"/>
      <c r="F34" s="31">
        <f>SUM(F22:F32)</f>
        <v>852009.03706841066</v>
      </c>
      <c r="G34" s="17"/>
      <c r="H34" s="31">
        <f>SUM(H22:H32)</f>
        <v>0</v>
      </c>
      <c r="I34" s="17"/>
      <c r="J34" s="31">
        <f>SUM(J22:J32)</f>
        <v>0</v>
      </c>
      <c r="K34" s="17"/>
      <c r="L34" s="17"/>
      <c r="M34" s="17"/>
      <c r="N34" s="31">
        <f>SUM(N22:N32)</f>
        <v>9741743.1881759912</v>
      </c>
      <c r="O34" s="17"/>
      <c r="P34" s="17"/>
      <c r="Q34" s="17"/>
      <c r="R34" s="17"/>
    </row>
    <row r="35" spans="1:18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selection activeCell="L14" sqref="L14:P14"/>
    </sheetView>
  </sheetViews>
  <sheetFormatPr defaultRowHeight="15" x14ac:dyDescent="0.25"/>
  <cols>
    <col min="3" max="3" width="2.140625" customWidth="1"/>
    <col min="4" max="4" width="9.140625" customWidth="1"/>
    <col min="5" max="5" width="0.7109375" customWidth="1"/>
    <col min="6" max="6" width="10.5703125" bestFit="1" customWidth="1"/>
    <col min="7" max="7" width="1.7109375" customWidth="1"/>
    <col min="8" max="8" width="9.7109375" bestFit="1" customWidth="1"/>
    <col min="9" max="9" width="2.140625" customWidth="1"/>
    <col min="11" max="11" width="1.7109375" customWidth="1"/>
    <col min="12" max="12" width="15.28515625" customWidth="1"/>
    <col min="13" max="13" width="1.85546875" customWidth="1"/>
    <col min="14" max="14" width="13.5703125" customWidth="1"/>
    <col min="15" max="15" width="1.7109375" customWidth="1"/>
    <col min="16" max="16" width="12.140625" customWidth="1"/>
    <col min="17" max="17" width="2.140625" customWidth="1"/>
    <col min="18" max="18" width="12.42578125" customWidth="1"/>
  </cols>
  <sheetData>
    <row r="1" spans="1:18" x14ac:dyDescent="0.25">
      <c r="B1" s="16" t="s">
        <v>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B2" s="18" t="s">
        <v>74</v>
      </c>
      <c r="C2" s="17"/>
      <c r="D2" s="17"/>
      <c r="E2" s="17"/>
      <c r="F2" s="17"/>
      <c r="G2" s="17"/>
      <c r="H2" s="17"/>
      <c r="I2" s="17"/>
      <c r="J2" s="17"/>
      <c r="K2" s="17"/>
      <c r="L2" s="16" t="s">
        <v>33</v>
      </c>
      <c r="M2" s="17"/>
      <c r="N2" s="17"/>
      <c r="O2" s="17"/>
      <c r="P2" s="19">
        <f>'IRR and Int Ret %'!$F$7</f>
        <v>-0.05</v>
      </c>
      <c r="Q2" s="17"/>
      <c r="R2" s="17"/>
    </row>
    <row r="3" spans="1:18" x14ac:dyDescent="0.25">
      <c r="B3" s="16" t="s">
        <v>81</v>
      </c>
      <c r="C3" s="17"/>
      <c r="D3" s="17"/>
      <c r="E3" s="17"/>
      <c r="F3" s="17"/>
      <c r="G3" s="17"/>
      <c r="H3" s="17"/>
      <c r="I3" s="17"/>
      <c r="J3" s="17"/>
      <c r="K3" s="17"/>
      <c r="L3" s="16" t="s">
        <v>34</v>
      </c>
      <c r="M3" s="17"/>
      <c r="N3" s="17"/>
      <c r="O3" s="17"/>
      <c r="P3" s="19">
        <v>0</v>
      </c>
      <c r="Q3" s="17"/>
      <c r="R3" s="17"/>
    </row>
    <row r="4" spans="1:18" x14ac:dyDescent="0.25">
      <c r="B4" s="33" t="s">
        <v>80</v>
      </c>
      <c r="C4" s="17"/>
      <c r="D4" s="17"/>
      <c r="E4" s="17"/>
      <c r="F4" s="17"/>
      <c r="G4" s="17"/>
      <c r="H4" s="17"/>
      <c r="I4" s="17"/>
      <c r="J4" s="17"/>
      <c r="K4" s="17"/>
      <c r="L4" s="16" t="s">
        <v>35</v>
      </c>
      <c r="M4" s="17"/>
      <c r="N4" s="17"/>
      <c r="O4" s="17"/>
      <c r="P4" s="19">
        <f>(D35+H35)/(B35+F35)</f>
        <v>-1.0812832028115194E-2</v>
      </c>
      <c r="Q4" s="17"/>
      <c r="R4" s="17"/>
    </row>
    <row r="5" spans="1:18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6" t="s">
        <v>36</v>
      </c>
      <c r="M5" s="17"/>
      <c r="N5" s="17"/>
      <c r="O5" s="17"/>
      <c r="P5" s="20">
        <f>'Avg Age'!$G$25</f>
        <v>5.8506702959469266</v>
      </c>
      <c r="Q5" s="17"/>
      <c r="R5" s="17"/>
    </row>
    <row r="6" spans="1:18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6" t="s">
        <v>37</v>
      </c>
      <c r="M6" s="17"/>
      <c r="N6" s="17"/>
      <c r="O6" s="17"/>
      <c r="P6" s="21">
        <f>N35/(L21+J35)</f>
        <v>9.4516564434420669</v>
      </c>
      <c r="Q6" s="17"/>
      <c r="R6" s="17"/>
    </row>
    <row r="7" spans="1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6" t="s">
        <v>38</v>
      </c>
      <c r="M7" s="17"/>
      <c r="N7" s="17"/>
      <c r="O7" s="17"/>
      <c r="P7" s="21">
        <f>P5+P6</f>
        <v>15.302326739388993</v>
      </c>
      <c r="Q7" s="17"/>
      <c r="R7" s="17"/>
    </row>
    <row r="8" spans="1:18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6" t="s">
        <v>39</v>
      </c>
      <c r="M8" s="17"/>
      <c r="N8" s="17"/>
      <c r="O8" s="17"/>
      <c r="P8" s="19">
        <f>R21/L21</f>
        <v>0.1130856717976985</v>
      </c>
      <c r="Q8" s="17"/>
      <c r="R8" s="17"/>
    </row>
    <row r="9" spans="1:18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6" t="s">
        <v>40</v>
      </c>
      <c r="M9" s="17"/>
      <c r="N9" s="17"/>
      <c r="O9" s="17"/>
      <c r="P9" s="17">
        <f>((P5/P7)*((1-P4))*L21)</f>
        <v>1008111.684813531</v>
      </c>
      <c r="Q9" s="17"/>
      <c r="R9" s="17"/>
    </row>
    <row r="10" spans="1:18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 t="s">
        <v>41</v>
      </c>
      <c r="M10" s="17"/>
      <c r="N10" s="17"/>
      <c r="O10" s="17"/>
      <c r="P10" s="22">
        <f>'IRR and Int Ret %'!$D$7</f>
        <v>0.03</v>
      </c>
      <c r="Q10" s="17"/>
      <c r="R10" s="17"/>
    </row>
    <row r="11" spans="1:18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 t="s">
        <v>42</v>
      </c>
      <c r="M11" s="17"/>
      <c r="N11" s="17"/>
      <c r="O11" s="17"/>
      <c r="P11" s="23">
        <v>0</v>
      </c>
      <c r="Q11" s="17"/>
      <c r="R11" s="17"/>
    </row>
    <row r="12" spans="1:18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 t="s">
        <v>43</v>
      </c>
      <c r="M12" s="17"/>
      <c r="N12" s="17"/>
      <c r="O12" s="17"/>
      <c r="P12" s="24">
        <f>(L21+J35-D35-H35-R21)/N35</f>
        <v>9.4980934358156369E-2</v>
      </c>
      <c r="Q12" s="17"/>
      <c r="R12" s="17"/>
    </row>
    <row r="13" spans="1:18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6" t="s">
        <v>44</v>
      </c>
      <c r="M13" s="17"/>
      <c r="N13" s="17"/>
      <c r="O13" s="17"/>
      <c r="P13" s="24">
        <f>-P4/P7</f>
        <v>7.0661358970217222E-4</v>
      </c>
      <c r="Q13" s="17"/>
      <c r="R13" s="17"/>
    </row>
    <row r="14" spans="1:18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 t="s">
        <v>123</v>
      </c>
      <c r="M14" s="17"/>
      <c r="N14" s="17"/>
      <c r="O14" s="17"/>
      <c r="P14" s="24">
        <f>P12-P13</f>
        <v>9.4274320768454198E-2</v>
      </c>
      <c r="Q14" s="17"/>
      <c r="R14" s="17"/>
    </row>
    <row r="15" spans="1:18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5"/>
      <c r="M15" s="17"/>
      <c r="N15" s="17"/>
      <c r="O15" s="17"/>
      <c r="P15" s="17"/>
      <c r="Q15" s="17"/>
      <c r="R15" s="17"/>
    </row>
    <row r="16" spans="1:18" x14ac:dyDescent="0.25">
      <c r="A16" s="26" t="s">
        <v>45</v>
      </c>
      <c r="B16" s="25" t="s">
        <v>46</v>
      </c>
      <c r="C16" s="25"/>
      <c r="D16" s="25" t="s">
        <v>47</v>
      </c>
      <c r="E16" s="25"/>
      <c r="F16" s="25" t="s">
        <v>48</v>
      </c>
      <c r="G16" s="25"/>
      <c r="H16" s="25" t="s">
        <v>49</v>
      </c>
      <c r="I16" s="25"/>
      <c r="J16" s="25" t="s">
        <v>50</v>
      </c>
      <c r="K16" s="17"/>
      <c r="L16" s="25" t="s">
        <v>51</v>
      </c>
      <c r="M16" s="17"/>
      <c r="N16" s="25" t="s">
        <v>52</v>
      </c>
      <c r="O16" s="25"/>
      <c r="P16" s="25" t="s">
        <v>53</v>
      </c>
      <c r="Q16" s="25"/>
      <c r="R16" s="25" t="s">
        <v>54</v>
      </c>
    </row>
    <row r="17" spans="1:18" x14ac:dyDescent="0.25">
      <c r="A17" s="26"/>
      <c r="B17" s="25" t="s">
        <v>55</v>
      </c>
      <c r="C17" s="25"/>
      <c r="D17" s="25" t="s">
        <v>55</v>
      </c>
      <c r="E17" s="25"/>
      <c r="F17" s="25" t="s">
        <v>56</v>
      </c>
      <c r="G17" s="25"/>
      <c r="H17" s="25" t="s">
        <v>56</v>
      </c>
      <c r="I17" s="25"/>
      <c r="J17" s="25" t="s">
        <v>55</v>
      </c>
      <c r="K17" s="17"/>
      <c r="L17" s="25" t="s">
        <v>57</v>
      </c>
      <c r="M17" s="17"/>
      <c r="N17" s="25" t="s">
        <v>58</v>
      </c>
      <c r="O17" s="25"/>
      <c r="P17" s="25" t="s">
        <v>59</v>
      </c>
      <c r="Q17" s="25"/>
      <c r="R17" s="25" t="s">
        <v>57</v>
      </c>
    </row>
    <row r="18" spans="1:18" x14ac:dyDescent="0.25">
      <c r="A18" s="27" t="s">
        <v>60</v>
      </c>
      <c r="B18" s="28" t="s">
        <v>61</v>
      </c>
      <c r="C18" s="28"/>
      <c r="D18" s="28" t="s">
        <v>62</v>
      </c>
      <c r="E18" s="28"/>
      <c r="F18" s="28" t="s">
        <v>63</v>
      </c>
      <c r="G18" s="28"/>
      <c r="H18" s="28" t="s">
        <v>62</v>
      </c>
      <c r="I18" s="28"/>
      <c r="J18" s="28" t="s">
        <v>64</v>
      </c>
      <c r="K18" s="17"/>
      <c r="L18" s="28" t="s">
        <v>65</v>
      </c>
      <c r="M18" s="17"/>
      <c r="N18" s="28" t="s">
        <v>65</v>
      </c>
      <c r="O18" s="28"/>
      <c r="P18" s="28" t="s">
        <v>66</v>
      </c>
      <c r="Q18" s="28"/>
      <c r="R18" s="28" t="s">
        <v>67</v>
      </c>
    </row>
    <row r="19" spans="1:18" x14ac:dyDescent="0.25">
      <c r="B19" s="25" t="s">
        <v>68</v>
      </c>
      <c r="C19" s="17"/>
      <c r="D19" s="25" t="s">
        <v>68</v>
      </c>
      <c r="E19" s="17"/>
      <c r="F19" s="25" t="s">
        <v>68</v>
      </c>
      <c r="G19" s="17"/>
      <c r="H19" s="25" t="s">
        <v>68</v>
      </c>
      <c r="I19" s="17"/>
      <c r="J19" s="25" t="s">
        <v>68</v>
      </c>
      <c r="K19" s="17"/>
      <c r="L19" s="25" t="s">
        <v>68</v>
      </c>
      <c r="M19" s="17"/>
      <c r="N19" s="25" t="s">
        <v>68</v>
      </c>
      <c r="O19" s="17"/>
      <c r="P19" s="25" t="s">
        <v>68</v>
      </c>
      <c r="Q19" s="17"/>
      <c r="R19" s="25" t="s">
        <v>68</v>
      </c>
    </row>
    <row r="20" spans="1:18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>
        <v>2016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0">
        <f>'Avg Age'!$E$25</f>
        <v>2608493.4349497212</v>
      </c>
      <c r="M21" s="17"/>
      <c r="N21" s="17"/>
      <c r="O21" s="17"/>
      <c r="P21" s="17"/>
      <c r="Q21" s="17"/>
      <c r="R21" s="30">
        <v>294983.23247117538</v>
      </c>
    </row>
    <row r="22" spans="1:18" x14ac:dyDescent="0.25">
      <c r="A22">
        <f t="shared" ref="A22:A32" si="0">A21+1</f>
        <v>2017</v>
      </c>
      <c r="B22" s="17">
        <f t="shared" ref="B22:B29" si="1">L21*$P$10</f>
        <v>78254.803048491638</v>
      </c>
      <c r="C22" s="17"/>
      <c r="D22" s="17">
        <f t="shared" ref="D22:D29" si="2">B22*$P$2</f>
        <v>-3912.740152424582</v>
      </c>
      <c r="E22" s="17"/>
      <c r="F22" s="17"/>
      <c r="G22" s="17"/>
      <c r="H22" s="17"/>
      <c r="I22" s="17"/>
      <c r="J22" s="17">
        <f>B22*$P$11</f>
        <v>0</v>
      </c>
      <c r="K22" s="17"/>
      <c r="L22" s="17">
        <f t="shared" ref="L22:L32" si="3">L21+J22-B22-F22</f>
        <v>2530238.6319012297</v>
      </c>
      <c r="M22" s="17"/>
      <c r="N22" s="17">
        <f t="shared" ref="N22:N31" si="4">(L21+L22)/2</f>
        <v>2569366.0334254755</v>
      </c>
      <c r="O22" s="17"/>
      <c r="P22" s="17">
        <f t="shared" ref="P22:P32" si="5">N22*$P$12</f>
        <v>244040.7865628617</v>
      </c>
      <c r="Q22" s="17"/>
      <c r="R22" s="17">
        <f t="shared" ref="R22:R32" si="6">R21+P22-B22-F22+D22+H22</f>
        <v>456856.47583312087</v>
      </c>
    </row>
    <row r="23" spans="1:18" x14ac:dyDescent="0.25">
      <c r="A23">
        <f t="shared" si="0"/>
        <v>2018</v>
      </c>
      <c r="B23" s="17">
        <f t="shared" si="1"/>
        <v>75907.158957036896</v>
      </c>
      <c r="C23" s="17"/>
      <c r="D23" s="17">
        <f t="shared" si="2"/>
        <v>-3795.357947851845</v>
      </c>
      <c r="E23" s="17"/>
      <c r="F23" s="17"/>
      <c r="G23" s="17"/>
      <c r="H23" s="17"/>
      <c r="I23" s="17"/>
      <c r="J23" s="17">
        <f>B23*$P$11</f>
        <v>0</v>
      </c>
      <c r="K23" s="17"/>
      <c r="L23" s="17">
        <f t="shared" si="3"/>
        <v>2454331.4729441931</v>
      </c>
      <c r="M23" s="17"/>
      <c r="N23" s="17">
        <f t="shared" si="4"/>
        <v>2492285.0524227116</v>
      </c>
      <c r="O23" s="17"/>
      <c r="P23" s="17">
        <f t="shared" si="5"/>
        <v>236719.56296597587</v>
      </c>
      <c r="Q23" s="17"/>
      <c r="R23" s="17">
        <f t="shared" si="6"/>
        <v>613873.52189420792</v>
      </c>
    </row>
    <row r="24" spans="1:18" x14ac:dyDescent="0.25">
      <c r="A24">
        <f t="shared" si="0"/>
        <v>2019</v>
      </c>
      <c r="B24" s="17">
        <f t="shared" si="1"/>
        <v>73629.944188325782</v>
      </c>
      <c r="C24" s="17"/>
      <c r="D24" s="17">
        <f t="shared" si="2"/>
        <v>-3681.4972094162895</v>
      </c>
      <c r="E24" s="17"/>
      <c r="F24" s="17"/>
      <c r="G24" s="17"/>
      <c r="H24" s="17"/>
      <c r="I24" s="17"/>
      <c r="J24" s="17">
        <f>B24*$P$11</f>
        <v>0</v>
      </c>
      <c r="K24" s="17"/>
      <c r="L24" s="17">
        <f t="shared" si="3"/>
        <v>2380701.5287558674</v>
      </c>
      <c r="M24" s="17"/>
      <c r="N24" s="17">
        <f t="shared" si="4"/>
        <v>2417516.5008500302</v>
      </c>
      <c r="O24" s="17"/>
      <c r="P24" s="17">
        <f t="shared" si="5"/>
        <v>229617.97607699659</v>
      </c>
      <c r="Q24" s="17"/>
      <c r="R24" s="17">
        <f t="shared" si="6"/>
        <v>766180.05657346256</v>
      </c>
    </row>
    <row r="25" spans="1:18" x14ac:dyDescent="0.25">
      <c r="A25">
        <f t="shared" si="0"/>
        <v>2020</v>
      </c>
      <c r="B25" s="17">
        <f t="shared" si="1"/>
        <v>71421.045862676023</v>
      </c>
      <c r="C25" s="17"/>
      <c r="D25" s="17">
        <f t="shared" si="2"/>
        <v>-3571.0522931338014</v>
      </c>
      <c r="E25" s="17"/>
      <c r="F25" s="17"/>
      <c r="G25" s="17"/>
      <c r="H25" s="17"/>
      <c r="I25" s="17"/>
      <c r="J25" s="17">
        <f>B25*$P$11</f>
        <v>0</v>
      </c>
      <c r="K25" s="17"/>
      <c r="L25" s="17">
        <f t="shared" si="3"/>
        <v>2309280.4828931913</v>
      </c>
      <c r="M25" s="17"/>
      <c r="N25" s="17">
        <f t="shared" si="4"/>
        <v>2344991.0058245296</v>
      </c>
      <c r="O25" s="17"/>
      <c r="P25" s="17">
        <f t="shared" si="5"/>
        <v>222729.43679468671</v>
      </c>
      <c r="Q25" s="17"/>
      <c r="R25" s="17">
        <f t="shared" si="6"/>
        <v>913917.39521233947</v>
      </c>
    </row>
    <row r="26" spans="1:18" x14ac:dyDescent="0.25">
      <c r="A26">
        <f t="shared" si="0"/>
        <v>2021</v>
      </c>
      <c r="B26" s="17">
        <f t="shared" si="1"/>
        <v>69278.414486795737</v>
      </c>
      <c r="C26" s="17"/>
      <c r="D26" s="17">
        <f t="shared" si="2"/>
        <v>-3463.9207243397868</v>
      </c>
      <c r="E26" s="17"/>
      <c r="F26" s="17"/>
      <c r="G26" s="17"/>
      <c r="H26" s="17"/>
      <c r="I26" s="17"/>
      <c r="J26" s="17"/>
      <c r="K26" s="17"/>
      <c r="L26" s="17">
        <f t="shared" si="3"/>
        <v>2240002.0684063956</v>
      </c>
      <c r="M26" s="17"/>
      <c r="N26" s="17">
        <f t="shared" si="4"/>
        <v>2274641.2756497934</v>
      </c>
      <c r="O26" s="17"/>
      <c r="P26" s="17">
        <f t="shared" si="5"/>
        <v>216047.55369084611</v>
      </c>
      <c r="Q26" s="17"/>
      <c r="R26" s="17">
        <f t="shared" si="6"/>
        <v>1057222.6136920501</v>
      </c>
    </row>
    <row r="27" spans="1:18" x14ac:dyDescent="0.25">
      <c r="A27">
        <f t="shared" si="0"/>
        <v>2022</v>
      </c>
      <c r="B27" s="17">
        <f t="shared" si="1"/>
        <v>67200.062052191861</v>
      </c>
      <c r="C27" s="17"/>
      <c r="D27" s="17">
        <f t="shared" si="2"/>
        <v>-3360.003102609593</v>
      </c>
      <c r="E27" s="17"/>
      <c r="F27" s="17"/>
      <c r="G27" s="17"/>
      <c r="H27" s="17"/>
      <c r="I27" s="17"/>
      <c r="J27" s="17"/>
      <c r="K27" s="17"/>
      <c r="L27" s="17">
        <f t="shared" si="3"/>
        <v>2172802.0063542039</v>
      </c>
      <c r="M27" s="17"/>
      <c r="N27" s="17">
        <f t="shared" si="4"/>
        <v>2206402.0373802995</v>
      </c>
      <c r="O27" s="17"/>
      <c r="P27" s="17">
        <f t="shared" si="5"/>
        <v>209566.1270801207</v>
      </c>
      <c r="Q27" s="17"/>
      <c r="R27" s="17">
        <f t="shared" si="6"/>
        <v>1196228.6756173691</v>
      </c>
    </row>
    <row r="28" spans="1:18" x14ac:dyDescent="0.25">
      <c r="A28">
        <f t="shared" si="0"/>
        <v>2023</v>
      </c>
      <c r="B28" s="17">
        <f t="shared" si="1"/>
        <v>65184.060190626114</v>
      </c>
      <c r="C28" s="17"/>
      <c r="D28" s="17">
        <f t="shared" si="2"/>
        <v>-3259.2030095313057</v>
      </c>
      <c r="E28" s="17"/>
      <c r="F28" s="17"/>
      <c r="G28" s="17"/>
      <c r="H28" s="17"/>
      <c r="I28" s="17"/>
      <c r="J28" s="17"/>
      <c r="K28" s="17"/>
      <c r="L28" s="17">
        <f t="shared" si="3"/>
        <v>2107617.946163578</v>
      </c>
      <c r="M28" s="17"/>
      <c r="N28" s="17">
        <f t="shared" si="4"/>
        <v>2140209.9762588907</v>
      </c>
      <c r="O28" s="17"/>
      <c r="P28" s="17">
        <f t="shared" si="5"/>
        <v>203279.1432677171</v>
      </c>
      <c r="Q28" s="17"/>
      <c r="R28" s="17">
        <f t="shared" si="6"/>
        <v>1331064.5556849285</v>
      </c>
    </row>
    <row r="29" spans="1:18" x14ac:dyDescent="0.25">
      <c r="A29">
        <f t="shared" si="0"/>
        <v>2024</v>
      </c>
      <c r="B29" s="17">
        <f t="shared" si="1"/>
        <v>63228.538384907333</v>
      </c>
      <c r="C29" s="17"/>
      <c r="D29" s="17">
        <f t="shared" si="2"/>
        <v>-3161.4269192453667</v>
      </c>
      <c r="E29" s="17"/>
      <c r="F29" s="17"/>
      <c r="G29" s="17"/>
      <c r="H29" s="17"/>
      <c r="I29" s="17"/>
      <c r="J29" s="17"/>
      <c r="K29" s="17"/>
      <c r="L29" s="17">
        <f t="shared" si="3"/>
        <v>2044389.4077786705</v>
      </c>
      <c r="M29" s="17"/>
      <c r="N29" s="17">
        <f t="shared" si="4"/>
        <v>2076003.6769711243</v>
      </c>
      <c r="O29" s="17"/>
      <c r="P29" s="17">
        <f t="shared" si="5"/>
        <v>197180.76896968563</v>
      </c>
      <c r="Q29" s="17"/>
      <c r="R29" s="17">
        <f t="shared" si="6"/>
        <v>1461855.3593504613</v>
      </c>
    </row>
    <row r="30" spans="1:18" x14ac:dyDescent="0.25">
      <c r="A30">
        <f t="shared" si="0"/>
        <v>2025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>
        <f t="shared" si="3"/>
        <v>2044389.4077786705</v>
      </c>
      <c r="M30" s="17"/>
      <c r="N30" s="17">
        <f t="shared" si="4"/>
        <v>2044389.4077786705</v>
      </c>
      <c r="O30" s="17"/>
      <c r="P30" s="17">
        <f t="shared" si="5"/>
        <v>194178.01614273607</v>
      </c>
      <c r="Q30" s="17"/>
      <c r="R30" s="17">
        <f t="shared" si="6"/>
        <v>1656033.3754931972</v>
      </c>
    </row>
    <row r="31" spans="1:18" x14ac:dyDescent="0.25">
      <c r="A31">
        <f t="shared" si="0"/>
        <v>2026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>
        <f t="shared" si="3"/>
        <v>2044389.4077786705</v>
      </c>
      <c r="M31" s="17"/>
      <c r="N31" s="17">
        <f t="shared" si="4"/>
        <v>2044389.4077786705</v>
      </c>
      <c r="O31" s="17"/>
      <c r="P31" s="17">
        <f t="shared" si="5"/>
        <v>194178.01614273607</v>
      </c>
      <c r="Q31" s="17"/>
      <c r="R31" s="17">
        <f t="shared" si="6"/>
        <v>1850211.3916359334</v>
      </c>
    </row>
    <row r="32" spans="1:18" x14ac:dyDescent="0.25">
      <c r="A32">
        <f t="shared" si="0"/>
        <v>2027</v>
      </c>
      <c r="B32" s="17"/>
      <c r="C32" s="17"/>
      <c r="D32" s="17"/>
      <c r="E32" s="17"/>
      <c r="F32" s="17">
        <f>+L31</f>
        <v>2044389.4077786705</v>
      </c>
      <c r="G32" s="17"/>
      <c r="H32" s="17">
        <f>+P3*F32</f>
        <v>0</v>
      </c>
      <c r="I32" s="17"/>
      <c r="J32" s="17"/>
      <c r="K32" s="17"/>
      <c r="L32" s="17">
        <f t="shared" si="3"/>
        <v>0</v>
      </c>
      <c r="M32" s="17"/>
      <c r="N32" s="17">
        <f>+L31</f>
        <v>2044389.4077786705</v>
      </c>
      <c r="O32" s="17"/>
      <c r="P32" s="17">
        <f t="shared" si="5"/>
        <v>194178.01614273607</v>
      </c>
      <c r="Q32" s="17"/>
      <c r="R32" s="17">
        <f t="shared" si="6"/>
        <v>-9.3132257461547852E-10</v>
      </c>
    </row>
    <row r="33" spans="1:18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1:18" x14ac:dyDescent="0.25">
      <c r="A35" s="26" t="s">
        <v>69</v>
      </c>
      <c r="B35" s="31">
        <f>SUM(B22:B33)</f>
        <v>564104.02717105136</v>
      </c>
      <c r="C35" s="31">
        <f>SUM(C22:C33)</f>
        <v>0</v>
      </c>
      <c r="D35" s="31">
        <f>SUM(D22:D33)</f>
        <v>-28205.201358552571</v>
      </c>
      <c r="E35" s="17"/>
      <c r="F35" s="31">
        <f>SUM(F22:F33)</f>
        <v>2044389.4077786705</v>
      </c>
      <c r="G35" s="17"/>
      <c r="H35" s="31">
        <f>SUM(H22:H33)</f>
        <v>0</v>
      </c>
      <c r="I35" s="17"/>
      <c r="J35" s="31">
        <f>SUM(J22:J33)</f>
        <v>0</v>
      </c>
      <c r="K35" s="17"/>
      <c r="L35" s="17"/>
      <c r="M35" s="17"/>
      <c r="N35" s="31">
        <f>SUM(N22:N33)</f>
        <v>24654583.782118864</v>
      </c>
      <c r="O35" s="17"/>
      <c r="P35" s="17"/>
      <c r="Q35" s="17"/>
      <c r="R35" s="1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selection activeCell="L14" sqref="L14:P14"/>
    </sheetView>
  </sheetViews>
  <sheetFormatPr defaultRowHeight="15" x14ac:dyDescent="0.25"/>
  <cols>
    <col min="5" max="5" width="2.7109375" customWidth="1"/>
    <col min="6" max="6" width="13.140625" customWidth="1"/>
    <col min="7" max="7" width="3" customWidth="1"/>
    <col min="8" max="8" width="11.7109375" customWidth="1"/>
    <col min="9" max="9" width="1.140625" customWidth="1"/>
    <col min="10" max="10" width="12.28515625" customWidth="1"/>
    <col min="11" max="11" width="2.28515625" customWidth="1"/>
    <col min="12" max="12" width="16.7109375" customWidth="1"/>
    <col min="13" max="13" width="1.85546875" customWidth="1"/>
    <col min="14" max="14" width="14" customWidth="1"/>
    <col min="15" max="15" width="2.7109375" customWidth="1"/>
    <col min="16" max="16" width="10.7109375" customWidth="1"/>
    <col min="17" max="17" width="1.5703125" customWidth="1"/>
    <col min="18" max="18" width="13.85546875" customWidth="1"/>
  </cols>
  <sheetData>
    <row r="1" spans="1:18" x14ac:dyDescent="0.25">
      <c r="B1" s="16" t="s">
        <v>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B2" s="18" t="s">
        <v>32</v>
      </c>
      <c r="C2" s="17"/>
      <c r="D2" s="17"/>
      <c r="E2" s="17"/>
      <c r="F2" s="17"/>
      <c r="G2" s="17"/>
      <c r="H2" s="17"/>
      <c r="I2" s="17"/>
      <c r="J2" s="17"/>
      <c r="K2" s="17"/>
      <c r="L2" s="16" t="s">
        <v>33</v>
      </c>
      <c r="M2" s="17"/>
      <c r="N2" s="17"/>
      <c r="O2" s="17"/>
      <c r="P2" s="19">
        <f>'IRR and Int Ret %'!$F$8</f>
        <v>-0.05</v>
      </c>
      <c r="Q2" s="17"/>
      <c r="R2" s="17"/>
    </row>
    <row r="3" spans="1:18" x14ac:dyDescent="0.25">
      <c r="B3" s="16" t="s">
        <v>81</v>
      </c>
      <c r="C3" s="17"/>
      <c r="D3" s="17"/>
      <c r="E3" s="17"/>
      <c r="F3" s="17"/>
      <c r="G3" s="17"/>
      <c r="H3" s="17"/>
      <c r="I3" s="17"/>
      <c r="J3" s="17"/>
      <c r="K3" s="17"/>
      <c r="L3" s="16" t="s">
        <v>34</v>
      </c>
      <c r="M3" s="17"/>
      <c r="N3" s="17"/>
      <c r="O3" s="17"/>
      <c r="P3" s="19">
        <v>0</v>
      </c>
      <c r="Q3" s="17"/>
      <c r="R3" s="17"/>
    </row>
    <row r="4" spans="1:18" x14ac:dyDescent="0.25">
      <c r="B4" s="33" t="s">
        <v>80</v>
      </c>
      <c r="C4" s="17"/>
      <c r="D4" s="17"/>
      <c r="E4" s="17"/>
      <c r="F4" s="17"/>
      <c r="G4" s="17"/>
      <c r="H4" s="17"/>
      <c r="I4" s="17"/>
      <c r="J4" s="17"/>
      <c r="K4" s="17"/>
      <c r="L4" s="16" t="s">
        <v>35</v>
      </c>
      <c r="M4" s="17"/>
      <c r="N4" s="17"/>
      <c r="O4" s="17"/>
      <c r="P4" s="19">
        <f>(D35+H35)/(B35+F35)</f>
        <v>-9.9129361355434586E-4</v>
      </c>
      <c r="Q4" s="17"/>
      <c r="R4" s="17"/>
    </row>
    <row r="5" spans="1:18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6" t="s">
        <v>36</v>
      </c>
      <c r="M5" s="17"/>
      <c r="N5" s="17"/>
      <c r="O5" s="17"/>
      <c r="P5" s="20">
        <f>'Avg Age'!$G$31</f>
        <v>30.377825851098883</v>
      </c>
      <c r="Q5" s="17"/>
      <c r="R5" s="17"/>
    </row>
    <row r="6" spans="1:18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6" t="s">
        <v>37</v>
      </c>
      <c r="M6" s="17"/>
      <c r="N6" s="17"/>
      <c r="O6" s="17"/>
      <c r="P6" s="21">
        <f>N35/(L21+J35)</f>
        <v>10.860958355485963</v>
      </c>
      <c r="Q6" s="17"/>
      <c r="R6" s="17"/>
    </row>
    <row r="7" spans="1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6" t="s">
        <v>38</v>
      </c>
      <c r="M7" s="17"/>
      <c r="N7" s="17"/>
      <c r="O7" s="17"/>
      <c r="P7" s="21">
        <f>P5+P6</f>
        <v>41.238784206584846</v>
      </c>
      <c r="Q7" s="17"/>
      <c r="R7" s="17"/>
    </row>
    <row r="8" spans="1:18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6" t="s">
        <v>39</v>
      </c>
      <c r="M8" s="17"/>
      <c r="N8" s="17"/>
      <c r="O8" s="17"/>
      <c r="P8" s="19">
        <f>R21/L21</f>
        <v>0.77835679944948255</v>
      </c>
      <c r="Q8" s="17"/>
      <c r="R8" s="17"/>
    </row>
    <row r="9" spans="1:18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6" t="s">
        <v>40</v>
      </c>
      <c r="M9" s="17"/>
      <c r="N9" s="17"/>
      <c r="O9" s="17"/>
      <c r="P9" s="17">
        <f>((P5/P7)*((1-P4))*L21)</f>
        <v>2843377.598785962</v>
      </c>
      <c r="Q9" s="17"/>
      <c r="R9" s="17"/>
    </row>
    <row r="10" spans="1:18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 t="s">
        <v>41</v>
      </c>
      <c r="M10" s="17"/>
      <c r="N10" s="17"/>
      <c r="O10" s="17"/>
      <c r="P10" s="22">
        <f>'IRR and Int Ret %'!$D$8</f>
        <v>2.5000000000000001E-3</v>
      </c>
      <c r="Q10" s="17"/>
      <c r="R10" s="17"/>
    </row>
    <row r="11" spans="1:18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 t="s">
        <v>42</v>
      </c>
      <c r="M11" s="17"/>
      <c r="N11" s="17"/>
      <c r="O11" s="17"/>
      <c r="P11" s="23">
        <v>0</v>
      </c>
      <c r="Q11" s="17"/>
      <c r="R11" s="17"/>
    </row>
    <row r="12" spans="1:18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 t="s">
        <v>43</v>
      </c>
      <c r="M12" s="17"/>
      <c r="N12" s="17"/>
      <c r="O12" s="17"/>
      <c r="P12" s="24">
        <f>(L21+J35-D35-H35-R21)/N35</f>
        <v>2.0498604899964218E-2</v>
      </c>
      <c r="Q12" s="17"/>
      <c r="R12" s="17"/>
    </row>
    <row r="13" spans="1:18" x14ac:dyDescent="0.25">
      <c r="B13" s="17"/>
      <c r="C13" s="17"/>
      <c r="D13" s="17"/>
      <c r="E13" s="17"/>
      <c r="F13" s="17"/>
      <c r="G13" s="17"/>
      <c r="H13" s="17">
        <v>0</v>
      </c>
      <c r="I13" s="17"/>
      <c r="J13" s="17"/>
      <c r="K13" s="17"/>
      <c r="L13" s="16" t="s">
        <v>44</v>
      </c>
      <c r="M13" s="17"/>
      <c r="N13" s="17"/>
      <c r="O13" s="17"/>
      <c r="P13" s="24">
        <f>-P4/P7</f>
        <v>2.403789618502041E-5</v>
      </c>
      <c r="Q13" s="17"/>
      <c r="R13" s="17"/>
    </row>
    <row r="14" spans="1:18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 t="s">
        <v>123</v>
      </c>
      <c r="M14" s="17"/>
      <c r="N14" s="17"/>
      <c r="O14" s="17"/>
      <c r="P14" s="24">
        <f>P12-P13</f>
        <v>2.0474567003779198E-2</v>
      </c>
      <c r="Q14" s="17"/>
      <c r="R14" s="17"/>
    </row>
    <row r="15" spans="1:18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5"/>
      <c r="M15" s="17"/>
      <c r="N15" s="17"/>
      <c r="O15" s="17"/>
      <c r="P15" s="17"/>
      <c r="Q15" s="17"/>
      <c r="R15" s="17"/>
    </row>
    <row r="16" spans="1:18" x14ac:dyDescent="0.25">
      <c r="A16" s="26" t="s">
        <v>45</v>
      </c>
      <c r="B16" s="25" t="s">
        <v>46</v>
      </c>
      <c r="C16" s="25"/>
      <c r="D16" s="25" t="s">
        <v>47</v>
      </c>
      <c r="E16" s="25"/>
      <c r="F16" s="25" t="s">
        <v>48</v>
      </c>
      <c r="G16" s="25"/>
      <c r="H16" s="25" t="s">
        <v>49</v>
      </c>
      <c r="I16" s="25"/>
      <c r="J16" s="25" t="s">
        <v>50</v>
      </c>
      <c r="K16" s="17"/>
      <c r="L16" s="25" t="s">
        <v>51</v>
      </c>
      <c r="M16" s="17"/>
      <c r="N16" s="25" t="s">
        <v>52</v>
      </c>
      <c r="O16" s="25"/>
      <c r="P16" s="25" t="s">
        <v>53</v>
      </c>
      <c r="Q16" s="25"/>
      <c r="R16" s="25" t="s">
        <v>54</v>
      </c>
    </row>
    <row r="17" spans="1:18" x14ac:dyDescent="0.25">
      <c r="A17" s="26"/>
      <c r="B17" s="25" t="s">
        <v>55</v>
      </c>
      <c r="C17" s="25"/>
      <c r="D17" s="25" t="s">
        <v>55</v>
      </c>
      <c r="E17" s="25"/>
      <c r="F17" s="25" t="s">
        <v>56</v>
      </c>
      <c r="G17" s="25"/>
      <c r="H17" s="25" t="s">
        <v>56</v>
      </c>
      <c r="I17" s="25"/>
      <c r="J17" s="25" t="s">
        <v>55</v>
      </c>
      <c r="K17" s="17"/>
      <c r="L17" s="25" t="s">
        <v>57</v>
      </c>
      <c r="M17" s="17"/>
      <c r="N17" s="25" t="s">
        <v>58</v>
      </c>
      <c r="O17" s="25"/>
      <c r="P17" s="25" t="s">
        <v>59</v>
      </c>
      <c r="Q17" s="25"/>
      <c r="R17" s="25" t="s">
        <v>57</v>
      </c>
    </row>
    <row r="18" spans="1:18" x14ac:dyDescent="0.25">
      <c r="A18" s="27" t="s">
        <v>60</v>
      </c>
      <c r="B18" s="28" t="s">
        <v>61</v>
      </c>
      <c r="C18" s="28"/>
      <c r="D18" s="28" t="s">
        <v>62</v>
      </c>
      <c r="E18" s="28"/>
      <c r="F18" s="28" t="s">
        <v>63</v>
      </c>
      <c r="G18" s="28"/>
      <c r="H18" s="28" t="s">
        <v>62</v>
      </c>
      <c r="I18" s="28"/>
      <c r="J18" s="28" t="s">
        <v>64</v>
      </c>
      <c r="K18" s="17"/>
      <c r="L18" s="28" t="s">
        <v>65</v>
      </c>
      <c r="M18" s="17"/>
      <c r="N18" s="28" t="s">
        <v>65</v>
      </c>
      <c r="O18" s="28"/>
      <c r="P18" s="28" t="s">
        <v>66</v>
      </c>
      <c r="Q18" s="28"/>
      <c r="R18" s="28" t="s">
        <v>67</v>
      </c>
    </row>
    <row r="19" spans="1:18" x14ac:dyDescent="0.25">
      <c r="B19" s="25" t="s">
        <v>68</v>
      </c>
      <c r="C19" s="17"/>
      <c r="D19" s="25" t="s">
        <v>68</v>
      </c>
      <c r="E19" s="17"/>
      <c r="F19" s="25" t="s">
        <v>68</v>
      </c>
      <c r="G19" s="17"/>
      <c r="H19" s="25" t="s">
        <v>68</v>
      </c>
      <c r="I19" s="17"/>
      <c r="J19" s="25" t="s">
        <v>68</v>
      </c>
      <c r="K19" s="17"/>
      <c r="L19" s="25" t="s">
        <v>68</v>
      </c>
      <c r="M19" s="17"/>
      <c r="N19" s="25" t="s">
        <v>68</v>
      </c>
      <c r="O19" s="17"/>
      <c r="P19" s="25" t="s">
        <v>68</v>
      </c>
      <c r="Q19" s="17"/>
      <c r="R19" s="25" t="s">
        <v>68</v>
      </c>
    </row>
    <row r="20" spans="1:18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>
        <v>2016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29">
        <f>'Avg Age'!$E$31</f>
        <v>3856145.4118581293</v>
      </c>
      <c r="M21" s="17"/>
      <c r="N21" s="17"/>
      <c r="O21" s="17"/>
      <c r="P21" s="17"/>
      <c r="Q21" s="17"/>
      <c r="R21" s="30">
        <v>3001457.0009857002</v>
      </c>
    </row>
    <row r="22" spans="1:18" x14ac:dyDescent="0.25">
      <c r="A22">
        <f t="shared" ref="A22:A32" si="0">A21+1</f>
        <v>2017</v>
      </c>
      <c r="B22" s="17">
        <f>L21*$P$10</f>
        <v>9640.3635296453231</v>
      </c>
      <c r="C22" s="17"/>
      <c r="D22" s="17">
        <f>B22*$P$2</f>
        <v>-482.0181764822662</v>
      </c>
      <c r="E22" s="17"/>
      <c r="F22" s="17"/>
      <c r="G22" s="17"/>
      <c r="H22" s="17"/>
      <c r="I22" s="17"/>
      <c r="J22" s="17"/>
      <c r="K22" s="17"/>
      <c r="L22" s="17">
        <f t="shared" ref="L22:L31" si="1">L21+J22-B22-F22</f>
        <v>3846505.0483284839</v>
      </c>
      <c r="M22" s="17"/>
      <c r="N22" s="17">
        <f t="shared" ref="N22:N31" si="2">(L21+L22)/2</f>
        <v>3851325.2300933069</v>
      </c>
      <c r="O22" s="17"/>
      <c r="P22" s="17">
        <f t="shared" ref="P22:P31" si="3">N22*$P$12</f>
        <v>78946.794232946486</v>
      </c>
      <c r="Q22" s="17"/>
      <c r="R22" s="17">
        <f t="shared" ref="R22:R31" si="4">R21+P22-B22-F22+D22+H22</f>
        <v>3070281.4135125191</v>
      </c>
    </row>
    <row r="23" spans="1:18" x14ac:dyDescent="0.25">
      <c r="A23">
        <f t="shared" si="0"/>
        <v>2018</v>
      </c>
      <c r="B23" s="17">
        <f t="shared" ref="B23:B29" si="5">L22*$P$10</f>
        <v>9616.2626208212096</v>
      </c>
      <c r="C23" s="17"/>
      <c r="D23" s="17">
        <f t="shared" ref="D23:D29" si="6">B23*$P$2</f>
        <v>-480.8131310410605</v>
      </c>
      <c r="E23" s="17"/>
      <c r="F23" s="17"/>
      <c r="G23" s="17"/>
      <c r="H23" s="17"/>
      <c r="I23" s="17"/>
      <c r="J23" s="17"/>
      <c r="K23" s="17"/>
      <c r="L23" s="17">
        <f t="shared" si="1"/>
        <v>3836888.7857076628</v>
      </c>
      <c r="M23" s="17"/>
      <c r="N23" s="17">
        <f t="shared" si="2"/>
        <v>3841696.9170180736</v>
      </c>
      <c r="O23" s="17"/>
      <c r="P23" s="17">
        <f t="shared" si="3"/>
        <v>78749.427247364118</v>
      </c>
      <c r="Q23" s="17"/>
      <c r="R23" s="17">
        <f t="shared" si="4"/>
        <v>3138933.7650080211</v>
      </c>
    </row>
    <row r="24" spans="1:18" x14ac:dyDescent="0.25">
      <c r="A24">
        <f t="shared" si="0"/>
        <v>2019</v>
      </c>
      <c r="B24" s="17">
        <f t="shared" si="5"/>
        <v>9592.221964269158</v>
      </c>
      <c r="C24" s="17"/>
      <c r="D24" s="17">
        <f t="shared" si="6"/>
        <v>-479.61109821345792</v>
      </c>
      <c r="E24" s="17"/>
      <c r="F24" s="17"/>
      <c r="G24" s="17"/>
      <c r="H24" s="17"/>
      <c r="I24" s="17"/>
      <c r="J24" s="17"/>
      <c r="K24" s="17"/>
      <c r="L24" s="17">
        <f t="shared" si="1"/>
        <v>3827296.5637433939</v>
      </c>
      <c r="M24" s="17"/>
      <c r="N24" s="17">
        <f t="shared" si="2"/>
        <v>3832092.6747255283</v>
      </c>
      <c r="O24" s="17"/>
      <c r="P24" s="17">
        <f t="shared" si="3"/>
        <v>78552.553679245699</v>
      </c>
      <c r="Q24" s="17"/>
      <c r="R24" s="17">
        <f t="shared" si="4"/>
        <v>3207414.4856247841</v>
      </c>
    </row>
    <row r="25" spans="1:18" x14ac:dyDescent="0.25">
      <c r="A25">
        <f t="shared" si="0"/>
        <v>2020</v>
      </c>
      <c r="B25" s="17">
        <f t="shared" si="5"/>
        <v>9568.2414093584848</v>
      </c>
      <c r="C25" s="17"/>
      <c r="D25" s="17">
        <f t="shared" si="6"/>
        <v>-478.41207046792425</v>
      </c>
      <c r="E25" s="17"/>
      <c r="F25" s="17"/>
      <c r="G25" s="17"/>
      <c r="H25" s="17"/>
      <c r="I25" s="17"/>
      <c r="J25" s="17"/>
      <c r="K25" s="17"/>
      <c r="L25" s="17">
        <f t="shared" si="1"/>
        <v>3817728.3223340353</v>
      </c>
      <c r="M25" s="17"/>
      <c r="N25" s="17">
        <f t="shared" si="2"/>
        <v>3822512.4430387146</v>
      </c>
      <c r="O25" s="17"/>
      <c r="P25" s="17">
        <f t="shared" si="3"/>
        <v>78356.172295047581</v>
      </c>
      <c r="Q25" s="17"/>
      <c r="R25" s="17">
        <f t="shared" si="4"/>
        <v>3275724.0044400049</v>
      </c>
    </row>
    <row r="26" spans="1:18" x14ac:dyDescent="0.25">
      <c r="A26">
        <f t="shared" si="0"/>
        <v>2021</v>
      </c>
      <c r="B26" s="17">
        <f t="shared" si="5"/>
        <v>9544.3208058350883</v>
      </c>
      <c r="C26" s="17"/>
      <c r="D26" s="17">
        <f t="shared" si="6"/>
        <v>-477.21604029175444</v>
      </c>
      <c r="E26" s="17"/>
      <c r="F26" s="17"/>
      <c r="G26" s="17"/>
      <c r="H26" s="17"/>
      <c r="I26" s="17"/>
      <c r="J26" s="17"/>
      <c r="K26" s="17"/>
      <c r="L26" s="17">
        <f t="shared" si="1"/>
        <v>3808184.0015282002</v>
      </c>
      <c r="M26" s="17"/>
      <c r="N26" s="17">
        <f t="shared" si="2"/>
        <v>3812956.161931118</v>
      </c>
      <c r="O26" s="17"/>
      <c r="P26" s="17">
        <f t="shared" si="3"/>
        <v>78160.281864309974</v>
      </c>
      <c r="Q26" s="17"/>
      <c r="R26" s="17">
        <f t="shared" si="4"/>
        <v>3343862.7494581882</v>
      </c>
    </row>
    <row r="27" spans="1:18" x14ac:dyDescent="0.25">
      <c r="A27">
        <f t="shared" si="0"/>
        <v>2022</v>
      </c>
      <c r="B27" s="17">
        <f t="shared" si="5"/>
        <v>9520.4600038205008</v>
      </c>
      <c r="C27" s="17"/>
      <c r="D27" s="17">
        <f t="shared" si="6"/>
        <v>-476.02300019102506</v>
      </c>
      <c r="E27" s="17"/>
      <c r="F27" s="17"/>
      <c r="G27" s="17"/>
      <c r="H27" s="17"/>
      <c r="I27" s="17"/>
      <c r="J27" s="17"/>
      <c r="K27" s="17"/>
      <c r="L27" s="17">
        <f t="shared" si="1"/>
        <v>3798663.5415243795</v>
      </c>
      <c r="M27" s="17"/>
      <c r="N27" s="17">
        <f t="shared" si="2"/>
        <v>3803423.7715262901</v>
      </c>
      <c r="O27" s="17"/>
      <c r="P27" s="17">
        <f t="shared" si="3"/>
        <v>77964.881159649201</v>
      </c>
      <c r="Q27" s="17"/>
      <c r="R27" s="17">
        <f t="shared" si="4"/>
        <v>3411831.1476138257</v>
      </c>
    </row>
    <row r="28" spans="1:18" x14ac:dyDescent="0.25">
      <c r="A28">
        <f t="shared" si="0"/>
        <v>2023</v>
      </c>
      <c r="B28" s="17">
        <f t="shared" si="5"/>
        <v>9496.6588538109481</v>
      </c>
      <c r="C28" s="17"/>
      <c r="D28" s="17">
        <f t="shared" si="6"/>
        <v>-474.83294269054744</v>
      </c>
      <c r="E28" s="17"/>
      <c r="F28" s="17"/>
      <c r="G28" s="17"/>
      <c r="H28" s="17"/>
      <c r="I28" s="17"/>
      <c r="J28" s="17"/>
      <c r="K28" s="17"/>
      <c r="L28" s="17">
        <f t="shared" si="1"/>
        <v>3789166.8826705688</v>
      </c>
      <c r="M28" s="17"/>
      <c r="N28" s="17">
        <f t="shared" si="2"/>
        <v>3793915.2120974744</v>
      </c>
      <c r="O28" s="17"/>
      <c r="P28" s="17">
        <f t="shared" si="3"/>
        <v>77769.968956750075</v>
      </c>
      <c r="Q28" s="17"/>
      <c r="R28" s="17">
        <f t="shared" si="4"/>
        <v>3479629.6247740742</v>
      </c>
    </row>
    <row r="29" spans="1:18" x14ac:dyDescent="0.25">
      <c r="A29">
        <f t="shared" si="0"/>
        <v>2024</v>
      </c>
      <c r="B29" s="17">
        <f t="shared" si="5"/>
        <v>9472.9172066764222</v>
      </c>
      <c r="C29" s="17"/>
      <c r="D29" s="17">
        <f t="shared" si="6"/>
        <v>-473.64586033382113</v>
      </c>
      <c r="E29" s="17"/>
      <c r="F29" s="17"/>
      <c r="G29" s="17"/>
      <c r="H29" s="17"/>
      <c r="I29" s="17"/>
      <c r="J29" s="17"/>
      <c r="K29" s="17"/>
      <c r="L29" s="17">
        <f t="shared" si="1"/>
        <v>3779693.9654638926</v>
      </c>
      <c r="M29" s="17"/>
      <c r="N29" s="17">
        <f t="shared" si="2"/>
        <v>3784430.4240672309</v>
      </c>
      <c r="O29" s="17"/>
      <c r="P29" s="17">
        <f t="shared" si="3"/>
        <v>77575.544034358201</v>
      </c>
      <c r="Q29" s="17"/>
      <c r="R29" s="17">
        <f t="shared" si="4"/>
        <v>3547258.6057414222</v>
      </c>
    </row>
    <row r="30" spans="1:18" x14ac:dyDescent="0.25">
      <c r="A30">
        <f t="shared" si="0"/>
        <v>2025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>
        <f t="shared" si="1"/>
        <v>3779693.9654638926</v>
      </c>
      <c r="M30" s="17"/>
      <c r="N30" s="17">
        <f t="shared" si="2"/>
        <v>3779693.9654638926</v>
      </c>
      <c r="O30" s="17"/>
      <c r="P30" s="17">
        <f t="shared" si="3"/>
        <v>77478.453240823335</v>
      </c>
      <c r="Q30" s="17"/>
      <c r="R30" s="17">
        <f t="shared" si="4"/>
        <v>3624737.0589822456</v>
      </c>
    </row>
    <row r="31" spans="1:18" x14ac:dyDescent="0.25">
      <c r="A31">
        <f t="shared" si="0"/>
        <v>2026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>
        <f t="shared" si="1"/>
        <v>3779693.9654638926</v>
      </c>
      <c r="M31" s="17"/>
      <c r="N31" s="17">
        <f t="shared" si="2"/>
        <v>3779693.9654638926</v>
      </c>
      <c r="O31" s="17"/>
      <c r="P31" s="17">
        <f t="shared" si="3"/>
        <v>77478.453240823335</v>
      </c>
      <c r="Q31" s="17"/>
      <c r="R31" s="17">
        <f t="shared" si="4"/>
        <v>3702215.5122230691</v>
      </c>
    </row>
    <row r="32" spans="1:18" x14ac:dyDescent="0.25">
      <c r="A32">
        <f t="shared" si="0"/>
        <v>2027</v>
      </c>
      <c r="B32" s="17"/>
      <c r="C32" s="17"/>
      <c r="D32" s="17"/>
      <c r="E32" s="17"/>
      <c r="F32" s="17">
        <f>L31</f>
        <v>3779693.9654638926</v>
      </c>
      <c r="G32" s="17"/>
      <c r="H32" s="17">
        <f>F32*P$3</f>
        <v>0</v>
      </c>
      <c r="I32" s="17"/>
      <c r="J32" s="17"/>
      <c r="K32" s="17"/>
      <c r="L32" s="17">
        <f>L31+J32-B32-F32</f>
        <v>0</v>
      </c>
      <c r="M32" s="17"/>
      <c r="N32" s="17">
        <f>+L31</f>
        <v>3779693.9654638926</v>
      </c>
      <c r="O32" s="17"/>
      <c r="P32" s="17">
        <f>N32*$P$12</f>
        <v>77478.453240823335</v>
      </c>
      <c r="Q32" s="17"/>
      <c r="R32" s="17">
        <f>R31+P32-B32-F32+D32+H32</f>
        <v>0</v>
      </c>
    </row>
    <row r="33" spans="1:18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1:18" x14ac:dyDescent="0.25">
      <c r="A35" s="26" t="s">
        <v>69</v>
      </c>
      <c r="B35" s="31">
        <f>SUM(B22:B33)</f>
        <v>76451.446394237137</v>
      </c>
      <c r="C35" s="31">
        <f>SUM(C22:C33)</f>
        <v>0</v>
      </c>
      <c r="D35" s="31">
        <f>SUM(D22:D33)</f>
        <v>-3822.5723197118568</v>
      </c>
      <c r="E35" s="17"/>
      <c r="F35" s="31">
        <f>SUM(F22:F33)</f>
        <v>3779693.9654638926</v>
      </c>
      <c r="G35" s="17"/>
      <c r="H35" s="31">
        <f>SUM(H22:H33)</f>
        <v>0</v>
      </c>
      <c r="I35" s="17"/>
      <c r="J35" s="31">
        <f>SUM(J22:J33)</f>
        <v>0</v>
      </c>
      <c r="K35" s="17"/>
      <c r="L35" s="17"/>
      <c r="M35" s="17"/>
      <c r="N35" s="31">
        <f>SUM(N22:N33)</f>
        <v>41881434.73088941</v>
      </c>
      <c r="O35" s="17"/>
      <c r="P35" s="17"/>
      <c r="Q35" s="17"/>
      <c r="R35" s="1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>
      <selection activeCell="T21" sqref="T21"/>
    </sheetView>
  </sheetViews>
  <sheetFormatPr defaultRowHeight="15" x14ac:dyDescent="0.25"/>
  <cols>
    <col min="3" max="3" width="2.7109375" customWidth="1"/>
    <col min="5" max="5" width="1.42578125" customWidth="1"/>
    <col min="6" max="6" width="13.42578125" customWidth="1"/>
    <col min="7" max="7" width="0.85546875" customWidth="1"/>
    <col min="8" max="8" width="13.42578125" customWidth="1"/>
    <col min="9" max="9" width="2.140625" customWidth="1"/>
    <col min="11" max="11" width="1.42578125" customWidth="1"/>
    <col min="12" max="12" width="18.140625" customWidth="1"/>
    <col min="13" max="13" width="2.7109375" customWidth="1"/>
    <col min="14" max="14" width="14.85546875" customWidth="1"/>
    <col min="15" max="15" width="3.7109375" customWidth="1"/>
    <col min="16" max="16" width="13" customWidth="1"/>
    <col min="17" max="17" width="2.28515625" customWidth="1"/>
    <col min="18" max="18" width="12.85546875" customWidth="1"/>
  </cols>
  <sheetData>
    <row r="1" spans="1:18" x14ac:dyDescent="0.25">
      <c r="B1" s="16" t="s">
        <v>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B2" s="18" t="s">
        <v>70</v>
      </c>
      <c r="C2" s="17"/>
      <c r="D2" s="17"/>
      <c r="E2" s="17"/>
      <c r="F2" s="17"/>
      <c r="G2" s="17"/>
      <c r="H2" s="17"/>
      <c r="I2" s="17"/>
      <c r="J2" s="17"/>
      <c r="K2" s="17"/>
      <c r="L2" s="16" t="s">
        <v>33</v>
      </c>
      <c r="M2" s="17"/>
      <c r="N2" s="17"/>
      <c r="O2" s="17"/>
      <c r="P2" s="19">
        <f>'IRR and Int Ret %'!$F$9</f>
        <v>-0.05</v>
      </c>
      <c r="Q2" s="17"/>
      <c r="R2" s="17"/>
    </row>
    <row r="3" spans="1:18" x14ac:dyDescent="0.25">
      <c r="B3" s="16" t="s">
        <v>81</v>
      </c>
      <c r="C3" s="17"/>
      <c r="D3" s="17"/>
      <c r="E3" s="17"/>
      <c r="F3" s="17"/>
      <c r="G3" s="17"/>
      <c r="H3" s="17"/>
      <c r="I3" s="17"/>
      <c r="J3" s="17"/>
      <c r="K3" s="17"/>
      <c r="L3" s="16" t="s">
        <v>34</v>
      </c>
      <c r="M3" s="17"/>
      <c r="N3" s="17"/>
      <c r="O3" s="17"/>
      <c r="P3" s="19">
        <v>0</v>
      </c>
      <c r="Q3" s="17"/>
      <c r="R3" s="17"/>
    </row>
    <row r="4" spans="1:18" x14ac:dyDescent="0.25">
      <c r="B4" s="33" t="s">
        <v>80</v>
      </c>
      <c r="C4" s="17"/>
      <c r="D4" s="17"/>
      <c r="E4" s="17"/>
      <c r="F4" s="17"/>
      <c r="G4" s="17"/>
      <c r="H4" s="17"/>
      <c r="I4" s="17"/>
      <c r="J4" s="17"/>
      <c r="K4" s="17"/>
      <c r="L4" s="16" t="s">
        <v>35</v>
      </c>
      <c r="M4" s="17"/>
      <c r="N4" s="17"/>
      <c r="O4" s="17"/>
      <c r="P4" s="19">
        <f>(D34+H34)/(B34+F34)</f>
        <v>-5.694274922871341E-3</v>
      </c>
      <c r="Q4" s="17"/>
      <c r="R4" s="17"/>
    </row>
    <row r="5" spans="1:18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6" t="s">
        <v>36</v>
      </c>
      <c r="M5" s="17"/>
      <c r="N5" s="17"/>
      <c r="O5" s="17"/>
      <c r="P5" s="20">
        <f>'Avg Age'!$G$39</f>
        <v>13.932856323482223</v>
      </c>
      <c r="Q5" s="17"/>
      <c r="R5" s="17"/>
    </row>
    <row r="6" spans="1:18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6" t="s">
        <v>37</v>
      </c>
      <c r="M6" s="17"/>
      <c r="N6" s="17"/>
      <c r="O6" s="17"/>
      <c r="P6" s="21">
        <f>N34/(L21+J34)</f>
        <v>10.193767319227458</v>
      </c>
      <c r="Q6" s="17"/>
      <c r="R6" s="17"/>
    </row>
    <row r="7" spans="1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6" t="s">
        <v>38</v>
      </c>
      <c r="M7" s="17"/>
      <c r="N7" s="17"/>
      <c r="O7" s="17"/>
      <c r="P7" s="21">
        <f>P5+P6</f>
        <v>24.126623642709681</v>
      </c>
      <c r="Q7" s="17"/>
      <c r="R7" s="17"/>
    </row>
    <row r="8" spans="1:18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6" t="s">
        <v>39</v>
      </c>
      <c r="M8" s="17"/>
      <c r="N8" s="17"/>
      <c r="O8" s="17"/>
      <c r="P8" s="19">
        <f>R21/L21</f>
        <v>0.28914075638516268</v>
      </c>
      <c r="Q8" s="17"/>
      <c r="R8" s="17"/>
    </row>
    <row r="9" spans="1:18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6" t="s">
        <v>40</v>
      </c>
      <c r="M9" s="17"/>
      <c r="N9" s="17"/>
      <c r="O9" s="17"/>
      <c r="P9" s="17">
        <f>((P5/P7)*((1-P4))*L21)</f>
        <v>1919810.3511418861</v>
      </c>
      <c r="Q9" s="17"/>
      <c r="R9" s="17"/>
    </row>
    <row r="10" spans="1:18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 t="s">
        <v>41</v>
      </c>
      <c r="M10" s="17"/>
      <c r="N10" s="17"/>
      <c r="O10" s="17"/>
      <c r="P10" s="22">
        <f>'IRR and Int Ret %'!$D$9</f>
        <v>1.4999999999999999E-2</v>
      </c>
      <c r="Q10" s="17"/>
      <c r="R10" s="17"/>
    </row>
    <row r="11" spans="1:18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 t="s">
        <v>42</v>
      </c>
      <c r="M11" s="17"/>
      <c r="N11" s="17"/>
      <c r="O11" s="17"/>
      <c r="P11" s="23">
        <v>0</v>
      </c>
      <c r="Q11" s="17"/>
      <c r="R11" s="17"/>
    </row>
    <row r="12" spans="1:18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 t="s">
        <v>43</v>
      </c>
      <c r="M12" s="17"/>
      <c r="N12" s="17"/>
      <c r="O12" s="17"/>
      <c r="P12" s="24">
        <f>(L21+J34-D34-H34-R21)/N34</f>
        <v>7.0293297472676972E-2</v>
      </c>
      <c r="Q12" s="17"/>
      <c r="R12" s="17"/>
    </row>
    <row r="13" spans="1:18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6" t="s">
        <v>44</v>
      </c>
      <c r="M13" s="17"/>
      <c r="N13" s="17"/>
      <c r="O13" s="17"/>
      <c r="P13" s="24">
        <f>-P4/P7</f>
        <v>2.3601623696699786E-4</v>
      </c>
      <c r="Q13" s="17"/>
      <c r="R13" s="17"/>
    </row>
    <row r="14" spans="1:18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 t="s">
        <v>123</v>
      </c>
      <c r="M14" s="17"/>
      <c r="N14" s="17"/>
      <c r="O14" s="17"/>
      <c r="P14" s="24">
        <f>P12-P13</f>
        <v>7.0057281235709978E-2</v>
      </c>
      <c r="Q14" s="17"/>
      <c r="R14" s="17"/>
    </row>
    <row r="15" spans="1:18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5"/>
      <c r="M15" s="17"/>
      <c r="N15" s="17"/>
      <c r="O15" s="17"/>
      <c r="P15" s="17"/>
      <c r="Q15" s="17"/>
      <c r="R15" s="17"/>
    </row>
    <row r="16" spans="1:18" x14ac:dyDescent="0.25">
      <c r="A16" s="26" t="s">
        <v>45</v>
      </c>
      <c r="B16" s="25" t="s">
        <v>46</v>
      </c>
      <c r="C16" s="25"/>
      <c r="D16" s="25" t="s">
        <v>47</v>
      </c>
      <c r="E16" s="25"/>
      <c r="F16" s="25" t="s">
        <v>48</v>
      </c>
      <c r="G16" s="25"/>
      <c r="H16" s="25" t="s">
        <v>49</v>
      </c>
      <c r="I16" s="25"/>
      <c r="J16" s="25" t="s">
        <v>50</v>
      </c>
      <c r="K16" s="17"/>
      <c r="L16" s="25" t="s">
        <v>51</v>
      </c>
      <c r="M16" s="17"/>
      <c r="N16" s="25" t="s">
        <v>52</v>
      </c>
      <c r="O16" s="25"/>
      <c r="P16" s="25" t="s">
        <v>53</v>
      </c>
      <c r="Q16" s="25"/>
      <c r="R16" s="25" t="s">
        <v>54</v>
      </c>
    </row>
    <row r="17" spans="1:18" x14ac:dyDescent="0.25">
      <c r="A17" s="26"/>
      <c r="B17" s="25" t="s">
        <v>55</v>
      </c>
      <c r="C17" s="25"/>
      <c r="D17" s="25" t="s">
        <v>55</v>
      </c>
      <c r="E17" s="25"/>
      <c r="F17" s="25" t="s">
        <v>56</v>
      </c>
      <c r="G17" s="25"/>
      <c r="H17" s="25" t="s">
        <v>56</v>
      </c>
      <c r="I17" s="25"/>
      <c r="J17" s="25" t="s">
        <v>55</v>
      </c>
      <c r="K17" s="17"/>
      <c r="L17" s="25" t="s">
        <v>57</v>
      </c>
      <c r="M17" s="17"/>
      <c r="N17" s="25" t="s">
        <v>58</v>
      </c>
      <c r="O17" s="25"/>
      <c r="P17" s="25" t="s">
        <v>59</v>
      </c>
      <c r="Q17" s="25"/>
      <c r="R17" s="25" t="s">
        <v>57</v>
      </c>
    </row>
    <row r="18" spans="1:18" x14ac:dyDescent="0.25">
      <c r="A18" s="27" t="s">
        <v>60</v>
      </c>
      <c r="B18" s="28" t="s">
        <v>61</v>
      </c>
      <c r="C18" s="28"/>
      <c r="D18" s="28" t="s">
        <v>62</v>
      </c>
      <c r="E18" s="28"/>
      <c r="F18" s="28" t="s">
        <v>63</v>
      </c>
      <c r="G18" s="28"/>
      <c r="H18" s="28" t="s">
        <v>62</v>
      </c>
      <c r="I18" s="28"/>
      <c r="J18" s="28" t="s">
        <v>64</v>
      </c>
      <c r="K18" s="17"/>
      <c r="L18" s="28" t="s">
        <v>65</v>
      </c>
      <c r="M18" s="17"/>
      <c r="N18" s="28" t="s">
        <v>65</v>
      </c>
      <c r="O18" s="28"/>
      <c r="P18" s="28" t="s">
        <v>66</v>
      </c>
      <c r="Q18" s="28"/>
      <c r="R18" s="28" t="s">
        <v>67</v>
      </c>
    </row>
    <row r="19" spans="1:18" x14ac:dyDescent="0.25">
      <c r="B19" s="25" t="s">
        <v>68</v>
      </c>
      <c r="C19" s="17"/>
      <c r="D19" s="25" t="s">
        <v>68</v>
      </c>
      <c r="E19" s="17"/>
      <c r="F19" s="25" t="s">
        <v>68</v>
      </c>
      <c r="G19" s="17"/>
      <c r="H19" s="25" t="s">
        <v>68</v>
      </c>
      <c r="I19" s="17"/>
      <c r="J19" s="25" t="s">
        <v>68</v>
      </c>
      <c r="K19" s="17"/>
      <c r="L19" s="25" t="s">
        <v>68</v>
      </c>
      <c r="M19" s="17"/>
      <c r="N19" s="25" t="s">
        <v>68</v>
      </c>
      <c r="O19" s="17"/>
      <c r="P19" s="25" t="s">
        <v>68</v>
      </c>
      <c r="Q19" s="17"/>
      <c r="R19" s="25" t="s">
        <v>68</v>
      </c>
    </row>
    <row r="20" spans="1:18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>
        <v>2016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0">
        <f>'Avg Age'!$E$39</f>
        <v>3305588.1429691189</v>
      </c>
      <c r="M21" s="17"/>
      <c r="N21" s="17"/>
      <c r="O21" s="17"/>
      <c r="P21" s="17"/>
      <c r="Q21" s="17"/>
      <c r="R21" s="30">
        <v>955780.25595591625</v>
      </c>
    </row>
    <row r="22" spans="1:18" x14ac:dyDescent="0.25">
      <c r="A22">
        <f t="shared" ref="A22:A31" si="0">A21+1</f>
        <v>2017</v>
      </c>
      <c r="B22" s="17">
        <f t="shared" ref="B22:B27" si="1">L21*$P$10</f>
        <v>49583.822144536782</v>
      </c>
      <c r="C22" s="17"/>
      <c r="D22" s="17">
        <f t="shared" ref="D22:D27" si="2">B22*$P$2</f>
        <v>-2479.1911072268394</v>
      </c>
      <c r="E22" s="17"/>
      <c r="F22" s="17"/>
      <c r="G22" s="17"/>
      <c r="H22" s="17"/>
      <c r="I22" s="17"/>
      <c r="J22" s="17">
        <f>B22*$P$11</f>
        <v>0</v>
      </c>
      <c r="K22" s="17"/>
      <c r="L22" s="17">
        <f t="shared" ref="L22" si="3">L21+J22-B22-F22</f>
        <v>3256004.3208245821</v>
      </c>
      <c r="M22" s="17"/>
      <c r="N22" s="17">
        <f t="shared" ref="N22" si="4">(L21+L22)/2</f>
        <v>3280796.2318968503</v>
      </c>
      <c r="O22" s="17"/>
      <c r="P22" s="17">
        <f t="shared" ref="P22" si="5">N22*$P$12</f>
        <v>230617.98547596301</v>
      </c>
      <c r="Q22" s="17"/>
      <c r="R22" s="17">
        <f t="shared" ref="R22" si="6">R21+P22-B22-F22+D22+H22</f>
        <v>1134335.2281801158</v>
      </c>
    </row>
    <row r="23" spans="1:18" x14ac:dyDescent="0.25">
      <c r="A23">
        <f t="shared" si="0"/>
        <v>2018</v>
      </c>
      <c r="B23" s="17">
        <f t="shared" si="1"/>
        <v>48840.064812368728</v>
      </c>
      <c r="C23" s="17"/>
      <c r="D23" s="17">
        <f t="shared" si="2"/>
        <v>-2442.0032406184364</v>
      </c>
      <c r="E23" s="17"/>
      <c r="F23" s="17"/>
      <c r="G23" s="17"/>
      <c r="H23" s="17"/>
      <c r="I23" s="17"/>
      <c r="J23" s="17">
        <f>B23*$P$11</f>
        <v>0</v>
      </c>
      <c r="K23" s="17"/>
      <c r="L23" s="17">
        <f t="shared" ref="L23:L32" si="7">L22+J23-B23-F23</f>
        <v>3207164.2560122134</v>
      </c>
      <c r="M23" s="17"/>
      <c r="N23" s="17">
        <f t="shared" ref="N23:N31" si="8">(L22+L23)/2</f>
        <v>3231584.2884183978</v>
      </c>
      <c r="O23" s="17"/>
      <c r="P23" s="17">
        <f t="shared" ref="P23:P32" si="9">N23*$P$12</f>
        <v>227158.71569382356</v>
      </c>
      <c r="Q23" s="17"/>
      <c r="R23" s="17">
        <f t="shared" ref="R23:R32" si="10">R22+P23-B23-F23+D23+H23</f>
        <v>1310211.8758209522</v>
      </c>
    </row>
    <row r="24" spans="1:18" x14ac:dyDescent="0.25">
      <c r="A24">
        <f t="shared" si="0"/>
        <v>2019</v>
      </c>
      <c r="B24" s="17">
        <f t="shared" si="1"/>
        <v>48107.463840183198</v>
      </c>
      <c r="C24" s="17"/>
      <c r="D24" s="17">
        <f t="shared" si="2"/>
        <v>-2405.37319200916</v>
      </c>
      <c r="E24" s="17"/>
      <c r="F24" s="17"/>
      <c r="G24" s="17"/>
      <c r="H24" s="17"/>
      <c r="I24" s="17"/>
      <c r="J24" s="17">
        <f>B24*$P$11</f>
        <v>0</v>
      </c>
      <c r="K24" s="17"/>
      <c r="L24" s="17">
        <f t="shared" si="7"/>
        <v>3159056.7921720301</v>
      </c>
      <c r="M24" s="17"/>
      <c r="N24" s="17">
        <f t="shared" si="8"/>
        <v>3183110.524092122</v>
      </c>
      <c r="O24" s="17"/>
      <c r="P24" s="17">
        <f t="shared" si="9"/>
        <v>223751.33495841624</v>
      </c>
      <c r="Q24" s="17"/>
      <c r="R24" s="17">
        <f t="shared" si="10"/>
        <v>1483450.3737471763</v>
      </c>
    </row>
    <row r="25" spans="1:18" x14ac:dyDescent="0.25">
      <c r="A25">
        <f t="shared" si="0"/>
        <v>2020</v>
      </c>
      <c r="B25" s="17">
        <f t="shared" si="1"/>
        <v>47385.851882580449</v>
      </c>
      <c r="C25" s="17"/>
      <c r="D25" s="17">
        <f t="shared" si="2"/>
        <v>-2369.2925941290227</v>
      </c>
      <c r="E25" s="17"/>
      <c r="F25" s="17"/>
      <c r="G25" s="17"/>
      <c r="H25" s="17"/>
      <c r="I25" s="17"/>
      <c r="J25" s="17">
        <f>B25*$P$11</f>
        <v>0</v>
      </c>
      <c r="K25" s="17"/>
      <c r="L25" s="17">
        <f t="shared" si="7"/>
        <v>3111670.9402894494</v>
      </c>
      <c r="M25" s="17"/>
      <c r="N25" s="17">
        <f t="shared" si="8"/>
        <v>3135363.8662307397</v>
      </c>
      <c r="O25" s="17"/>
      <c r="P25" s="17">
        <f t="shared" si="9"/>
        <v>220395.06493403995</v>
      </c>
      <c r="Q25" s="17"/>
      <c r="R25" s="17">
        <f t="shared" si="10"/>
        <v>1654090.2942045068</v>
      </c>
    </row>
    <row r="26" spans="1:18" x14ac:dyDescent="0.25">
      <c r="A26">
        <f t="shared" si="0"/>
        <v>2021</v>
      </c>
      <c r="B26" s="17">
        <f t="shared" si="1"/>
        <v>46675.064104341742</v>
      </c>
      <c r="C26" s="17"/>
      <c r="D26" s="17">
        <f t="shared" si="2"/>
        <v>-2333.7532052170873</v>
      </c>
      <c r="E26" s="17"/>
      <c r="F26" s="17"/>
      <c r="G26" s="17"/>
      <c r="H26" s="17"/>
      <c r="I26" s="17"/>
      <c r="J26" s="17"/>
      <c r="K26" s="17"/>
      <c r="L26" s="17">
        <f t="shared" si="7"/>
        <v>3064995.8761851075</v>
      </c>
      <c r="M26" s="17"/>
      <c r="N26" s="17">
        <f t="shared" si="8"/>
        <v>3088333.4082372785</v>
      </c>
      <c r="O26" s="17"/>
      <c r="P26" s="17">
        <f t="shared" si="9"/>
        <v>217089.13896002935</v>
      </c>
      <c r="Q26" s="17"/>
      <c r="R26" s="17">
        <f t="shared" si="10"/>
        <v>1822170.6158549772</v>
      </c>
    </row>
    <row r="27" spans="1:18" x14ac:dyDescent="0.25">
      <c r="A27">
        <f t="shared" si="0"/>
        <v>2022</v>
      </c>
      <c r="B27" s="17">
        <f t="shared" si="1"/>
        <v>45974.938142776613</v>
      </c>
      <c r="C27" s="17"/>
      <c r="D27" s="17">
        <f t="shared" si="2"/>
        <v>-2298.7469071388309</v>
      </c>
      <c r="E27" s="17"/>
      <c r="F27" s="17"/>
      <c r="G27" s="17"/>
      <c r="H27" s="17"/>
      <c r="I27" s="17"/>
      <c r="J27" s="17"/>
      <c r="K27" s="17"/>
      <c r="L27" s="17">
        <f t="shared" si="7"/>
        <v>3019020.938042331</v>
      </c>
      <c r="M27" s="17"/>
      <c r="N27" s="17">
        <f t="shared" si="8"/>
        <v>3042008.4071137193</v>
      </c>
      <c r="O27" s="17"/>
      <c r="P27" s="17">
        <f t="shared" si="9"/>
        <v>213832.80187562891</v>
      </c>
      <c r="Q27" s="17"/>
      <c r="R27" s="17">
        <f t="shared" si="10"/>
        <v>1987729.7326806907</v>
      </c>
    </row>
    <row r="28" spans="1:18" x14ac:dyDescent="0.25">
      <c r="A28">
        <f t="shared" si="0"/>
        <v>2023</v>
      </c>
      <c r="B28" s="17">
        <f t="shared" ref="B28:B29" si="11">L27*$P$10</f>
        <v>45285.314070634966</v>
      </c>
      <c r="C28" s="17"/>
      <c r="D28" s="17">
        <f t="shared" ref="D28:D29" si="12">B28*$P$2</f>
        <v>-2264.2657035317484</v>
      </c>
      <c r="E28" s="17"/>
      <c r="F28" s="17"/>
      <c r="G28" s="17"/>
      <c r="H28" s="17"/>
      <c r="I28" s="17"/>
      <c r="J28" s="17"/>
      <c r="K28" s="17"/>
      <c r="L28" s="17">
        <f t="shared" si="7"/>
        <v>2973735.623971696</v>
      </c>
      <c r="M28" s="17"/>
      <c r="N28" s="17">
        <f t="shared" si="8"/>
        <v>2996378.2810070133</v>
      </c>
      <c r="O28" s="17"/>
      <c r="P28" s="17">
        <f t="shared" si="9"/>
        <v>210625.30984749444</v>
      </c>
      <c r="Q28" s="17"/>
      <c r="R28" s="17">
        <f t="shared" si="10"/>
        <v>2150805.4627540181</v>
      </c>
    </row>
    <row r="29" spans="1:18" x14ac:dyDescent="0.25">
      <c r="A29">
        <f t="shared" si="0"/>
        <v>2024</v>
      </c>
      <c r="B29" s="17">
        <f t="shared" si="11"/>
        <v>44606.034359575438</v>
      </c>
      <c r="C29" s="17"/>
      <c r="D29" s="17">
        <f t="shared" si="12"/>
        <v>-2230.3017179787721</v>
      </c>
      <c r="E29" s="17"/>
      <c r="F29" s="17"/>
      <c r="G29" s="17"/>
      <c r="H29" s="17"/>
      <c r="I29" s="17"/>
      <c r="J29" s="17"/>
      <c r="K29" s="17"/>
      <c r="L29" s="17">
        <f t="shared" si="7"/>
        <v>2929129.5896121208</v>
      </c>
      <c r="M29" s="17"/>
      <c r="N29" s="17">
        <f t="shared" si="8"/>
        <v>2951432.6067919084</v>
      </c>
      <c r="O29" s="17"/>
      <c r="P29" s="17">
        <f t="shared" si="9"/>
        <v>207465.93019978207</v>
      </c>
      <c r="Q29" s="17"/>
      <c r="R29" s="17">
        <f t="shared" si="10"/>
        <v>2311435.0568762459</v>
      </c>
    </row>
    <row r="30" spans="1:18" x14ac:dyDescent="0.25">
      <c r="A30">
        <f t="shared" si="0"/>
        <v>2025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>
        <f t="shared" si="7"/>
        <v>2929129.5896121208</v>
      </c>
      <c r="M30" s="17"/>
      <c r="N30" s="17">
        <f t="shared" si="8"/>
        <v>2929129.5896121208</v>
      </c>
      <c r="O30" s="17"/>
      <c r="P30" s="17">
        <f t="shared" si="9"/>
        <v>205898.17757862504</v>
      </c>
      <c r="Q30" s="17"/>
      <c r="R30" s="17">
        <f t="shared" si="10"/>
        <v>2517333.2344548712</v>
      </c>
    </row>
    <row r="31" spans="1:18" x14ac:dyDescent="0.25">
      <c r="A31">
        <f t="shared" si="0"/>
        <v>2026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>
        <f t="shared" si="7"/>
        <v>2929129.5896121208</v>
      </c>
      <c r="M31" s="17"/>
      <c r="N31" s="17">
        <f t="shared" si="8"/>
        <v>2929129.5896121208</v>
      </c>
      <c r="O31" s="17"/>
      <c r="P31" s="17">
        <f t="shared" si="9"/>
        <v>205898.17757862504</v>
      </c>
      <c r="Q31" s="17"/>
      <c r="R31" s="17">
        <f t="shared" si="10"/>
        <v>2723231.4120334964</v>
      </c>
    </row>
    <row r="32" spans="1:18" x14ac:dyDescent="0.25">
      <c r="A32">
        <v>2027</v>
      </c>
      <c r="B32" s="17"/>
      <c r="C32" s="17"/>
      <c r="D32" s="17"/>
      <c r="E32" s="17"/>
      <c r="F32" s="17">
        <f>+L29</f>
        <v>2929129.5896121208</v>
      </c>
      <c r="G32" s="17"/>
      <c r="H32" s="17">
        <f>F32*P$3</f>
        <v>0</v>
      </c>
      <c r="I32" s="17"/>
      <c r="J32" s="17"/>
      <c r="K32" s="17"/>
      <c r="L32" s="17">
        <f t="shared" si="7"/>
        <v>0</v>
      </c>
      <c r="M32" s="17"/>
      <c r="N32" s="17">
        <f>+L31</f>
        <v>2929129.5896121208</v>
      </c>
      <c r="O32" s="17"/>
      <c r="P32" s="17">
        <f t="shared" si="9"/>
        <v>205898.17757862504</v>
      </c>
      <c r="Q32" s="17"/>
      <c r="R32" s="17">
        <f t="shared" si="10"/>
        <v>9.3132257461547852E-10</v>
      </c>
    </row>
    <row r="33" spans="1:18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x14ac:dyDescent="0.25">
      <c r="A34" s="26" t="s">
        <v>69</v>
      </c>
      <c r="B34" s="31">
        <f>SUM(B22:B32)</f>
        <v>376458.55335699784</v>
      </c>
      <c r="C34" s="32" t="s">
        <v>20</v>
      </c>
      <c r="D34" s="31">
        <f>SUM(D22:D32)</f>
        <v>-18822.927667849897</v>
      </c>
      <c r="E34" s="17"/>
      <c r="F34" s="31">
        <f>SUM(F22:F32)</f>
        <v>2929129.5896121208</v>
      </c>
      <c r="G34" s="17"/>
      <c r="H34" s="31">
        <f>SUM(H22:H32)</f>
        <v>0</v>
      </c>
      <c r="I34" s="17"/>
      <c r="J34" s="31">
        <f>SUM(J22:J32)</f>
        <v>0</v>
      </c>
      <c r="K34" s="17"/>
      <c r="L34" s="17"/>
      <c r="M34" s="17"/>
      <c r="N34" s="31">
        <f>SUM(N22:N32)</f>
        <v>33696396.382624388</v>
      </c>
      <c r="O34" s="17"/>
      <c r="P34" s="17"/>
      <c r="Q34" s="17"/>
      <c r="R34" s="17"/>
    </row>
    <row r="35" spans="1:18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workbookViewId="0">
      <selection activeCell="L14" sqref="L14:P14"/>
    </sheetView>
  </sheetViews>
  <sheetFormatPr defaultRowHeight="15" x14ac:dyDescent="0.25"/>
  <cols>
    <col min="3" max="3" width="3" customWidth="1"/>
    <col min="5" max="5" width="2.7109375" customWidth="1"/>
    <col min="7" max="7" width="1.5703125" customWidth="1"/>
    <col min="9" max="9" width="2.7109375" customWidth="1"/>
    <col min="11" max="11" width="2.42578125" customWidth="1"/>
    <col min="13" max="13" width="1.5703125" customWidth="1"/>
    <col min="15" max="15" width="2" customWidth="1"/>
    <col min="17" max="17" width="2.28515625" customWidth="1"/>
  </cols>
  <sheetData>
    <row r="1" spans="1:18" x14ac:dyDescent="0.25">
      <c r="B1" s="16" t="s">
        <v>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B2" s="18" t="s">
        <v>71</v>
      </c>
      <c r="C2" s="17"/>
      <c r="D2" s="17"/>
      <c r="E2" s="17"/>
      <c r="F2" s="17"/>
      <c r="G2" s="17"/>
      <c r="H2" s="17"/>
      <c r="I2" s="17"/>
      <c r="J2" s="17"/>
      <c r="K2" s="17"/>
      <c r="L2" s="16" t="s">
        <v>33</v>
      </c>
      <c r="M2" s="17"/>
      <c r="N2" s="17"/>
      <c r="O2" s="17"/>
      <c r="P2" s="19">
        <f>'IRR and Int Ret %'!$F$10</f>
        <v>-0.05</v>
      </c>
      <c r="Q2" s="17"/>
      <c r="R2" s="17"/>
    </row>
    <row r="3" spans="1:18" x14ac:dyDescent="0.25">
      <c r="B3" s="16" t="s">
        <v>81</v>
      </c>
      <c r="C3" s="17"/>
      <c r="D3" s="17"/>
      <c r="E3" s="17"/>
      <c r="F3" s="17"/>
      <c r="G3" s="17"/>
      <c r="H3" s="17"/>
      <c r="I3" s="17"/>
      <c r="J3" s="17"/>
      <c r="K3" s="17"/>
      <c r="L3" s="16" t="s">
        <v>34</v>
      </c>
      <c r="M3" s="17"/>
      <c r="N3" s="17"/>
      <c r="O3" s="17"/>
      <c r="P3" s="19">
        <v>0</v>
      </c>
      <c r="Q3" s="17"/>
      <c r="R3" s="17"/>
    </row>
    <row r="4" spans="1:18" x14ac:dyDescent="0.25">
      <c r="B4" s="33" t="s">
        <v>80</v>
      </c>
      <c r="C4" s="17"/>
      <c r="D4" s="17"/>
      <c r="E4" s="17"/>
      <c r="F4" s="17"/>
      <c r="G4" s="17"/>
      <c r="H4" s="17"/>
      <c r="I4" s="17"/>
      <c r="J4" s="17"/>
      <c r="K4" s="17"/>
      <c r="L4" s="16" t="s">
        <v>35</v>
      </c>
      <c r="M4" s="17"/>
      <c r="N4" s="17"/>
      <c r="O4" s="17"/>
      <c r="P4" s="19">
        <f>(D33+H33)/(B33+F33)</f>
        <v>-6.762367427417623E-3</v>
      </c>
      <c r="Q4" s="17"/>
      <c r="R4" s="17"/>
    </row>
    <row r="5" spans="1:18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6" t="s">
        <v>36</v>
      </c>
      <c r="M5" s="17"/>
      <c r="N5" s="17"/>
      <c r="O5" s="17"/>
      <c r="P5" s="20">
        <f>'Avg Age'!$G$42</f>
        <v>3.9416799045427613</v>
      </c>
      <c r="Q5" s="17"/>
      <c r="R5" s="17"/>
    </row>
    <row r="6" spans="1:18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6" t="s">
        <v>37</v>
      </c>
      <c r="M6" s="17"/>
      <c r="N6" s="17"/>
      <c r="O6" s="17"/>
      <c r="P6" s="21">
        <f>N33/(L21+J33)</f>
        <v>10.04037586610035</v>
      </c>
      <c r="Q6" s="17"/>
      <c r="R6" s="17"/>
    </row>
    <row r="7" spans="1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6" t="s">
        <v>38</v>
      </c>
      <c r="M7" s="17"/>
      <c r="N7" s="17"/>
      <c r="O7" s="17"/>
      <c r="P7" s="21">
        <f>P5+P6</f>
        <v>13.982055770643111</v>
      </c>
      <c r="Q7" s="17"/>
      <c r="R7" s="17"/>
    </row>
    <row r="8" spans="1:18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6" t="s">
        <v>39</v>
      </c>
      <c r="M8" s="17"/>
      <c r="N8" s="17"/>
      <c r="O8" s="17"/>
      <c r="P8" s="19">
        <f>R21/L21</f>
        <v>-0.2143066923974454</v>
      </c>
      <c r="Q8" s="17"/>
      <c r="R8" s="17"/>
    </row>
    <row r="9" spans="1:18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6" t="s">
        <v>40</v>
      </c>
      <c r="M9" s="17"/>
      <c r="N9" s="17"/>
      <c r="O9" s="17"/>
      <c r="P9" s="17">
        <f>((P5/P7)*((1-P4))*L21)</f>
        <v>14450.541431620684</v>
      </c>
      <c r="Q9" s="17"/>
      <c r="R9" s="17"/>
    </row>
    <row r="10" spans="1:18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 t="s">
        <v>41</v>
      </c>
      <c r="M10" s="17"/>
      <c r="N10" s="17"/>
      <c r="O10" s="17"/>
      <c r="P10" s="22">
        <f>'IRR and Int Ret %'!$D$10</f>
        <v>1.7999999999999999E-2</v>
      </c>
      <c r="Q10" s="17"/>
      <c r="R10" s="17"/>
    </row>
    <row r="11" spans="1:18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 t="s">
        <v>42</v>
      </c>
      <c r="M11" s="17"/>
      <c r="N11" s="17"/>
      <c r="O11" s="17"/>
      <c r="P11" s="23">
        <v>0</v>
      </c>
      <c r="Q11" s="17"/>
      <c r="R11" s="17"/>
    </row>
    <row r="12" spans="1:18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 t="s">
        <v>43</v>
      </c>
      <c r="M12" s="17"/>
      <c r="N12" s="17"/>
      <c r="O12" s="17"/>
      <c r="P12" s="24">
        <f>(L21+J33-D33-H33-R21)/N33</f>
        <v>0.12161587136868039</v>
      </c>
      <c r="Q12" s="17"/>
      <c r="R12" s="17"/>
    </row>
    <row r="13" spans="1:18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6" t="s">
        <v>44</v>
      </c>
      <c r="M13" s="17"/>
      <c r="N13" s="17"/>
      <c r="O13" s="17"/>
      <c r="P13" s="24">
        <f>-P4/P7</f>
        <v>4.8364614891724075E-4</v>
      </c>
      <c r="Q13" s="17"/>
      <c r="R13" s="17"/>
    </row>
    <row r="14" spans="1:18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 t="s">
        <v>123</v>
      </c>
      <c r="M14" s="17"/>
      <c r="N14" s="17"/>
      <c r="O14" s="17"/>
      <c r="P14" s="24">
        <f>P12-P13</f>
        <v>0.12113222521976315</v>
      </c>
      <c r="Q14" s="17"/>
      <c r="R14" s="17"/>
    </row>
    <row r="15" spans="1:18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5"/>
      <c r="M15" s="17"/>
      <c r="N15" s="17"/>
      <c r="O15" s="17"/>
      <c r="P15" s="17"/>
      <c r="Q15" s="17"/>
      <c r="R15" s="17"/>
    </row>
    <row r="16" spans="1:18" x14ac:dyDescent="0.25">
      <c r="A16" s="26" t="s">
        <v>45</v>
      </c>
      <c r="B16" s="25" t="s">
        <v>46</v>
      </c>
      <c r="C16" s="25"/>
      <c r="D16" s="25" t="s">
        <v>47</v>
      </c>
      <c r="E16" s="25"/>
      <c r="F16" s="25" t="s">
        <v>48</v>
      </c>
      <c r="G16" s="25"/>
      <c r="H16" s="25" t="s">
        <v>49</v>
      </c>
      <c r="I16" s="25"/>
      <c r="J16" s="25" t="s">
        <v>50</v>
      </c>
      <c r="K16" s="17"/>
      <c r="L16" s="25" t="s">
        <v>51</v>
      </c>
      <c r="M16" s="17"/>
      <c r="N16" s="25" t="s">
        <v>52</v>
      </c>
      <c r="O16" s="25"/>
      <c r="P16" s="25" t="s">
        <v>53</v>
      </c>
      <c r="Q16" s="25"/>
      <c r="R16" s="25" t="s">
        <v>54</v>
      </c>
    </row>
    <row r="17" spans="1:18" x14ac:dyDescent="0.25">
      <c r="A17" s="26"/>
      <c r="B17" s="25" t="s">
        <v>55</v>
      </c>
      <c r="C17" s="25"/>
      <c r="D17" s="25" t="s">
        <v>55</v>
      </c>
      <c r="E17" s="25"/>
      <c r="F17" s="25" t="s">
        <v>56</v>
      </c>
      <c r="G17" s="25"/>
      <c r="H17" s="25" t="s">
        <v>56</v>
      </c>
      <c r="I17" s="25"/>
      <c r="J17" s="25" t="s">
        <v>55</v>
      </c>
      <c r="K17" s="17"/>
      <c r="L17" s="25" t="s">
        <v>57</v>
      </c>
      <c r="M17" s="17"/>
      <c r="N17" s="25" t="s">
        <v>58</v>
      </c>
      <c r="O17" s="25"/>
      <c r="P17" s="25" t="s">
        <v>59</v>
      </c>
      <c r="Q17" s="25"/>
      <c r="R17" s="25" t="s">
        <v>57</v>
      </c>
    </row>
    <row r="18" spans="1:18" x14ac:dyDescent="0.25">
      <c r="A18" s="27" t="s">
        <v>60</v>
      </c>
      <c r="B18" s="28" t="s">
        <v>61</v>
      </c>
      <c r="C18" s="28"/>
      <c r="D18" s="28" t="s">
        <v>62</v>
      </c>
      <c r="E18" s="28"/>
      <c r="F18" s="28" t="s">
        <v>63</v>
      </c>
      <c r="G18" s="28"/>
      <c r="H18" s="28" t="s">
        <v>62</v>
      </c>
      <c r="I18" s="28"/>
      <c r="J18" s="28" t="s">
        <v>64</v>
      </c>
      <c r="K18" s="17"/>
      <c r="L18" s="28" t="s">
        <v>65</v>
      </c>
      <c r="M18" s="17"/>
      <c r="N18" s="28" t="s">
        <v>65</v>
      </c>
      <c r="O18" s="28"/>
      <c r="P18" s="28" t="s">
        <v>66</v>
      </c>
      <c r="Q18" s="28"/>
      <c r="R18" s="28" t="s">
        <v>67</v>
      </c>
    </row>
    <row r="19" spans="1:18" x14ac:dyDescent="0.25">
      <c r="B19" s="25" t="s">
        <v>68</v>
      </c>
      <c r="C19" s="17"/>
      <c r="D19" s="25" t="s">
        <v>68</v>
      </c>
      <c r="E19" s="17"/>
      <c r="F19" s="25" t="s">
        <v>68</v>
      </c>
      <c r="G19" s="17"/>
      <c r="H19" s="25" t="s">
        <v>68</v>
      </c>
      <c r="I19" s="17"/>
      <c r="J19" s="25" t="s">
        <v>68</v>
      </c>
      <c r="K19" s="17"/>
      <c r="L19" s="25" t="s">
        <v>68</v>
      </c>
      <c r="M19" s="17"/>
      <c r="N19" s="25" t="s">
        <v>68</v>
      </c>
      <c r="O19" s="17"/>
      <c r="P19" s="25" t="s">
        <v>68</v>
      </c>
      <c r="Q19" s="17"/>
      <c r="R19" s="25" t="s">
        <v>68</v>
      </c>
    </row>
    <row r="20" spans="1:18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>
        <v>2016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0">
        <f>'Avg Age'!$E$42</f>
        <v>50915.126017081006</v>
      </c>
      <c r="M21" s="17"/>
      <c r="N21" s="17"/>
      <c r="O21" s="17"/>
      <c r="P21" s="17"/>
      <c r="Q21" s="17"/>
      <c r="R21" s="30">
        <v>-10911.452249719749</v>
      </c>
    </row>
    <row r="22" spans="1:18" x14ac:dyDescent="0.25">
      <c r="A22">
        <f t="shared" ref="A22:A32" si="0">A21+1</f>
        <v>2017</v>
      </c>
      <c r="B22" s="17">
        <f t="shared" ref="B22:B27" si="1">L21*$P$10</f>
        <v>916.47226830745808</v>
      </c>
      <c r="C22" s="17"/>
      <c r="D22" s="17">
        <f t="shared" ref="D22:D27" si="2">B22*$P$2</f>
        <v>-45.823613415372904</v>
      </c>
      <c r="E22" s="17"/>
      <c r="F22" s="17"/>
      <c r="G22" s="17"/>
      <c r="H22" s="17"/>
      <c r="I22" s="17"/>
      <c r="J22" s="17">
        <f>B22*$P$11</f>
        <v>0</v>
      </c>
      <c r="K22" s="17"/>
      <c r="L22" s="17">
        <f t="shared" ref="L22:L27" si="3">L21+J22-B22-F22</f>
        <v>49998.653748773548</v>
      </c>
      <c r="M22" s="17"/>
      <c r="N22" s="17">
        <f t="shared" ref="N22:N27" si="4">(L21+L22)/2</f>
        <v>50456.88988292728</v>
      </c>
      <c r="O22" s="17"/>
      <c r="P22" s="17">
        <f t="shared" ref="P22:P27" si="5">N22*$P$12</f>
        <v>6136.358629665755</v>
      </c>
      <c r="Q22" s="17"/>
      <c r="R22" s="17">
        <f t="shared" ref="R22:R27" si="6">R21+P22-B22-F22+D22+H22</f>
        <v>-5737.3895017768245</v>
      </c>
    </row>
    <row r="23" spans="1:18" x14ac:dyDescent="0.25">
      <c r="A23">
        <f t="shared" si="0"/>
        <v>2018</v>
      </c>
      <c r="B23" s="17">
        <f t="shared" si="1"/>
        <v>899.9757674779238</v>
      </c>
      <c r="C23" s="17"/>
      <c r="D23" s="17">
        <f t="shared" si="2"/>
        <v>-44.99878837389619</v>
      </c>
      <c r="E23" s="17"/>
      <c r="F23" s="17"/>
      <c r="G23" s="17"/>
      <c r="H23" s="17"/>
      <c r="I23" s="17"/>
      <c r="J23" s="17">
        <f>B23*$P$11</f>
        <v>0</v>
      </c>
      <c r="K23" s="17"/>
      <c r="L23" s="17">
        <f t="shared" si="3"/>
        <v>49098.677981295623</v>
      </c>
      <c r="M23" s="17"/>
      <c r="N23" s="17">
        <f t="shared" si="4"/>
        <v>49548.665865034585</v>
      </c>
      <c r="O23" s="17"/>
      <c r="P23" s="17">
        <f t="shared" si="5"/>
        <v>6025.9041743317712</v>
      </c>
      <c r="Q23" s="17"/>
      <c r="R23" s="17">
        <f t="shared" si="6"/>
        <v>-656.45988329687339</v>
      </c>
    </row>
    <row r="24" spans="1:18" x14ac:dyDescent="0.25">
      <c r="A24">
        <f t="shared" si="0"/>
        <v>2019</v>
      </c>
      <c r="B24" s="17">
        <f t="shared" si="1"/>
        <v>883.7762036633211</v>
      </c>
      <c r="C24" s="17"/>
      <c r="D24" s="17">
        <f t="shared" si="2"/>
        <v>-44.188810183166055</v>
      </c>
      <c r="E24" s="17"/>
      <c r="F24" s="17"/>
      <c r="G24" s="17"/>
      <c r="H24" s="17"/>
      <c r="I24" s="17"/>
      <c r="J24" s="17">
        <f>B24*$P$11</f>
        <v>0</v>
      </c>
      <c r="K24" s="17"/>
      <c r="L24" s="17">
        <f t="shared" si="3"/>
        <v>48214.901777632302</v>
      </c>
      <c r="M24" s="17"/>
      <c r="N24" s="17">
        <f t="shared" si="4"/>
        <v>48656.789879463962</v>
      </c>
      <c r="O24" s="17"/>
      <c r="P24" s="17">
        <f t="shared" si="5"/>
        <v>5917.4378991937992</v>
      </c>
      <c r="Q24" s="17"/>
      <c r="R24" s="17">
        <f t="shared" si="6"/>
        <v>4333.0130020504384</v>
      </c>
    </row>
    <row r="25" spans="1:18" x14ac:dyDescent="0.25">
      <c r="A25">
        <f t="shared" si="0"/>
        <v>2020</v>
      </c>
      <c r="B25" s="17">
        <f t="shared" si="1"/>
        <v>867.86823199738137</v>
      </c>
      <c r="C25" s="17"/>
      <c r="D25" s="17">
        <f t="shared" si="2"/>
        <v>-43.393411599869069</v>
      </c>
      <c r="E25" s="17"/>
      <c r="F25" s="17"/>
      <c r="G25" s="17"/>
      <c r="H25" s="17"/>
      <c r="I25" s="17"/>
      <c r="J25" s="17">
        <f>B25*$P$11</f>
        <v>0</v>
      </c>
      <c r="K25" s="17"/>
      <c r="L25" s="17">
        <f t="shared" si="3"/>
        <v>47347.03354563492</v>
      </c>
      <c r="M25" s="17"/>
      <c r="N25" s="17">
        <f t="shared" si="4"/>
        <v>47780.967661633607</v>
      </c>
      <c r="O25" s="17"/>
      <c r="P25" s="17">
        <f t="shared" si="5"/>
        <v>5810.9240170083103</v>
      </c>
      <c r="Q25" s="17"/>
      <c r="R25" s="17">
        <f t="shared" si="6"/>
        <v>9232.6753754614983</v>
      </c>
    </row>
    <row r="26" spans="1:18" x14ac:dyDescent="0.25">
      <c r="A26">
        <f t="shared" si="0"/>
        <v>2021</v>
      </c>
      <c r="B26" s="17">
        <f t="shared" si="1"/>
        <v>852.24660382142849</v>
      </c>
      <c r="C26" s="17"/>
      <c r="D26" s="17">
        <f t="shared" si="2"/>
        <v>-42.612330191071429</v>
      </c>
      <c r="E26" s="17"/>
      <c r="F26" s="17"/>
      <c r="G26" s="17"/>
      <c r="H26" s="17"/>
      <c r="I26" s="17"/>
      <c r="J26" s="17"/>
      <c r="K26" s="17"/>
      <c r="L26" s="17">
        <f t="shared" si="3"/>
        <v>46494.786941813494</v>
      </c>
      <c r="M26" s="17"/>
      <c r="N26" s="17">
        <f t="shared" si="4"/>
        <v>46920.910243724211</v>
      </c>
      <c r="O26" s="17"/>
      <c r="P26" s="17">
        <f t="shared" si="5"/>
        <v>5706.3273847021619</v>
      </c>
      <c r="Q26" s="17"/>
      <c r="R26" s="17">
        <f t="shared" si="6"/>
        <v>14044.143826151161</v>
      </c>
    </row>
    <row r="27" spans="1:18" x14ac:dyDescent="0.25">
      <c r="A27">
        <f t="shared" si="0"/>
        <v>2022</v>
      </c>
      <c r="B27" s="17">
        <f t="shared" si="1"/>
        <v>836.90616495264283</v>
      </c>
      <c r="C27" s="17"/>
      <c r="D27" s="17">
        <f t="shared" si="2"/>
        <v>-41.845308247632147</v>
      </c>
      <c r="E27" s="17"/>
      <c r="F27" s="17"/>
      <c r="G27" s="17"/>
      <c r="H27" s="17"/>
      <c r="I27" s="17"/>
      <c r="J27" s="17"/>
      <c r="K27" s="17"/>
      <c r="L27" s="17">
        <f t="shared" si="3"/>
        <v>45657.880776860853</v>
      </c>
      <c r="M27" s="17"/>
      <c r="N27" s="17">
        <f t="shared" si="4"/>
        <v>46076.333859337174</v>
      </c>
      <c r="O27" s="17"/>
      <c r="P27" s="17">
        <f t="shared" si="5"/>
        <v>5603.6134917775225</v>
      </c>
      <c r="Q27" s="17"/>
      <c r="R27" s="17">
        <f t="shared" si="6"/>
        <v>18769.00584472841</v>
      </c>
    </row>
    <row r="28" spans="1:18" x14ac:dyDescent="0.25">
      <c r="A28">
        <f t="shared" si="0"/>
        <v>2023</v>
      </c>
      <c r="B28" s="17">
        <f t="shared" ref="B28:B29" si="7">L27*$P$10</f>
        <v>821.8418539834953</v>
      </c>
      <c r="C28" s="17"/>
      <c r="D28" s="17">
        <f t="shared" ref="D28:D29" si="8">B28*$P$2</f>
        <v>-41.092092699174771</v>
      </c>
      <c r="E28" s="17"/>
      <c r="F28" s="17"/>
      <c r="G28" s="17"/>
      <c r="H28" s="17"/>
      <c r="I28" s="17"/>
      <c r="J28" s="17"/>
      <c r="K28" s="17"/>
      <c r="L28" s="17">
        <f t="shared" ref="L28:L32" si="9">L27+J28-B28-F28</f>
        <v>44836.038922877357</v>
      </c>
      <c r="M28" s="17"/>
      <c r="N28" s="17">
        <f t="shared" ref="N28:N31" si="10">(L27+L28)/2</f>
        <v>45246.959849869105</v>
      </c>
      <c r="O28" s="17"/>
      <c r="P28" s="17">
        <f t="shared" ref="P28:P32" si="11">N28*$P$12</f>
        <v>5502.7484489255276</v>
      </c>
      <c r="Q28" s="17"/>
      <c r="R28" s="17">
        <f t="shared" ref="R28:R32" si="12">R27+P28-B28-F28+D28+H28</f>
        <v>23408.820346971268</v>
      </c>
    </row>
    <row r="29" spans="1:18" x14ac:dyDescent="0.25">
      <c r="A29">
        <f t="shared" si="0"/>
        <v>2024</v>
      </c>
      <c r="B29" s="17">
        <f t="shared" si="7"/>
        <v>807.04870061179236</v>
      </c>
      <c r="C29" s="17"/>
      <c r="D29" s="17">
        <f t="shared" si="8"/>
        <v>-40.352435030589618</v>
      </c>
      <c r="E29" s="17"/>
      <c r="F29" s="17"/>
      <c r="G29" s="17"/>
      <c r="H29" s="17"/>
      <c r="I29" s="17"/>
      <c r="J29" s="17"/>
      <c r="K29" s="17"/>
      <c r="L29" s="17">
        <f t="shared" si="9"/>
        <v>44028.990222265566</v>
      </c>
      <c r="M29" s="17"/>
      <c r="N29" s="17">
        <f t="shared" si="10"/>
        <v>44432.514572571461</v>
      </c>
      <c r="O29" s="17"/>
      <c r="P29" s="17">
        <f t="shared" si="11"/>
        <v>5403.6989768448675</v>
      </c>
      <c r="Q29" s="17"/>
      <c r="R29" s="17">
        <f t="shared" si="12"/>
        <v>27965.118188173758</v>
      </c>
    </row>
    <row r="30" spans="1:18" x14ac:dyDescent="0.25">
      <c r="A30">
        <f t="shared" si="0"/>
        <v>2025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>
        <f t="shared" si="9"/>
        <v>44028.990222265566</v>
      </c>
      <c r="M30" s="17"/>
      <c r="N30" s="17">
        <f t="shared" si="10"/>
        <v>44028.990222265566</v>
      </c>
      <c r="O30" s="17"/>
      <c r="P30" s="17">
        <f t="shared" si="11"/>
        <v>5354.624011363936</v>
      </c>
      <c r="Q30" s="17"/>
      <c r="R30" s="17">
        <f t="shared" si="12"/>
        <v>33319.742199537694</v>
      </c>
    </row>
    <row r="31" spans="1:18" x14ac:dyDescent="0.25">
      <c r="A31">
        <f t="shared" si="0"/>
        <v>2026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>
        <f t="shared" si="9"/>
        <v>44028.990222265566</v>
      </c>
      <c r="M31" s="17"/>
      <c r="N31" s="17">
        <f t="shared" si="10"/>
        <v>44028.990222265566</v>
      </c>
      <c r="O31" s="17"/>
      <c r="P31" s="17">
        <f t="shared" si="11"/>
        <v>5354.624011363936</v>
      </c>
      <c r="Q31" s="17"/>
      <c r="R31" s="17">
        <f t="shared" si="12"/>
        <v>38674.36621090163</v>
      </c>
    </row>
    <row r="32" spans="1:18" x14ac:dyDescent="0.25">
      <c r="A32">
        <f t="shared" si="0"/>
        <v>2027</v>
      </c>
      <c r="B32" s="17"/>
      <c r="C32" s="17"/>
      <c r="D32" s="17"/>
      <c r="E32" s="17"/>
      <c r="F32" s="17">
        <f>+L31</f>
        <v>44028.990222265566</v>
      </c>
      <c r="G32" s="17"/>
      <c r="H32" s="17">
        <f>+P3*F32</f>
        <v>0</v>
      </c>
      <c r="I32" s="17"/>
      <c r="J32" s="17"/>
      <c r="K32" s="17"/>
      <c r="L32" s="17">
        <f t="shared" si="9"/>
        <v>0</v>
      </c>
      <c r="M32" s="17"/>
      <c r="N32" s="17">
        <f>+L31</f>
        <v>44028.990222265566</v>
      </c>
      <c r="O32" s="17"/>
      <c r="P32" s="17">
        <f t="shared" si="11"/>
        <v>5354.624011363936</v>
      </c>
      <c r="Q32" s="17"/>
      <c r="R32" s="17">
        <f t="shared" si="12"/>
        <v>0</v>
      </c>
    </row>
    <row r="33" spans="1:18" x14ac:dyDescent="0.25">
      <c r="A33" s="26" t="s">
        <v>69</v>
      </c>
      <c r="B33" s="31">
        <f>SUM(B22:B32)</f>
        <v>6886.1357948154437</v>
      </c>
      <c r="C33" s="31"/>
      <c r="D33" s="31">
        <f>SUM(D22:D32)</f>
        <v>-344.30678974077222</v>
      </c>
      <c r="E33" s="17"/>
      <c r="F33" s="31">
        <f>SUM(F22:F32)</f>
        <v>44028.990222265566</v>
      </c>
      <c r="G33" s="17"/>
      <c r="H33" s="31">
        <f>SUM(H22:H32)</f>
        <v>0</v>
      </c>
      <c r="I33" s="17"/>
      <c r="J33" s="31">
        <f>SUM(J22:J32)</f>
        <v>0</v>
      </c>
      <c r="K33" s="17"/>
      <c r="L33" s="17"/>
      <c r="M33" s="17"/>
      <c r="N33" s="31">
        <f>SUM(N22:N32)</f>
        <v>511207.00248135813</v>
      </c>
      <c r="O33" s="17"/>
      <c r="P33" s="17"/>
      <c r="Q33" s="17"/>
      <c r="R33" s="17"/>
    </row>
    <row r="34" spans="1:18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1:18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1:18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1:18" x14ac:dyDescent="0.2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1:18" x14ac:dyDescent="0.2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1:18" x14ac:dyDescent="0.2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>
      <selection activeCell="T20" sqref="T20:W21"/>
    </sheetView>
  </sheetViews>
  <sheetFormatPr defaultRowHeight="15" x14ac:dyDescent="0.25"/>
  <cols>
    <col min="3" max="3" width="2.85546875" customWidth="1"/>
    <col min="5" max="5" width="2.5703125" customWidth="1"/>
    <col min="6" max="6" width="12.140625" customWidth="1"/>
    <col min="7" max="7" width="3.28515625" customWidth="1"/>
    <col min="8" max="8" width="13.85546875" customWidth="1"/>
    <col min="9" max="9" width="2.42578125" customWidth="1"/>
    <col min="11" max="11" width="1" customWidth="1"/>
    <col min="12" max="12" width="15.85546875" customWidth="1"/>
    <col min="13" max="13" width="2.140625" customWidth="1"/>
    <col min="14" max="14" width="15" customWidth="1"/>
    <col min="15" max="15" width="1.85546875" customWidth="1"/>
    <col min="16" max="16" width="12.7109375" customWidth="1"/>
    <col min="17" max="17" width="1.42578125" customWidth="1"/>
    <col min="18" max="18" width="14.140625" customWidth="1"/>
    <col min="23" max="23" width="10.5703125" bestFit="1" customWidth="1"/>
  </cols>
  <sheetData>
    <row r="1" spans="1:18" x14ac:dyDescent="0.25">
      <c r="B1" s="16" t="s">
        <v>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B2" s="16" t="s">
        <v>72</v>
      </c>
      <c r="C2" s="17"/>
      <c r="D2" s="17"/>
      <c r="E2" s="17"/>
      <c r="F2" s="17"/>
      <c r="G2" s="17"/>
      <c r="H2" s="17"/>
      <c r="I2" s="17"/>
      <c r="J2" s="17"/>
      <c r="K2" s="17"/>
      <c r="L2" s="16" t="s">
        <v>33</v>
      </c>
      <c r="M2" s="17"/>
      <c r="N2" s="17"/>
      <c r="O2" s="17"/>
      <c r="P2" s="19">
        <f>'IRR and Int Ret %'!$F$5</f>
        <v>-0.05</v>
      </c>
      <c r="Q2" s="17"/>
      <c r="R2" s="17"/>
    </row>
    <row r="3" spans="1:18" x14ac:dyDescent="0.25">
      <c r="B3" s="16" t="s">
        <v>83</v>
      </c>
      <c r="C3" s="17"/>
      <c r="D3" s="17"/>
      <c r="E3" s="17"/>
      <c r="F3" s="17"/>
      <c r="G3" s="17"/>
      <c r="H3" s="17"/>
      <c r="I3" s="17"/>
      <c r="J3" s="17"/>
      <c r="K3" s="17"/>
      <c r="L3" s="16" t="s">
        <v>34</v>
      </c>
      <c r="M3" s="17"/>
      <c r="N3" s="17"/>
      <c r="O3" s="17"/>
      <c r="P3" s="19">
        <v>0</v>
      </c>
      <c r="Q3" s="17"/>
      <c r="R3" s="17"/>
    </row>
    <row r="4" spans="1:18" x14ac:dyDescent="0.25">
      <c r="B4" s="89" t="s">
        <v>82</v>
      </c>
      <c r="C4" s="88"/>
      <c r="D4" s="88"/>
      <c r="E4" s="88"/>
      <c r="F4" s="17"/>
      <c r="G4" s="17"/>
      <c r="H4" s="17"/>
      <c r="I4" s="17"/>
      <c r="J4" s="17"/>
      <c r="K4" s="17"/>
      <c r="L4" s="16" t="s">
        <v>35</v>
      </c>
      <c r="M4" s="17"/>
      <c r="N4" s="17"/>
      <c r="O4" s="17"/>
      <c r="P4" s="19">
        <f>(D49+H49)/(B49+F49)</f>
        <v>-2.0024691294092081E-2</v>
      </c>
      <c r="Q4" s="17"/>
      <c r="R4" s="17"/>
    </row>
    <row r="5" spans="1:18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6" t="s">
        <v>36</v>
      </c>
      <c r="M5" s="17"/>
      <c r="N5" s="17"/>
      <c r="O5" s="17"/>
      <c r="P5" s="20">
        <f>'Avg Age'!$G$88</f>
        <v>7.9110582809852303</v>
      </c>
      <c r="Q5" s="17"/>
      <c r="R5" s="17"/>
    </row>
    <row r="6" spans="1:18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6" t="s">
        <v>37</v>
      </c>
      <c r="M6" s="17"/>
      <c r="N6" s="17"/>
      <c r="O6" s="17"/>
      <c r="P6" s="21">
        <f>N49/(L21+J49)</f>
        <v>19.802536422224538</v>
      </c>
      <c r="Q6" s="17"/>
      <c r="R6" s="17"/>
    </row>
    <row r="7" spans="1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6" t="s">
        <v>38</v>
      </c>
      <c r="M7" s="17"/>
      <c r="N7" s="17"/>
      <c r="O7" s="17"/>
      <c r="P7" s="21">
        <f>P5+P6</f>
        <v>27.713594703209768</v>
      </c>
      <c r="Q7" s="17"/>
      <c r="R7" s="17"/>
    </row>
    <row r="8" spans="1:18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6" t="s">
        <v>39</v>
      </c>
      <c r="M8" s="17"/>
      <c r="N8" s="17"/>
      <c r="O8" s="17"/>
      <c r="P8" s="19">
        <f>R21/L21</f>
        <v>9.739158490814509E-2</v>
      </c>
      <c r="Q8" s="17"/>
      <c r="R8" s="17"/>
    </row>
    <row r="9" spans="1:18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6" t="s">
        <v>40</v>
      </c>
      <c r="M9" s="17"/>
      <c r="N9" s="17"/>
      <c r="O9" s="17"/>
      <c r="P9" s="17">
        <f>((P5/P7)*((1-P4))*L21)</f>
        <v>8163606.2690342795</v>
      </c>
      <c r="Q9" s="17"/>
      <c r="R9" s="17"/>
    </row>
    <row r="10" spans="1:18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 t="s">
        <v>41</v>
      </c>
      <c r="M10" s="17"/>
      <c r="N10" s="17"/>
      <c r="O10" s="17"/>
      <c r="P10" s="22">
        <f>'IRR and Int Ret %'!$D$5</f>
        <v>2.1999999999999999E-2</v>
      </c>
      <c r="Q10" s="17"/>
      <c r="R10" s="17"/>
    </row>
    <row r="11" spans="1:18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 t="s">
        <v>42</v>
      </c>
      <c r="M11" s="17"/>
      <c r="N11" s="17"/>
      <c r="O11" s="17"/>
      <c r="P11" s="23">
        <v>0</v>
      </c>
      <c r="Q11" s="17"/>
      <c r="R11" s="17"/>
    </row>
    <row r="12" spans="1:18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 t="s">
        <v>43</v>
      </c>
      <c r="M12" s="17"/>
      <c r="N12" s="17"/>
      <c r="O12" s="17"/>
      <c r="P12" s="24">
        <f>(L21+J49-D49-H49-R21)/N49</f>
        <v>4.6591663144245947E-2</v>
      </c>
      <c r="Q12" s="17"/>
      <c r="R12" s="17"/>
    </row>
    <row r="13" spans="1:18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6" t="s">
        <v>44</v>
      </c>
      <c r="M13" s="17"/>
      <c r="N13" s="17"/>
      <c r="O13" s="17"/>
      <c r="P13" s="24">
        <f>-P4/P7</f>
        <v>7.2255842334927544E-4</v>
      </c>
      <c r="Q13" s="17"/>
      <c r="R13" s="17"/>
    </row>
    <row r="14" spans="1:18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 t="s">
        <v>123</v>
      </c>
      <c r="M14" s="17"/>
      <c r="N14" s="17"/>
      <c r="O14" s="17"/>
      <c r="P14" s="24">
        <f>P12-P13</f>
        <v>4.586910472089667E-2</v>
      </c>
      <c r="Q14" s="17"/>
      <c r="R14" s="17"/>
    </row>
    <row r="15" spans="1:18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5"/>
      <c r="M15" s="17"/>
      <c r="N15" s="17"/>
      <c r="O15" s="17"/>
      <c r="P15" s="17"/>
      <c r="Q15" s="17"/>
      <c r="R15" s="17"/>
    </row>
    <row r="16" spans="1:18" x14ac:dyDescent="0.25">
      <c r="A16" s="26" t="s">
        <v>45</v>
      </c>
      <c r="B16" s="25" t="s">
        <v>46</v>
      </c>
      <c r="C16" s="25"/>
      <c r="D16" s="25" t="s">
        <v>47</v>
      </c>
      <c r="E16" s="25"/>
      <c r="F16" s="25" t="s">
        <v>48</v>
      </c>
      <c r="G16" s="25"/>
      <c r="H16" s="25" t="s">
        <v>49</v>
      </c>
      <c r="I16" s="25"/>
      <c r="J16" s="25" t="s">
        <v>50</v>
      </c>
      <c r="K16" s="17"/>
      <c r="L16" s="25" t="s">
        <v>51</v>
      </c>
      <c r="M16" s="17"/>
      <c r="N16" s="25" t="s">
        <v>52</v>
      </c>
      <c r="O16" s="25"/>
      <c r="P16" s="25" t="s">
        <v>53</v>
      </c>
      <c r="Q16" s="25"/>
      <c r="R16" s="25" t="s">
        <v>54</v>
      </c>
    </row>
    <row r="17" spans="1:23" x14ac:dyDescent="0.25">
      <c r="A17" s="26"/>
      <c r="B17" s="25" t="s">
        <v>55</v>
      </c>
      <c r="C17" s="25"/>
      <c r="D17" s="25" t="s">
        <v>55</v>
      </c>
      <c r="E17" s="25"/>
      <c r="F17" s="25" t="s">
        <v>56</v>
      </c>
      <c r="G17" s="25"/>
      <c r="H17" s="25" t="s">
        <v>56</v>
      </c>
      <c r="I17" s="25"/>
      <c r="J17" s="25" t="s">
        <v>55</v>
      </c>
      <c r="K17" s="17"/>
      <c r="L17" s="25" t="s">
        <v>57</v>
      </c>
      <c r="M17" s="17"/>
      <c r="N17" s="25" t="s">
        <v>58</v>
      </c>
      <c r="O17" s="25"/>
      <c r="P17" s="25" t="s">
        <v>59</v>
      </c>
      <c r="Q17" s="25"/>
      <c r="R17" s="25" t="s">
        <v>57</v>
      </c>
    </row>
    <row r="18" spans="1:23" x14ac:dyDescent="0.25">
      <c r="A18" s="27" t="s">
        <v>60</v>
      </c>
      <c r="B18" s="28" t="s">
        <v>61</v>
      </c>
      <c r="C18" s="28"/>
      <c r="D18" s="28" t="s">
        <v>62</v>
      </c>
      <c r="E18" s="28"/>
      <c r="F18" s="28" t="s">
        <v>63</v>
      </c>
      <c r="G18" s="28"/>
      <c r="H18" s="28" t="s">
        <v>62</v>
      </c>
      <c r="I18" s="28"/>
      <c r="J18" s="28" t="s">
        <v>64</v>
      </c>
      <c r="K18" s="17"/>
      <c r="L18" s="28" t="s">
        <v>65</v>
      </c>
      <c r="M18" s="17"/>
      <c r="N18" s="28" t="s">
        <v>65</v>
      </c>
      <c r="O18" s="28"/>
      <c r="P18" s="28" t="s">
        <v>66</v>
      </c>
      <c r="Q18" s="28"/>
      <c r="R18" s="28" t="s">
        <v>67</v>
      </c>
    </row>
    <row r="19" spans="1:23" x14ac:dyDescent="0.25">
      <c r="B19" s="25" t="s">
        <v>68</v>
      </c>
      <c r="C19" s="17"/>
      <c r="D19" s="25" t="s">
        <v>68</v>
      </c>
      <c r="E19" s="17"/>
      <c r="F19" s="25" t="s">
        <v>68</v>
      </c>
      <c r="G19" s="17"/>
      <c r="H19" s="25" t="s">
        <v>68</v>
      </c>
      <c r="I19" s="17"/>
      <c r="J19" s="25" t="s">
        <v>68</v>
      </c>
      <c r="K19" s="17"/>
      <c r="L19" s="25" t="s">
        <v>68</v>
      </c>
      <c r="M19" s="17"/>
      <c r="N19" s="25" t="s">
        <v>68</v>
      </c>
      <c r="O19" s="17"/>
      <c r="P19" s="25" t="s">
        <v>68</v>
      </c>
      <c r="Q19" s="17"/>
      <c r="R19" s="25" t="s">
        <v>68</v>
      </c>
    </row>
    <row r="20" spans="1:23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T20" t="s">
        <v>135</v>
      </c>
      <c r="W20" t="s">
        <v>107</v>
      </c>
    </row>
    <row r="21" spans="1:23" x14ac:dyDescent="0.25">
      <c r="A21">
        <v>2016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0">
        <f>'Avg Age'!$E$88</f>
        <v>28036877.442494899</v>
      </c>
      <c r="M21" s="17"/>
      <c r="N21" s="17"/>
      <c r="O21" s="17"/>
      <c r="P21" s="17"/>
      <c r="Q21" s="17"/>
      <c r="R21" s="30">
        <v>2730555.9299999997</v>
      </c>
      <c r="T21" s="30">
        <v>892172.58621462435</v>
      </c>
      <c r="U21" t="s">
        <v>20</v>
      </c>
      <c r="W21" s="70">
        <f>+R21-T21</f>
        <v>1838383.3437853754</v>
      </c>
    </row>
    <row r="22" spans="1:23" x14ac:dyDescent="0.25">
      <c r="A22">
        <f>A21+1</f>
        <v>2017</v>
      </c>
      <c r="B22" s="17">
        <f>L21*$P$10</f>
        <v>616811.30373488774</v>
      </c>
      <c r="C22" s="17"/>
      <c r="D22" s="17">
        <f>B22*$P$2</f>
        <v>-30840.565186744388</v>
      </c>
      <c r="E22" s="17"/>
      <c r="F22" s="17"/>
      <c r="G22" s="17"/>
      <c r="H22" s="17"/>
      <c r="I22" s="17"/>
      <c r="J22" s="17">
        <f>B22*$P$11</f>
        <v>0</v>
      </c>
      <c r="K22" s="17"/>
      <c r="L22" s="17">
        <f>L21+J22-B22-F22</f>
        <v>27420066.138760012</v>
      </c>
      <c r="M22" s="17"/>
      <c r="N22" s="17">
        <f>(L21+L22)/2</f>
        <v>27728471.790627457</v>
      </c>
      <c r="O22" s="17"/>
      <c r="P22" s="17">
        <f>N22*$P$12</f>
        <v>1291915.6171736408</v>
      </c>
      <c r="Q22" s="17"/>
      <c r="R22" s="17">
        <f>R21+P22-B22-F22+D22+H22</f>
        <v>3374819.6782520083</v>
      </c>
    </row>
    <row r="23" spans="1:23" x14ac:dyDescent="0.25">
      <c r="A23">
        <f>A22+1</f>
        <v>2018</v>
      </c>
      <c r="B23" s="17">
        <f t="shared" ref="B23:B44" si="0">L22*$P$10</f>
        <v>603241.45505272027</v>
      </c>
      <c r="C23" s="17"/>
      <c r="D23" s="17">
        <f t="shared" ref="D23:D44" si="1">B23*$P$2</f>
        <v>-30162.072752636013</v>
      </c>
      <c r="E23" s="17"/>
      <c r="F23" s="17"/>
      <c r="G23" s="17"/>
      <c r="H23" s="17"/>
      <c r="I23" s="17"/>
      <c r="J23" s="17">
        <f>B23*$P$11</f>
        <v>0</v>
      </c>
      <c r="K23" s="17"/>
      <c r="L23" s="17">
        <f>L22+J23-B23-F23</f>
        <v>26816824.683707293</v>
      </c>
      <c r="M23" s="17"/>
      <c r="N23" s="17">
        <f>(L22+L23)/2</f>
        <v>27118445.411233652</v>
      </c>
      <c r="O23" s="17"/>
      <c r="P23" s="17">
        <f>N23*$P$12</f>
        <v>1263493.4735958206</v>
      </c>
      <c r="Q23" s="17"/>
      <c r="R23" s="17">
        <f>R22+P23-B23-F23+D23+H23</f>
        <v>4004909.6240424728</v>
      </c>
    </row>
    <row r="24" spans="1:23" x14ac:dyDescent="0.25">
      <c r="A24">
        <f>A23+1</f>
        <v>2019</v>
      </c>
      <c r="B24" s="17">
        <f t="shared" si="0"/>
        <v>589970.14304156043</v>
      </c>
      <c r="C24" s="17"/>
      <c r="D24" s="17">
        <f t="shared" si="1"/>
        <v>-29498.507152078022</v>
      </c>
      <c r="E24" s="17"/>
      <c r="F24" s="17"/>
      <c r="G24" s="17"/>
      <c r="H24" s="17"/>
      <c r="I24" s="17"/>
      <c r="J24" s="17">
        <f>B24*$P$11</f>
        <v>0</v>
      </c>
      <c r="K24" s="17"/>
      <c r="L24" s="17">
        <f>L23+J24-B24-F24</f>
        <v>26226854.540665731</v>
      </c>
      <c r="M24" s="17"/>
      <c r="N24" s="17">
        <f>(L23+L24)/2</f>
        <v>26521839.612186514</v>
      </c>
      <c r="O24" s="17"/>
      <c r="P24" s="17">
        <f>N24*$P$12</f>
        <v>1235696.6171767127</v>
      </c>
      <c r="Q24" s="17"/>
      <c r="R24" s="17">
        <f>R23+P24-B24-F24+D24+H24</f>
        <v>4621137.5910255471</v>
      </c>
    </row>
    <row r="25" spans="1:23" x14ac:dyDescent="0.25">
      <c r="A25">
        <f>A24+1</f>
        <v>2020</v>
      </c>
      <c r="B25" s="17">
        <f t="shared" si="0"/>
        <v>576990.79989464604</v>
      </c>
      <c r="C25" s="17"/>
      <c r="D25" s="17">
        <f t="shared" si="1"/>
        <v>-28849.539994732302</v>
      </c>
      <c r="E25" s="17"/>
      <c r="F25" s="17"/>
      <c r="G25" s="17"/>
      <c r="H25" s="17"/>
      <c r="I25" s="17"/>
      <c r="J25" s="17">
        <f>B25*$P$11</f>
        <v>0</v>
      </c>
      <c r="K25" s="17"/>
      <c r="L25" s="17">
        <f>L24+J25-B25-F25</f>
        <v>25649863.740771085</v>
      </c>
      <c r="M25" s="17"/>
      <c r="N25" s="17">
        <f>(L24+L25)/2</f>
        <v>25938359.140718408</v>
      </c>
      <c r="O25" s="17"/>
      <c r="P25" s="17">
        <f>N25*$P$12</f>
        <v>1208511.2915988248</v>
      </c>
      <c r="Q25" s="17"/>
      <c r="R25" s="17">
        <f>R24+P25-B25-F25+D25+H25</f>
        <v>5223808.5427349936</v>
      </c>
    </row>
    <row r="26" spans="1:23" x14ac:dyDescent="0.25">
      <c r="A26">
        <f t="shared" ref="A26:A47" si="2">A25+1</f>
        <v>2021</v>
      </c>
      <c r="B26" s="17">
        <f t="shared" si="0"/>
        <v>564297.00229696382</v>
      </c>
      <c r="C26" s="17"/>
      <c r="D26" s="17">
        <f t="shared" si="1"/>
        <v>-28214.850114848192</v>
      </c>
      <c r="E26" s="17"/>
      <c r="F26" s="17"/>
      <c r="G26" s="17"/>
      <c r="H26" s="17"/>
      <c r="I26" s="17"/>
      <c r="J26" s="17"/>
      <c r="K26" s="17"/>
      <c r="L26" s="17">
        <f t="shared" ref="L26:L47" si="3">L25+J26-B26-F26</f>
        <v>25085566.738474119</v>
      </c>
      <c r="M26" s="17"/>
      <c r="N26" s="17">
        <f t="shared" ref="N26:N46" si="4">(L25+L26)/2</f>
        <v>25367715.2396226</v>
      </c>
      <c r="O26" s="17"/>
      <c r="P26" s="17">
        <f t="shared" ref="P26:P47" si="5">N26*$P$12</f>
        <v>1181924.0431836506</v>
      </c>
      <c r="Q26" s="17"/>
      <c r="R26" s="17">
        <f t="shared" ref="R26:R47" si="6">R25+P26-B26-F26+D26+H26</f>
        <v>5813220.7335068323</v>
      </c>
    </row>
    <row r="27" spans="1:23" x14ac:dyDescent="0.25">
      <c r="A27">
        <f t="shared" si="2"/>
        <v>2022</v>
      </c>
      <c r="B27" s="17">
        <f t="shared" si="0"/>
        <v>551882.46824643062</v>
      </c>
      <c r="C27" s="17"/>
      <c r="D27" s="17">
        <f t="shared" si="1"/>
        <v>-27594.123412321533</v>
      </c>
      <c r="E27" s="17"/>
      <c r="F27" s="17"/>
      <c r="G27" s="17"/>
      <c r="H27" s="17"/>
      <c r="I27" s="17"/>
      <c r="J27" s="17"/>
      <c r="K27" s="17"/>
      <c r="L27" s="17">
        <f t="shared" si="3"/>
        <v>24533684.270227689</v>
      </c>
      <c r="M27" s="17"/>
      <c r="N27" s="17">
        <f t="shared" si="4"/>
        <v>24809625.504350904</v>
      </c>
      <c r="O27" s="17"/>
      <c r="P27" s="17">
        <f t="shared" si="5"/>
        <v>1155921.7142336103</v>
      </c>
      <c r="Q27" s="17"/>
      <c r="R27" s="17">
        <f t="shared" si="6"/>
        <v>6389665.8560816916</v>
      </c>
    </row>
    <row r="28" spans="1:23" x14ac:dyDescent="0.25">
      <c r="A28">
        <f t="shared" si="2"/>
        <v>2023</v>
      </c>
      <c r="B28" s="17">
        <f t="shared" si="0"/>
        <v>539741.05394500913</v>
      </c>
      <c r="C28" s="17"/>
      <c r="D28" s="17">
        <f t="shared" si="1"/>
        <v>-26987.052697250459</v>
      </c>
      <c r="E28" s="17"/>
      <c r="F28" s="17"/>
      <c r="G28" s="17"/>
      <c r="H28" s="17"/>
      <c r="I28" s="17"/>
      <c r="J28" s="17"/>
      <c r="K28" s="17"/>
      <c r="L28" s="17">
        <f t="shared" si="3"/>
        <v>23993943.216282681</v>
      </c>
      <c r="M28" s="17"/>
      <c r="N28" s="17">
        <f t="shared" si="4"/>
        <v>24263813.743255183</v>
      </c>
      <c r="O28" s="17"/>
      <c r="P28" s="17">
        <f t="shared" si="5"/>
        <v>1130491.4365204708</v>
      </c>
      <c r="Q28" s="17"/>
      <c r="R28" s="17">
        <f t="shared" si="6"/>
        <v>6953429.1859599035</v>
      </c>
    </row>
    <row r="29" spans="1:23" x14ac:dyDescent="0.25">
      <c r="A29">
        <f t="shared" si="2"/>
        <v>2024</v>
      </c>
      <c r="B29" s="17">
        <f t="shared" si="0"/>
        <v>527866.75075821893</v>
      </c>
      <c r="C29" s="17"/>
      <c r="D29" s="17">
        <f t="shared" si="1"/>
        <v>-26393.337537910949</v>
      </c>
      <c r="E29" s="17"/>
      <c r="F29" s="17"/>
      <c r="G29" s="17"/>
      <c r="H29" s="17"/>
      <c r="I29" s="17"/>
      <c r="J29" s="17"/>
      <c r="K29" s="17"/>
      <c r="L29" s="17">
        <f t="shared" si="3"/>
        <v>23466076.465524461</v>
      </c>
      <c r="M29" s="17"/>
      <c r="N29" s="17">
        <f t="shared" si="4"/>
        <v>23730009.840903573</v>
      </c>
      <c r="O29" s="17"/>
      <c r="P29" s="17">
        <f t="shared" si="5"/>
        <v>1105620.6249170206</v>
      </c>
      <c r="Q29" s="17"/>
      <c r="R29" s="17">
        <f t="shared" si="6"/>
        <v>7504789.7225807952</v>
      </c>
    </row>
    <row r="30" spans="1:23" x14ac:dyDescent="0.25">
      <c r="A30">
        <f t="shared" si="2"/>
        <v>2025</v>
      </c>
      <c r="B30" s="17">
        <f t="shared" si="0"/>
        <v>516253.68224153813</v>
      </c>
      <c r="C30" s="17"/>
      <c r="D30" s="17">
        <f t="shared" si="1"/>
        <v>-25812.68411207691</v>
      </c>
      <c r="E30" s="17"/>
      <c r="F30" s="17"/>
      <c r="G30" s="17"/>
      <c r="H30" s="17"/>
      <c r="I30" s="17"/>
      <c r="J30" s="17"/>
      <c r="K30" s="17"/>
      <c r="L30" s="17">
        <f t="shared" si="3"/>
        <v>22949822.783282924</v>
      </c>
      <c r="M30" s="17"/>
      <c r="N30" s="17">
        <f t="shared" si="4"/>
        <v>23207949.624403693</v>
      </c>
      <c r="O30" s="17"/>
      <c r="P30" s="17">
        <f t="shared" si="5"/>
        <v>1081296.9711688461</v>
      </c>
      <c r="Q30" s="17"/>
      <c r="R30" s="17">
        <f t="shared" si="6"/>
        <v>8044020.3273960268</v>
      </c>
    </row>
    <row r="31" spans="1:23" x14ac:dyDescent="0.25">
      <c r="A31">
        <f t="shared" si="2"/>
        <v>2026</v>
      </c>
      <c r="B31" s="17">
        <f t="shared" si="0"/>
        <v>504896.10123222432</v>
      </c>
      <c r="C31" s="17"/>
      <c r="D31" s="17">
        <f t="shared" si="1"/>
        <v>-25244.805061611216</v>
      </c>
      <c r="E31" s="17"/>
      <c r="F31" s="17"/>
      <c r="G31" s="17"/>
      <c r="H31" s="17"/>
      <c r="I31" s="17"/>
      <c r="J31" s="17"/>
      <c r="K31" s="17"/>
      <c r="L31" s="17">
        <f t="shared" si="3"/>
        <v>22444926.682050701</v>
      </c>
      <c r="M31" s="17"/>
      <c r="N31" s="17">
        <f t="shared" si="4"/>
        <v>22697374.732666813</v>
      </c>
      <c r="O31" s="17"/>
      <c r="P31" s="17">
        <f t="shared" si="5"/>
        <v>1057508.4378031315</v>
      </c>
      <c r="Q31" s="17"/>
      <c r="R31" s="17">
        <f t="shared" si="6"/>
        <v>8571387.8589053228</v>
      </c>
    </row>
    <row r="32" spans="1:23" x14ac:dyDescent="0.25">
      <c r="A32">
        <f t="shared" si="2"/>
        <v>2027</v>
      </c>
      <c r="B32" s="17">
        <f t="shared" si="0"/>
        <v>493788.38700511539</v>
      </c>
      <c r="C32" s="17"/>
      <c r="D32" s="17">
        <f t="shared" si="1"/>
        <v>-24689.419350255772</v>
      </c>
      <c r="E32" s="17"/>
      <c r="F32" s="17"/>
      <c r="G32" s="17"/>
      <c r="H32" s="17"/>
      <c r="I32" s="17"/>
      <c r="J32" s="17"/>
      <c r="K32" s="17"/>
      <c r="L32" s="17">
        <f t="shared" si="3"/>
        <v>21951138.295045584</v>
      </c>
      <c r="M32" s="17"/>
      <c r="N32" s="17">
        <f t="shared" si="4"/>
        <v>22198032.488548145</v>
      </c>
      <c r="O32" s="17"/>
      <c r="P32" s="17">
        <f t="shared" si="5"/>
        <v>1034243.2521714628</v>
      </c>
      <c r="Q32" s="17"/>
      <c r="R32" s="17">
        <f t="shared" si="6"/>
        <v>9087153.304721415</v>
      </c>
    </row>
    <row r="33" spans="1:18" x14ac:dyDescent="0.25">
      <c r="A33">
        <f t="shared" si="2"/>
        <v>2028</v>
      </c>
      <c r="B33" s="17">
        <f t="shared" si="0"/>
        <v>482925.04249100282</v>
      </c>
      <c r="C33" s="17"/>
      <c r="D33" s="17">
        <f t="shared" si="1"/>
        <v>-24146.252124550141</v>
      </c>
      <c r="E33" s="17"/>
      <c r="F33" s="17"/>
      <c r="G33" s="17"/>
      <c r="H33" s="17"/>
      <c r="I33" s="17"/>
      <c r="J33" s="17"/>
      <c r="K33" s="17"/>
      <c r="L33" s="17">
        <f t="shared" si="3"/>
        <v>21468213.252554581</v>
      </c>
      <c r="M33" s="17"/>
      <c r="N33" s="17">
        <f t="shared" si="4"/>
        <v>21709675.773800083</v>
      </c>
      <c r="O33" s="17"/>
      <c r="P33" s="17">
        <f t="shared" si="5"/>
        <v>1011489.9006236905</v>
      </c>
      <c r="Q33" s="17"/>
      <c r="R33" s="17">
        <f t="shared" si="6"/>
        <v>9591571.9107295536</v>
      </c>
    </row>
    <row r="34" spans="1:18" x14ac:dyDescent="0.25">
      <c r="A34">
        <f t="shared" si="2"/>
        <v>2029</v>
      </c>
      <c r="B34" s="17">
        <f t="shared" si="0"/>
        <v>472300.69155620073</v>
      </c>
      <c r="C34" s="17"/>
      <c r="D34" s="17">
        <f t="shared" si="1"/>
        <v>-23615.034577810038</v>
      </c>
      <c r="E34" s="17"/>
      <c r="F34" s="17"/>
      <c r="G34" s="17"/>
      <c r="H34" s="17"/>
      <c r="I34" s="17"/>
      <c r="J34" s="17"/>
      <c r="K34" s="17"/>
      <c r="L34" s="17">
        <f t="shared" si="3"/>
        <v>20995912.56099838</v>
      </c>
      <c r="M34" s="17"/>
      <c r="N34" s="17">
        <f t="shared" si="4"/>
        <v>21232062.90677648</v>
      </c>
      <c r="O34" s="17"/>
      <c r="P34" s="17">
        <f t="shared" si="5"/>
        <v>989237.12280996924</v>
      </c>
      <c r="Q34" s="17"/>
      <c r="R34" s="17">
        <f t="shared" si="6"/>
        <v>10084893.307405513</v>
      </c>
    </row>
    <row r="35" spans="1:18" x14ac:dyDescent="0.25">
      <c r="A35">
        <f t="shared" si="2"/>
        <v>2030</v>
      </c>
      <c r="B35" s="17">
        <f t="shared" si="0"/>
        <v>461910.07634196436</v>
      </c>
      <c r="C35" s="17"/>
      <c r="D35" s="17">
        <f t="shared" si="1"/>
        <v>-23095.503817098219</v>
      </c>
      <c r="E35" s="17"/>
      <c r="F35" s="17"/>
      <c r="G35" s="17"/>
      <c r="H35" s="17"/>
      <c r="I35" s="17"/>
      <c r="J35" s="17"/>
      <c r="K35" s="17"/>
      <c r="L35" s="17">
        <f t="shared" si="3"/>
        <v>20534002.484656416</v>
      </c>
      <c r="M35" s="17"/>
      <c r="N35" s="17">
        <f t="shared" si="4"/>
        <v>20764957.522827398</v>
      </c>
      <c r="O35" s="17"/>
      <c r="P35" s="17">
        <f t="shared" si="5"/>
        <v>967473.90610814991</v>
      </c>
      <c r="Q35" s="17"/>
      <c r="R35" s="17">
        <f t="shared" si="6"/>
        <v>10567361.633354601</v>
      </c>
    </row>
    <row r="36" spans="1:18" x14ac:dyDescent="0.25">
      <c r="A36">
        <f t="shared" si="2"/>
        <v>2031</v>
      </c>
      <c r="B36" s="17">
        <f t="shared" si="0"/>
        <v>451748.05466244114</v>
      </c>
      <c r="C36" s="17"/>
      <c r="D36" s="17">
        <f t="shared" si="1"/>
        <v>-22587.402733122057</v>
      </c>
      <c r="E36" s="17"/>
      <c r="F36" s="17"/>
      <c r="G36" s="17"/>
      <c r="H36" s="17"/>
      <c r="I36" s="17"/>
      <c r="J36" s="17"/>
      <c r="K36" s="17"/>
      <c r="L36" s="17">
        <f t="shared" si="3"/>
        <v>20082254.429993976</v>
      </c>
      <c r="M36" s="17"/>
      <c r="N36" s="17">
        <f t="shared" si="4"/>
        <v>20308128.457325198</v>
      </c>
      <c r="O36" s="17"/>
      <c r="P36" s="17">
        <f t="shared" si="5"/>
        <v>946189.48017377069</v>
      </c>
      <c r="Q36" s="17"/>
      <c r="R36" s="17">
        <f t="shared" si="6"/>
        <v>11039215.656132806</v>
      </c>
    </row>
    <row r="37" spans="1:18" x14ac:dyDescent="0.25">
      <c r="A37">
        <f t="shared" si="2"/>
        <v>2032</v>
      </c>
      <c r="B37" s="17">
        <f t="shared" si="0"/>
        <v>441809.59745986742</v>
      </c>
      <c r="C37" s="17"/>
      <c r="D37" s="17">
        <f t="shared" si="1"/>
        <v>-22090.479872993372</v>
      </c>
      <c r="E37" s="17"/>
      <c r="F37" s="17"/>
      <c r="G37" s="17"/>
      <c r="H37" s="17"/>
      <c r="I37" s="17"/>
      <c r="J37" s="17"/>
      <c r="K37" s="17"/>
      <c r="L37" s="17">
        <f t="shared" si="3"/>
        <v>19640444.832534108</v>
      </c>
      <c r="M37" s="17"/>
      <c r="N37" s="17">
        <f t="shared" si="4"/>
        <v>19861349.631264042</v>
      </c>
      <c r="O37" s="17"/>
      <c r="P37" s="17">
        <f t="shared" si="5"/>
        <v>925373.3116099477</v>
      </c>
      <c r="Q37" s="17"/>
      <c r="R37" s="17">
        <f t="shared" si="6"/>
        <v>11500688.890409892</v>
      </c>
    </row>
    <row r="38" spans="1:18" x14ac:dyDescent="0.25">
      <c r="A38">
        <f t="shared" si="2"/>
        <v>2033</v>
      </c>
      <c r="B38" s="17">
        <f t="shared" si="0"/>
        <v>432089.78631575033</v>
      </c>
      <c r="C38" s="17"/>
      <c r="D38" s="17">
        <f t="shared" si="1"/>
        <v>-21604.489315787519</v>
      </c>
      <c r="E38" s="17"/>
      <c r="F38" s="17"/>
      <c r="G38" s="17"/>
      <c r="H38" s="17"/>
      <c r="I38" s="17"/>
      <c r="J38" s="17"/>
      <c r="K38" s="17"/>
      <c r="L38" s="17">
        <f t="shared" si="3"/>
        <v>19208355.046218358</v>
      </c>
      <c r="M38" s="17"/>
      <c r="N38" s="17">
        <f t="shared" si="4"/>
        <v>19424399.939376235</v>
      </c>
      <c r="O38" s="17"/>
      <c r="P38" s="17">
        <f t="shared" si="5"/>
        <v>905015.09875452891</v>
      </c>
      <c r="Q38" s="17"/>
      <c r="R38" s="17">
        <f t="shared" si="6"/>
        <v>11952009.713532884</v>
      </c>
    </row>
    <row r="39" spans="1:18" x14ac:dyDescent="0.25">
      <c r="A39">
        <f t="shared" si="2"/>
        <v>2034</v>
      </c>
      <c r="B39" s="17">
        <f t="shared" si="0"/>
        <v>422583.81101680384</v>
      </c>
      <c r="C39" s="17"/>
      <c r="D39" s="17">
        <f t="shared" si="1"/>
        <v>-21129.190550840194</v>
      </c>
      <c r="E39" s="17"/>
      <c r="F39" s="17"/>
      <c r="G39" s="17"/>
      <c r="H39" s="17"/>
      <c r="I39" s="17"/>
      <c r="J39" s="17"/>
      <c r="K39" s="17"/>
      <c r="L39" s="17">
        <f t="shared" si="3"/>
        <v>18785771.235201553</v>
      </c>
      <c r="M39" s="17"/>
      <c r="N39" s="17">
        <f t="shared" si="4"/>
        <v>18997063.140709955</v>
      </c>
      <c r="O39" s="17"/>
      <c r="P39" s="17">
        <f t="shared" si="5"/>
        <v>885104.76658192917</v>
      </c>
      <c r="Q39" s="17"/>
      <c r="R39" s="17">
        <f t="shared" si="6"/>
        <v>12393401.478547169</v>
      </c>
    </row>
    <row r="40" spans="1:18" x14ac:dyDescent="0.25">
      <c r="A40">
        <f t="shared" si="2"/>
        <v>2035</v>
      </c>
      <c r="B40" s="17">
        <f t="shared" si="0"/>
        <v>413286.9671744341</v>
      </c>
      <c r="C40" s="17"/>
      <c r="D40" s="17">
        <f t="shared" si="1"/>
        <v>-20664.348358721705</v>
      </c>
      <c r="E40" s="17"/>
      <c r="F40" s="17"/>
      <c r="G40" s="17"/>
      <c r="H40" s="17"/>
      <c r="I40" s="17"/>
      <c r="J40" s="17"/>
      <c r="K40" s="17"/>
      <c r="L40" s="17">
        <f t="shared" si="3"/>
        <v>18372484.268027119</v>
      </c>
      <c r="M40" s="17"/>
      <c r="N40" s="17">
        <f t="shared" si="4"/>
        <v>18579127.751614336</v>
      </c>
      <c r="O40" s="17"/>
      <c r="P40" s="17">
        <f t="shared" si="5"/>
        <v>865632.46171712677</v>
      </c>
      <c r="Q40" s="17"/>
      <c r="R40" s="17">
        <f t="shared" si="6"/>
        <v>12825082.62473114</v>
      </c>
    </row>
    <row r="41" spans="1:18" x14ac:dyDescent="0.25">
      <c r="A41">
        <f t="shared" si="2"/>
        <v>2036</v>
      </c>
      <c r="B41" s="17">
        <f t="shared" si="0"/>
        <v>404194.65389659657</v>
      </c>
      <c r="C41" s="17"/>
      <c r="D41" s="17">
        <f t="shared" si="1"/>
        <v>-20209.732694829829</v>
      </c>
      <c r="E41" s="17"/>
      <c r="F41" s="17"/>
      <c r="G41" s="17"/>
      <c r="H41" s="17"/>
      <c r="I41" s="17"/>
      <c r="J41" s="17"/>
      <c r="K41" s="17"/>
      <c r="L41" s="17">
        <f t="shared" si="3"/>
        <v>17968289.614130523</v>
      </c>
      <c r="M41" s="17"/>
      <c r="N41" s="17">
        <f t="shared" si="4"/>
        <v>18170386.941078819</v>
      </c>
      <c r="O41" s="17"/>
      <c r="P41" s="17">
        <f t="shared" si="5"/>
        <v>846588.54755934991</v>
      </c>
      <c r="Q41" s="17"/>
      <c r="R41" s="17">
        <f t="shared" si="6"/>
        <v>13247266.785699064</v>
      </c>
    </row>
    <row r="42" spans="1:18" x14ac:dyDescent="0.25">
      <c r="A42">
        <f t="shared" si="2"/>
        <v>2037</v>
      </c>
      <c r="B42" s="17">
        <f t="shared" si="0"/>
        <v>395302.37151087151</v>
      </c>
      <c r="C42" s="17"/>
      <c r="D42" s="17">
        <f t="shared" si="1"/>
        <v>-19765.118575543576</v>
      </c>
      <c r="E42" s="17"/>
      <c r="F42" s="17"/>
      <c r="G42" s="17"/>
      <c r="H42" s="17"/>
      <c r="I42" s="17"/>
      <c r="J42" s="17"/>
      <c r="K42" s="17"/>
      <c r="L42" s="17">
        <f t="shared" si="3"/>
        <v>17572987.242619652</v>
      </c>
      <c r="M42" s="17"/>
      <c r="N42" s="17">
        <f t="shared" si="4"/>
        <v>17770638.428375088</v>
      </c>
      <c r="O42" s="17"/>
      <c r="P42" s="17">
        <f t="shared" si="5"/>
        <v>827963.59951304435</v>
      </c>
      <c r="Q42" s="17"/>
      <c r="R42" s="17">
        <f t="shared" si="6"/>
        <v>13660162.895125695</v>
      </c>
    </row>
    <row r="43" spans="1:18" x14ac:dyDescent="0.25">
      <c r="A43">
        <f t="shared" si="2"/>
        <v>2038</v>
      </c>
      <c r="B43" s="17">
        <f t="shared" si="0"/>
        <v>386605.71933763236</v>
      </c>
      <c r="C43" s="17"/>
      <c r="D43" s="17">
        <f t="shared" si="1"/>
        <v>-19330.28596688162</v>
      </c>
      <c r="E43" s="17"/>
      <c r="F43" s="17"/>
      <c r="G43" s="17"/>
      <c r="H43" s="17"/>
      <c r="I43" s="17"/>
      <c r="J43" s="17"/>
      <c r="K43" s="17"/>
      <c r="L43" s="17">
        <f t="shared" si="3"/>
        <v>17186381.523282021</v>
      </c>
      <c r="M43" s="17"/>
      <c r="N43" s="17">
        <f t="shared" si="4"/>
        <v>17379684.382950835</v>
      </c>
      <c r="O43" s="17"/>
      <c r="P43" s="17">
        <f t="shared" si="5"/>
        <v>809748.40032375732</v>
      </c>
      <c r="Q43" s="17"/>
      <c r="R43" s="17">
        <f t="shared" si="6"/>
        <v>14063975.290144937</v>
      </c>
    </row>
    <row r="44" spans="1:18" x14ac:dyDescent="0.25">
      <c r="A44">
        <f t="shared" si="2"/>
        <v>2039</v>
      </c>
      <c r="B44" s="17">
        <f t="shared" si="0"/>
        <v>378100.39351220446</v>
      </c>
      <c r="C44" s="17"/>
      <c r="D44" s="17">
        <f t="shared" si="1"/>
        <v>-18905.019675610223</v>
      </c>
      <c r="E44" s="17"/>
      <c r="F44" s="17"/>
      <c r="G44" s="17"/>
      <c r="H44" s="17"/>
      <c r="I44" s="17"/>
      <c r="J44" s="17"/>
      <c r="K44" s="17"/>
      <c r="L44" s="17">
        <f t="shared" si="3"/>
        <v>16808281.129769817</v>
      </c>
      <c r="M44" s="17"/>
      <c r="N44" s="17">
        <f t="shared" si="4"/>
        <v>16997331.326525919</v>
      </c>
      <c r="O44" s="17"/>
      <c r="P44" s="17">
        <f t="shared" si="5"/>
        <v>791933.93551663472</v>
      </c>
      <c r="Q44" s="17"/>
      <c r="R44" s="17">
        <f t="shared" si="6"/>
        <v>14458903.812473757</v>
      </c>
    </row>
    <row r="45" spans="1:18" x14ac:dyDescent="0.25">
      <c r="A45">
        <f t="shared" si="2"/>
        <v>2040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>
        <f t="shared" si="3"/>
        <v>16808281.129769817</v>
      </c>
      <c r="M45" s="17"/>
      <c r="N45" s="17">
        <f t="shared" si="4"/>
        <v>16808281.129769817</v>
      </c>
      <c r="O45" s="17"/>
      <c r="P45" s="17">
        <f t="shared" si="5"/>
        <v>783125.77243202098</v>
      </c>
      <c r="Q45" s="17"/>
      <c r="R45" s="17">
        <f t="shared" si="6"/>
        <v>15242029.584905779</v>
      </c>
    </row>
    <row r="46" spans="1:18" x14ac:dyDescent="0.25">
      <c r="A46">
        <f t="shared" si="2"/>
        <v>2041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>
        <f t="shared" si="3"/>
        <v>16808281.129769817</v>
      </c>
      <c r="M46" s="17"/>
      <c r="N46" s="17">
        <f t="shared" si="4"/>
        <v>16808281.129769817</v>
      </c>
      <c r="O46" s="17"/>
      <c r="P46" s="17">
        <f t="shared" si="5"/>
        <v>783125.77243202098</v>
      </c>
      <c r="Q46" s="17"/>
      <c r="R46" s="17">
        <f t="shared" si="6"/>
        <v>16025155.357337801</v>
      </c>
    </row>
    <row r="47" spans="1:18" x14ac:dyDescent="0.25">
      <c r="A47">
        <f t="shared" si="2"/>
        <v>2042</v>
      </c>
      <c r="B47" s="17"/>
      <c r="C47" s="17"/>
      <c r="D47" s="17"/>
      <c r="E47" s="17"/>
      <c r="F47" s="17">
        <f>L46</f>
        <v>16808281.129769817</v>
      </c>
      <c r="G47" s="17"/>
      <c r="H47" s="17">
        <f>F47*P$3</f>
        <v>0</v>
      </c>
      <c r="I47" s="17"/>
      <c r="J47" s="17"/>
      <c r="K47" s="17"/>
      <c r="L47" s="17">
        <f t="shared" si="3"/>
        <v>0</v>
      </c>
      <c r="M47" s="17"/>
      <c r="N47" s="17">
        <f>+L46</f>
        <v>16808281.129769817</v>
      </c>
      <c r="O47" s="17"/>
      <c r="P47" s="17">
        <f t="shared" si="5"/>
        <v>783125.77243202098</v>
      </c>
      <c r="Q47" s="17"/>
      <c r="R47" s="17">
        <f t="shared" si="6"/>
        <v>3.7252902984619141E-9</v>
      </c>
    </row>
    <row r="48" spans="1:18" x14ac:dyDescent="0.2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1:18" x14ac:dyDescent="0.25">
      <c r="A49" s="26" t="s">
        <v>69</v>
      </c>
      <c r="B49" s="31">
        <f>SUM(B22:B47)</f>
        <v>11228596.312725084</v>
      </c>
      <c r="C49" s="31">
        <f>SUM(C22:C47)</f>
        <v>0</v>
      </c>
      <c r="D49" s="31">
        <f>SUM(D22:D47)</f>
        <v>-561429.81563625426</v>
      </c>
      <c r="E49" s="17"/>
      <c r="F49" s="31">
        <f>SUM(F22:F47)</f>
        <v>16808281.129769817</v>
      </c>
      <c r="G49" s="17"/>
      <c r="H49" s="31">
        <f>SUM(H22:H47)</f>
        <v>0</v>
      </c>
      <c r="I49" s="17"/>
      <c r="J49" s="31">
        <f>SUM(J22:J47)</f>
        <v>0</v>
      </c>
      <c r="K49" s="17"/>
      <c r="L49" s="17"/>
      <c r="M49" s="17"/>
      <c r="N49" s="31">
        <f>SUM(N22:N47)</f>
        <v>555201286.72045076</v>
      </c>
      <c r="O49" s="17"/>
      <c r="P49" s="17"/>
      <c r="Q49" s="17"/>
      <c r="R49" s="17"/>
    </row>
  </sheetData>
  <mergeCells count="1">
    <mergeCell ref="B4:E4"/>
  </mergeCell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topLeftCell="A4" workbookViewId="0">
      <selection activeCell="T21" sqref="T21"/>
    </sheetView>
  </sheetViews>
  <sheetFormatPr defaultRowHeight="15" x14ac:dyDescent="0.25"/>
  <cols>
    <col min="3" max="3" width="0.85546875" customWidth="1"/>
    <col min="4" max="4" width="16.140625" customWidth="1"/>
    <col min="5" max="5" width="1.7109375" customWidth="1"/>
    <col min="6" max="6" width="15.42578125" customWidth="1"/>
    <col min="7" max="7" width="2.42578125" customWidth="1"/>
    <col min="9" max="9" width="3.42578125" customWidth="1"/>
    <col min="11" max="11" width="2.85546875" customWidth="1"/>
    <col min="12" max="12" width="16.140625" customWidth="1"/>
    <col min="13" max="13" width="2.28515625" customWidth="1"/>
    <col min="14" max="14" width="13.140625" customWidth="1"/>
    <col min="15" max="15" width="3" customWidth="1"/>
    <col min="17" max="17" width="2.28515625" customWidth="1"/>
    <col min="18" max="18" width="13" customWidth="1"/>
    <col min="20" max="20" width="13.140625" customWidth="1"/>
  </cols>
  <sheetData>
    <row r="1" spans="1:18" x14ac:dyDescent="0.25">
      <c r="B1" s="16" t="s">
        <v>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B2" s="18" t="s">
        <v>73</v>
      </c>
      <c r="C2" s="17"/>
      <c r="D2" s="17"/>
      <c r="E2" s="17"/>
      <c r="F2" s="17"/>
      <c r="G2" s="17"/>
      <c r="H2" s="17"/>
      <c r="I2" s="17"/>
      <c r="J2" s="17"/>
      <c r="K2" s="17"/>
      <c r="L2" s="16" t="s">
        <v>33</v>
      </c>
      <c r="M2" s="17"/>
      <c r="N2" s="17"/>
      <c r="O2" s="17"/>
      <c r="P2" s="19">
        <f>'IRR and Int Ret %'!$F$6</f>
        <v>-0.05</v>
      </c>
      <c r="Q2" s="17"/>
      <c r="R2" s="17"/>
    </row>
    <row r="3" spans="1:18" x14ac:dyDescent="0.25">
      <c r="B3" s="16" t="s">
        <v>83</v>
      </c>
      <c r="C3" s="17"/>
      <c r="D3" s="17"/>
      <c r="E3" s="17"/>
      <c r="F3" s="17"/>
      <c r="G3" s="17"/>
      <c r="H3" s="17"/>
      <c r="I3" s="17"/>
      <c r="J3" s="17"/>
      <c r="K3" s="17"/>
      <c r="L3" s="16" t="s">
        <v>34</v>
      </c>
      <c r="M3" s="17"/>
      <c r="N3" s="17"/>
      <c r="O3" s="17"/>
      <c r="P3" s="19">
        <v>0</v>
      </c>
      <c r="Q3" s="17"/>
      <c r="R3" s="17"/>
    </row>
    <row r="4" spans="1:18" x14ac:dyDescent="0.25">
      <c r="B4" s="89" t="s">
        <v>82</v>
      </c>
      <c r="C4" s="88"/>
      <c r="D4" s="88"/>
      <c r="E4" s="88"/>
      <c r="F4" s="17"/>
      <c r="G4" s="17"/>
      <c r="H4" s="17"/>
      <c r="I4" s="17"/>
      <c r="J4" s="17"/>
      <c r="K4" s="17"/>
      <c r="L4" s="16" t="s">
        <v>35</v>
      </c>
      <c r="M4" s="17"/>
      <c r="N4" s="17"/>
      <c r="O4" s="17"/>
      <c r="P4" s="19">
        <f>(D49+H49)/(B49+F49)</f>
        <v>-1.2994650036152675E-2</v>
      </c>
      <c r="Q4" s="17"/>
      <c r="R4" s="17"/>
    </row>
    <row r="5" spans="1:18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6" t="s">
        <v>36</v>
      </c>
      <c r="M5" s="17"/>
      <c r="N5" s="17"/>
      <c r="O5" s="17"/>
      <c r="P5" s="20">
        <f>'Avg Age'!$G$107</f>
        <v>3.8004523642889856</v>
      </c>
      <c r="Q5" s="17"/>
      <c r="R5" s="17"/>
    </row>
    <row r="6" spans="1:18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6" t="s">
        <v>37</v>
      </c>
      <c r="M6" s="17"/>
      <c r="N6" s="17"/>
      <c r="O6" s="17"/>
      <c r="P6" s="21">
        <f>N49/(L21+J49)</f>
        <v>22.08214378385804</v>
      </c>
      <c r="Q6" s="17"/>
      <c r="R6" s="17"/>
    </row>
    <row r="7" spans="1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6" t="s">
        <v>38</v>
      </c>
      <c r="M7" s="17"/>
      <c r="N7" s="17"/>
      <c r="O7" s="17"/>
      <c r="P7" s="21">
        <f>P5+P6</f>
        <v>25.882596148147027</v>
      </c>
      <c r="Q7" s="17"/>
      <c r="R7" s="17"/>
    </row>
    <row r="8" spans="1:18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6" t="s">
        <v>39</v>
      </c>
      <c r="M8" s="17"/>
      <c r="N8" s="17"/>
      <c r="O8" s="17"/>
      <c r="P8" s="19">
        <f>R21/L21</f>
        <v>-0.12113017169861758</v>
      </c>
      <c r="Q8" s="17"/>
      <c r="R8" s="17"/>
    </row>
    <row r="9" spans="1:18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6" t="s">
        <v>40</v>
      </c>
      <c r="M9" s="17"/>
      <c r="N9" s="17"/>
      <c r="O9" s="17"/>
      <c r="P9" s="17">
        <f>((P5/P7)*((1-P4))*L21)</f>
        <v>698794.7950434864</v>
      </c>
      <c r="Q9" s="17"/>
      <c r="R9" s="17"/>
    </row>
    <row r="10" spans="1:18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 t="s">
        <v>41</v>
      </c>
      <c r="M10" s="17"/>
      <c r="N10" s="17"/>
      <c r="O10" s="17"/>
      <c r="P10" s="22">
        <f>'IRR and Int Ret %'!$D$6</f>
        <v>1.2999999999999999E-2</v>
      </c>
      <c r="Q10" s="17"/>
      <c r="R10" s="17"/>
    </row>
    <row r="11" spans="1:18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 t="s">
        <v>42</v>
      </c>
      <c r="M11" s="17"/>
      <c r="N11" s="17"/>
      <c r="O11" s="17"/>
      <c r="P11" s="23">
        <v>0</v>
      </c>
      <c r="Q11" s="17"/>
      <c r="R11" s="17"/>
    </row>
    <row r="12" spans="1:18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 t="s">
        <v>43</v>
      </c>
      <c r="M12" s="17"/>
      <c r="N12" s="17"/>
      <c r="O12" s="17"/>
      <c r="P12" s="24">
        <f>(L21+J49-D49-H49-R21)/N49</f>
        <v>5.1359362244702479E-2</v>
      </c>
      <c r="Q12" s="17"/>
      <c r="R12" s="17"/>
    </row>
    <row r="13" spans="1:18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6" t="s">
        <v>44</v>
      </c>
      <c r="M13" s="17"/>
      <c r="N13" s="17"/>
      <c r="O13" s="17"/>
      <c r="P13" s="24">
        <f>-P4/P7</f>
        <v>5.0206130643826391E-4</v>
      </c>
      <c r="Q13" s="17"/>
      <c r="R13" s="17"/>
    </row>
    <row r="14" spans="1:18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 t="s">
        <v>123</v>
      </c>
      <c r="M14" s="17"/>
      <c r="N14" s="17"/>
      <c r="O14" s="17"/>
      <c r="P14" s="24">
        <f>P12-P13</f>
        <v>5.0857300938264217E-2</v>
      </c>
      <c r="Q14" s="17"/>
      <c r="R14" s="17"/>
    </row>
    <row r="15" spans="1:18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5"/>
      <c r="M15" s="17"/>
      <c r="N15" s="17"/>
      <c r="O15" s="17"/>
      <c r="P15" s="17"/>
      <c r="Q15" s="17"/>
      <c r="R15" s="17"/>
    </row>
    <row r="16" spans="1:18" x14ac:dyDescent="0.25">
      <c r="A16" s="26" t="s">
        <v>45</v>
      </c>
      <c r="B16" s="25" t="s">
        <v>46</v>
      </c>
      <c r="C16" s="25"/>
      <c r="D16" s="25" t="s">
        <v>47</v>
      </c>
      <c r="E16" s="25"/>
      <c r="F16" s="25" t="s">
        <v>48</v>
      </c>
      <c r="G16" s="25"/>
      <c r="H16" s="25" t="s">
        <v>49</v>
      </c>
      <c r="I16" s="25"/>
      <c r="J16" s="25" t="s">
        <v>50</v>
      </c>
      <c r="K16" s="17"/>
      <c r="L16" s="25" t="s">
        <v>51</v>
      </c>
      <c r="M16" s="17"/>
      <c r="N16" s="25" t="s">
        <v>52</v>
      </c>
      <c r="O16" s="25"/>
      <c r="P16" s="25" t="s">
        <v>53</v>
      </c>
      <c r="Q16" s="25"/>
      <c r="R16" s="25" t="s">
        <v>54</v>
      </c>
    </row>
    <row r="17" spans="1:23" x14ac:dyDescent="0.25">
      <c r="A17" s="26"/>
      <c r="B17" s="25" t="s">
        <v>55</v>
      </c>
      <c r="C17" s="25"/>
      <c r="D17" s="25" t="s">
        <v>55</v>
      </c>
      <c r="E17" s="25"/>
      <c r="F17" s="25" t="s">
        <v>56</v>
      </c>
      <c r="G17" s="25"/>
      <c r="H17" s="25" t="s">
        <v>56</v>
      </c>
      <c r="I17" s="25"/>
      <c r="J17" s="25" t="s">
        <v>55</v>
      </c>
      <c r="K17" s="17"/>
      <c r="L17" s="25" t="s">
        <v>57</v>
      </c>
      <c r="M17" s="17"/>
      <c r="N17" s="25" t="s">
        <v>58</v>
      </c>
      <c r="O17" s="25"/>
      <c r="P17" s="25" t="s">
        <v>59</v>
      </c>
      <c r="Q17" s="25"/>
      <c r="R17" s="25" t="s">
        <v>57</v>
      </c>
    </row>
    <row r="18" spans="1:23" x14ac:dyDescent="0.25">
      <c r="A18" s="27" t="s">
        <v>60</v>
      </c>
      <c r="B18" s="28" t="s">
        <v>61</v>
      </c>
      <c r="C18" s="28"/>
      <c r="D18" s="28" t="s">
        <v>62</v>
      </c>
      <c r="E18" s="28"/>
      <c r="F18" s="28" t="s">
        <v>63</v>
      </c>
      <c r="G18" s="28"/>
      <c r="H18" s="28" t="s">
        <v>62</v>
      </c>
      <c r="I18" s="28"/>
      <c r="J18" s="28" t="s">
        <v>64</v>
      </c>
      <c r="K18" s="17"/>
      <c r="L18" s="28" t="s">
        <v>65</v>
      </c>
      <c r="M18" s="17"/>
      <c r="N18" s="28" t="s">
        <v>65</v>
      </c>
      <c r="O18" s="28"/>
      <c r="P18" s="28" t="s">
        <v>66</v>
      </c>
      <c r="Q18" s="28"/>
      <c r="R18" s="28" t="s">
        <v>67</v>
      </c>
    </row>
    <row r="19" spans="1:23" x14ac:dyDescent="0.25">
      <c r="B19" s="25" t="s">
        <v>68</v>
      </c>
      <c r="C19" s="17"/>
      <c r="D19" s="25" t="s">
        <v>68</v>
      </c>
      <c r="E19" s="17"/>
      <c r="F19" s="25" t="s">
        <v>68</v>
      </c>
      <c r="G19" s="17"/>
      <c r="H19" s="25" t="s">
        <v>68</v>
      </c>
      <c r="I19" s="17"/>
      <c r="J19" s="25" t="s">
        <v>68</v>
      </c>
      <c r="K19" s="17"/>
      <c r="L19" s="25" t="s">
        <v>68</v>
      </c>
      <c r="M19" s="17"/>
      <c r="N19" s="25" t="s">
        <v>68</v>
      </c>
      <c r="O19" s="17"/>
      <c r="P19" s="25" t="s">
        <v>68</v>
      </c>
      <c r="Q19" s="17"/>
      <c r="R19" s="25" t="s">
        <v>68</v>
      </c>
    </row>
    <row r="20" spans="1:23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T20" t="s">
        <v>135</v>
      </c>
      <c r="W20" t="s">
        <v>107</v>
      </c>
    </row>
    <row r="21" spans="1:23" x14ac:dyDescent="0.25">
      <c r="A21">
        <v>2016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0">
        <f>'Avg Age'!$E$107</f>
        <v>4698022.0675461637</v>
      </c>
      <c r="M21" s="17"/>
      <c r="N21" s="17"/>
      <c r="O21" s="17"/>
      <c r="P21" s="17"/>
      <c r="Q21" s="17"/>
      <c r="R21" s="30">
        <v>-569072.21968576114</v>
      </c>
      <c r="T21" s="30">
        <v>-569072.21968576114</v>
      </c>
      <c r="U21" t="s">
        <v>20</v>
      </c>
      <c r="W21" s="70">
        <f>+R21-T21</f>
        <v>0</v>
      </c>
    </row>
    <row r="22" spans="1:23" x14ac:dyDescent="0.25">
      <c r="A22">
        <f t="shared" ref="A22:A47" si="0">A21+1</f>
        <v>2017</v>
      </c>
      <c r="B22" s="17">
        <f t="shared" ref="B22:B44" si="1">L21*$P$10</f>
        <v>61074.286878100123</v>
      </c>
      <c r="C22" s="17"/>
      <c r="D22" s="17">
        <f t="shared" ref="D22:D44" si="2">B22*$P$2</f>
        <v>-3053.7143439050064</v>
      </c>
      <c r="E22" s="17"/>
      <c r="F22" s="17"/>
      <c r="G22" s="17"/>
      <c r="H22" s="17"/>
      <c r="I22" s="17"/>
      <c r="J22" s="17">
        <f>B22*$P$11</f>
        <v>0</v>
      </c>
      <c r="K22" s="17"/>
      <c r="L22" s="17">
        <f t="shared" ref="L22:L47" si="3">L21+J22-B22-F22</f>
        <v>4636947.780668064</v>
      </c>
      <c r="M22" s="17"/>
      <c r="N22" s="17">
        <f t="shared" ref="N22:N46" si="4">(L21+L22)/2</f>
        <v>4667484.9241071139</v>
      </c>
      <c r="O22" s="17"/>
      <c r="P22" s="17">
        <f t="shared" ref="P22:P47" si="5">N22*$P$12</f>
        <v>239719.04898890492</v>
      </c>
      <c r="Q22" s="17"/>
      <c r="R22" s="17">
        <f t="shared" ref="R22:R47" si="6">R21+P22-B22-F22+D22+H22</f>
        <v>-393481.17191886134</v>
      </c>
    </row>
    <row r="23" spans="1:23" x14ac:dyDescent="0.25">
      <c r="A23">
        <f t="shared" si="0"/>
        <v>2018</v>
      </c>
      <c r="B23" s="17">
        <f t="shared" si="1"/>
        <v>60280.32114868483</v>
      </c>
      <c r="C23" s="17"/>
      <c r="D23" s="17">
        <f t="shared" si="2"/>
        <v>-3014.0160574342417</v>
      </c>
      <c r="E23" s="17"/>
      <c r="F23" s="17"/>
      <c r="G23" s="17"/>
      <c r="H23" s="17"/>
      <c r="I23" s="17"/>
      <c r="J23" s="17">
        <f>B23*$P$11</f>
        <v>0</v>
      </c>
      <c r="K23" s="17"/>
      <c r="L23" s="17">
        <f t="shared" si="3"/>
        <v>4576667.4595193788</v>
      </c>
      <c r="M23" s="17"/>
      <c r="N23" s="17">
        <f t="shared" si="4"/>
        <v>4606807.6200937219</v>
      </c>
      <c r="O23" s="17"/>
      <c r="P23" s="17">
        <f t="shared" si="5"/>
        <v>236602.70135204919</v>
      </c>
      <c r="Q23" s="17"/>
      <c r="R23" s="17">
        <f t="shared" si="6"/>
        <v>-220172.80777293121</v>
      </c>
    </row>
    <row r="24" spans="1:23" x14ac:dyDescent="0.25">
      <c r="A24">
        <f t="shared" si="0"/>
        <v>2019</v>
      </c>
      <c r="B24" s="17">
        <f t="shared" si="1"/>
        <v>59496.676973751921</v>
      </c>
      <c r="C24" s="17"/>
      <c r="D24" s="17">
        <f t="shared" si="2"/>
        <v>-2974.8338486875964</v>
      </c>
      <c r="E24" s="17"/>
      <c r="F24" s="17"/>
      <c r="G24" s="17"/>
      <c r="H24" s="17"/>
      <c r="I24" s="17"/>
      <c r="J24" s="17">
        <f>B24*$P$11</f>
        <v>0</v>
      </c>
      <c r="K24" s="17"/>
      <c r="L24" s="17">
        <f t="shared" si="3"/>
        <v>4517170.7825456271</v>
      </c>
      <c r="M24" s="17"/>
      <c r="N24" s="17">
        <f t="shared" si="4"/>
        <v>4546919.1210325025</v>
      </c>
      <c r="O24" s="17"/>
      <c r="P24" s="17">
        <f t="shared" si="5"/>
        <v>233526.86623447249</v>
      </c>
      <c r="Q24" s="17"/>
      <c r="R24" s="17">
        <f t="shared" si="6"/>
        <v>-49117.452360898234</v>
      </c>
    </row>
    <row r="25" spans="1:23" x14ac:dyDescent="0.25">
      <c r="A25">
        <f t="shared" si="0"/>
        <v>2020</v>
      </c>
      <c r="B25" s="17">
        <f t="shared" si="1"/>
        <v>58723.220173093148</v>
      </c>
      <c r="C25" s="17"/>
      <c r="D25" s="17">
        <f t="shared" si="2"/>
        <v>-2936.1610086546575</v>
      </c>
      <c r="E25" s="17"/>
      <c r="F25" s="17"/>
      <c r="G25" s="17"/>
      <c r="H25" s="17"/>
      <c r="I25" s="17"/>
      <c r="J25" s="17">
        <f>B25*$P$11</f>
        <v>0</v>
      </c>
      <c r="K25" s="17"/>
      <c r="L25" s="17">
        <f t="shared" si="3"/>
        <v>4458447.5623725336</v>
      </c>
      <c r="M25" s="17"/>
      <c r="N25" s="17">
        <f t="shared" si="4"/>
        <v>4487809.1724590808</v>
      </c>
      <c r="O25" s="17"/>
      <c r="P25" s="17">
        <f t="shared" si="5"/>
        <v>230491.01697342438</v>
      </c>
      <c r="Q25" s="17"/>
      <c r="R25" s="17">
        <f t="shared" si="6"/>
        <v>119714.18343077836</v>
      </c>
    </row>
    <row r="26" spans="1:23" x14ac:dyDescent="0.25">
      <c r="A26">
        <f t="shared" si="0"/>
        <v>2021</v>
      </c>
      <c r="B26" s="17">
        <f t="shared" si="1"/>
        <v>57959.818310842937</v>
      </c>
      <c r="C26" s="17"/>
      <c r="D26" s="17">
        <f t="shared" si="2"/>
        <v>-2897.9909155421469</v>
      </c>
      <c r="E26" s="17"/>
      <c r="F26" s="17"/>
      <c r="G26" s="17"/>
      <c r="H26" s="17"/>
      <c r="I26" s="17"/>
      <c r="J26" s="17"/>
      <c r="K26" s="17"/>
      <c r="L26" s="17">
        <f t="shared" si="3"/>
        <v>4400487.7440616908</v>
      </c>
      <c r="M26" s="17"/>
      <c r="N26" s="17">
        <f t="shared" si="4"/>
        <v>4429467.6532171126</v>
      </c>
      <c r="O26" s="17"/>
      <c r="P26" s="17">
        <f t="shared" si="5"/>
        <v>227494.63375276988</v>
      </c>
      <c r="Q26" s="17"/>
      <c r="R26" s="17">
        <f t="shared" si="6"/>
        <v>286351.00795716315</v>
      </c>
    </row>
    <row r="27" spans="1:23" x14ac:dyDescent="0.25">
      <c r="A27">
        <f t="shared" si="0"/>
        <v>2022</v>
      </c>
      <c r="B27" s="17">
        <f t="shared" si="1"/>
        <v>57206.340672801976</v>
      </c>
      <c r="C27" s="17"/>
      <c r="D27" s="17">
        <f t="shared" si="2"/>
        <v>-2860.317033640099</v>
      </c>
      <c r="E27" s="17"/>
      <c r="F27" s="17"/>
      <c r="G27" s="17"/>
      <c r="H27" s="17"/>
      <c r="I27" s="17"/>
      <c r="J27" s="17"/>
      <c r="K27" s="17"/>
      <c r="L27" s="17">
        <f t="shared" si="3"/>
        <v>4343281.4033888886</v>
      </c>
      <c r="M27" s="17"/>
      <c r="N27" s="17">
        <f t="shared" si="4"/>
        <v>4371884.5737252897</v>
      </c>
      <c r="O27" s="17"/>
      <c r="P27" s="17">
        <f t="shared" si="5"/>
        <v>224537.20351398384</v>
      </c>
      <c r="Q27" s="17"/>
      <c r="R27" s="17">
        <f t="shared" si="6"/>
        <v>450821.55376470496</v>
      </c>
    </row>
    <row r="28" spans="1:23" x14ac:dyDescent="0.25">
      <c r="A28">
        <f t="shared" si="0"/>
        <v>2023</v>
      </c>
      <c r="B28" s="17">
        <f t="shared" si="1"/>
        <v>56462.65824405555</v>
      </c>
      <c r="C28" s="17"/>
      <c r="D28" s="17">
        <f t="shared" si="2"/>
        <v>-2823.1329122027778</v>
      </c>
      <c r="E28" s="17"/>
      <c r="F28" s="17"/>
      <c r="G28" s="17"/>
      <c r="H28" s="17"/>
      <c r="I28" s="17"/>
      <c r="J28" s="17"/>
      <c r="K28" s="17"/>
      <c r="L28" s="17">
        <f t="shared" si="3"/>
        <v>4286818.7451448329</v>
      </c>
      <c r="M28" s="17"/>
      <c r="N28" s="17">
        <f t="shared" si="4"/>
        <v>4315050.0742668603</v>
      </c>
      <c r="O28" s="17"/>
      <c r="P28" s="17">
        <f t="shared" si="5"/>
        <v>221618.21986830203</v>
      </c>
      <c r="Q28" s="17"/>
      <c r="R28" s="17">
        <f t="shared" si="6"/>
        <v>613153.98247674864</v>
      </c>
    </row>
    <row r="29" spans="1:23" x14ac:dyDescent="0.25">
      <c r="A29">
        <f t="shared" si="0"/>
        <v>2024</v>
      </c>
      <c r="B29" s="17">
        <f t="shared" si="1"/>
        <v>55728.643686882824</v>
      </c>
      <c r="C29" s="17"/>
      <c r="D29" s="17">
        <f t="shared" si="2"/>
        <v>-2786.4321843441412</v>
      </c>
      <c r="E29" s="17"/>
      <c r="F29" s="17"/>
      <c r="G29" s="17"/>
      <c r="H29" s="17"/>
      <c r="I29" s="17"/>
      <c r="J29" s="17"/>
      <c r="K29" s="17"/>
      <c r="L29" s="17">
        <f t="shared" si="3"/>
        <v>4231090.1014579497</v>
      </c>
      <c r="M29" s="17"/>
      <c r="N29" s="17">
        <f t="shared" si="4"/>
        <v>4258954.4233013913</v>
      </c>
      <c r="O29" s="17"/>
      <c r="P29" s="17">
        <f t="shared" si="5"/>
        <v>218737.18301001409</v>
      </c>
      <c r="Q29" s="17"/>
      <c r="R29" s="17">
        <f t="shared" si="6"/>
        <v>773376.08961553581</v>
      </c>
    </row>
    <row r="30" spans="1:23" x14ac:dyDescent="0.25">
      <c r="A30">
        <f t="shared" si="0"/>
        <v>2025</v>
      </c>
      <c r="B30" s="17">
        <f t="shared" si="1"/>
        <v>55004.171318953348</v>
      </c>
      <c r="C30" s="17"/>
      <c r="D30" s="17">
        <f t="shared" si="2"/>
        <v>-2750.2085659476675</v>
      </c>
      <c r="E30" s="17"/>
      <c r="F30" s="17"/>
      <c r="G30" s="17"/>
      <c r="H30" s="17"/>
      <c r="I30" s="17"/>
      <c r="J30" s="17"/>
      <c r="K30" s="17"/>
      <c r="L30" s="17">
        <f t="shared" si="3"/>
        <v>4176085.9301389963</v>
      </c>
      <c r="M30" s="17"/>
      <c r="N30" s="17">
        <f t="shared" si="4"/>
        <v>4203588.0157984728</v>
      </c>
      <c r="O30" s="17"/>
      <c r="P30" s="17">
        <f t="shared" si="5"/>
        <v>215893.59963088389</v>
      </c>
      <c r="Q30" s="17"/>
      <c r="R30" s="17">
        <f t="shared" si="6"/>
        <v>931515.30936151859</v>
      </c>
    </row>
    <row r="31" spans="1:23" x14ac:dyDescent="0.25">
      <c r="A31">
        <f t="shared" si="0"/>
        <v>2026</v>
      </c>
      <c r="B31" s="17">
        <f t="shared" si="1"/>
        <v>54289.117091806947</v>
      </c>
      <c r="C31" s="17"/>
      <c r="D31" s="17">
        <f t="shared" si="2"/>
        <v>-2714.4558545903474</v>
      </c>
      <c r="E31" s="17"/>
      <c r="F31" s="17"/>
      <c r="G31" s="17"/>
      <c r="H31" s="17"/>
      <c r="I31" s="17"/>
      <c r="J31" s="17"/>
      <c r="K31" s="17"/>
      <c r="L31" s="17">
        <f t="shared" si="3"/>
        <v>4121796.8130471893</v>
      </c>
      <c r="M31" s="17"/>
      <c r="N31" s="17">
        <f t="shared" si="4"/>
        <v>4148941.3715930926</v>
      </c>
      <c r="O31" s="17"/>
      <c r="P31" s="17">
        <f t="shared" si="5"/>
        <v>213086.9828356824</v>
      </c>
      <c r="Q31" s="17"/>
      <c r="R31" s="17">
        <f t="shared" si="6"/>
        <v>1087598.7192508038</v>
      </c>
    </row>
    <row r="32" spans="1:23" x14ac:dyDescent="0.25">
      <c r="A32">
        <f t="shared" si="0"/>
        <v>2027</v>
      </c>
      <c r="B32" s="17">
        <f t="shared" si="1"/>
        <v>53583.358569613461</v>
      </c>
      <c r="C32" s="17"/>
      <c r="D32" s="17">
        <f t="shared" si="2"/>
        <v>-2679.1679284806733</v>
      </c>
      <c r="E32" s="17"/>
      <c r="F32" s="17"/>
      <c r="G32" s="17"/>
      <c r="H32" s="17"/>
      <c r="I32" s="17"/>
      <c r="J32" s="17"/>
      <c r="K32" s="17"/>
      <c r="L32" s="17">
        <f t="shared" si="3"/>
        <v>4068213.4544775756</v>
      </c>
      <c r="M32" s="17"/>
      <c r="N32" s="17">
        <f t="shared" si="4"/>
        <v>4095005.1337623824</v>
      </c>
      <c r="O32" s="17"/>
      <c r="P32" s="17">
        <f t="shared" si="5"/>
        <v>210316.85205881853</v>
      </c>
      <c r="Q32" s="17"/>
      <c r="R32" s="17">
        <f t="shared" si="6"/>
        <v>1241653.0448115282</v>
      </c>
    </row>
    <row r="33" spans="1:18" x14ac:dyDescent="0.25">
      <c r="A33">
        <f t="shared" si="0"/>
        <v>2028</v>
      </c>
      <c r="B33" s="17">
        <f t="shared" si="1"/>
        <v>52886.774908208477</v>
      </c>
      <c r="C33" s="17"/>
      <c r="D33" s="17">
        <f t="shared" si="2"/>
        <v>-2644.3387454104241</v>
      </c>
      <c r="E33" s="17"/>
      <c r="F33" s="17"/>
      <c r="G33" s="17"/>
      <c r="H33" s="17"/>
      <c r="I33" s="17"/>
      <c r="J33" s="17"/>
      <c r="K33" s="17"/>
      <c r="L33" s="17">
        <f t="shared" si="3"/>
        <v>4015326.6795693673</v>
      </c>
      <c r="M33" s="17"/>
      <c r="N33" s="17">
        <f t="shared" si="4"/>
        <v>4041770.0670234715</v>
      </c>
      <c r="O33" s="17"/>
      <c r="P33" s="17">
        <f t="shared" si="5"/>
        <v>207582.73298205389</v>
      </c>
      <c r="Q33" s="17"/>
      <c r="R33" s="17">
        <f t="shared" si="6"/>
        <v>1393704.6641399632</v>
      </c>
    </row>
    <row r="34" spans="1:18" x14ac:dyDescent="0.25">
      <c r="A34">
        <f t="shared" si="0"/>
        <v>2029</v>
      </c>
      <c r="B34" s="17">
        <f t="shared" si="1"/>
        <v>52199.246834401776</v>
      </c>
      <c r="C34" s="17"/>
      <c r="D34" s="17">
        <f t="shared" si="2"/>
        <v>-2609.9623417200892</v>
      </c>
      <c r="E34" s="17"/>
      <c r="F34" s="17"/>
      <c r="G34" s="17"/>
      <c r="H34" s="17"/>
      <c r="I34" s="17"/>
      <c r="J34" s="17"/>
      <c r="K34" s="17"/>
      <c r="L34" s="17">
        <f t="shared" si="3"/>
        <v>3963127.4327349653</v>
      </c>
      <c r="M34" s="17"/>
      <c r="N34" s="17">
        <f t="shared" si="4"/>
        <v>3989227.0561521663</v>
      </c>
      <c r="O34" s="17"/>
      <c r="P34" s="17">
        <f t="shared" si="5"/>
        <v>204884.15745328719</v>
      </c>
      <c r="Q34" s="17"/>
      <c r="R34" s="17">
        <f t="shared" si="6"/>
        <v>1543779.6124171286</v>
      </c>
    </row>
    <row r="35" spans="1:18" x14ac:dyDescent="0.25">
      <c r="A35">
        <f t="shared" si="0"/>
        <v>2030</v>
      </c>
      <c r="B35" s="17">
        <f t="shared" si="1"/>
        <v>51520.656625554548</v>
      </c>
      <c r="C35" s="17"/>
      <c r="D35" s="17">
        <f t="shared" si="2"/>
        <v>-2576.0328312777274</v>
      </c>
      <c r="E35" s="17"/>
      <c r="F35" s="17"/>
      <c r="G35" s="17"/>
      <c r="H35" s="17"/>
      <c r="I35" s="17"/>
      <c r="J35" s="17"/>
      <c r="K35" s="17"/>
      <c r="L35" s="17">
        <f t="shared" si="3"/>
        <v>3911606.7761094109</v>
      </c>
      <c r="M35" s="17"/>
      <c r="N35" s="17">
        <f t="shared" si="4"/>
        <v>3937367.1044221884</v>
      </c>
      <c r="O35" s="17"/>
      <c r="P35" s="17">
        <f t="shared" si="5"/>
        <v>202220.66340639445</v>
      </c>
      <c r="Q35" s="17"/>
      <c r="R35" s="17">
        <f t="shared" si="6"/>
        <v>1691903.5863666907</v>
      </c>
    </row>
    <row r="36" spans="1:18" x14ac:dyDescent="0.25">
      <c r="A36">
        <f t="shared" si="0"/>
        <v>2031</v>
      </c>
      <c r="B36" s="17">
        <f t="shared" si="1"/>
        <v>50850.88808942234</v>
      </c>
      <c r="C36" s="17"/>
      <c r="D36" s="17">
        <f t="shared" si="2"/>
        <v>-2542.5444044711171</v>
      </c>
      <c r="E36" s="17"/>
      <c r="F36" s="17"/>
      <c r="G36" s="17"/>
      <c r="H36" s="17"/>
      <c r="I36" s="17"/>
      <c r="J36" s="17"/>
      <c r="K36" s="17"/>
      <c r="L36" s="17">
        <f t="shared" si="3"/>
        <v>3860755.8880199888</v>
      </c>
      <c r="M36" s="17"/>
      <c r="N36" s="17">
        <f t="shared" si="4"/>
        <v>3886181.3320646998</v>
      </c>
      <c r="O36" s="17"/>
      <c r="P36" s="17">
        <f t="shared" si="5"/>
        <v>199591.79478211133</v>
      </c>
      <c r="Q36" s="17"/>
      <c r="R36" s="17">
        <f t="shared" si="6"/>
        <v>1838101.9486549087</v>
      </c>
    </row>
    <row r="37" spans="1:18" x14ac:dyDescent="0.25">
      <c r="A37">
        <f t="shared" si="0"/>
        <v>2032</v>
      </c>
      <c r="B37" s="17">
        <f t="shared" si="1"/>
        <v>50189.826544259849</v>
      </c>
      <c r="C37" s="17"/>
      <c r="D37" s="17">
        <f t="shared" si="2"/>
        <v>-2509.4913272129925</v>
      </c>
      <c r="E37" s="17"/>
      <c r="F37" s="17"/>
      <c r="G37" s="17"/>
      <c r="H37" s="17"/>
      <c r="I37" s="17"/>
      <c r="J37" s="17"/>
      <c r="K37" s="17"/>
      <c r="L37" s="17">
        <f t="shared" si="3"/>
        <v>3810566.0614757291</v>
      </c>
      <c r="M37" s="17"/>
      <c r="N37" s="17">
        <f t="shared" si="4"/>
        <v>3835660.9747478589</v>
      </c>
      <c r="O37" s="17"/>
      <c r="P37" s="17">
        <f t="shared" si="5"/>
        <v>196997.1014499439</v>
      </c>
      <c r="Q37" s="17"/>
      <c r="R37" s="17">
        <f t="shared" si="6"/>
        <v>1982399.7322333797</v>
      </c>
    </row>
    <row r="38" spans="1:18" x14ac:dyDescent="0.25">
      <c r="A38">
        <f t="shared" si="0"/>
        <v>2033</v>
      </c>
      <c r="B38" s="17">
        <f t="shared" si="1"/>
        <v>49537.358799184476</v>
      </c>
      <c r="C38" s="17"/>
      <c r="D38" s="17">
        <f t="shared" si="2"/>
        <v>-2476.8679399592238</v>
      </c>
      <c r="E38" s="17"/>
      <c r="F38" s="17"/>
      <c r="G38" s="17"/>
      <c r="H38" s="17"/>
      <c r="I38" s="17"/>
      <c r="J38" s="17"/>
      <c r="K38" s="17"/>
      <c r="L38" s="17">
        <f t="shared" si="3"/>
        <v>3761028.7026765444</v>
      </c>
      <c r="M38" s="17"/>
      <c r="N38" s="17">
        <f t="shared" si="4"/>
        <v>3785797.3820761368</v>
      </c>
      <c r="O38" s="17"/>
      <c r="P38" s="17">
        <f t="shared" si="5"/>
        <v>194436.13913109462</v>
      </c>
      <c r="Q38" s="17"/>
      <c r="R38" s="17">
        <f t="shared" si="6"/>
        <v>2124821.6446253303</v>
      </c>
    </row>
    <row r="39" spans="1:18" x14ac:dyDescent="0.25">
      <c r="A39">
        <f t="shared" si="0"/>
        <v>2034</v>
      </c>
      <c r="B39" s="17">
        <f t="shared" si="1"/>
        <v>48893.373134795074</v>
      </c>
      <c r="C39" s="17"/>
      <c r="D39" s="17">
        <f t="shared" si="2"/>
        <v>-2444.6686567397537</v>
      </c>
      <c r="E39" s="17"/>
      <c r="F39" s="17"/>
      <c r="G39" s="17"/>
      <c r="H39" s="17"/>
      <c r="I39" s="17"/>
      <c r="J39" s="17"/>
      <c r="K39" s="17"/>
      <c r="L39" s="17">
        <f t="shared" si="3"/>
        <v>3712135.3295417493</v>
      </c>
      <c r="M39" s="17"/>
      <c r="N39" s="17">
        <f t="shared" si="4"/>
        <v>3736582.0161091471</v>
      </c>
      <c r="O39" s="17"/>
      <c r="P39" s="17">
        <f t="shared" si="5"/>
        <v>191908.46932239039</v>
      </c>
      <c r="Q39" s="17"/>
      <c r="R39" s="17">
        <f t="shared" si="6"/>
        <v>2265392.0721561857</v>
      </c>
    </row>
    <row r="40" spans="1:18" x14ac:dyDescent="0.25">
      <c r="A40">
        <f t="shared" si="0"/>
        <v>2035</v>
      </c>
      <c r="B40" s="17">
        <f t="shared" si="1"/>
        <v>48257.759284042739</v>
      </c>
      <c r="C40" s="17"/>
      <c r="D40" s="17">
        <f t="shared" si="2"/>
        <v>-2412.887964202137</v>
      </c>
      <c r="E40" s="17"/>
      <c r="F40" s="17"/>
      <c r="G40" s="17"/>
      <c r="H40" s="17"/>
      <c r="I40" s="17"/>
      <c r="J40" s="17"/>
      <c r="K40" s="17"/>
      <c r="L40" s="17">
        <f t="shared" si="3"/>
        <v>3663877.5702577066</v>
      </c>
      <c r="M40" s="17"/>
      <c r="N40" s="17">
        <f t="shared" si="4"/>
        <v>3688006.4498997279</v>
      </c>
      <c r="O40" s="17"/>
      <c r="P40" s="17">
        <f t="shared" si="5"/>
        <v>189413.65922119931</v>
      </c>
      <c r="Q40" s="17"/>
      <c r="R40" s="17">
        <f t="shared" si="6"/>
        <v>2404135.0841291402</v>
      </c>
    </row>
    <row r="41" spans="1:18" x14ac:dyDescent="0.25">
      <c r="A41">
        <f t="shared" si="0"/>
        <v>2036</v>
      </c>
      <c r="B41" s="17">
        <f t="shared" si="1"/>
        <v>47630.408413350182</v>
      </c>
      <c r="C41" s="17"/>
      <c r="D41" s="17">
        <f t="shared" si="2"/>
        <v>-2381.5204206675094</v>
      </c>
      <c r="E41" s="17"/>
      <c r="F41" s="17"/>
      <c r="G41" s="17"/>
      <c r="H41" s="17"/>
      <c r="I41" s="17"/>
      <c r="J41" s="17"/>
      <c r="K41" s="17"/>
      <c r="L41" s="17">
        <f t="shared" si="3"/>
        <v>3616247.1618443565</v>
      </c>
      <c r="M41" s="17"/>
      <c r="N41" s="17">
        <f t="shared" si="4"/>
        <v>3640062.3660510313</v>
      </c>
      <c r="O41" s="17"/>
      <c r="P41" s="17">
        <f t="shared" si="5"/>
        <v>186951.28165132372</v>
      </c>
      <c r="Q41" s="17"/>
      <c r="R41" s="17">
        <f t="shared" si="6"/>
        <v>2541074.4369464461</v>
      </c>
    </row>
    <row r="42" spans="1:18" x14ac:dyDescent="0.25">
      <c r="A42">
        <f t="shared" si="0"/>
        <v>2037</v>
      </c>
      <c r="B42" s="17">
        <f t="shared" si="1"/>
        <v>47011.213103976632</v>
      </c>
      <c r="C42" s="17"/>
      <c r="D42" s="17">
        <f t="shared" si="2"/>
        <v>-2350.5606551988317</v>
      </c>
      <c r="E42" s="17"/>
      <c r="F42" s="17"/>
      <c r="G42" s="17"/>
      <c r="H42" s="17"/>
      <c r="I42" s="17"/>
      <c r="J42" s="17"/>
      <c r="K42" s="17"/>
      <c r="L42" s="17">
        <f t="shared" si="3"/>
        <v>3569235.9487403799</v>
      </c>
      <c r="M42" s="17"/>
      <c r="N42" s="17">
        <f t="shared" si="4"/>
        <v>3592741.5552923679</v>
      </c>
      <c r="O42" s="17"/>
      <c r="P42" s="17">
        <f t="shared" si="5"/>
        <v>184520.91498985651</v>
      </c>
      <c r="Q42" s="17"/>
      <c r="R42" s="17">
        <f t="shared" si="6"/>
        <v>2676233.5781771271</v>
      </c>
    </row>
    <row r="43" spans="1:18" x14ac:dyDescent="0.25">
      <c r="A43">
        <f t="shared" si="0"/>
        <v>2038</v>
      </c>
      <c r="B43" s="17">
        <f t="shared" si="1"/>
        <v>46400.067333624938</v>
      </c>
      <c r="C43" s="17"/>
      <c r="D43" s="17">
        <f t="shared" si="2"/>
        <v>-2320.0033666812469</v>
      </c>
      <c r="E43" s="17"/>
      <c r="F43" s="17"/>
      <c r="G43" s="17"/>
      <c r="H43" s="17"/>
      <c r="I43" s="17"/>
      <c r="J43" s="17"/>
      <c r="K43" s="17"/>
      <c r="L43" s="17">
        <f t="shared" si="3"/>
        <v>3522835.8814067547</v>
      </c>
      <c r="M43" s="17"/>
      <c r="N43" s="17">
        <f t="shared" si="4"/>
        <v>3546035.9150735671</v>
      </c>
      <c r="O43" s="17"/>
      <c r="P43" s="17">
        <f t="shared" si="5"/>
        <v>182122.14309498837</v>
      </c>
      <c r="Q43" s="17"/>
      <c r="R43" s="17">
        <f t="shared" si="6"/>
        <v>2809635.6505718092</v>
      </c>
    </row>
    <row r="44" spans="1:18" x14ac:dyDescent="0.25">
      <c r="A44">
        <f t="shared" si="0"/>
        <v>2039</v>
      </c>
      <c r="B44" s="17">
        <f t="shared" si="1"/>
        <v>45796.866458287812</v>
      </c>
      <c r="C44" s="17"/>
      <c r="D44" s="17">
        <f t="shared" si="2"/>
        <v>-2289.8433229143907</v>
      </c>
      <c r="E44" s="17"/>
      <c r="F44" s="17"/>
      <c r="G44" s="17"/>
      <c r="H44" s="17"/>
      <c r="I44" s="17"/>
      <c r="J44" s="17"/>
      <c r="K44" s="17"/>
      <c r="L44" s="17">
        <f t="shared" si="3"/>
        <v>3477039.0149484668</v>
      </c>
      <c r="M44" s="17"/>
      <c r="N44" s="17">
        <f t="shared" si="4"/>
        <v>3499937.4481776105</v>
      </c>
      <c r="O44" s="17"/>
      <c r="P44" s="17">
        <f t="shared" si="5"/>
        <v>179754.5552347535</v>
      </c>
      <c r="Q44" s="17"/>
      <c r="R44" s="17">
        <f t="shared" si="6"/>
        <v>2941303.4960253602</v>
      </c>
    </row>
    <row r="45" spans="1:18" x14ac:dyDescent="0.25">
      <c r="A45">
        <f t="shared" si="0"/>
        <v>2040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>
        <f t="shared" si="3"/>
        <v>3477039.0149484668</v>
      </c>
      <c r="M45" s="17"/>
      <c r="N45" s="17">
        <f t="shared" si="4"/>
        <v>3477039.0149484668</v>
      </c>
      <c r="O45" s="17"/>
      <c r="P45" s="17">
        <f t="shared" si="5"/>
        <v>178578.50630770178</v>
      </c>
      <c r="Q45" s="17"/>
      <c r="R45" s="17">
        <f t="shared" si="6"/>
        <v>3119882.0023330618</v>
      </c>
    </row>
    <row r="46" spans="1:18" x14ac:dyDescent="0.25">
      <c r="A46">
        <f t="shared" si="0"/>
        <v>2041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>
        <f t="shared" si="3"/>
        <v>3477039.0149484668</v>
      </c>
      <c r="M46" s="17"/>
      <c r="N46" s="17">
        <f t="shared" si="4"/>
        <v>3477039.0149484668</v>
      </c>
      <c r="O46" s="17"/>
      <c r="P46" s="17">
        <f t="shared" si="5"/>
        <v>178578.50630770178</v>
      </c>
      <c r="Q46" s="17"/>
      <c r="R46" s="17">
        <f t="shared" si="6"/>
        <v>3298460.5086407633</v>
      </c>
    </row>
    <row r="47" spans="1:18" x14ac:dyDescent="0.25">
      <c r="A47">
        <f t="shared" si="0"/>
        <v>2042</v>
      </c>
      <c r="B47" s="17"/>
      <c r="C47" s="17"/>
      <c r="D47" s="17"/>
      <c r="E47" s="17"/>
      <c r="F47" s="17">
        <f>L46</f>
        <v>3477039.0149484668</v>
      </c>
      <c r="G47" s="17"/>
      <c r="H47" s="17">
        <f>F47*P$3</f>
        <v>0</v>
      </c>
      <c r="I47" s="17"/>
      <c r="J47" s="17"/>
      <c r="K47" s="17"/>
      <c r="L47" s="17">
        <f t="shared" si="3"/>
        <v>0</v>
      </c>
      <c r="M47" s="17"/>
      <c r="N47" s="17">
        <f>+L46</f>
        <v>3477039.0149484668</v>
      </c>
      <c r="O47" s="17"/>
      <c r="P47" s="17">
        <f t="shared" si="5"/>
        <v>178578.50630770178</v>
      </c>
      <c r="Q47" s="17"/>
      <c r="R47" s="17">
        <f t="shared" si="6"/>
        <v>-1.862645149230957E-9</v>
      </c>
    </row>
    <row r="48" spans="1:18" x14ac:dyDescent="0.2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1:18" x14ac:dyDescent="0.25">
      <c r="A49" s="26" t="s">
        <v>69</v>
      </c>
      <c r="B49" s="31">
        <f>SUM(B22:B47)</f>
        <v>1220983.0525976955</v>
      </c>
      <c r="C49" s="31">
        <f>SUM(C22:C47)</f>
        <v>0</v>
      </c>
      <c r="D49" s="31">
        <f>SUM(D22:D47)</f>
        <v>-61049.152629884804</v>
      </c>
      <c r="E49" s="17"/>
      <c r="F49" s="31">
        <f>SUM(F22:F47)</f>
        <v>3477039.0149484668</v>
      </c>
      <c r="G49" s="17"/>
      <c r="H49" s="31">
        <f>SUM(H22:H47)</f>
        <v>0</v>
      </c>
      <c r="I49" s="17"/>
      <c r="J49" s="31">
        <f>SUM(J22:J47)</f>
        <v>0</v>
      </c>
      <c r="K49" s="17"/>
      <c r="L49" s="17"/>
      <c r="M49" s="17"/>
      <c r="N49" s="31">
        <f>SUM(N22:N47)</f>
        <v>103742398.79529242</v>
      </c>
      <c r="O49" s="17"/>
      <c r="P49" s="17"/>
      <c r="Q49" s="17"/>
      <c r="R49" s="17"/>
    </row>
    <row r="50" spans="1:18" x14ac:dyDescent="0.25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</row>
  </sheetData>
  <mergeCells count="1">
    <mergeCell ref="B4:E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workbookViewId="0">
      <selection activeCell="U24" sqref="U24"/>
    </sheetView>
  </sheetViews>
  <sheetFormatPr defaultRowHeight="15" x14ac:dyDescent="0.25"/>
  <cols>
    <col min="2" max="2" width="17.42578125" bestFit="1" customWidth="1"/>
    <col min="3" max="3" width="2.42578125" customWidth="1"/>
    <col min="4" max="4" width="11.7109375" bestFit="1" customWidth="1"/>
    <col min="5" max="5" width="1.85546875" customWidth="1"/>
    <col min="6" max="6" width="12.5703125" customWidth="1"/>
    <col min="7" max="7" width="2.7109375" customWidth="1"/>
    <col min="8" max="8" width="11.7109375" customWidth="1"/>
    <col min="9" max="9" width="3.140625" customWidth="1"/>
    <col min="11" max="11" width="3.42578125" customWidth="1"/>
    <col min="12" max="12" width="14.140625" customWidth="1"/>
    <col min="13" max="13" width="2.5703125" customWidth="1"/>
    <col min="14" max="14" width="15" customWidth="1"/>
    <col min="15" max="15" width="1.5703125" customWidth="1"/>
    <col min="16" max="16" width="14.28515625" customWidth="1"/>
    <col min="17" max="17" width="3.140625" customWidth="1"/>
    <col min="18" max="18" width="14" customWidth="1"/>
    <col min="20" max="20" width="12.5703125" customWidth="1"/>
    <col min="21" max="21" width="12.28515625" bestFit="1" customWidth="1"/>
    <col min="23" max="23" width="13.28515625" customWidth="1"/>
  </cols>
  <sheetData>
    <row r="1" spans="1:20" x14ac:dyDescent="0.25">
      <c r="B1" s="16" t="s">
        <v>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20" x14ac:dyDescent="0.25">
      <c r="B2" s="18" t="s">
        <v>74</v>
      </c>
      <c r="C2" s="17"/>
      <c r="D2" s="17"/>
      <c r="E2" s="17"/>
      <c r="F2" s="17"/>
      <c r="G2" s="17"/>
      <c r="H2" s="17"/>
      <c r="I2" s="17"/>
      <c r="J2" s="17"/>
      <c r="K2" s="17"/>
      <c r="L2" s="16" t="s">
        <v>33</v>
      </c>
      <c r="M2" s="17"/>
      <c r="N2" s="17"/>
      <c r="O2" s="17"/>
      <c r="P2" s="19">
        <f>'IRR and Int Ret %'!F5</f>
        <v>-0.05</v>
      </c>
      <c r="Q2" s="17"/>
      <c r="R2" s="17"/>
    </row>
    <row r="3" spans="1:20" x14ac:dyDescent="0.25">
      <c r="B3" s="16" t="s">
        <v>83</v>
      </c>
      <c r="C3" s="17"/>
      <c r="D3" s="17"/>
      <c r="E3" s="17"/>
      <c r="F3" s="17"/>
      <c r="G3" s="17"/>
      <c r="H3" s="17"/>
      <c r="I3" s="17"/>
      <c r="J3" s="17"/>
      <c r="K3" s="17"/>
      <c r="L3" s="16" t="s">
        <v>34</v>
      </c>
      <c r="M3" s="17"/>
      <c r="N3" s="17"/>
      <c r="O3" s="17"/>
      <c r="P3" s="19">
        <v>0</v>
      </c>
      <c r="Q3" s="17"/>
      <c r="R3" s="17"/>
    </row>
    <row r="4" spans="1:20" x14ac:dyDescent="0.25">
      <c r="B4" s="89" t="s">
        <v>82</v>
      </c>
      <c r="C4" s="88"/>
      <c r="D4" s="88"/>
      <c r="E4" s="88"/>
      <c r="F4" s="17"/>
      <c r="G4" s="17"/>
      <c r="H4" s="17"/>
      <c r="I4" s="17"/>
      <c r="J4" s="17"/>
      <c r="K4" s="17"/>
      <c r="L4" s="16" t="s">
        <v>35</v>
      </c>
      <c r="M4" s="17"/>
      <c r="N4" s="17"/>
      <c r="O4" s="17"/>
      <c r="P4" s="19">
        <f>(D50+H50)/(B50+F50)</f>
        <v>-2.518467928290084E-2</v>
      </c>
      <c r="Q4" s="17"/>
      <c r="R4" s="17"/>
    </row>
    <row r="5" spans="1:20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6" t="s">
        <v>36</v>
      </c>
      <c r="M5" s="17"/>
      <c r="N5" s="17"/>
      <c r="O5" s="17"/>
      <c r="P5" s="20">
        <f>'Avg Age'!$G$181</f>
        <v>8.4738539374285278</v>
      </c>
      <c r="Q5" s="17"/>
      <c r="R5" s="17"/>
    </row>
    <row r="6" spans="1:20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6" t="s">
        <v>37</v>
      </c>
      <c r="M6" s="17"/>
      <c r="N6" s="17"/>
      <c r="O6" s="17"/>
      <c r="P6" s="21">
        <f>N50/(L21+J50)</f>
        <v>17.778705431626506</v>
      </c>
      <c r="Q6" s="17"/>
      <c r="R6" s="17"/>
    </row>
    <row r="7" spans="1:20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6" t="s">
        <v>38</v>
      </c>
      <c r="M7" s="17"/>
      <c r="N7" s="17"/>
      <c r="O7" s="17"/>
      <c r="P7" s="21">
        <f>P5+P6</f>
        <v>26.252559369055035</v>
      </c>
      <c r="Q7" s="17"/>
      <c r="R7" s="17"/>
    </row>
    <row r="8" spans="1:20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6" t="s">
        <v>39</v>
      </c>
      <c r="M8" s="17"/>
      <c r="N8" s="17"/>
      <c r="O8" s="17"/>
      <c r="P8" s="19">
        <f>R21/L21</f>
        <v>1.533699646458413E-2</v>
      </c>
      <c r="Q8" s="17"/>
      <c r="R8" s="17"/>
    </row>
    <row r="9" spans="1:20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6" t="s">
        <v>40</v>
      </c>
      <c r="M9" s="17"/>
      <c r="N9" s="17"/>
      <c r="O9" s="17"/>
      <c r="P9" s="17">
        <f>((P5/P7)*((1-P4))*L21)</f>
        <v>52435413.448786557</v>
      </c>
      <c r="Q9" s="17"/>
      <c r="R9" s="17"/>
    </row>
    <row r="10" spans="1:20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 t="s">
        <v>41</v>
      </c>
      <c r="M10" s="17"/>
      <c r="N10" s="17"/>
      <c r="O10" s="17"/>
      <c r="P10" s="22">
        <f>'IRR and Int Ret %'!$D$7</f>
        <v>0.03</v>
      </c>
      <c r="Q10" s="17"/>
      <c r="R10" s="17"/>
    </row>
    <row r="11" spans="1:20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 t="s">
        <v>42</v>
      </c>
      <c r="M11" s="17"/>
      <c r="N11" s="17"/>
      <c r="O11" s="17"/>
      <c r="P11" s="23">
        <v>0</v>
      </c>
      <c r="Q11" s="17"/>
      <c r="R11" s="17"/>
    </row>
    <row r="12" spans="1:20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 t="s">
        <v>43</v>
      </c>
      <c r="M12" s="17"/>
      <c r="N12" s="17"/>
      <c r="O12" s="17"/>
      <c r="P12" s="24">
        <f>(L21+J50-D50-H50-R21)/N50</f>
        <v>5.6800968253959624E-2</v>
      </c>
      <c r="Q12" s="17"/>
      <c r="R12" s="17"/>
    </row>
    <row r="13" spans="1:20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6" t="s">
        <v>44</v>
      </c>
      <c r="M13" s="17"/>
      <c r="N13" s="17"/>
      <c r="O13" s="17"/>
      <c r="P13" s="24">
        <f>-P4/P7</f>
        <v>9.5932281987664225E-4</v>
      </c>
      <c r="Q13" s="17"/>
      <c r="R13" s="17"/>
    </row>
    <row r="14" spans="1:20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 t="s">
        <v>123</v>
      </c>
      <c r="M14" s="17"/>
      <c r="N14" s="17"/>
      <c r="O14" s="17"/>
      <c r="P14" s="24">
        <f>P12-P13</f>
        <v>5.584164543408298E-2</v>
      </c>
      <c r="Q14" s="17"/>
      <c r="R14" s="17"/>
    </row>
    <row r="15" spans="1:20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5"/>
      <c r="M15" s="17"/>
      <c r="N15" s="17"/>
      <c r="O15" s="17"/>
      <c r="P15" s="17"/>
      <c r="Q15" s="17"/>
      <c r="R15" s="17"/>
    </row>
    <row r="16" spans="1:20" x14ac:dyDescent="0.25">
      <c r="A16" s="26" t="s">
        <v>45</v>
      </c>
      <c r="B16" s="25" t="s">
        <v>46</v>
      </c>
      <c r="C16" s="25"/>
      <c r="D16" s="25" t="s">
        <v>47</v>
      </c>
      <c r="E16" s="25"/>
      <c r="F16" s="25" t="s">
        <v>48</v>
      </c>
      <c r="G16" s="25"/>
      <c r="H16" s="25" t="s">
        <v>49</v>
      </c>
      <c r="I16" s="25"/>
      <c r="J16" s="25" t="s">
        <v>50</v>
      </c>
      <c r="K16" s="17"/>
      <c r="L16" s="25" t="s">
        <v>51</v>
      </c>
      <c r="M16" s="17"/>
      <c r="N16" s="25" t="s">
        <v>52</v>
      </c>
      <c r="O16" s="25"/>
      <c r="P16" s="25" t="s">
        <v>53</v>
      </c>
      <c r="Q16" s="25"/>
      <c r="R16" s="25" t="s">
        <v>54</v>
      </c>
      <c r="S16" s="26"/>
      <c r="T16" s="26"/>
    </row>
    <row r="17" spans="1:23" x14ac:dyDescent="0.25">
      <c r="A17" s="26"/>
      <c r="B17" s="25" t="s">
        <v>55</v>
      </c>
      <c r="C17" s="25"/>
      <c r="D17" s="25" t="s">
        <v>55</v>
      </c>
      <c r="E17" s="25"/>
      <c r="F17" s="25" t="s">
        <v>56</v>
      </c>
      <c r="G17" s="25"/>
      <c r="H17" s="25" t="s">
        <v>56</v>
      </c>
      <c r="I17" s="25"/>
      <c r="J17" s="25" t="s">
        <v>55</v>
      </c>
      <c r="K17" s="17"/>
      <c r="L17" s="25" t="s">
        <v>57</v>
      </c>
      <c r="M17" s="17"/>
      <c r="N17" s="25" t="s">
        <v>58</v>
      </c>
      <c r="O17" s="25"/>
      <c r="P17" s="25" t="s">
        <v>59</v>
      </c>
      <c r="Q17" s="25"/>
      <c r="R17" s="25" t="s">
        <v>57</v>
      </c>
      <c r="S17" s="26"/>
      <c r="T17" s="26"/>
    </row>
    <row r="18" spans="1:23" x14ac:dyDescent="0.25">
      <c r="A18" s="27" t="s">
        <v>60</v>
      </c>
      <c r="B18" s="28" t="s">
        <v>61</v>
      </c>
      <c r="C18" s="28"/>
      <c r="D18" s="28" t="s">
        <v>62</v>
      </c>
      <c r="E18" s="28"/>
      <c r="F18" s="28" t="s">
        <v>63</v>
      </c>
      <c r="G18" s="28"/>
      <c r="H18" s="28" t="s">
        <v>62</v>
      </c>
      <c r="I18" s="28"/>
      <c r="J18" s="28" t="s">
        <v>64</v>
      </c>
      <c r="K18" s="17"/>
      <c r="L18" s="28" t="s">
        <v>65</v>
      </c>
      <c r="M18" s="17"/>
      <c r="N18" s="28" t="s">
        <v>65</v>
      </c>
      <c r="O18" s="28"/>
      <c r="P18" s="28" t="s">
        <v>66</v>
      </c>
      <c r="Q18" s="28"/>
      <c r="R18" s="28" t="s">
        <v>67</v>
      </c>
      <c r="S18" s="27"/>
      <c r="T18" s="27"/>
    </row>
    <row r="19" spans="1:23" x14ac:dyDescent="0.25">
      <c r="B19" s="25" t="s">
        <v>68</v>
      </c>
      <c r="C19" s="17"/>
      <c r="D19" s="25" t="s">
        <v>68</v>
      </c>
      <c r="E19" s="17"/>
      <c r="F19" s="25" t="s">
        <v>68</v>
      </c>
      <c r="G19" s="17"/>
      <c r="H19" s="25" t="s">
        <v>68</v>
      </c>
      <c r="I19" s="17"/>
      <c r="J19" s="25" t="s">
        <v>68</v>
      </c>
      <c r="K19" s="17"/>
      <c r="L19" s="25" t="s">
        <v>68</v>
      </c>
      <c r="M19" s="17"/>
      <c r="N19" s="25" t="s">
        <v>68</v>
      </c>
      <c r="O19" s="17"/>
      <c r="P19" s="25" t="s">
        <v>68</v>
      </c>
      <c r="Q19" s="17"/>
      <c r="R19" s="25" t="s">
        <v>68</v>
      </c>
    </row>
    <row r="20" spans="1:23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T20" t="s">
        <v>135</v>
      </c>
      <c r="W20" t="s">
        <v>107</v>
      </c>
    </row>
    <row r="21" spans="1:23" x14ac:dyDescent="0.25">
      <c r="A21">
        <v>2016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0">
        <f>'Avg Age'!$E$181</f>
        <v>158457669.70162061</v>
      </c>
      <c r="M21" s="17"/>
      <c r="N21" s="17"/>
      <c r="O21" s="17"/>
      <c r="P21" s="17"/>
      <c r="Q21" s="17"/>
      <c r="R21" s="17">
        <v>2430264.7199999951</v>
      </c>
      <c r="T21" s="30">
        <v>-49617561.707620263</v>
      </c>
      <c r="U21" t="s">
        <v>20</v>
      </c>
      <c r="W21" s="70">
        <f>+R21-T21</f>
        <v>52047826.427620262</v>
      </c>
    </row>
    <row r="22" spans="1:23" x14ac:dyDescent="0.25">
      <c r="A22">
        <f t="shared" ref="A22:A47" si="0">A21+1</f>
        <v>2017</v>
      </c>
      <c r="B22" s="17">
        <f t="shared" ref="B22:B44" si="1">L21*$P$10</f>
        <v>4753730.0910486178</v>
      </c>
      <c r="C22" s="17"/>
      <c r="D22" s="17">
        <f t="shared" ref="D22:D47" si="2">B22*$P$2</f>
        <v>-237686.50455243091</v>
      </c>
      <c r="E22" s="17"/>
      <c r="F22" s="17"/>
      <c r="G22" s="17"/>
      <c r="H22" s="17"/>
      <c r="I22" s="17"/>
      <c r="J22" s="17">
        <f>B22*$P$11</f>
        <v>0</v>
      </c>
      <c r="K22" s="17"/>
      <c r="L22" s="17">
        <f t="shared" ref="L22:L47" si="3">L21+J22-B22-F22</f>
        <v>153703939.61057198</v>
      </c>
      <c r="M22" s="17"/>
      <c r="N22" s="17">
        <f t="shared" ref="N22:N47" si="4">(L21+L22)/2</f>
        <v>156080804.65609628</v>
      </c>
      <c r="O22" s="17"/>
      <c r="P22" s="17">
        <f t="shared" ref="P22:P47" si="5">N22*$P$12</f>
        <v>8865540.8303233981</v>
      </c>
      <c r="Q22" s="17"/>
      <c r="R22" s="17">
        <f t="shared" ref="R22:R47" si="6">R21+P22-B22-F22+D22+H22</f>
        <v>6304388.9547223449</v>
      </c>
    </row>
    <row r="23" spans="1:23" x14ac:dyDescent="0.25">
      <c r="A23">
        <f t="shared" si="0"/>
        <v>2018</v>
      </c>
      <c r="B23" s="17">
        <f t="shared" si="1"/>
        <v>4611118.1883171592</v>
      </c>
      <c r="C23" s="17"/>
      <c r="D23" s="17">
        <f t="shared" si="2"/>
        <v>-230555.90941585798</v>
      </c>
      <c r="E23" s="17"/>
      <c r="F23" s="17"/>
      <c r="G23" s="17"/>
      <c r="H23" s="17"/>
      <c r="I23" s="17"/>
      <c r="J23" s="17">
        <f>B23*$P$11</f>
        <v>0</v>
      </c>
      <c r="K23" s="17"/>
      <c r="L23" s="17">
        <f t="shared" si="3"/>
        <v>149092821.42225483</v>
      </c>
      <c r="M23" s="17"/>
      <c r="N23" s="17">
        <f t="shared" si="4"/>
        <v>151398380.51641339</v>
      </c>
      <c r="O23" s="17"/>
      <c r="P23" s="17">
        <f t="shared" si="5"/>
        <v>8599574.6054136958</v>
      </c>
      <c r="Q23" s="17"/>
      <c r="R23" s="17">
        <f t="shared" si="6"/>
        <v>10062289.462403024</v>
      </c>
    </row>
    <row r="24" spans="1:23" x14ac:dyDescent="0.25">
      <c r="A24">
        <f t="shared" si="0"/>
        <v>2019</v>
      </c>
      <c r="B24" s="17">
        <f t="shared" si="1"/>
        <v>4472784.6426676447</v>
      </c>
      <c r="C24" s="17"/>
      <c r="D24" s="17">
        <f t="shared" si="2"/>
        <v>-223639.23213338223</v>
      </c>
      <c r="E24" s="17"/>
      <c r="F24" s="17"/>
      <c r="G24" s="17"/>
      <c r="H24" s="17"/>
      <c r="I24" s="17"/>
      <c r="J24" s="17">
        <f>B24*$P$11</f>
        <v>0</v>
      </c>
      <c r="K24" s="17"/>
      <c r="L24" s="17">
        <f t="shared" si="3"/>
        <v>144620036.77958718</v>
      </c>
      <c r="M24" s="17"/>
      <c r="N24" s="17">
        <f t="shared" si="4"/>
        <v>146856429.10092101</v>
      </c>
      <c r="O24" s="17"/>
      <c r="P24" s="17">
        <f t="shared" si="5"/>
        <v>8341587.3672512863</v>
      </c>
      <c r="Q24" s="17"/>
      <c r="R24" s="17">
        <f t="shared" si="6"/>
        <v>13707452.954853283</v>
      </c>
    </row>
    <row r="25" spans="1:23" x14ac:dyDescent="0.25">
      <c r="A25">
        <f t="shared" si="0"/>
        <v>2020</v>
      </c>
      <c r="B25" s="17">
        <f t="shared" si="1"/>
        <v>4338601.1033876156</v>
      </c>
      <c r="C25" s="17"/>
      <c r="D25" s="17">
        <f t="shared" si="2"/>
        <v>-216930.05516938079</v>
      </c>
      <c r="E25" s="17"/>
      <c r="F25" s="17"/>
      <c r="G25" s="17"/>
      <c r="H25" s="17"/>
      <c r="I25" s="17"/>
      <c r="J25" s="17">
        <f>B25*$P$11</f>
        <v>0</v>
      </c>
      <c r="K25" s="17"/>
      <c r="L25" s="17">
        <f t="shared" si="3"/>
        <v>140281435.67619956</v>
      </c>
      <c r="M25" s="17"/>
      <c r="N25" s="17">
        <f t="shared" si="4"/>
        <v>142450736.22789335</v>
      </c>
      <c r="O25" s="17"/>
      <c r="P25" s="17">
        <f t="shared" si="5"/>
        <v>8091339.7462337464</v>
      </c>
      <c r="Q25" s="17"/>
      <c r="R25" s="17">
        <f t="shared" si="6"/>
        <v>17243261.54253003</v>
      </c>
    </row>
    <row r="26" spans="1:23" x14ac:dyDescent="0.25">
      <c r="A26">
        <f t="shared" si="0"/>
        <v>2021</v>
      </c>
      <c r="B26" s="17">
        <f t="shared" si="1"/>
        <v>4208443.0702859862</v>
      </c>
      <c r="C26" s="17"/>
      <c r="D26" s="17">
        <f t="shared" si="2"/>
        <v>-210422.15351429931</v>
      </c>
      <c r="E26" s="17"/>
      <c r="F26" s="17"/>
      <c r="G26" s="17"/>
      <c r="H26" s="17"/>
      <c r="I26" s="17"/>
      <c r="J26" s="17"/>
      <c r="K26" s="17"/>
      <c r="L26" s="17">
        <f t="shared" si="3"/>
        <v>136072992.60591358</v>
      </c>
      <c r="M26" s="17"/>
      <c r="N26" s="17">
        <f t="shared" si="4"/>
        <v>138177214.14105657</v>
      </c>
      <c r="O26" s="17"/>
      <c r="P26" s="17">
        <f t="shared" si="5"/>
        <v>7848599.5538467346</v>
      </c>
      <c r="Q26" s="17"/>
      <c r="R26" s="17">
        <f t="shared" si="6"/>
        <v>20672995.872576479</v>
      </c>
    </row>
    <row r="27" spans="1:23" x14ac:dyDescent="0.25">
      <c r="A27">
        <f t="shared" si="0"/>
        <v>2022</v>
      </c>
      <c r="B27" s="17">
        <f t="shared" si="1"/>
        <v>4082189.7781774071</v>
      </c>
      <c r="C27" s="17"/>
      <c r="D27" s="17">
        <f t="shared" si="2"/>
        <v>-204109.48890887038</v>
      </c>
      <c r="E27" s="17"/>
      <c r="F27" s="17"/>
      <c r="G27" s="17"/>
      <c r="H27" s="17"/>
      <c r="I27" s="17"/>
      <c r="J27" s="17"/>
      <c r="K27" s="17"/>
      <c r="L27" s="17">
        <f t="shared" si="3"/>
        <v>131990802.82773617</v>
      </c>
      <c r="M27" s="17"/>
      <c r="N27" s="17">
        <f t="shared" si="4"/>
        <v>134031897.71682487</v>
      </c>
      <c r="O27" s="17"/>
      <c r="P27" s="17">
        <f t="shared" si="5"/>
        <v>7613141.5672313329</v>
      </c>
      <c r="Q27" s="17"/>
      <c r="R27" s="17">
        <f t="shared" si="6"/>
        <v>23999838.172721531</v>
      </c>
    </row>
    <row r="28" spans="1:23" x14ac:dyDescent="0.25">
      <c r="A28">
        <f t="shared" si="0"/>
        <v>2023</v>
      </c>
      <c r="B28" s="17">
        <f t="shared" si="1"/>
        <v>3959724.0848320848</v>
      </c>
      <c r="C28" s="17"/>
      <c r="D28" s="17">
        <f t="shared" si="2"/>
        <v>-197986.20424160425</v>
      </c>
      <c r="E28" s="17"/>
      <c r="F28" s="17"/>
      <c r="G28" s="17"/>
      <c r="H28" s="17"/>
      <c r="I28" s="17"/>
      <c r="J28" s="17"/>
      <c r="K28" s="17"/>
      <c r="L28" s="17">
        <f t="shared" si="3"/>
        <v>128031078.74290408</v>
      </c>
      <c r="M28" s="17"/>
      <c r="N28" s="17">
        <f t="shared" si="4"/>
        <v>130010940.78532013</v>
      </c>
      <c r="O28" s="17"/>
      <c r="P28" s="17">
        <f t="shared" si="5"/>
        <v>7384747.3202143935</v>
      </c>
      <c r="Q28" s="17"/>
      <c r="R28" s="17">
        <f t="shared" si="6"/>
        <v>27226875.203862239</v>
      </c>
    </row>
    <row r="29" spans="1:23" x14ac:dyDescent="0.25">
      <c r="A29">
        <f t="shared" si="0"/>
        <v>2024</v>
      </c>
      <c r="B29" s="17">
        <f t="shared" si="1"/>
        <v>3840932.3622871223</v>
      </c>
      <c r="C29" s="17"/>
      <c r="D29" s="17">
        <f t="shared" si="2"/>
        <v>-192046.61811435613</v>
      </c>
      <c r="E29" s="17"/>
      <c r="F29" s="17"/>
      <c r="G29" s="17"/>
      <c r="H29" s="17"/>
      <c r="I29" s="17"/>
      <c r="J29" s="17"/>
      <c r="K29" s="17"/>
      <c r="L29" s="17">
        <f t="shared" si="3"/>
        <v>124190146.38061696</v>
      </c>
      <c r="M29" s="17"/>
      <c r="N29" s="17">
        <f t="shared" si="4"/>
        <v>126110612.56176051</v>
      </c>
      <c r="O29" s="17"/>
      <c r="P29" s="17">
        <f t="shared" si="5"/>
        <v>7163204.9006079612</v>
      </c>
      <c r="Q29" s="17"/>
      <c r="R29" s="17">
        <f t="shared" si="6"/>
        <v>30357101.124068722</v>
      </c>
    </row>
    <row r="30" spans="1:23" x14ac:dyDescent="0.25">
      <c r="A30">
        <f t="shared" si="0"/>
        <v>2025</v>
      </c>
      <c r="B30" s="17">
        <f t="shared" si="1"/>
        <v>3725704.3914185087</v>
      </c>
      <c r="C30" s="17"/>
      <c r="D30" s="17">
        <f t="shared" si="2"/>
        <v>-186285.21957092546</v>
      </c>
      <c r="E30" s="17"/>
      <c r="F30" s="17"/>
      <c r="G30" s="17"/>
      <c r="H30" s="17"/>
      <c r="I30" s="17"/>
      <c r="J30" s="17"/>
      <c r="K30" s="17"/>
      <c r="L30" s="17">
        <f t="shared" si="3"/>
        <v>120464441.98919846</v>
      </c>
      <c r="M30" s="17"/>
      <c r="N30" s="17">
        <f t="shared" si="4"/>
        <v>122327294.1849077</v>
      </c>
      <c r="O30" s="17"/>
      <c r="P30" s="17">
        <f t="shared" si="5"/>
        <v>6948308.7535897223</v>
      </c>
      <c r="Q30" s="17"/>
      <c r="R30" s="17">
        <f t="shared" si="6"/>
        <v>33393420.266669005</v>
      </c>
    </row>
    <row r="31" spans="1:23" x14ac:dyDescent="0.25">
      <c r="A31">
        <f t="shared" si="0"/>
        <v>2026</v>
      </c>
      <c r="B31" s="17">
        <f t="shared" si="1"/>
        <v>3613933.2596759535</v>
      </c>
      <c r="C31" s="17"/>
      <c r="D31" s="17">
        <f t="shared" si="2"/>
        <v>-180696.66298379769</v>
      </c>
      <c r="E31" s="17"/>
      <c r="F31" s="17"/>
      <c r="G31" s="17"/>
      <c r="H31" s="17"/>
      <c r="I31" s="17"/>
      <c r="J31" s="17"/>
      <c r="K31" s="17"/>
      <c r="L31" s="17">
        <f t="shared" si="3"/>
        <v>116850508.72952251</v>
      </c>
      <c r="M31" s="17"/>
      <c r="N31" s="17">
        <f t="shared" si="4"/>
        <v>118657475.35936049</v>
      </c>
      <c r="O31" s="17"/>
      <c r="P31" s="17">
        <f t="shared" si="5"/>
        <v>6739859.4909820314</v>
      </c>
      <c r="Q31" s="17"/>
      <c r="R31" s="17">
        <f t="shared" si="6"/>
        <v>36338649.834991284</v>
      </c>
    </row>
    <row r="32" spans="1:23" x14ac:dyDescent="0.25">
      <c r="A32">
        <f t="shared" si="0"/>
        <v>2027</v>
      </c>
      <c r="B32" s="17">
        <f t="shared" si="1"/>
        <v>3505515.2618856751</v>
      </c>
      <c r="C32" s="17"/>
      <c r="D32" s="17">
        <f t="shared" si="2"/>
        <v>-175275.76309428376</v>
      </c>
      <c r="E32" s="17"/>
      <c r="F32" s="17"/>
      <c r="G32" s="17"/>
      <c r="H32" s="17"/>
      <c r="I32" s="17"/>
      <c r="J32" s="17"/>
      <c r="K32" s="17"/>
      <c r="L32" s="17">
        <f t="shared" si="3"/>
        <v>113344993.46763684</v>
      </c>
      <c r="M32" s="17"/>
      <c r="N32" s="17">
        <f t="shared" si="4"/>
        <v>115097751.09857967</v>
      </c>
      <c r="O32" s="17"/>
      <c r="P32" s="17">
        <f t="shared" si="5"/>
        <v>6537663.7062525703</v>
      </c>
      <c r="Q32" s="17"/>
      <c r="R32" s="17">
        <f t="shared" si="6"/>
        <v>39195522.516263895</v>
      </c>
    </row>
    <row r="33" spans="1:18" x14ac:dyDescent="0.25">
      <c r="A33">
        <f t="shared" si="0"/>
        <v>2028</v>
      </c>
      <c r="B33" s="17">
        <f t="shared" si="1"/>
        <v>3400349.8040291052</v>
      </c>
      <c r="C33" s="17"/>
      <c r="D33" s="17">
        <f t="shared" si="2"/>
        <v>-170017.49020145528</v>
      </c>
      <c r="E33" s="17"/>
      <c r="F33" s="17"/>
      <c r="G33" s="17"/>
      <c r="H33" s="17"/>
      <c r="I33" s="17"/>
      <c r="J33" s="17"/>
      <c r="K33" s="17"/>
      <c r="L33" s="17">
        <f t="shared" si="3"/>
        <v>109944643.66360773</v>
      </c>
      <c r="M33" s="17"/>
      <c r="N33" s="17">
        <f t="shared" si="4"/>
        <v>111644818.56562229</v>
      </c>
      <c r="O33" s="17"/>
      <c r="P33" s="17">
        <f t="shared" si="5"/>
        <v>6341533.7950649932</v>
      </c>
      <c r="Q33" s="17"/>
      <c r="R33" s="17">
        <f t="shared" si="6"/>
        <v>41966689.017098323</v>
      </c>
    </row>
    <row r="34" spans="1:18" x14ac:dyDescent="0.25">
      <c r="A34">
        <f t="shared" si="0"/>
        <v>2029</v>
      </c>
      <c r="B34" s="17">
        <f t="shared" si="1"/>
        <v>3298339.3099082317</v>
      </c>
      <c r="C34" s="17"/>
      <c r="D34" s="17">
        <f t="shared" si="2"/>
        <v>-164916.9654954116</v>
      </c>
      <c r="E34" s="17"/>
      <c r="F34" s="17"/>
      <c r="G34" s="17"/>
      <c r="H34" s="17"/>
      <c r="I34" s="17"/>
      <c r="J34" s="17"/>
      <c r="K34" s="17"/>
      <c r="L34" s="17">
        <f t="shared" si="3"/>
        <v>106646304.35369951</v>
      </c>
      <c r="M34" s="17"/>
      <c r="N34" s="17">
        <f t="shared" si="4"/>
        <v>108295474.00865361</v>
      </c>
      <c r="O34" s="17"/>
      <c r="P34" s="17">
        <f t="shared" si="5"/>
        <v>6151287.7812130433</v>
      </c>
      <c r="Q34" s="17"/>
      <c r="R34" s="17">
        <f t="shared" si="6"/>
        <v>44654720.522907719</v>
      </c>
    </row>
    <row r="35" spans="1:18" x14ac:dyDescent="0.25">
      <c r="A35">
        <f t="shared" si="0"/>
        <v>2030</v>
      </c>
      <c r="B35" s="17">
        <f t="shared" si="1"/>
        <v>3199389.1306109852</v>
      </c>
      <c r="C35" s="17"/>
      <c r="D35" s="17">
        <f t="shared" si="2"/>
        <v>-159969.45653054927</v>
      </c>
      <c r="E35" s="17"/>
      <c r="F35" s="17"/>
      <c r="G35" s="17"/>
      <c r="H35" s="17"/>
      <c r="I35" s="17"/>
      <c r="J35" s="17"/>
      <c r="K35" s="17"/>
      <c r="L35" s="17">
        <f t="shared" si="3"/>
        <v>103446915.22308852</v>
      </c>
      <c r="M35" s="17"/>
      <c r="N35" s="17">
        <f t="shared" si="4"/>
        <v>105046609.788394</v>
      </c>
      <c r="O35" s="17"/>
      <c r="P35" s="17">
        <f t="shared" si="5"/>
        <v>5966749.1477766521</v>
      </c>
      <c r="Q35" s="17"/>
      <c r="R35" s="17">
        <f t="shared" si="6"/>
        <v>47262111.083542831</v>
      </c>
    </row>
    <row r="36" spans="1:18" x14ac:dyDescent="0.25">
      <c r="A36">
        <f t="shared" si="0"/>
        <v>2031</v>
      </c>
      <c r="B36" s="17">
        <f t="shared" si="1"/>
        <v>3103407.4566926556</v>
      </c>
      <c r="C36" s="17"/>
      <c r="D36" s="17">
        <f t="shared" si="2"/>
        <v>-155170.37283463278</v>
      </c>
      <c r="E36" s="17"/>
      <c r="F36" s="17"/>
      <c r="G36" s="17"/>
      <c r="H36" s="17"/>
      <c r="I36" s="17"/>
      <c r="J36" s="17"/>
      <c r="K36" s="17"/>
      <c r="L36" s="17">
        <f t="shared" si="3"/>
        <v>100343507.76639587</v>
      </c>
      <c r="M36" s="17"/>
      <c r="N36" s="17">
        <f t="shared" si="4"/>
        <v>101895211.49474218</v>
      </c>
      <c r="O36" s="17"/>
      <c r="P36" s="17">
        <f t="shared" si="5"/>
        <v>5787746.673343353</v>
      </c>
      <c r="Q36" s="17"/>
      <c r="R36" s="17">
        <f t="shared" si="6"/>
        <v>49791279.927358896</v>
      </c>
    </row>
    <row r="37" spans="1:18" x14ac:dyDescent="0.25">
      <c r="A37">
        <f t="shared" si="0"/>
        <v>2032</v>
      </c>
      <c r="B37" s="17">
        <f t="shared" si="1"/>
        <v>3010305.2329918761</v>
      </c>
      <c r="C37" s="17"/>
      <c r="D37" s="17">
        <f t="shared" si="2"/>
        <v>-150515.2616495938</v>
      </c>
      <c r="E37" s="17"/>
      <c r="F37" s="17"/>
      <c r="G37" s="17"/>
      <c r="H37" s="17"/>
      <c r="I37" s="17"/>
      <c r="J37" s="17"/>
      <c r="K37" s="17"/>
      <c r="L37" s="17">
        <f t="shared" si="3"/>
        <v>97333202.533403993</v>
      </c>
      <c r="M37" s="17"/>
      <c r="N37" s="17">
        <f t="shared" si="4"/>
        <v>98838355.14989993</v>
      </c>
      <c r="O37" s="17"/>
      <c r="P37" s="17">
        <f t="shared" si="5"/>
        <v>5614114.2731430531</v>
      </c>
      <c r="Q37" s="17"/>
      <c r="R37" s="17">
        <f t="shared" si="6"/>
        <v>52244573.705860481</v>
      </c>
    </row>
    <row r="38" spans="1:18" x14ac:dyDescent="0.25">
      <c r="A38">
        <f t="shared" si="0"/>
        <v>2033</v>
      </c>
      <c r="B38" s="17">
        <f t="shared" si="1"/>
        <v>2919996.0760021196</v>
      </c>
      <c r="C38" s="17"/>
      <c r="D38" s="17">
        <f t="shared" si="2"/>
        <v>-145999.80380010599</v>
      </c>
      <c r="E38" s="17"/>
      <c r="F38" s="17"/>
      <c r="G38" s="17"/>
      <c r="H38" s="17"/>
      <c r="I38" s="17"/>
      <c r="J38" s="17"/>
      <c r="K38" s="17"/>
      <c r="L38" s="17">
        <f t="shared" si="3"/>
        <v>94413206.457401872</v>
      </c>
      <c r="M38" s="17"/>
      <c r="N38" s="17">
        <f t="shared" si="4"/>
        <v>95873204.495402932</v>
      </c>
      <c r="O38" s="17"/>
      <c r="P38" s="17">
        <f t="shared" si="5"/>
        <v>5445690.8449487612</v>
      </c>
      <c r="Q38" s="17"/>
      <c r="R38" s="17">
        <f t="shared" si="6"/>
        <v>54624268.671007015</v>
      </c>
    </row>
    <row r="39" spans="1:18" x14ac:dyDescent="0.25">
      <c r="A39">
        <f t="shared" si="0"/>
        <v>2034</v>
      </c>
      <c r="B39" s="17">
        <f t="shared" si="1"/>
        <v>2832396.1937220562</v>
      </c>
      <c r="C39" s="17"/>
      <c r="D39" s="17">
        <f t="shared" si="2"/>
        <v>-141619.80968610282</v>
      </c>
      <c r="E39" s="17"/>
      <c r="F39" s="17"/>
      <c r="G39" s="17"/>
      <c r="H39" s="17"/>
      <c r="I39" s="17"/>
      <c r="J39" s="17"/>
      <c r="K39" s="17"/>
      <c r="L39" s="17">
        <f t="shared" si="3"/>
        <v>91580810.263679817</v>
      </c>
      <c r="M39" s="17"/>
      <c r="N39" s="17">
        <f t="shared" si="4"/>
        <v>92997008.360540837</v>
      </c>
      <c r="O39" s="17"/>
      <c r="P39" s="17">
        <f t="shared" si="5"/>
        <v>5282320.1196002979</v>
      </c>
      <c r="Q39" s="17"/>
      <c r="R39" s="17">
        <f t="shared" si="6"/>
        <v>56932572.787199154</v>
      </c>
    </row>
    <row r="40" spans="1:18" x14ac:dyDescent="0.25">
      <c r="A40">
        <f t="shared" si="0"/>
        <v>2035</v>
      </c>
      <c r="B40" s="17">
        <f t="shared" si="1"/>
        <v>2747424.3079103944</v>
      </c>
      <c r="C40" s="17"/>
      <c r="D40" s="17">
        <f t="shared" si="2"/>
        <v>-137371.21539551971</v>
      </c>
      <c r="E40" s="17"/>
      <c r="F40" s="17"/>
      <c r="G40" s="17"/>
      <c r="H40" s="17"/>
      <c r="I40" s="17"/>
      <c r="J40" s="17"/>
      <c r="K40" s="17"/>
      <c r="L40" s="17">
        <f t="shared" si="3"/>
        <v>88833385.95576942</v>
      </c>
      <c r="M40" s="17"/>
      <c r="N40" s="17">
        <f t="shared" si="4"/>
        <v>90207098.109724611</v>
      </c>
      <c r="O40" s="17"/>
      <c r="P40" s="17">
        <f t="shared" si="5"/>
        <v>5123850.5160122886</v>
      </c>
      <c r="Q40" s="17"/>
      <c r="R40" s="17">
        <f t="shared" si="6"/>
        <v>59171627.779905528</v>
      </c>
    </row>
    <row r="41" spans="1:18" x14ac:dyDescent="0.25">
      <c r="A41">
        <f t="shared" si="0"/>
        <v>2036</v>
      </c>
      <c r="B41" s="17">
        <f t="shared" si="1"/>
        <v>2665001.5786730824</v>
      </c>
      <c r="C41" s="17"/>
      <c r="D41" s="17">
        <f t="shared" si="2"/>
        <v>-133250.07893365412</v>
      </c>
      <c r="E41" s="17"/>
      <c r="F41" s="17"/>
      <c r="G41" s="17"/>
      <c r="H41" s="17"/>
      <c r="I41" s="17"/>
      <c r="J41" s="17"/>
      <c r="K41" s="17"/>
      <c r="L41" s="17">
        <f t="shared" si="3"/>
        <v>86168384.37709634</v>
      </c>
      <c r="M41" s="17"/>
      <c r="N41" s="17">
        <f t="shared" si="4"/>
        <v>87500885.166432887</v>
      </c>
      <c r="O41" s="17"/>
      <c r="P41" s="17">
        <f t="shared" si="5"/>
        <v>4970135.0005319212</v>
      </c>
      <c r="Q41" s="17"/>
      <c r="R41" s="17">
        <f t="shared" si="6"/>
        <v>61343511.122830711</v>
      </c>
    </row>
    <row r="42" spans="1:18" x14ac:dyDescent="0.25">
      <c r="A42">
        <f t="shared" si="0"/>
        <v>2037</v>
      </c>
      <c r="B42" s="17">
        <f t="shared" si="1"/>
        <v>2585051.5313128899</v>
      </c>
      <c r="C42" s="17"/>
      <c r="D42" s="17">
        <f t="shared" si="2"/>
        <v>-129252.5765656445</v>
      </c>
      <c r="E42" s="17"/>
      <c r="F42" s="17"/>
      <c r="G42" s="17"/>
      <c r="H42" s="17"/>
      <c r="I42" s="17"/>
      <c r="J42" s="17"/>
      <c r="K42" s="17"/>
      <c r="L42" s="17">
        <f t="shared" si="3"/>
        <v>83583332.845783457</v>
      </c>
      <c r="M42" s="17"/>
      <c r="N42" s="17">
        <f t="shared" si="4"/>
        <v>84875858.611439899</v>
      </c>
      <c r="O42" s="17"/>
      <c r="P42" s="17">
        <f t="shared" si="5"/>
        <v>4821030.9505159631</v>
      </c>
      <c r="Q42" s="17"/>
      <c r="R42" s="17">
        <f t="shared" si="6"/>
        <v>63450237.965468138</v>
      </c>
    </row>
    <row r="43" spans="1:18" x14ac:dyDescent="0.25">
      <c r="A43">
        <f t="shared" si="0"/>
        <v>2038</v>
      </c>
      <c r="B43" s="17">
        <f t="shared" si="1"/>
        <v>2507499.9853735035</v>
      </c>
      <c r="C43" s="17"/>
      <c r="D43" s="17">
        <f t="shared" si="2"/>
        <v>-125374.99926867518</v>
      </c>
      <c r="E43" s="17"/>
      <c r="F43" s="17"/>
      <c r="G43" s="17"/>
      <c r="H43" s="17"/>
      <c r="I43" s="17"/>
      <c r="J43" s="17"/>
      <c r="K43" s="17"/>
      <c r="L43" s="17">
        <f t="shared" si="3"/>
        <v>81075832.86040996</v>
      </c>
      <c r="M43" s="17"/>
      <c r="N43" s="17">
        <f t="shared" si="4"/>
        <v>82329582.853096709</v>
      </c>
      <c r="O43" s="17"/>
      <c r="P43" s="17">
        <f t="shared" si="5"/>
        <v>4676400.0220004851</v>
      </c>
      <c r="Q43" s="17"/>
      <c r="R43" s="17">
        <f t="shared" si="6"/>
        <v>65493763.002826452</v>
      </c>
    </row>
    <row r="44" spans="1:18" x14ac:dyDescent="0.25">
      <c r="A44">
        <f t="shared" si="0"/>
        <v>2039</v>
      </c>
      <c r="B44" s="17">
        <f t="shared" si="1"/>
        <v>2432274.9858122985</v>
      </c>
      <c r="C44" s="17"/>
      <c r="D44" s="17">
        <f t="shared" si="2"/>
        <v>-121613.74929061493</v>
      </c>
      <c r="E44" s="17"/>
      <c r="F44" s="17"/>
      <c r="G44" s="17"/>
      <c r="H44" s="17"/>
      <c r="I44" s="17"/>
      <c r="J44" s="17"/>
      <c r="K44" s="17"/>
      <c r="L44" s="17">
        <f t="shared" si="3"/>
        <v>78643557.874597669</v>
      </c>
      <c r="M44" s="17"/>
      <c r="N44" s="17">
        <f t="shared" si="4"/>
        <v>79859695.367503822</v>
      </c>
      <c r="O44" s="17"/>
      <c r="P44" s="17">
        <f t="shared" si="5"/>
        <v>4536108.0213404708</v>
      </c>
      <c r="Q44" s="17"/>
      <c r="R44" s="17">
        <f t="shared" si="6"/>
        <v>67475982.28906402</v>
      </c>
    </row>
    <row r="45" spans="1:18" x14ac:dyDescent="0.25">
      <c r="A45">
        <f t="shared" si="0"/>
        <v>2040</v>
      </c>
      <c r="B45" s="17">
        <v>0</v>
      </c>
      <c r="C45" s="17"/>
      <c r="D45" s="17">
        <f t="shared" si="2"/>
        <v>0</v>
      </c>
      <c r="E45" s="17"/>
      <c r="F45" s="17"/>
      <c r="G45" s="17"/>
      <c r="H45" s="17"/>
      <c r="I45" s="17"/>
      <c r="J45" s="17"/>
      <c r="K45" s="17"/>
      <c r="L45" s="17">
        <f t="shared" si="3"/>
        <v>78643557.874597669</v>
      </c>
      <c r="M45" s="17"/>
      <c r="N45" s="17">
        <f t="shared" si="4"/>
        <v>78643557.874597669</v>
      </c>
      <c r="O45" s="17"/>
      <c r="P45" s="17">
        <f t="shared" si="5"/>
        <v>4467030.2342134584</v>
      </c>
      <c r="Q45" s="17"/>
      <c r="R45" s="17">
        <f t="shared" si="6"/>
        <v>71943012.523277476</v>
      </c>
    </row>
    <row r="46" spans="1:18" x14ac:dyDescent="0.25">
      <c r="A46">
        <f t="shared" si="0"/>
        <v>2041</v>
      </c>
      <c r="B46" s="17">
        <v>0</v>
      </c>
      <c r="C46" s="17"/>
      <c r="D46" s="17">
        <f t="shared" si="2"/>
        <v>0</v>
      </c>
      <c r="E46" s="17"/>
      <c r="F46" s="17"/>
      <c r="G46" s="17"/>
      <c r="H46" s="17"/>
      <c r="I46" s="17"/>
      <c r="J46" s="17"/>
      <c r="K46" s="17"/>
      <c r="L46" s="17">
        <f t="shared" si="3"/>
        <v>78643557.874597669</v>
      </c>
      <c r="M46" s="17"/>
      <c r="N46" s="17">
        <f t="shared" si="4"/>
        <v>78643557.874597669</v>
      </c>
      <c r="O46" s="17"/>
      <c r="P46" s="17">
        <f t="shared" si="5"/>
        <v>4467030.2342134584</v>
      </c>
      <c r="Q46" s="17"/>
      <c r="R46" s="17">
        <f t="shared" si="6"/>
        <v>76410042.757490933</v>
      </c>
    </row>
    <row r="47" spans="1:18" x14ac:dyDescent="0.25">
      <c r="A47">
        <f t="shared" si="0"/>
        <v>2042</v>
      </c>
      <c r="B47" s="17">
        <v>0</v>
      </c>
      <c r="C47" s="17"/>
      <c r="D47" s="17">
        <f t="shared" si="2"/>
        <v>0</v>
      </c>
      <c r="E47" s="17"/>
      <c r="F47" s="17">
        <f>L46</f>
        <v>78643557.874597669</v>
      </c>
      <c r="G47" s="17"/>
      <c r="H47" s="17"/>
      <c r="I47" s="17"/>
      <c r="J47" s="17"/>
      <c r="K47" s="17"/>
      <c r="L47" s="17">
        <f t="shared" si="3"/>
        <v>0</v>
      </c>
      <c r="M47" s="17"/>
      <c r="N47" s="17">
        <f t="shared" si="4"/>
        <v>39321778.937298834</v>
      </c>
      <c r="O47" s="17"/>
      <c r="P47" s="17">
        <f t="shared" si="5"/>
        <v>2233515.1171067292</v>
      </c>
      <c r="Q47" s="17"/>
      <c r="R47" s="17">
        <f t="shared" si="6"/>
        <v>0</v>
      </c>
    </row>
    <row r="48" spans="1:18" x14ac:dyDescent="0.2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1:18" x14ac:dyDescent="0.2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1:18" x14ac:dyDescent="0.25">
      <c r="A50" s="26" t="s">
        <v>69</v>
      </c>
      <c r="B50" s="31">
        <f>SUM(B22:B48)</f>
        <v>79814111.827022955</v>
      </c>
      <c r="C50" s="31">
        <f>SUM(C22:C48)</f>
        <v>0</v>
      </c>
      <c r="D50" s="31">
        <f>SUM(D22:D48)</f>
        <v>-3990705.5913511491</v>
      </c>
      <c r="E50" s="17"/>
      <c r="F50" s="31">
        <f>SUM(F22:F48)</f>
        <v>78643557.874597669</v>
      </c>
      <c r="G50" s="17"/>
      <c r="H50" s="31">
        <f>SUM(H22:H48)</f>
        <v>0</v>
      </c>
      <c r="I50" s="17"/>
      <c r="J50" s="31">
        <f>SUM(J22:J48)</f>
        <v>0</v>
      </c>
      <c r="K50" s="17"/>
      <c r="L50" s="17"/>
      <c r="M50" s="17"/>
      <c r="N50" s="31">
        <f>SUM(N22:N48)</f>
        <v>2817172233.007081</v>
      </c>
      <c r="O50" s="17"/>
      <c r="P50" s="17"/>
      <c r="Q50" s="17"/>
      <c r="R50" s="17"/>
    </row>
  </sheetData>
  <mergeCells count="1">
    <mergeCell ref="B4:E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workbookViewId="0">
      <selection activeCell="T25" sqref="T25"/>
    </sheetView>
  </sheetViews>
  <sheetFormatPr defaultRowHeight="15" x14ac:dyDescent="0.25"/>
  <cols>
    <col min="2" max="2" width="14" customWidth="1"/>
    <col min="3" max="3" width="2.42578125" customWidth="1"/>
    <col min="4" max="4" width="12.28515625" customWidth="1"/>
    <col min="5" max="5" width="4.140625" customWidth="1"/>
    <col min="6" max="6" width="13.5703125" customWidth="1"/>
    <col min="7" max="7" width="3.85546875" customWidth="1"/>
    <col min="9" max="9" width="1.85546875" customWidth="1"/>
    <col min="10" max="10" width="10.28515625" customWidth="1"/>
    <col min="11" max="11" width="5.28515625" customWidth="1"/>
    <col min="12" max="12" width="20" customWidth="1"/>
    <col min="13" max="13" width="1.7109375" customWidth="1"/>
    <col min="14" max="14" width="16.140625" customWidth="1"/>
    <col min="15" max="15" width="2.7109375" customWidth="1"/>
    <col min="16" max="16" width="14" customWidth="1"/>
    <col min="17" max="17" width="1.42578125" customWidth="1"/>
    <col min="18" max="18" width="14.140625" customWidth="1"/>
    <col min="19" max="19" width="11.5703125" bestFit="1" customWidth="1"/>
    <col min="20" max="20" width="12.7109375" customWidth="1"/>
    <col min="23" max="23" width="10.5703125" customWidth="1"/>
  </cols>
  <sheetData>
    <row r="1" spans="1:18" x14ac:dyDescent="0.25">
      <c r="B1" s="16" t="s">
        <v>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B2" s="18" t="s">
        <v>32</v>
      </c>
      <c r="C2" s="17"/>
      <c r="D2" s="17"/>
      <c r="E2" s="17"/>
      <c r="F2" s="17"/>
      <c r="G2" s="17"/>
      <c r="H2" s="17"/>
      <c r="I2" s="17"/>
      <c r="J2" s="17"/>
      <c r="K2" s="17"/>
      <c r="L2" s="16" t="s">
        <v>33</v>
      </c>
      <c r="M2" s="17"/>
      <c r="N2" s="17"/>
      <c r="O2" s="17"/>
      <c r="P2" s="19">
        <f>'IRR and Int Ret %'!$F$8</f>
        <v>-0.05</v>
      </c>
      <c r="Q2" s="17"/>
      <c r="R2" s="17"/>
    </row>
    <row r="3" spans="1:18" x14ac:dyDescent="0.25">
      <c r="B3" s="16" t="s">
        <v>83</v>
      </c>
      <c r="C3" s="17"/>
      <c r="D3" s="17"/>
      <c r="E3" s="17"/>
      <c r="F3" s="17"/>
      <c r="G3" s="17"/>
      <c r="H3" s="17"/>
      <c r="I3" s="17"/>
      <c r="J3" s="17"/>
      <c r="K3" s="17"/>
      <c r="L3" s="16" t="s">
        <v>34</v>
      </c>
      <c r="M3" s="17"/>
      <c r="N3" s="17"/>
      <c r="O3" s="17"/>
      <c r="P3" s="19">
        <v>0</v>
      </c>
      <c r="Q3" s="17"/>
      <c r="R3" s="17"/>
    </row>
    <row r="4" spans="1:18" x14ac:dyDescent="0.25">
      <c r="B4" s="89" t="s">
        <v>82</v>
      </c>
      <c r="C4" s="88"/>
      <c r="D4" s="88"/>
      <c r="E4" s="88"/>
      <c r="F4" s="17"/>
      <c r="G4" s="17"/>
      <c r="H4" s="17"/>
      <c r="I4" s="17"/>
      <c r="J4" s="17"/>
      <c r="K4" s="17"/>
      <c r="L4" s="16" t="s">
        <v>35</v>
      </c>
      <c r="M4" s="17"/>
      <c r="N4" s="17"/>
      <c r="O4" s="17"/>
      <c r="P4" s="19">
        <f>(D50+H50)/(B50+F50)</f>
        <v>-2.797303961905064E-3</v>
      </c>
      <c r="Q4" s="17"/>
      <c r="R4" s="17"/>
    </row>
    <row r="5" spans="1:18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6" t="s">
        <v>36</v>
      </c>
      <c r="M5" s="17"/>
      <c r="N5" s="17"/>
      <c r="O5" s="17"/>
      <c r="P5" s="13">
        <f>'Avg Age'!$G$229</f>
        <v>11.413556148494736</v>
      </c>
      <c r="Q5" s="17"/>
      <c r="R5" s="17"/>
    </row>
    <row r="6" spans="1:18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6" t="s">
        <v>37</v>
      </c>
      <c r="M6" s="17"/>
      <c r="N6" s="17"/>
      <c r="O6" s="17"/>
      <c r="P6" s="21">
        <f>N50/(L21+J50)</f>
        <v>25.182620417907152</v>
      </c>
      <c r="Q6" s="17"/>
      <c r="R6" s="17"/>
    </row>
    <row r="7" spans="1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6" t="s">
        <v>38</v>
      </c>
      <c r="M7" s="17"/>
      <c r="N7" s="17"/>
      <c r="O7" s="17"/>
      <c r="P7" s="21">
        <f>P5+P6</f>
        <v>36.596176566401887</v>
      </c>
      <c r="Q7" s="17"/>
      <c r="R7" s="17"/>
    </row>
    <row r="8" spans="1:18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6" t="s">
        <v>39</v>
      </c>
      <c r="M8" s="17"/>
      <c r="N8" s="17"/>
      <c r="O8" s="17"/>
      <c r="P8" s="19">
        <f>R21/L21</f>
        <v>0.3109307153659534</v>
      </c>
      <c r="Q8" s="17"/>
      <c r="R8" s="17"/>
    </row>
    <row r="9" spans="1:18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6" t="s">
        <v>40</v>
      </c>
      <c r="M9" s="17"/>
      <c r="N9" s="17"/>
      <c r="O9" s="17"/>
      <c r="P9" s="17">
        <f>((P5/P7)*((1-P4))*L21)</f>
        <v>26455290.659849368</v>
      </c>
      <c r="Q9" s="17"/>
      <c r="R9" s="17"/>
    </row>
    <row r="10" spans="1:18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 t="s">
        <v>41</v>
      </c>
      <c r="M10" s="17"/>
      <c r="N10" s="17"/>
      <c r="O10" s="17"/>
      <c r="P10" s="22">
        <f>'IRR and Int Ret %'!$D$8</f>
        <v>2.5000000000000001E-3</v>
      </c>
      <c r="Q10" s="17"/>
      <c r="R10" s="17"/>
    </row>
    <row r="11" spans="1:18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 t="s">
        <v>42</v>
      </c>
      <c r="M11" s="17"/>
      <c r="N11" s="17"/>
      <c r="O11" s="17"/>
      <c r="P11" s="23">
        <v>0</v>
      </c>
      <c r="Q11" s="17"/>
      <c r="R11" s="17"/>
    </row>
    <row r="12" spans="1:18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 t="s">
        <v>43</v>
      </c>
      <c r="M12" s="17"/>
      <c r="N12" s="17"/>
      <c r="O12" s="17"/>
      <c r="P12" s="24">
        <f>(L21+J50-D50-H50-R21)/N50</f>
        <v>2.7473971219610292E-2</v>
      </c>
      <c r="Q12" s="17"/>
      <c r="R12" s="17"/>
    </row>
    <row r="13" spans="1:18" x14ac:dyDescent="0.25">
      <c r="B13" s="17"/>
      <c r="C13" s="17"/>
      <c r="D13" s="17"/>
      <c r="E13" s="17"/>
      <c r="F13" s="17"/>
      <c r="G13" s="17"/>
      <c r="H13" s="17">
        <v>0</v>
      </c>
      <c r="I13" s="17"/>
      <c r="J13" s="17"/>
      <c r="K13" s="17"/>
      <c r="L13" s="16" t="s">
        <v>44</v>
      </c>
      <c r="M13" s="17"/>
      <c r="N13" s="17"/>
      <c r="O13" s="17"/>
      <c r="P13" s="24">
        <f>-P4/P7</f>
        <v>7.6437055024846631E-5</v>
      </c>
      <c r="Q13" s="17"/>
      <c r="R13" s="17"/>
    </row>
    <row r="14" spans="1:18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 t="s">
        <v>123</v>
      </c>
      <c r="M14" s="17"/>
      <c r="N14" s="17"/>
      <c r="O14" s="17"/>
      <c r="P14" s="24">
        <f>P12-P13</f>
        <v>2.7397534164585444E-2</v>
      </c>
      <c r="Q14" s="17"/>
      <c r="R14" s="17"/>
    </row>
    <row r="15" spans="1:18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5"/>
      <c r="M15" s="17"/>
      <c r="N15" s="17"/>
      <c r="O15" s="17"/>
      <c r="P15" s="17"/>
      <c r="Q15" s="17"/>
      <c r="R15" s="17"/>
    </row>
    <row r="16" spans="1:18" x14ac:dyDescent="0.25">
      <c r="A16" s="26" t="s">
        <v>45</v>
      </c>
      <c r="B16" s="25" t="s">
        <v>46</v>
      </c>
      <c r="C16" s="25"/>
      <c r="D16" s="25" t="s">
        <v>47</v>
      </c>
      <c r="E16" s="25"/>
      <c r="F16" s="25" t="s">
        <v>48</v>
      </c>
      <c r="G16" s="25"/>
      <c r="H16" s="25" t="s">
        <v>49</v>
      </c>
      <c r="I16" s="25"/>
      <c r="J16" s="25" t="s">
        <v>50</v>
      </c>
      <c r="K16" s="17"/>
      <c r="L16" s="25" t="s">
        <v>51</v>
      </c>
      <c r="M16" s="17"/>
      <c r="N16" s="25" t="s">
        <v>52</v>
      </c>
      <c r="O16" s="25"/>
      <c r="P16" s="25" t="s">
        <v>53</v>
      </c>
      <c r="Q16" s="25"/>
      <c r="R16" s="25" t="s">
        <v>54</v>
      </c>
    </row>
    <row r="17" spans="1:23" x14ac:dyDescent="0.25">
      <c r="A17" s="26"/>
      <c r="B17" s="25" t="s">
        <v>55</v>
      </c>
      <c r="C17" s="25"/>
      <c r="D17" s="25" t="s">
        <v>55</v>
      </c>
      <c r="E17" s="25"/>
      <c r="F17" s="25" t="s">
        <v>56</v>
      </c>
      <c r="G17" s="25"/>
      <c r="H17" s="25" t="s">
        <v>56</v>
      </c>
      <c r="I17" s="25"/>
      <c r="J17" s="25" t="s">
        <v>55</v>
      </c>
      <c r="K17" s="17"/>
      <c r="L17" s="25" t="s">
        <v>57</v>
      </c>
      <c r="M17" s="17"/>
      <c r="N17" s="25" t="s">
        <v>58</v>
      </c>
      <c r="O17" s="25"/>
      <c r="P17" s="25" t="s">
        <v>59</v>
      </c>
      <c r="Q17" s="25"/>
      <c r="R17" s="25" t="s">
        <v>57</v>
      </c>
    </row>
    <row r="18" spans="1:23" x14ac:dyDescent="0.25">
      <c r="A18" s="27" t="s">
        <v>60</v>
      </c>
      <c r="B18" s="28" t="s">
        <v>61</v>
      </c>
      <c r="C18" s="28"/>
      <c r="D18" s="28" t="s">
        <v>62</v>
      </c>
      <c r="E18" s="28"/>
      <c r="F18" s="28" t="s">
        <v>63</v>
      </c>
      <c r="G18" s="28"/>
      <c r="H18" s="28" t="s">
        <v>62</v>
      </c>
      <c r="I18" s="28"/>
      <c r="J18" s="28" t="s">
        <v>64</v>
      </c>
      <c r="K18" s="17"/>
      <c r="L18" s="28" t="s">
        <v>65</v>
      </c>
      <c r="M18" s="17"/>
      <c r="N18" s="28" t="s">
        <v>65</v>
      </c>
      <c r="O18" s="28"/>
      <c r="P18" s="28" t="s">
        <v>66</v>
      </c>
      <c r="Q18" s="28"/>
      <c r="R18" s="28" t="s">
        <v>67</v>
      </c>
    </row>
    <row r="19" spans="1:23" x14ac:dyDescent="0.25">
      <c r="B19" s="25" t="s">
        <v>68</v>
      </c>
      <c r="C19" s="17"/>
      <c r="D19" s="25" t="s">
        <v>68</v>
      </c>
      <c r="E19" s="17"/>
      <c r="F19" s="25" t="s">
        <v>68</v>
      </c>
      <c r="G19" s="17"/>
      <c r="H19" s="25" t="s">
        <v>68</v>
      </c>
      <c r="I19" s="17"/>
      <c r="J19" s="25" t="s">
        <v>68</v>
      </c>
      <c r="K19" s="17"/>
      <c r="L19" s="25" t="s">
        <v>68</v>
      </c>
      <c r="M19" s="17"/>
      <c r="N19" s="25" t="s">
        <v>68</v>
      </c>
      <c r="O19" s="17"/>
      <c r="P19" s="25" t="s">
        <v>68</v>
      </c>
      <c r="Q19" s="17"/>
      <c r="R19" s="25" t="s">
        <v>68</v>
      </c>
    </row>
    <row r="20" spans="1:23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T20" t="s">
        <v>135</v>
      </c>
      <c r="W20" t="s">
        <v>107</v>
      </c>
    </row>
    <row r="21" spans="1:23" x14ac:dyDescent="0.25">
      <c r="A21">
        <v>2016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29">
        <f>'Avg Age'!$E$229</f>
        <v>84589043.539955035</v>
      </c>
      <c r="M21" s="17"/>
      <c r="N21" s="17"/>
      <c r="O21" s="17"/>
      <c r="P21" s="17"/>
      <c r="Q21" s="17"/>
      <c r="R21" s="30">
        <v>26301331.82</v>
      </c>
      <c r="S21" s="70"/>
      <c r="T21" s="30">
        <v>22744248.181874439</v>
      </c>
      <c r="U21" t="s">
        <v>20</v>
      </c>
      <c r="W21" s="70">
        <f>+R21-T21</f>
        <v>3557083.6381255612</v>
      </c>
    </row>
    <row r="22" spans="1:23" x14ac:dyDescent="0.25">
      <c r="A22">
        <f t="shared" ref="A22:A47" si="0">A21+1</f>
        <v>2017</v>
      </c>
      <c r="B22" s="17">
        <f>L21*$P$10</f>
        <v>211472.60884988759</v>
      </c>
      <c r="C22" s="17"/>
      <c r="D22" s="17">
        <f>B22*$P$2</f>
        <v>-10573.630442494381</v>
      </c>
      <c r="E22" s="17"/>
      <c r="F22" s="17"/>
      <c r="G22" s="17"/>
      <c r="H22" s="17"/>
      <c r="I22" s="17"/>
      <c r="J22" s="17"/>
      <c r="K22" s="17"/>
      <c r="L22" s="17">
        <f t="shared" ref="L22:L28" si="1">L21+J22-B22-F22</f>
        <v>84377570.931105152</v>
      </c>
      <c r="M22" s="17"/>
      <c r="N22" s="17">
        <f t="shared" ref="N22:N28" si="2">(L21+L22)/2</f>
        <v>84483307.235530093</v>
      </c>
      <c r="O22" s="17"/>
      <c r="P22" s="17">
        <f t="shared" ref="P22:P28" si="3">N22*$P$12</f>
        <v>2321091.9515264477</v>
      </c>
      <c r="Q22" s="17"/>
      <c r="R22" s="17">
        <f t="shared" ref="R22:R28" si="4">R21+P22-B22-F22+D22+H22</f>
        <v>28400377.532234069</v>
      </c>
    </row>
    <row r="23" spans="1:23" x14ac:dyDescent="0.25">
      <c r="A23">
        <f t="shared" si="0"/>
        <v>2018</v>
      </c>
      <c r="B23" s="17">
        <f t="shared" ref="B23:B28" si="5">L22*$P$10</f>
        <v>210943.92732776288</v>
      </c>
      <c r="C23" s="17"/>
      <c r="D23" s="17">
        <f t="shared" ref="D23:D28" si="6">B23*$P$2</f>
        <v>-10547.196366388145</v>
      </c>
      <c r="E23" s="17"/>
      <c r="F23" s="17"/>
      <c r="G23" s="17"/>
      <c r="H23" s="17"/>
      <c r="I23" s="17"/>
      <c r="J23" s="17"/>
      <c r="K23" s="17"/>
      <c r="L23" s="17">
        <f t="shared" si="1"/>
        <v>84166627.003777385</v>
      </c>
      <c r="M23" s="17"/>
      <c r="N23" s="17">
        <f t="shared" si="2"/>
        <v>84272098.967441261</v>
      </c>
      <c r="O23" s="17"/>
      <c r="P23" s="17">
        <f t="shared" si="3"/>
        <v>2315289.2216476314</v>
      </c>
      <c r="Q23" s="17"/>
      <c r="R23" s="17">
        <f t="shared" si="4"/>
        <v>30494175.630187549</v>
      </c>
      <c r="T23">
        <v>2730555.9299999997</v>
      </c>
    </row>
    <row r="24" spans="1:23" x14ac:dyDescent="0.25">
      <c r="A24">
        <f t="shared" si="0"/>
        <v>2019</v>
      </c>
      <c r="B24" s="17">
        <f t="shared" si="5"/>
        <v>210416.56750944347</v>
      </c>
      <c r="C24" s="17"/>
      <c r="D24" s="17">
        <f t="shared" si="6"/>
        <v>-10520.828375472174</v>
      </c>
      <c r="E24" s="17"/>
      <c r="F24" s="17"/>
      <c r="G24" s="17"/>
      <c r="H24" s="17"/>
      <c r="I24" s="17"/>
      <c r="J24" s="17"/>
      <c r="K24" s="17"/>
      <c r="L24" s="17">
        <f t="shared" si="1"/>
        <v>83956210.436267942</v>
      </c>
      <c r="M24" s="17"/>
      <c r="N24" s="17">
        <f t="shared" si="2"/>
        <v>84061418.720022663</v>
      </c>
      <c r="O24" s="17"/>
      <c r="P24" s="17">
        <f t="shared" si="3"/>
        <v>2309500.9985935125</v>
      </c>
      <c r="Q24" s="17"/>
      <c r="R24" s="17">
        <f t="shared" si="4"/>
        <v>32582739.232896145</v>
      </c>
      <c r="T24">
        <v>-569072.22</v>
      </c>
    </row>
    <row r="25" spans="1:23" x14ac:dyDescent="0.25">
      <c r="A25">
        <f t="shared" si="0"/>
        <v>2020</v>
      </c>
      <c r="B25" s="17">
        <f t="shared" si="5"/>
        <v>209890.52609066985</v>
      </c>
      <c r="C25" s="17"/>
      <c r="D25" s="17">
        <f t="shared" si="6"/>
        <v>-10494.526304533494</v>
      </c>
      <c r="E25" s="17"/>
      <c r="F25" s="17"/>
      <c r="G25" s="17"/>
      <c r="H25" s="17"/>
      <c r="I25" s="17"/>
      <c r="J25" s="17"/>
      <c r="K25" s="17"/>
      <c r="L25" s="17">
        <f t="shared" si="1"/>
        <v>83746319.910177276</v>
      </c>
      <c r="M25" s="17"/>
      <c r="N25" s="17">
        <f t="shared" si="2"/>
        <v>83851265.173222601</v>
      </c>
      <c r="O25" s="17"/>
      <c r="P25" s="17">
        <f t="shared" si="3"/>
        <v>2303727.2460970287</v>
      </c>
      <c r="Q25" s="17"/>
      <c r="R25" s="17">
        <f t="shared" si="4"/>
        <v>34666081.426597975</v>
      </c>
      <c r="T25">
        <v>2430264.7199999951</v>
      </c>
    </row>
    <row r="26" spans="1:23" x14ac:dyDescent="0.25">
      <c r="A26">
        <f t="shared" si="0"/>
        <v>2021</v>
      </c>
      <c r="B26" s="17">
        <f t="shared" si="5"/>
        <v>209365.79977544319</v>
      </c>
      <c r="C26" s="17"/>
      <c r="D26" s="17">
        <f t="shared" si="6"/>
        <v>-10468.28998877216</v>
      </c>
      <c r="E26" s="17"/>
      <c r="F26" s="17"/>
      <c r="G26" s="17"/>
      <c r="H26" s="17"/>
      <c r="I26" s="17"/>
      <c r="J26" s="17"/>
      <c r="K26" s="17"/>
      <c r="L26" s="17">
        <f t="shared" si="1"/>
        <v>83536954.110401839</v>
      </c>
      <c r="M26" s="17"/>
      <c r="N26" s="17">
        <f t="shared" si="2"/>
        <v>83641637.01028955</v>
      </c>
      <c r="O26" s="17"/>
      <c r="P26" s="17">
        <f t="shared" si="3"/>
        <v>2297967.927981786</v>
      </c>
      <c r="Q26" s="17"/>
      <c r="R26" s="17">
        <f t="shared" si="4"/>
        <v>36744215.264815547</v>
      </c>
      <c r="T26">
        <v>26301331.82</v>
      </c>
    </row>
    <row r="27" spans="1:23" x14ac:dyDescent="0.25">
      <c r="A27">
        <f t="shared" si="0"/>
        <v>2022</v>
      </c>
      <c r="B27" s="17">
        <f t="shared" si="5"/>
        <v>208842.38527600461</v>
      </c>
      <c r="C27" s="17"/>
      <c r="D27" s="17">
        <f t="shared" si="6"/>
        <v>-10442.119263800232</v>
      </c>
      <c r="E27" s="17"/>
      <c r="F27" s="17"/>
      <c r="G27" s="17"/>
      <c r="H27" s="17"/>
      <c r="I27" s="17"/>
      <c r="J27" s="17"/>
      <c r="K27" s="17"/>
      <c r="L27" s="17">
        <f t="shared" si="1"/>
        <v>83328111.725125834</v>
      </c>
      <c r="M27" s="17"/>
      <c r="N27" s="17">
        <f t="shared" si="2"/>
        <v>83432532.917763829</v>
      </c>
      <c r="O27" s="17"/>
      <c r="P27" s="17">
        <f t="shared" si="3"/>
        <v>2292223.0081618316</v>
      </c>
      <c r="Q27" s="17"/>
      <c r="R27" s="17">
        <f t="shared" si="4"/>
        <v>38817153.768437579</v>
      </c>
      <c r="T27">
        <v>1449565.3</v>
      </c>
    </row>
    <row r="28" spans="1:23" x14ac:dyDescent="0.25">
      <c r="A28">
        <f t="shared" si="0"/>
        <v>2023</v>
      </c>
      <c r="B28" s="17">
        <f t="shared" si="5"/>
        <v>208320.27931281459</v>
      </c>
      <c r="C28" s="17"/>
      <c r="D28" s="17">
        <f t="shared" si="6"/>
        <v>-10416.01396564073</v>
      </c>
      <c r="E28" s="17"/>
      <c r="F28" s="17"/>
      <c r="G28" s="17"/>
      <c r="H28" s="17"/>
      <c r="I28" s="17"/>
      <c r="J28" s="17"/>
      <c r="K28" s="17"/>
      <c r="L28" s="17">
        <f t="shared" si="1"/>
        <v>83119791.445813015</v>
      </c>
      <c r="M28" s="17"/>
      <c r="N28" s="17">
        <f t="shared" si="2"/>
        <v>83223951.585469425</v>
      </c>
      <c r="O28" s="17"/>
      <c r="P28" s="17">
        <f t="shared" si="3"/>
        <v>2286492.4506414272</v>
      </c>
      <c r="Q28" s="17"/>
      <c r="R28" s="17">
        <f t="shared" si="4"/>
        <v>40884909.925800547</v>
      </c>
    </row>
    <row r="29" spans="1:23" x14ac:dyDescent="0.25">
      <c r="A29">
        <f t="shared" si="0"/>
        <v>2024</v>
      </c>
      <c r="B29" s="17">
        <f t="shared" ref="B29:B44" si="7">L28*$P$10</f>
        <v>207799.47861453253</v>
      </c>
      <c r="C29" s="17"/>
      <c r="D29" s="17">
        <f t="shared" ref="D29:D44" si="8">B29*$P$2</f>
        <v>-10389.973930726628</v>
      </c>
      <c r="E29" s="17"/>
      <c r="F29" s="17"/>
      <c r="G29" s="17"/>
      <c r="H29" s="17"/>
      <c r="I29" s="17"/>
      <c r="J29" s="17"/>
      <c r="K29" s="17"/>
      <c r="L29" s="17">
        <f t="shared" ref="L29:L47" si="9">L28+J29-B29-F29</f>
        <v>82911991.967198476</v>
      </c>
      <c r="M29" s="17"/>
      <c r="N29" s="17">
        <f t="shared" ref="N29:N46" si="10">(L28+L29)/2</f>
        <v>83015891.706505746</v>
      </c>
      <c r="O29" s="17"/>
      <c r="P29" s="17">
        <f t="shared" ref="P29:P47" si="11">N29*$P$12</f>
        <v>2280776.2195148235</v>
      </c>
      <c r="Q29" s="17"/>
      <c r="R29" s="17">
        <f t="shared" ref="R29:R47" si="12">R28+P29-B29-F29+D29+H29</f>
        <v>42947496.692770116</v>
      </c>
    </row>
    <row r="30" spans="1:23" x14ac:dyDescent="0.25">
      <c r="A30">
        <f t="shared" si="0"/>
        <v>2025</v>
      </c>
      <c r="B30" s="17">
        <f t="shared" si="7"/>
        <v>207279.97991799618</v>
      </c>
      <c r="C30" s="17"/>
      <c r="D30" s="17">
        <f t="shared" si="8"/>
        <v>-10363.99899589981</v>
      </c>
      <c r="E30" s="17"/>
      <c r="F30" s="17"/>
      <c r="G30" s="17"/>
      <c r="H30" s="17"/>
      <c r="I30" s="17"/>
      <c r="J30" s="17"/>
      <c r="K30" s="17"/>
      <c r="L30" s="17">
        <f t="shared" si="9"/>
        <v>82704711.987280473</v>
      </c>
      <c r="M30" s="17"/>
      <c r="N30" s="17">
        <f t="shared" si="10"/>
        <v>82808351.977239475</v>
      </c>
      <c r="O30" s="17"/>
      <c r="P30" s="17">
        <f t="shared" si="11"/>
        <v>2275074.2789660362</v>
      </c>
      <c r="Q30" s="17"/>
      <c r="R30" s="17">
        <f t="shared" si="12"/>
        <v>45004926.99282226</v>
      </c>
    </row>
    <row r="31" spans="1:23" x14ac:dyDescent="0.25">
      <c r="A31">
        <f t="shared" si="0"/>
        <v>2026</v>
      </c>
      <c r="B31" s="17">
        <f t="shared" si="7"/>
        <v>206761.77996820118</v>
      </c>
      <c r="C31" s="17"/>
      <c r="D31" s="17">
        <f t="shared" si="8"/>
        <v>-10338.08899841006</v>
      </c>
      <c r="E31" s="17"/>
      <c r="F31" s="17"/>
      <c r="G31" s="17"/>
      <c r="H31" s="17"/>
      <c r="I31" s="17"/>
      <c r="J31" s="17"/>
      <c r="K31" s="17"/>
      <c r="L31" s="17">
        <f t="shared" si="9"/>
        <v>82497950.207312271</v>
      </c>
      <c r="M31" s="17"/>
      <c r="N31" s="17">
        <f t="shared" si="10"/>
        <v>82601331.097296372</v>
      </c>
      <c r="O31" s="17"/>
      <c r="P31" s="17">
        <f t="shared" si="11"/>
        <v>2269386.5932686212</v>
      </c>
      <c r="Q31" s="17"/>
      <c r="R31" s="17">
        <f t="shared" si="12"/>
        <v>47057213.717124268</v>
      </c>
    </row>
    <row r="32" spans="1:23" x14ac:dyDescent="0.25">
      <c r="A32">
        <f t="shared" si="0"/>
        <v>2027</v>
      </c>
      <c r="B32" s="17">
        <f t="shared" si="7"/>
        <v>206244.87551828069</v>
      </c>
      <c r="C32" s="17"/>
      <c r="D32" s="17">
        <f t="shared" si="8"/>
        <v>-10312.243775914036</v>
      </c>
      <c r="E32" s="17"/>
      <c r="F32" s="17"/>
      <c r="G32" s="17"/>
      <c r="H32" s="17"/>
      <c r="I32" s="17"/>
      <c r="J32" s="17"/>
      <c r="K32" s="17"/>
      <c r="L32" s="17">
        <f t="shared" si="9"/>
        <v>82291705.331793994</v>
      </c>
      <c r="M32" s="17"/>
      <c r="N32" s="17">
        <f t="shared" si="10"/>
        <v>82394827.769553125</v>
      </c>
      <c r="O32" s="17"/>
      <c r="P32" s="17">
        <f t="shared" si="11"/>
        <v>2263713.1267854492</v>
      </c>
      <c r="Q32" s="17"/>
      <c r="R32" s="17">
        <f t="shared" si="12"/>
        <v>49104369.724615529</v>
      </c>
    </row>
    <row r="33" spans="1:18" x14ac:dyDescent="0.25">
      <c r="A33">
        <f t="shared" si="0"/>
        <v>2028</v>
      </c>
      <c r="B33" s="17">
        <f t="shared" si="7"/>
        <v>205729.26332948499</v>
      </c>
      <c r="C33" s="17"/>
      <c r="D33" s="17">
        <f t="shared" si="8"/>
        <v>-10286.46316647425</v>
      </c>
      <c r="E33" s="17"/>
      <c r="F33" s="17"/>
      <c r="G33" s="17"/>
      <c r="H33" s="17"/>
      <c r="I33" s="17"/>
      <c r="J33" s="17"/>
      <c r="K33" s="17"/>
      <c r="L33" s="17">
        <f t="shared" si="9"/>
        <v>82085976.068464503</v>
      </c>
      <c r="M33" s="17"/>
      <c r="N33" s="17">
        <f t="shared" si="10"/>
        <v>82188840.700129241</v>
      </c>
      <c r="O33" s="17"/>
      <c r="P33" s="17">
        <f t="shared" si="11"/>
        <v>2258053.8439684859</v>
      </c>
      <c r="Q33" s="17"/>
      <c r="R33" s="17">
        <f t="shared" si="12"/>
        <v>51146407.842088059</v>
      </c>
    </row>
    <row r="34" spans="1:18" x14ac:dyDescent="0.25">
      <c r="A34">
        <f t="shared" si="0"/>
        <v>2029</v>
      </c>
      <c r="B34" s="17">
        <f t="shared" si="7"/>
        <v>205214.94017116126</v>
      </c>
      <c r="C34" s="17"/>
      <c r="D34" s="17">
        <f t="shared" si="8"/>
        <v>-10260.747008558064</v>
      </c>
      <c r="E34" s="17"/>
      <c r="F34" s="17"/>
      <c r="G34" s="17"/>
      <c r="H34" s="17"/>
      <c r="I34" s="17"/>
      <c r="J34" s="17"/>
      <c r="K34" s="17"/>
      <c r="L34" s="17">
        <f t="shared" si="9"/>
        <v>81880761.128293335</v>
      </c>
      <c r="M34" s="17"/>
      <c r="N34" s="17">
        <f t="shared" si="10"/>
        <v>81983368.598378927</v>
      </c>
      <c r="O34" s="17"/>
      <c r="P34" s="17">
        <f t="shared" si="11"/>
        <v>2252408.7093585646</v>
      </c>
      <c r="Q34" s="17"/>
      <c r="R34" s="17">
        <f t="shared" si="12"/>
        <v>53183340.86426691</v>
      </c>
    </row>
    <row r="35" spans="1:18" x14ac:dyDescent="0.25">
      <c r="A35">
        <f t="shared" si="0"/>
        <v>2030</v>
      </c>
      <c r="B35" s="17">
        <f t="shared" si="7"/>
        <v>204701.90282073335</v>
      </c>
      <c r="C35" s="17"/>
      <c r="D35" s="17">
        <f t="shared" si="8"/>
        <v>-10235.095141036669</v>
      </c>
      <c r="E35" s="17"/>
      <c r="F35" s="17"/>
      <c r="G35" s="17"/>
      <c r="H35" s="17"/>
      <c r="I35" s="17"/>
      <c r="J35" s="17"/>
      <c r="K35" s="17"/>
      <c r="L35" s="17">
        <f t="shared" si="9"/>
        <v>81676059.225472599</v>
      </c>
      <c r="M35" s="17"/>
      <c r="N35" s="17">
        <f t="shared" si="10"/>
        <v>81778410.176882967</v>
      </c>
      <c r="O35" s="17"/>
      <c r="P35" s="17">
        <f t="shared" si="11"/>
        <v>2246777.6875851681</v>
      </c>
      <c r="Q35" s="17"/>
      <c r="R35" s="17">
        <f t="shared" si="12"/>
        <v>55215181.553890303</v>
      </c>
    </row>
    <row r="36" spans="1:18" x14ac:dyDescent="0.25">
      <c r="A36">
        <f t="shared" si="0"/>
        <v>2031</v>
      </c>
      <c r="B36" s="17">
        <f t="shared" si="7"/>
        <v>204190.1480636815</v>
      </c>
      <c r="C36" s="17"/>
      <c r="D36" s="17">
        <f t="shared" si="8"/>
        <v>-10209.507403184076</v>
      </c>
      <c r="E36" s="17"/>
      <c r="F36" s="17"/>
      <c r="G36" s="17"/>
      <c r="H36" s="17"/>
      <c r="I36" s="17"/>
      <c r="J36" s="17"/>
      <c r="K36" s="17"/>
      <c r="L36" s="17">
        <f t="shared" si="9"/>
        <v>81471869.077408925</v>
      </c>
      <c r="M36" s="17"/>
      <c r="N36" s="17">
        <f t="shared" si="10"/>
        <v>81573964.151440769</v>
      </c>
      <c r="O36" s="17"/>
      <c r="P36" s="17">
        <f t="shared" si="11"/>
        <v>2241160.7433662051</v>
      </c>
      <c r="Q36" s="17"/>
      <c r="R36" s="17">
        <f t="shared" si="12"/>
        <v>57241942.641789638</v>
      </c>
    </row>
    <row r="37" spans="1:18" x14ac:dyDescent="0.25">
      <c r="A37">
        <f t="shared" si="0"/>
        <v>2032</v>
      </c>
      <c r="B37" s="17">
        <f t="shared" si="7"/>
        <v>203679.67269352233</v>
      </c>
      <c r="C37" s="17"/>
      <c r="D37" s="17">
        <f t="shared" si="8"/>
        <v>-10183.983634676117</v>
      </c>
      <c r="E37" s="17"/>
      <c r="F37" s="17"/>
      <c r="G37" s="17"/>
      <c r="H37" s="17"/>
      <c r="I37" s="17"/>
      <c r="J37" s="17"/>
      <c r="K37" s="17"/>
      <c r="L37" s="17">
        <f t="shared" si="9"/>
        <v>81268189.404715404</v>
      </c>
      <c r="M37" s="17"/>
      <c r="N37" s="17">
        <f t="shared" si="10"/>
        <v>81370029.241062164</v>
      </c>
      <c r="O37" s="17"/>
      <c r="P37" s="17">
        <f t="shared" si="11"/>
        <v>2235557.8415077897</v>
      </c>
      <c r="Q37" s="17"/>
      <c r="R37" s="17">
        <f t="shared" si="12"/>
        <v>59263636.826969236</v>
      </c>
    </row>
    <row r="38" spans="1:18" x14ac:dyDescent="0.25">
      <c r="A38">
        <f t="shared" si="0"/>
        <v>2033</v>
      </c>
      <c r="B38" s="17">
        <f t="shared" si="7"/>
        <v>203170.47351178853</v>
      </c>
      <c r="C38" s="17"/>
      <c r="D38" s="17">
        <f t="shared" si="8"/>
        <v>-10158.523675589428</v>
      </c>
      <c r="E38" s="17"/>
      <c r="F38" s="17"/>
      <c r="G38" s="17"/>
      <c r="H38" s="17"/>
      <c r="I38" s="17"/>
      <c r="J38" s="17"/>
      <c r="K38" s="17"/>
      <c r="L38" s="17">
        <f t="shared" si="9"/>
        <v>81065018.931203619</v>
      </c>
      <c r="M38" s="17"/>
      <c r="N38" s="17">
        <f t="shared" si="10"/>
        <v>81166604.167959511</v>
      </c>
      <c r="O38" s="17"/>
      <c r="P38" s="17">
        <f t="shared" si="11"/>
        <v>2229968.9469040204</v>
      </c>
      <c r="Q38" s="17"/>
      <c r="R38" s="17">
        <f t="shared" si="12"/>
        <v>61280276.776685879</v>
      </c>
    </row>
    <row r="39" spans="1:18" x14ac:dyDescent="0.25">
      <c r="A39">
        <f t="shared" si="0"/>
        <v>2034</v>
      </c>
      <c r="B39" s="17">
        <f t="shared" si="7"/>
        <v>202662.54732800904</v>
      </c>
      <c r="C39" s="17"/>
      <c r="D39" s="17">
        <f t="shared" si="8"/>
        <v>-10133.127366400453</v>
      </c>
      <c r="E39" s="17"/>
      <c r="F39" s="17"/>
      <c r="G39" s="17"/>
      <c r="H39" s="17"/>
      <c r="I39" s="17"/>
      <c r="J39" s="17"/>
      <c r="K39" s="17"/>
      <c r="L39" s="17">
        <f t="shared" si="9"/>
        <v>80862356.383875608</v>
      </c>
      <c r="M39" s="17"/>
      <c r="N39" s="17">
        <f t="shared" si="10"/>
        <v>80963687.657539606</v>
      </c>
      <c r="O39" s="17"/>
      <c r="P39" s="17">
        <f t="shared" si="11"/>
        <v>2224394.0245367601</v>
      </c>
      <c r="Q39" s="17"/>
      <c r="R39" s="17">
        <f t="shared" si="12"/>
        <v>63291875.126528226</v>
      </c>
    </row>
    <row r="40" spans="1:18" x14ac:dyDescent="0.25">
      <c r="A40">
        <f t="shared" si="0"/>
        <v>2035</v>
      </c>
      <c r="B40" s="17">
        <f t="shared" si="7"/>
        <v>202155.89095968902</v>
      </c>
      <c r="C40" s="17"/>
      <c r="D40" s="17">
        <f t="shared" si="8"/>
        <v>-10107.794547984451</v>
      </c>
      <c r="E40" s="17"/>
      <c r="F40" s="17"/>
      <c r="G40" s="17"/>
      <c r="H40" s="17"/>
      <c r="I40" s="17"/>
      <c r="J40" s="17"/>
      <c r="K40" s="17"/>
      <c r="L40" s="17">
        <f t="shared" si="9"/>
        <v>80660200.492915913</v>
      </c>
      <c r="M40" s="17"/>
      <c r="N40" s="17">
        <f t="shared" si="10"/>
        <v>80761278.438395768</v>
      </c>
      <c r="O40" s="17"/>
      <c r="P40" s="17">
        <f t="shared" si="11"/>
        <v>2218833.0394754186</v>
      </c>
      <c r="Q40" s="17"/>
      <c r="R40" s="17">
        <f t="shared" si="12"/>
        <v>65298444.480495974</v>
      </c>
    </row>
    <row r="41" spans="1:18" x14ac:dyDescent="0.25">
      <c r="A41">
        <f t="shared" si="0"/>
        <v>2036</v>
      </c>
      <c r="B41" s="17">
        <f t="shared" si="7"/>
        <v>201650.5012322898</v>
      </c>
      <c r="C41" s="17"/>
      <c r="D41" s="17">
        <f t="shared" si="8"/>
        <v>-10082.525061614491</v>
      </c>
      <c r="E41" s="17"/>
      <c r="F41" s="17"/>
      <c r="G41" s="17"/>
      <c r="H41" s="17"/>
      <c r="I41" s="17"/>
      <c r="J41" s="17"/>
      <c r="K41" s="17"/>
      <c r="L41" s="17">
        <f t="shared" si="9"/>
        <v>80458549.991683617</v>
      </c>
      <c r="M41" s="17"/>
      <c r="N41" s="17">
        <f t="shared" si="10"/>
        <v>80559375.242299765</v>
      </c>
      <c r="O41" s="17"/>
      <c r="P41" s="17">
        <f t="shared" si="11"/>
        <v>2213285.9568767296</v>
      </c>
      <c r="Q41" s="17"/>
      <c r="R41" s="17">
        <f t="shared" si="12"/>
        <v>67299997.411078796</v>
      </c>
    </row>
    <row r="42" spans="1:18" x14ac:dyDescent="0.25">
      <c r="A42">
        <f t="shared" si="0"/>
        <v>2037</v>
      </c>
      <c r="B42" s="17">
        <f t="shared" si="7"/>
        <v>201146.37497920904</v>
      </c>
      <c r="C42" s="17"/>
      <c r="D42" s="17">
        <f t="shared" si="8"/>
        <v>-10057.318748960453</v>
      </c>
      <c r="E42" s="17"/>
      <c r="F42" s="17"/>
      <c r="G42" s="17"/>
      <c r="H42" s="17"/>
      <c r="I42" s="17"/>
      <c r="J42" s="17"/>
      <c r="K42" s="17"/>
      <c r="L42" s="17">
        <f t="shared" si="9"/>
        <v>80257403.616704404</v>
      </c>
      <c r="M42" s="17"/>
      <c r="N42" s="17">
        <f t="shared" si="10"/>
        <v>80357976.804194003</v>
      </c>
      <c r="O42" s="17"/>
      <c r="P42" s="17">
        <f t="shared" si="11"/>
        <v>2207752.7419845373</v>
      </c>
      <c r="Q42" s="17"/>
      <c r="R42" s="17">
        <f t="shared" si="12"/>
        <v>69296546.459335148</v>
      </c>
    </row>
    <row r="43" spans="1:18" x14ac:dyDescent="0.25">
      <c r="A43">
        <f t="shared" si="0"/>
        <v>2038</v>
      </c>
      <c r="B43" s="17">
        <f t="shared" si="7"/>
        <v>200643.50904176102</v>
      </c>
      <c r="C43" s="17"/>
      <c r="D43" s="17">
        <f t="shared" si="8"/>
        <v>-10032.175452088051</v>
      </c>
      <c r="E43" s="17"/>
      <c r="F43" s="17"/>
      <c r="G43" s="17"/>
      <c r="H43" s="17"/>
      <c r="I43" s="17"/>
      <c r="J43" s="17"/>
      <c r="K43" s="17"/>
      <c r="L43" s="17">
        <f t="shared" si="9"/>
        <v>80056760.107662648</v>
      </c>
      <c r="M43" s="17"/>
      <c r="N43" s="17">
        <f t="shared" si="10"/>
        <v>80157081.862183526</v>
      </c>
      <c r="O43" s="17"/>
      <c r="P43" s="17">
        <f t="shared" si="11"/>
        <v>2202233.3601295762</v>
      </c>
      <c r="Q43" s="17"/>
      <c r="R43" s="17">
        <f t="shared" si="12"/>
        <v>71288104.134970888</v>
      </c>
    </row>
    <row r="44" spans="1:18" x14ac:dyDescent="0.25">
      <c r="A44">
        <f t="shared" si="0"/>
        <v>2039</v>
      </c>
      <c r="B44" s="17">
        <f t="shared" si="7"/>
        <v>200141.90026915661</v>
      </c>
      <c r="C44" s="17"/>
      <c r="D44" s="17">
        <f t="shared" si="8"/>
        <v>-10007.095013457831</v>
      </c>
      <c r="E44" s="17"/>
      <c r="F44" s="17"/>
      <c r="G44" s="17"/>
      <c r="H44" s="17"/>
      <c r="I44" s="17"/>
      <c r="J44" s="17"/>
      <c r="K44" s="17"/>
      <c r="L44" s="17">
        <f t="shared" si="9"/>
        <v>79856618.207393497</v>
      </c>
      <c r="M44" s="17"/>
      <c r="N44" s="17">
        <f t="shared" si="10"/>
        <v>79956689.157528073</v>
      </c>
      <c r="O44" s="17"/>
      <c r="P44" s="17">
        <f t="shared" si="11"/>
        <v>2196727.7767292527</v>
      </c>
      <c r="Q44" s="17"/>
      <c r="R44" s="17">
        <f t="shared" si="12"/>
        <v>73274682.916417539</v>
      </c>
    </row>
    <row r="45" spans="1:18" x14ac:dyDescent="0.25">
      <c r="A45">
        <f t="shared" si="0"/>
        <v>2040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>
        <f t="shared" si="9"/>
        <v>79856618.207393497</v>
      </c>
      <c r="M45" s="17"/>
      <c r="N45" s="17">
        <f t="shared" si="10"/>
        <v>79856618.207393497</v>
      </c>
      <c r="O45" s="17"/>
      <c r="P45" s="17">
        <f t="shared" si="11"/>
        <v>2193978.4303253363</v>
      </c>
      <c r="Q45" s="17"/>
      <c r="R45" s="17">
        <f t="shared" si="12"/>
        <v>75468661.346742868</v>
      </c>
    </row>
    <row r="46" spans="1:18" x14ac:dyDescent="0.25">
      <c r="A46">
        <f t="shared" si="0"/>
        <v>2041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>
        <f t="shared" si="9"/>
        <v>79856618.207393497</v>
      </c>
      <c r="M46" s="17"/>
      <c r="N46" s="17">
        <f t="shared" si="10"/>
        <v>79856618.207393497</v>
      </c>
      <c r="O46" s="17"/>
      <c r="P46" s="17">
        <f t="shared" si="11"/>
        <v>2193978.4303253363</v>
      </c>
      <c r="Q46" s="17"/>
      <c r="R46" s="17">
        <f t="shared" si="12"/>
        <v>77662639.777068198</v>
      </c>
    </row>
    <row r="47" spans="1:18" x14ac:dyDescent="0.25">
      <c r="A47">
        <f t="shared" si="0"/>
        <v>2042</v>
      </c>
      <c r="B47" s="17"/>
      <c r="C47" s="17"/>
      <c r="D47" s="17"/>
      <c r="E47" s="17"/>
      <c r="F47" s="17">
        <f>+L46</f>
        <v>79856618.207393497</v>
      </c>
      <c r="G47" s="17"/>
      <c r="H47" s="17">
        <f>+P3*F47</f>
        <v>0</v>
      </c>
      <c r="I47" s="17"/>
      <c r="J47" s="17"/>
      <c r="K47" s="17"/>
      <c r="L47" s="17">
        <f t="shared" si="9"/>
        <v>0</v>
      </c>
      <c r="M47" s="17"/>
      <c r="N47" s="17">
        <f>+L46</f>
        <v>79856618.207393497</v>
      </c>
      <c r="O47" s="17"/>
      <c r="P47" s="17">
        <f t="shared" si="11"/>
        <v>2193978.4303253363</v>
      </c>
      <c r="Q47" s="17"/>
      <c r="R47" s="17">
        <f t="shared" si="12"/>
        <v>2.9802322387695313E-8</v>
      </c>
    </row>
    <row r="48" spans="1:18" x14ac:dyDescent="0.2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1:18" x14ac:dyDescent="0.2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1:18" x14ac:dyDescent="0.25">
      <c r="A50" s="26" t="s">
        <v>69</v>
      </c>
      <c r="B50" s="31">
        <f>SUM(B22:B48)</f>
        <v>4732425.3325615227</v>
      </c>
      <c r="C50" s="31">
        <f>SUM(C22:C48)</f>
        <v>0</v>
      </c>
      <c r="D50" s="31">
        <f>SUM(D22:D48)</f>
        <v>-236621.26662807615</v>
      </c>
      <c r="E50" s="17"/>
      <c r="F50" s="31">
        <f>SUM(F22:F48)</f>
        <v>79856618.207393497</v>
      </c>
      <c r="G50" s="17"/>
      <c r="H50" s="31">
        <f>SUM(H22:H48)</f>
        <v>0</v>
      </c>
      <c r="I50" s="17"/>
      <c r="J50" s="31">
        <f>SUM(J22:J48)</f>
        <v>0</v>
      </c>
      <c r="K50" s="17"/>
      <c r="L50" s="17"/>
      <c r="M50" s="17"/>
      <c r="N50" s="31">
        <f>SUM(N22:N48)</f>
        <v>2130173774.9805088</v>
      </c>
      <c r="O50" s="17"/>
      <c r="P50" s="17"/>
      <c r="Q50" s="17"/>
      <c r="R50" s="17"/>
    </row>
  </sheetData>
  <mergeCells count="1"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L15" sqref="L15"/>
    </sheetView>
  </sheetViews>
  <sheetFormatPr defaultRowHeight="15" x14ac:dyDescent="0.25"/>
  <cols>
    <col min="3" max="3" width="2.7109375" customWidth="1"/>
    <col min="5" max="5" width="0.5703125" customWidth="1"/>
    <col min="6" max="6" width="15" customWidth="1"/>
    <col min="7" max="7" width="2.140625" customWidth="1"/>
    <col min="9" max="9" width="2.28515625" customWidth="1"/>
    <col min="10" max="10" width="10.85546875" customWidth="1"/>
    <col min="11" max="11" width="0.140625" customWidth="1"/>
    <col min="12" max="12" width="16" customWidth="1"/>
    <col min="13" max="13" width="2.5703125" customWidth="1"/>
    <col min="14" max="14" width="13.42578125" customWidth="1"/>
    <col min="15" max="15" width="2.7109375" customWidth="1"/>
    <col min="16" max="16" width="12.7109375" customWidth="1"/>
    <col min="17" max="17" width="2" customWidth="1"/>
    <col min="18" max="18" width="13.7109375" customWidth="1"/>
  </cols>
  <sheetData>
    <row r="1" spans="1:18" x14ac:dyDescent="0.25">
      <c r="B1" s="16" t="s">
        <v>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B2" s="18" t="s">
        <v>74</v>
      </c>
      <c r="C2" s="17"/>
      <c r="D2" s="17"/>
      <c r="E2" s="17"/>
      <c r="F2" s="17"/>
      <c r="G2" s="17"/>
      <c r="H2" s="17"/>
      <c r="I2" s="17"/>
      <c r="J2" s="17"/>
      <c r="K2" s="17"/>
      <c r="L2" s="16" t="s">
        <v>33</v>
      </c>
      <c r="M2" s="17"/>
      <c r="N2" s="17"/>
      <c r="O2" s="17"/>
      <c r="P2" s="19">
        <f>'IRR and Int Ret %'!$F$7</f>
        <v>-0.05</v>
      </c>
      <c r="Q2" s="17"/>
      <c r="R2" s="17"/>
    </row>
    <row r="3" spans="1:18" x14ac:dyDescent="0.25">
      <c r="B3" s="16" t="s">
        <v>76</v>
      </c>
      <c r="C3" s="17"/>
      <c r="D3" s="17"/>
      <c r="E3" s="17"/>
      <c r="F3" s="17"/>
      <c r="G3" s="17"/>
      <c r="H3" s="17"/>
      <c r="I3" s="17"/>
      <c r="J3" s="17"/>
      <c r="K3" s="17"/>
      <c r="L3" s="16" t="s">
        <v>34</v>
      </c>
      <c r="M3" s="17"/>
      <c r="N3" s="17"/>
      <c r="O3" s="17"/>
      <c r="P3" s="19">
        <v>0</v>
      </c>
      <c r="Q3" s="17"/>
      <c r="R3" s="17"/>
    </row>
    <row r="4" spans="1:18" x14ac:dyDescent="0.25">
      <c r="B4" s="87" t="s">
        <v>77</v>
      </c>
      <c r="C4" s="88"/>
      <c r="D4" s="88"/>
      <c r="E4" s="17"/>
      <c r="F4" s="17"/>
      <c r="G4" s="17"/>
      <c r="H4" s="17"/>
      <c r="I4" s="17"/>
      <c r="J4" s="17"/>
      <c r="K4" s="17"/>
      <c r="L4" s="16" t="s">
        <v>35</v>
      </c>
      <c r="M4" s="17"/>
      <c r="N4" s="17"/>
      <c r="O4" s="17"/>
      <c r="P4" s="19">
        <f>(D26+H26)/(B26+F26)</f>
        <v>0</v>
      </c>
      <c r="Q4" s="17"/>
      <c r="R4" s="17"/>
    </row>
    <row r="5" spans="1:18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6" t="s">
        <v>36</v>
      </c>
      <c r="M5" s="17"/>
      <c r="N5" s="17"/>
      <c r="O5" s="17"/>
      <c r="P5" s="20">
        <f>'Avg Age'!$G$298</f>
        <v>15.784050505043259</v>
      </c>
      <c r="Q5" s="17"/>
      <c r="R5" s="17"/>
    </row>
    <row r="6" spans="1:18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6" t="s">
        <v>37</v>
      </c>
      <c r="M6" s="17"/>
      <c r="N6" s="17"/>
      <c r="O6" s="17"/>
      <c r="P6" s="21">
        <f>N26/(L21+J26)</f>
        <v>2</v>
      </c>
      <c r="Q6" s="17"/>
      <c r="R6" s="17"/>
    </row>
    <row r="7" spans="1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6" t="s">
        <v>38</v>
      </c>
      <c r="M7" s="17"/>
      <c r="N7" s="17"/>
      <c r="O7" s="17"/>
      <c r="P7" s="21">
        <f>P5+P6</f>
        <v>17.784050505043261</v>
      </c>
      <c r="Q7" s="17"/>
      <c r="R7" s="17"/>
    </row>
    <row r="8" spans="1:18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6" t="s">
        <v>39</v>
      </c>
      <c r="M8" s="17"/>
      <c r="N8" s="17"/>
      <c r="O8" s="17"/>
      <c r="P8" s="19">
        <f>R21/L21</f>
        <v>0.79799914568919683</v>
      </c>
      <c r="Q8" s="17"/>
      <c r="R8" s="17"/>
    </row>
    <row r="9" spans="1:18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6" t="s">
        <v>40</v>
      </c>
      <c r="M9" s="17"/>
      <c r="N9" s="17"/>
      <c r="O9" s="17"/>
      <c r="P9" s="17">
        <f>((P5/P7)*((1-P4))*L21)</f>
        <v>6507581.2226905553</v>
      </c>
      <c r="Q9" s="17"/>
      <c r="R9" s="17"/>
    </row>
    <row r="10" spans="1:18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 t="s">
        <v>41</v>
      </c>
      <c r="M10" s="17"/>
      <c r="N10" s="17"/>
      <c r="O10" s="17"/>
      <c r="P10" s="22">
        <f>'IRR and Int Ret %'!$D$7</f>
        <v>0.03</v>
      </c>
      <c r="Q10" s="17"/>
      <c r="R10" s="17"/>
    </row>
    <row r="11" spans="1:18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 t="s">
        <v>42</v>
      </c>
      <c r="M11" s="17"/>
      <c r="N11" s="17"/>
      <c r="O11" s="17"/>
      <c r="P11" s="23">
        <v>0</v>
      </c>
      <c r="Q11" s="17"/>
      <c r="R11" s="17"/>
    </row>
    <row r="12" spans="1:18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 t="s">
        <v>43</v>
      </c>
      <c r="M12" s="17"/>
      <c r="N12" s="17"/>
      <c r="O12" s="17"/>
      <c r="P12" s="24">
        <f>(L21+J26-D26-H26-R21)/N26</f>
        <v>0.1010004271554016</v>
      </c>
      <c r="Q12" s="17"/>
      <c r="R12" s="17"/>
    </row>
    <row r="13" spans="1:18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6" t="s">
        <v>44</v>
      </c>
      <c r="M13" s="17"/>
      <c r="N13" s="17"/>
      <c r="O13" s="17"/>
      <c r="P13" s="24">
        <f>-P4/P7</f>
        <v>0</v>
      </c>
      <c r="Q13" s="17"/>
      <c r="R13" s="17"/>
    </row>
    <row r="14" spans="1:18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 t="s">
        <v>123</v>
      </c>
      <c r="M14" s="17"/>
      <c r="N14" s="17"/>
      <c r="O14" s="17"/>
      <c r="P14" s="24">
        <f>P12-P13</f>
        <v>0.1010004271554016</v>
      </c>
      <c r="Q14" s="17"/>
      <c r="R14" s="17"/>
    </row>
    <row r="15" spans="1:18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5"/>
      <c r="M15" s="17"/>
      <c r="N15" s="17"/>
      <c r="O15" s="17"/>
      <c r="P15" s="17"/>
      <c r="Q15" s="17"/>
      <c r="R15" s="17"/>
    </row>
    <row r="16" spans="1:18" x14ac:dyDescent="0.25">
      <c r="A16" s="26" t="s">
        <v>45</v>
      </c>
      <c r="B16" s="25" t="s">
        <v>46</v>
      </c>
      <c r="C16" s="25"/>
      <c r="D16" s="25" t="s">
        <v>47</v>
      </c>
      <c r="E16" s="25"/>
      <c r="F16" s="25" t="s">
        <v>48</v>
      </c>
      <c r="G16" s="25"/>
      <c r="H16" s="25" t="s">
        <v>49</v>
      </c>
      <c r="I16" s="25"/>
      <c r="J16" s="25" t="s">
        <v>50</v>
      </c>
      <c r="K16" s="17"/>
      <c r="L16" s="25" t="s">
        <v>51</v>
      </c>
      <c r="M16" s="17"/>
      <c r="N16" s="25" t="s">
        <v>52</v>
      </c>
      <c r="O16" s="25"/>
      <c r="P16" s="25" t="s">
        <v>53</v>
      </c>
      <c r="Q16" s="25"/>
      <c r="R16" s="25" t="s">
        <v>54</v>
      </c>
    </row>
    <row r="17" spans="1:18" x14ac:dyDescent="0.25">
      <c r="A17" s="26"/>
      <c r="B17" s="25" t="s">
        <v>55</v>
      </c>
      <c r="C17" s="25"/>
      <c r="D17" s="25" t="s">
        <v>55</v>
      </c>
      <c r="E17" s="25"/>
      <c r="F17" s="25" t="s">
        <v>56</v>
      </c>
      <c r="G17" s="25"/>
      <c r="H17" s="25" t="s">
        <v>56</v>
      </c>
      <c r="I17" s="25"/>
      <c r="J17" s="25" t="s">
        <v>55</v>
      </c>
      <c r="K17" s="17"/>
      <c r="L17" s="25" t="s">
        <v>57</v>
      </c>
      <c r="M17" s="17"/>
      <c r="N17" s="25" t="s">
        <v>58</v>
      </c>
      <c r="O17" s="25"/>
      <c r="P17" s="25" t="s">
        <v>59</v>
      </c>
      <c r="Q17" s="25"/>
      <c r="R17" s="25" t="s">
        <v>57</v>
      </c>
    </row>
    <row r="18" spans="1:18" x14ac:dyDescent="0.25">
      <c r="A18" s="27" t="s">
        <v>60</v>
      </c>
      <c r="B18" s="28" t="s">
        <v>61</v>
      </c>
      <c r="C18" s="28"/>
      <c r="D18" s="28" t="s">
        <v>62</v>
      </c>
      <c r="E18" s="28"/>
      <c r="F18" s="28" t="s">
        <v>63</v>
      </c>
      <c r="G18" s="28"/>
      <c r="H18" s="28" t="s">
        <v>62</v>
      </c>
      <c r="I18" s="28"/>
      <c r="J18" s="28" t="s">
        <v>64</v>
      </c>
      <c r="K18" s="17"/>
      <c r="L18" s="28" t="s">
        <v>65</v>
      </c>
      <c r="M18" s="17"/>
      <c r="N18" s="28" t="s">
        <v>65</v>
      </c>
      <c r="O18" s="28"/>
      <c r="P18" s="28" t="s">
        <v>66</v>
      </c>
      <c r="Q18" s="28"/>
      <c r="R18" s="28" t="s">
        <v>67</v>
      </c>
    </row>
    <row r="19" spans="1:18" x14ac:dyDescent="0.25">
      <c r="B19" s="25" t="s">
        <v>68</v>
      </c>
      <c r="C19" s="17"/>
      <c r="D19" s="25" t="s">
        <v>68</v>
      </c>
      <c r="E19" s="17"/>
      <c r="F19" s="25" t="s">
        <v>68</v>
      </c>
      <c r="G19" s="17"/>
      <c r="H19" s="25" t="s">
        <v>68</v>
      </c>
      <c r="I19" s="17"/>
      <c r="J19" s="25" t="s">
        <v>68</v>
      </c>
      <c r="K19" s="17"/>
      <c r="L19" s="25" t="s">
        <v>68</v>
      </c>
      <c r="M19" s="17"/>
      <c r="N19" s="25" t="s">
        <v>68</v>
      </c>
      <c r="O19" s="17"/>
      <c r="P19" s="25" t="s">
        <v>68</v>
      </c>
      <c r="Q19" s="17"/>
      <c r="R19" s="25" t="s">
        <v>68</v>
      </c>
    </row>
    <row r="20" spans="1:18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>
        <v>2016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0">
        <f>'Avg Age'!$E$298</f>
        <v>7332158.0600000005</v>
      </c>
      <c r="M21" s="17"/>
      <c r="N21" s="17"/>
      <c r="O21" s="17"/>
      <c r="P21" s="17"/>
      <c r="Q21" s="17"/>
      <c r="R21" s="30">
        <v>5851055.867938159</v>
      </c>
    </row>
    <row r="22" spans="1:18" x14ac:dyDescent="0.25">
      <c r="A22">
        <f t="shared" ref="A22:A23" si="0">A21+1</f>
        <v>2017</v>
      </c>
      <c r="B22" s="17"/>
      <c r="C22" s="17"/>
      <c r="D22" s="17"/>
      <c r="E22" s="17"/>
      <c r="F22" s="17"/>
      <c r="G22" s="17"/>
      <c r="H22" s="17"/>
      <c r="I22" s="17"/>
      <c r="J22" s="17">
        <f>B22*$P$11</f>
        <v>0</v>
      </c>
      <c r="K22" s="17"/>
      <c r="L22" s="17">
        <f t="shared" ref="L22:L23" si="1">L21+J22-B22-F22</f>
        <v>7332158.0600000005</v>
      </c>
      <c r="M22" s="17"/>
      <c r="N22" s="17">
        <f t="shared" ref="N22" si="2">(L21+L22)/2</f>
        <v>7332158.0600000005</v>
      </c>
      <c r="O22" s="17"/>
      <c r="P22" s="17">
        <f t="shared" ref="P22:P23" si="3">N22*$P$12</f>
        <v>740551.09603092074</v>
      </c>
      <c r="Q22" s="17"/>
      <c r="R22" s="17">
        <f t="shared" ref="R22:R23" si="4">R21+P22-B22-F22+D22+H22</f>
        <v>6591606.9639690798</v>
      </c>
    </row>
    <row r="23" spans="1:18" x14ac:dyDescent="0.25">
      <c r="A23">
        <f t="shared" si="0"/>
        <v>2018</v>
      </c>
      <c r="B23" s="17"/>
      <c r="C23" s="17"/>
      <c r="D23" s="17"/>
      <c r="E23" s="17"/>
      <c r="F23" s="17">
        <f>+L22</f>
        <v>7332158.0600000005</v>
      </c>
      <c r="G23" s="17"/>
      <c r="H23" s="17"/>
      <c r="I23" s="17"/>
      <c r="J23" s="17">
        <f>B23*$P$11</f>
        <v>0</v>
      </c>
      <c r="K23" s="17"/>
      <c r="L23" s="17">
        <f t="shared" si="1"/>
        <v>0</v>
      </c>
      <c r="M23" s="17"/>
      <c r="N23" s="17">
        <f>+L22</f>
        <v>7332158.0600000005</v>
      </c>
      <c r="O23" s="17"/>
      <c r="P23" s="17">
        <f t="shared" si="3"/>
        <v>740551.09603092074</v>
      </c>
      <c r="Q23" s="17"/>
      <c r="R23" s="17">
        <f t="shared" si="4"/>
        <v>0</v>
      </c>
    </row>
    <row r="24" spans="1:18" x14ac:dyDescent="0.25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26" t="s">
        <v>69</v>
      </c>
      <c r="B26" s="31">
        <f>SUM(B22:B24)</f>
        <v>0</v>
      </c>
      <c r="C26" s="32" t="s">
        <v>20</v>
      </c>
      <c r="D26" s="31">
        <f>SUM(D22:D24)</f>
        <v>0</v>
      </c>
      <c r="E26" s="17"/>
      <c r="F26" s="31">
        <f>SUM(F22:F24)</f>
        <v>7332158.0600000005</v>
      </c>
      <c r="G26" s="17"/>
      <c r="H26" s="31">
        <f>SUM(H22:H24)</f>
        <v>0</v>
      </c>
      <c r="I26" s="17"/>
      <c r="J26" s="31">
        <f>SUM(J22:J24)</f>
        <v>0</v>
      </c>
      <c r="K26" s="17"/>
      <c r="L26" s="17"/>
      <c r="M26" s="17"/>
      <c r="N26" s="31">
        <f>SUM(N22:N24)</f>
        <v>14664316.120000001</v>
      </c>
      <c r="O26" s="17"/>
      <c r="P26" s="17"/>
      <c r="Q26" s="17"/>
      <c r="R26" s="17"/>
    </row>
  </sheetData>
  <mergeCells count="1">
    <mergeCell ref="B4:D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workbookViewId="0">
      <selection activeCell="U23" sqref="U23:U27"/>
    </sheetView>
  </sheetViews>
  <sheetFormatPr defaultRowHeight="15" x14ac:dyDescent="0.25"/>
  <cols>
    <col min="3" max="3" width="2.140625" customWidth="1"/>
    <col min="5" max="5" width="2.85546875" customWidth="1"/>
    <col min="6" max="6" width="11.5703125" bestFit="1" customWidth="1"/>
    <col min="7" max="7" width="2.5703125" customWidth="1"/>
    <col min="8" max="8" width="11.28515625" bestFit="1" customWidth="1"/>
    <col min="9" max="9" width="1.85546875" customWidth="1"/>
    <col min="11" max="11" width="2.42578125" customWidth="1"/>
    <col min="12" max="12" width="14.7109375" customWidth="1"/>
    <col min="13" max="13" width="3.28515625" customWidth="1"/>
    <col min="14" max="14" width="15" customWidth="1"/>
    <col min="15" max="15" width="2.7109375" customWidth="1"/>
    <col min="16" max="16" width="14.42578125" customWidth="1"/>
    <col min="17" max="17" width="3.42578125" customWidth="1"/>
    <col min="18" max="18" width="15.5703125" customWidth="1"/>
  </cols>
  <sheetData>
    <row r="1" spans="1:20" x14ac:dyDescent="0.25">
      <c r="B1" s="16" t="s">
        <v>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20" x14ac:dyDescent="0.25">
      <c r="B2" s="18" t="s">
        <v>70</v>
      </c>
      <c r="C2" s="17"/>
      <c r="D2" s="17"/>
      <c r="E2" s="17"/>
      <c r="F2" s="17"/>
      <c r="G2" s="17"/>
      <c r="H2" s="17"/>
      <c r="I2" s="17"/>
      <c r="J2" s="17"/>
      <c r="K2" s="17"/>
      <c r="L2" s="16" t="s">
        <v>33</v>
      </c>
      <c r="M2" s="17"/>
      <c r="N2" s="17"/>
      <c r="O2" s="17"/>
      <c r="P2" s="19">
        <f>'IRR and Int Ret %'!$F$9</f>
        <v>-0.05</v>
      </c>
      <c r="Q2" s="17"/>
      <c r="R2" s="17"/>
    </row>
    <row r="3" spans="1:20" x14ac:dyDescent="0.25">
      <c r="B3" s="16" t="s">
        <v>83</v>
      </c>
      <c r="C3" s="17"/>
      <c r="D3" s="17"/>
      <c r="E3" s="17"/>
      <c r="F3" s="17"/>
      <c r="G3" s="17"/>
      <c r="H3" s="17"/>
      <c r="I3" s="17"/>
      <c r="J3" s="17"/>
      <c r="K3" s="17"/>
      <c r="L3" s="16" t="s">
        <v>34</v>
      </c>
      <c r="M3" s="17"/>
      <c r="N3" s="17"/>
      <c r="O3" s="17"/>
      <c r="P3" s="19">
        <v>0</v>
      </c>
      <c r="Q3" s="17"/>
      <c r="R3" s="17"/>
    </row>
    <row r="4" spans="1:20" x14ac:dyDescent="0.25">
      <c r="B4" s="89" t="s">
        <v>82</v>
      </c>
      <c r="C4" s="88"/>
      <c r="D4" s="88"/>
      <c r="E4" s="88"/>
      <c r="F4" s="17"/>
      <c r="G4" s="17"/>
      <c r="H4" s="17"/>
      <c r="I4" s="17"/>
      <c r="J4" s="17"/>
      <c r="K4" s="17"/>
      <c r="L4" s="16" t="s">
        <v>35</v>
      </c>
      <c r="M4" s="17"/>
      <c r="N4" s="17"/>
      <c r="O4" s="17"/>
      <c r="P4" s="19">
        <f>(D49+H49)/(B49+F49)</f>
        <v>-1.4681414182323556E-2</v>
      </c>
      <c r="Q4" s="17"/>
      <c r="R4" s="17"/>
    </row>
    <row r="5" spans="1:20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6" t="s">
        <v>36</v>
      </c>
      <c r="M5" s="17"/>
      <c r="N5" s="17"/>
      <c r="O5" s="17"/>
      <c r="P5" s="20">
        <f>'Avg Age'!$G$277</f>
        <v>7.9901400785230265</v>
      </c>
      <c r="Q5" s="17"/>
      <c r="R5" s="17"/>
    </row>
    <row r="6" spans="1:20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6" t="s">
        <v>37</v>
      </c>
      <c r="M6" s="17"/>
      <c r="N6" s="17"/>
      <c r="O6" s="17"/>
      <c r="P6" s="21">
        <f>N49/(L21+J49)</f>
        <v>21.547519917002095</v>
      </c>
      <c r="Q6" s="17"/>
      <c r="R6" s="17"/>
    </row>
    <row r="7" spans="1:20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6" t="s">
        <v>38</v>
      </c>
      <c r="M7" s="17"/>
      <c r="N7" s="17"/>
      <c r="O7" s="17"/>
      <c r="P7" s="21">
        <f>P5+P6</f>
        <v>29.537659995525122</v>
      </c>
      <c r="Q7" s="17"/>
      <c r="R7" s="17"/>
    </row>
    <row r="8" spans="1:20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6" t="s">
        <v>39</v>
      </c>
      <c r="M8" s="17"/>
      <c r="N8" s="17"/>
      <c r="O8" s="17"/>
      <c r="P8" s="19">
        <f>R21/L21</f>
        <v>0.10348231229306595</v>
      </c>
      <c r="Q8" s="17"/>
      <c r="R8" s="17"/>
    </row>
    <row r="9" spans="1:20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6" t="s">
        <v>40</v>
      </c>
      <c r="M9" s="17"/>
      <c r="N9" s="17"/>
      <c r="O9" s="17"/>
      <c r="P9" s="17">
        <f>((P5/P7)*((1-P4))*L21)</f>
        <v>3844852.3923619869</v>
      </c>
      <c r="Q9" s="17"/>
      <c r="R9" s="17"/>
    </row>
    <row r="10" spans="1:20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 t="s">
        <v>41</v>
      </c>
      <c r="M10" s="17"/>
      <c r="N10" s="17"/>
      <c r="O10" s="17"/>
      <c r="P10" s="22">
        <f>'IRR and Int Ret %'!$D$9</f>
        <v>1.4999999999999999E-2</v>
      </c>
      <c r="Q10" s="17"/>
      <c r="R10" s="17"/>
    </row>
    <row r="11" spans="1:20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 t="s">
        <v>42</v>
      </c>
      <c r="M11" s="17"/>
      <c r="N11" s="17"/>
      <c r="O11" s="17"/>
      <c r="P11" s="23">
        <v>0</v>
      </c>
      <c r="Q11" s="17"/>
      <c r="R11" s="17"/>
    </row>
    <row r="12" spans="1:20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 t="s">
        <v>43</v>
      </c>
      <c r="M12" s="17"/>
      <c r="N12" s="17"/>
      <c r="O12" s="17"/>
      <c r="P12" s="24">
        <f>(L21+J49-D49-H49-R21)/N49</f>
        <v>4.2287887673340761E-2</v>
      </c>
      <c r="Q12" s="17"/>
      <c r="R12" s="17"/>
    </row>
    <row r="13" spans="1:20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6" t="s">
        <v>44</v>
      </c>
      <c r="M13" s="17"/>
      <c r="N13" s="17"/>
      <c r="O13" s="17"/>
      <c r="P13" s="24">
        <f>-P4/P7</f>
        <v>4.9704053010792839E-4</v>
      </c>
      <c r="Q13" s="17"/>
      <c r="R13" s="17"/>
    </row>
    <row r="14" spans="1:20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 t="s">
        <v>123</v>
      </c>
      <c r="M14" s="17"/>
      <c r="N14" s="17"/>
      <c r="O14" s="17"/>
      <c r="P14" s="24">
        <f>P12-P13</f>
        <v>4.1790847143232834E-2</v>
      </c>
      <c r="Q14" s="17"/>
      <c r="R14" s="17"/>
    </row>
    <row r="15" spans="1:20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5"/>
      <c r="M15" s="17"/>
      <c r="N15" s="17"/>
      <c r="O15" s="17"/>
      <c r="P15" s="17"/>
      <c r="Q15" s="17"/>
      <c r="R15" s="17"/>
    </row>
    <row r="16" spans="1:20" x14ac:dyDescent="0.25">
      <c r="A16" s="26" t="s">
        <v>45</v>
      </c>
      <c r="B16" s="25" t="s">
        <v>46</v>
      </c>
      <c r="C16" s="25"/>
      <c r="D16" s="25" t="s">
        <v>47</v>
      </c>
      <c r="E16" s="25"/>
      <c r="F16" s="25" t="s">
        <v>48</v>
      </c>
      <c r="G16" s="25"/>
      <c r="H16" s="25" t="s">
        <v>49</v>
      </c>
      <c r="I16" s="25"/>
      <c r="J16" s="25" t="s">
        <v>50</v>
      </c>
      <c r="K16" s="17"/>
      <c r="L16" s="25" t="s">
        <v>51</v>
      </c>
      <c r="M16" s="17"/>
      <c r="N16" s="25" t="s">
        <v>52</v>
      </c>
      <c r="O16" s="25"/>
      <c r="P16" s="25" t="s">
        <v>53</v>
      </c>
      <c r="Q16" s="25"/>
      <c r="R16" s="25" t="s">
        <v>54</v>
      </c>
      <c r="S16" s="26"/>
      <c r="T16" s="26"/>
    </row>
    <row r="17" spans="1:23" x14ac:dyDescent="0.25">
      <c r="A17" s="26"/>
      <c r="B17" s="25" t="s">
        <v>55</v>
      </c>
      <c r="C17" s="25"/>
      <c r="D17" s="25" t="s">
        <v>55</v>
      </c>
      <c r="E17" s="25"/>
      <c r="F17" s="25" t="s">
        <v>56</v>
      </c>
      <c r="G17" s="25"/>
      <c r="H17" s="25" t="s">
        <v>56</v>
      </c>
      <c r="I17" s="25"/>
      <c r="J17" s="25" t="s">
        <v>55</v>
      </c>
      <c r="K17" s="17"/>
      <c r="L17" s="25" t="s">
        <v>57</v>
      </c>
      <c r="M17" s="17"/>
      <c r="N17" s="25" t="s">
        <v>58</v>
      </c>
      <c r="O17" s="25"/>
      <c r="P17" s="25" t="s">
        <v>59</v>
      </c>
      <c r="Q17" s="25"/>
      <c r="R17" s="25" t="s">
        <v>57</v>
      </c>
      <c r="S17" s="26"/>
      <c r="T17" s="26"/>
    </row>
    <row r="18" spans="1:23" x14ac:dyDescent="0.25">
      <c r="A18" s="27" t="s">
        <v>60</v>
      </c>
      <c r="B18" s="28" t="s">
        <v>61</v>
      </c>
      <c r="C18" s="28"/>
      <c r="D18" s="28" t="s">
        <v>62</v>
      </c>
      <c r="E18" s="28"/>
      <c r="F18" s="28" t="s">
        <v>63</v>
      </c>
      <c r="G18" s="28"/>
      <c r="H18" s="28" t="s">
        <v>62</v>
      </c>
      <c r="I18" s="28"/>
      <c r="J18" s="28" t="s">
        <v>64</v>
      </c>
      <c r="K18" s="17"/>
      <c r="L18" s="28" t="s">
        <v>65</v>
      </c>
      <c r="M18" s="17"/>
      <c r="N18" s="28" t="s">
        <v>65</v>
      </c>
      <c r="O18" s="28"/>
      <c r="P18" s="28" t="s">
        <v>66</v>
      </c>
      <c r="Q18" s="28"/>
      <c r="R18" s="28" t="s">
        <v>67</v>
      </c>
      <c r="S18" s="27"/>
      <c r="T18" s="27"/>
    </row>
    <row r="19" spans="1:23" x14ac:dyDescent="0.25">
      <c r="B19" s="25" t="s">
        <v>68</v>
      </c>
      <c r="C19" s="17"/>
      <c r="D19" s="25" t="s">
        <v>68</v>
      </c>
      <c r="E19" s="17"/>
      <c r="F19" s="25" t="s">
        <v>68</v>
      </c>
      <c r="G19" s="17"/>
      <c r="H19" s="25" t="s">
        <v>68</v>
      </c>
      <c r="I19" s="17"/>
      <c r="J19" s="25" t="s">
        <v>68</v>
      </c>
      <c r="K19" s="17"/>
      <c r="L19" s="25" t="s">
        <v>68</v>
      </c>
      <c r="M19" s="17"/>
      <c r="N19" s="25" t="s">
        <v>68</v>
      </c>
      <c r="O19" s="17"/>
      <c r="P19" s="25" t="s">
        <v>68</v>
      </c>
      <c r="Q19" s="17"/>
      <c r="R19" s="25" t="s">
        <v>68</v>
      </c>
    </row>
    <row r="20" spans="1:23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T20" t="s">
        <v>135</v>
      </c>
      <c r="W20" t="s">
        <v>107</v>
      </c>
    </row>
    <row r="21" spans="1:23" x14ac:dyDescent="0.25">
      <c r="A21">
        <v>2016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0">
        <f>'Avg Age'!$E$277</f>
        <v>14007855.718325799</v>
      </c>
      <c r="M21" s="17"/>
      <c r="N21" s="17"/>
      <c r="O21" s="17"/>
      <c r="P21" s="17"/>
      <c r="Q21" s="17"/>
      <c r="R21" s="17">
        <v>1449565.3</v>
      </c>
      <c r="S21" s="70"/>
      <c r="T21" s="30">
        <v>649704.37120783806</v>
      </c>
      <c r="U21" t="s">
        <v>20</v>
      </c>
      <c r="W21" s="70">
        <f>+R21-T21</f>
        <v>799860.92879216198</v>
      </c>
    </row>
    <row r="22" spans="1:23" x14ac:dyDescent="0.25">
      <c r="A22">
        <f t="shared" ref="A22:A47" si="0">A21+1</f>
        <v>2017</v>
      </c>
      <c r="B22" s="17">
        <f t="shared" ref="B22:B25" si="1">L21*$P$10</f>
        <v>210117.83577488697</v>
      </c>
      <c r="C22" s="17"/>
      <c r="D22" s="17">
        <f t="shared" ref="D22:D25" si="2">B22*$P$2</f>
        <v>-10505.891788744349</v>
      </c>
      <c r="E22" s="17"/>
      <c r="F22" s="17"/>
      <c r="G22" s="17"/>
      <c r="H22" s="17"/>
      <c r="I22" s="17"/>
      <c r="J22" s="17">
        <f>B22*$P$11</f>
        <v>0</v>
      </c>
      <c r="K22" s="17"/>
      <c r="L22" s="17">
        <f t="shared" ref="L22:L25" si="3">L21+J22-B22-F22</f>
        <v>13797737.882550912</v>
      </c>
      <c r="M22" s="17"/>
      <c r="N22" s="17">
        <f t="shared" ref="N22:N25" si="4">(L21+L22)/2</f>
        <v>13902796.800438356</v>
      </c>
      <c r="O22" s="17"/>
      <c r="P22" s="17">
        <f t="shared" ref="P22:P25" si="5">N22*$P$12</f>
        <v>587919.90944221849</v>
      </c>
      <c r="Q22" s="17"/>
      <c r="R22" s="17">
        <f t="shared" ref="R22:R25" si="6">R21+P22-B22-F22+D22+H22</f>
        <v>1816861.4818785873</v>
      </c>
    </row>
    <row r="23" spans="1:23" x14ac:dyDescent="0.25">
      <c r="A23">
        <f t="shared" si="0"/>
        <v>2018</v>
      </c>
      <c r="B23" s="17">
        <f t="shared" si="1"/>
        <v>206966.06823826366</v>
      </c>
      <c r="C23" s="17"/>
      <c r="D23" s="17">
        <f t="shared" si="2"/>
        <v>-10348.303411913184</v>
      </c>
      <c r="E23" s="17"/>
      <c r="F23" s="17"/>
      <c r="G23" s="17"/>
      <c r="H23" s="17"/>
      <c r="I23" s="17"/>
      <c r="J23" s="17">
        <f>B23*$P$11</f>
        <v>0</v>
      </c>
      <c r="K23" s="17"/>
      <c r="L23" s="17">
        <f t="shared" si="3"/>
        <v>13590771.814312648</v>
      </c>
      <c r="M23" s="17"/>
      <c r="N23" s="17">
        <f t="shared" si="4"/>
        <v>13694254.848431781</v>
      </c>
      <c r="O23" s="17"/>
      <c r="P23" s="17">
        <f t="shared" si="5"/>
        <v>579101.11080058524</v>
      </c>
      <c r="Q23" s="17"/>
      <c r="R23" s="17">
        <f t="shared" si="6"/>
        <v>2178648.2210289962</v>
      </c>
      <c r="U23">
        <v>2730555.9299999997</v>
      </c>
    </row>
    <row r="24" spans="1:23" x14ac:dyDescent="0.25">
      <c r="A24">
        <f t="shared" si="0"/>
        <v>2019</v>
      </c>
      <c r="B24" s="17">
        <f t="shared" si="1"/>
        <v>203861.57721468972</v>
      </c>
      <c r="C24" s="17"/>
      <c r="D24" s="17">
        <f t="shared" si="2"/>
        <v>-10193.078860734488</v>
      </c>
      <c r="E24" s="17"/>
      <c r="F24" s="17"/>
      <c r="G24" s="17"/>
      <c r="H24" s="17"/>
      <c r="I24" s="17"/>
      <c r="J24" s="17">
        <f>B24*$P$11</f>
        <v>0</v>
      </c>
      <c r="K24" s="17"/>
      <c r="L24" s="17">
        <f t="shared" si="3"/>
        <v>13386910.237097958</v>
      </c>
      <c r="M24" s="17"/>
      <c r="N24" s="17">
        <f t="shared" si="4"/>
        <v>13488841.025705304</v>
      </c>
      <c r="O24" s="17"/>
      <c r="P24" s="17">
        <f t="shared" si="5"/>
        <v>570414.59413857653</v>
      </c>
      <c r="Q24" s="17"/>
      <c r="R24" s="17">
        <f t="shared" si="6"/>
        <v>2535008.1590921483</v>
      </c>
      <c r="U24">
        <v>-569072.22</v>
      </c>
    </row>
    <row r="25" spans="1:23" x14ac:dyDescent="0.25">
      <c r="A25">
        <f t="shared" si="0"/>
        <v>2020</v>
      </c>
      <c r="B25" s="17">
        <f t="shared" si="1"/>
        <v>200803.65355646936</v>
      </c>
      <c r="C25" s="17"/>
      <c r="D25" s="17">
        <f t="shared" si="2"/>
        <v>-10040.182677823468</v>
      </c>
      <c r="E25" s="17"/>
      <c r="F25" s="17"/>
      <c r="G25" s="17"/>
      <c r="H25" s="17"/>
      <c r="I25" s="17"/>
      <c r="J25" s="17">
        <f>B25*$P$11</f>
        <v>0</v>
      </c>
      <c r="K25" s="17"/>
      <c r="L25" s="17">
        <f t="shared" si="3"/>
        <v>13186106.583541488</v>
      </c>
      <c r="M25" s="17"/>
      <c r="N25" s="17">
        <f t="shared" si="4"/>
        <v>13286508.410319723</v>
      </c>
      <c r="O25" s="17"/>
      <c r="P25" s="17">
        <f t="shared" si="5"/>
        <v>561858.37522649777</v>
      </c>
      <c r="Q25" s="17"/>
      <c r="R25" s="17">
        <f t="shared" si="6"/>
        <v>2886022.698084353</v>
      </c>
      <c r="U25">
        <v>2430264.7199999951</v>
      </c>
    </row>
    <row r="26" spans="1:23" x14ac:dyDescent="0.25">
      <c r="A26">
        <f t="shared" si="0"/>
        <v>2021</v>
      </c>
      <c r="B26" s="17">
        <f t="shared" ref="B26:B44" si="7">L25*$P$10</f>
        <v>197791.59875312232</v>
      </c>
      <c r="C26" s="17"/>
      <c r="D26" s="17">
        <f t="shared" ref="D26:D44" si="8">B26*$P$2</f>
        <v>-9889.5799376561172</v>
      </c>
      <c r="E26" s="17"/>
      <c r="F26" s="17"/>
      <c r="G26" s="17"/>
      <c r="H26" s="17"/>
      <c r="I26" s="17"/>
      <c r="J26" s="17">
        <f t="shared" ref="J26:J44" si="9">B26*$P$11</f>
        <v>0</v>
      </c>
      <c r="K26" s="17"/>
      <c r="L26" s="17">
        <f t="shared" ref="L26:L44" si="10">L25+J26-B26-F26</f>
        <v>12988314.984788366</v>
      </c>
      <c r="M26" s="17"/>
      <c r="N26" s="17">
        <f t="shared" ref="N26:N44" si="11">(L25+L26)/2</f>
        <v>13087210.784164928</v>
      </c>
      <c r="O26" s="17"/>
      <c r="P26" s="17">
        <f t="shared" ref="P26:P44" si="12">N26*$P$12</f>
        <v>553430.49959810032</v>
      </c>
      <c r="Q26" s="17"/>
      <c r="R26" s="17">
        <f t="shared" ref="R26:R44" si="13">R25+P26-B26-F26+D26+H26</f>
        <v>3231772.0189916752</v>
      </c>
      <c r="U26">
        <v>26301331.82</v>
      </c>
    </row>
    <row r="27" spans="1:23" x14ac:dyDescent="0.25">
      <c r="A27">
        <f t="shared" si="0"/>
        <v>2022</v>
      </c>
      <c r="B27" s="17">
        <f t="shared" si="7"/>
        <v>194824.72477182548</v>
      </c>
      <c r="C27" s="17"/>
      <c r="D27" s="17">
        <f t="shared" si="8"/>
        <v>-9741.2362385912747</v>
      </c>
      <c r="E27" s="17"/>
      <c r="F27" s="17"/>
      <c r="G27" s="17"/>
      <c r="H27" s="17"/>
      <c r="I27" s="17"/>
      <c r="J27" s="17">
        <f t="shared" si="9"/>
        <v>0</v>
      </c>
      <c r="K27" s="17"/>
      <c r="L27" s="17">
        <f t="shared" si="10"/>
        <v>12793490.26001654</v>
      </c>
      <c r="M27" s="17"/>
      <c r="N27" s="17">
        <f t="shared" si="11"/>
        <v>12890902.622402452</v>
      </c>
      <c r="O27" s="17"/>
      <c r="P27" s="17">
        <f t="shared" si="12"/>
        <v>545129.04210412875</v>
      </c>
      <c r="Q27" s="17"/>
      <c r="R27" s="17">
        <f t="shared" si="13"/>
        <v>3572335.100085387</v>
      </c>
      <c r="U27">
        <v>1449565.3</v>
      </c>
    </row>
    <row r="28" spans="1:23" x14ac:dyDescent="0.25">
      <c r="A28">
        <f t="shared" si="0"/>
        <v>2023</v>
      </c>
      <c r="B28" s="17">
        <f t="shared" si="7"/>
        <v>191902.3539002481</v>
      </c>
      <c r="C28" s="17"/>
      <c r="D28" s="17">
        <f t="shared" si="8"/>
        <v>-9595.1176950124045</v>
      </c>
      <c r="E28" s="17"/>
      <c r="F28" s="17"/>
      <c r="G28" s="17"/>
      <c r="H28" s="17"/>
      <c r="I28" s="17"/>
      <c r="J28" s="17">
        <f t="shared" si="9"/>
        <v>0</v>
      </c>
      <c r="K28" s="17"/>
      <c r="L28" s="17">
        <f t="shared" si="10"/>
        <v>12601587.906116292</v>
      </c>
      <c r="M28" s="17"/>
      <c r="N28" s="17">
        <f t="shared" si="11"/>
        <v>12697539.083066415</v>
      </c>
      <c r="O28" s="17"/>
      <c r="P28" s="17">
        <f t="shared" si="12"/>
        <v>536952.10647256684</v>
      </c>
      <c r="Q28" s="17"/>
      <c r="R28" s="17">
        <f t="shared" si="13"/>
        <v>3907789.7349626929</v>
      </c>
    </row>
    <row r="29" spans="1:23" x14ac:dyDescent="0.25">
      <c r="A29">
        <f t="shared" si="0"/>
        <v>2024</v>
      </c>
      <c r="B29" s="17">
        <f t="shared" si="7"/>
        <v>189023.81859174438</v>
      </c>
      <c r="C29" s="17"/>
      <c r="D29" s="17">
        <f t="shared" si="8"/>
        <v>-9451.1909295872192</v>
      </c>
      <c r="E29" s="17"/>
      <c r="F29" s="17"/>
      <c r="G29" s="17"/>
      <c r="H29" s="17"/>
      <c r="I29" s="17"/>
      <c r="J29" s="17">
        <f t="shared" si="9"/>
        <v>0</v>
      </c>
      <c r="K29" s="17"/>
      <c r="L29" s="17">
        <f t="shared" si="10"/>
        <v>12412564.087524548</v>
      </c>
      <c r="M29" s="17"/>
      <c r="N29" s="17">
        <f t="shared" si="11"/>
        <v>12507075.99682042</v>
      </c>
      <c r="O29" s="17"/>
      <c r="P29" s="17">
        <f t="shared" si="12"/>
        <v>528897.8248754784</v>
      </c>
      <c r="Q29" s="17"/>
      <c r="R29" s="17">
        <f t="shared" si="13"/>
        <v>4238212.5503168395</v>
      </c>
    </row>
    <row r="30" spans="1:23" x14ac:dyDescent="0.25">
      <c r="A30">
        <f t="shared" si="0"/>
        <v>2025</v>
      </c>
      <c r="B30" s="17">
        <f t="shared" si="7"/>
        <v>186188.46131286822</v>
      </c>
      <c r="C30" s="17"/>
      <c r="D30" s="17">
        <f t="shared" si="8"/>
        <v>-9309.423065643412</v>
      </c>
      <c r="E30" s="17"/>
      <c r="F30" s="17"/>
      <c r="G30" s="17"/>
      <c r="H30" s="17"/>
      <c r="I30" s="17"/>
      <c r="J30" s="17">
        <f t="shared" si="9"/>
        <v>0</v>
      </c>
      <c r="K30" s="17"/>
      <c r="L30" s="17">
        <f t="shared" si="10"/>
        <v>12226375.62621168</v>
      </c>
      <c r="M30" s="17"/>
      <c r="N30" s="17">
        <f t="shared" si="11"/>
        <v>12319469.856868114</v>
      </c>
      <c r="O30" s="17"/>
      <c r="P30" s="17">
        <f t="shared" si="12"/>
        <v>520964.35750234622</v>
      </c>
      <c r="Q30" s="17"/>
      <c r="R30" s="17">
        <f t="shared" si="13"/>
        <v>4563679.023440673</v>
      </c>
    </row>
    <row r="31" spans="1:23" x14ac:dyDescent="0.25">
      <c r="A31">
        <f t="shared" si="0"/>
        <v>2026</v>
      </c>
      <c r="B31" s="17">
        <f t="shared" si="7"/>
        <v>183395.63439317519</v>
      </c>
      <c r="C31" s="17"/>
      <c r="D31" s="17">
        <f t="shared" si="8"/>
        <v>-9169.7817196587603</v>
      </c>
      <c r="E31" s="17"/>
      <c r="F31" s="17"/>
      <c r="G31" s="17"/>
      <c r="H31" s="17"/>
      <c r="I31" s="17"/>
      <c r="J31" s="17">
        <f t="shared" si="9"/>
        <v>0</v>
      </c>
      <c r="K31" s="17"/>
      <c r="L31" s="17">
        <f t="shared" si="10"/>
        <v>12042979.991818504</v>
      </c>
      <c r="M31" s="17"/>
      <c r="N31" s="17">
        <f t="shared" si="11"/>
        <v>12134677.809015092</v>
      </c>
      <c r="O31" s="17"/>
      <c r="P31" s="17">
        <f t="shared" si="12"/>
        <v>513149.89213981095</v>
      </c>
      <c r="Q31" s="17"/>
      <c r="R31" s="17">
        <f t="shared" si="13"/>
        <v>4884263.4994676504</v>
      </c>
    </row>
    <row r="32" spans="1:23" x14ac:dyDescent="0.25">
      <c r="A32">
        <f t="shared" si="0"/>
        <v>2027</v>
      </c>
      <c r="B32" s="17">
        <f t="shared" si="7"/>
        <v>180644.69987727757</v>
      </c>
      <c r="C32" s="17"/>
      <c r="D32" s="17">
        <f t="shared" si="8"/>
        <v>-9032.2349938638781</v>
      </c>
      <c r="E32" s="17"/>
      <c r="F32" s="17"/>
      <c r="G32" s="17"/>
      <c r="H32" s="17"/>
      <c r="I32" s="17"/>
      <c r="J32" s="17">
        <f t="shared" si="9"/>
        <v>0</v>
      </c>
      <c r="K32" s="17"/>
      <c r="L32" s="17">
        <f t="shared" si="10"/>
        <v>11862335.291941227</v>
      </c>
      <c r="M32" s="17"/>
      <c r="N32" s="17">
        <f t="shared" si="11"/>
        <v>11952657.641879866</v>
      </c>
      <c r="O32" s="17"/>
      <c r="P32" s="17">
        <f t="shared" si="12"/>
        <v>505452.64375771384</v>
      </c>
      <c r="Q32" s="17"/>
      <c r="R32" s="17">
        <f t="shared" si="13"/>
        <v>5200039.2083542226</v>
      </c>
    </row>
    <row r="33" spans="1:18" x14ac:dyDescent="0.25">
      <c r="A33">
        <f t="shared" si="0"/>
        <v>2028</v>
      </c>
      <c r="B33" s="17">
        <f t="shared" si="7"/>
        <v>177935.02937911841</v>
      </c>
      <c r="C33" s="17"/>
      <c r="D33" s="17">
        <f t="shared" si="8"/>
        <v>-8896.7514689559212</v>
      </c>
      <c r="E33" s="17"/>
      <c r="F33" s="17"/>
      <c r="G33" s="17"/>
      <c r="H33" s="17"/>
      <c r="I33" s="17"/>
      <c r="J33" s="17">
        <f t="shared" si="9"/>
        <v>0</v>
      </c>
      <c r="K33" s="17"/>
      <c r="L33" s="17">
        <f t="shared" si="10"/>
        <v>11684400.262562109</v>
      </c>
      <c r="M33" s="17"/>
      <c r="N33" s="17">
        <f t="shared" si="11"/>
        <v>11773367.777251668</v>
      </c>
      <c r="O33" s="17"/>
      <c r="P33" s="17">
        <f t="shared" si="12"/>
        <v>497870.85410134814</v>
      </c>
      <c r="Q33" s="17"/>
      <c r="R33" s="17">
        <f t="shared" si="13"/>
        <v>5511078.2816074966</v>
      </c>
    </row>
    <row r="34" spans="1:18" x14ac:dyDescent="0.25">
      <c r="A34">
        <f t="shared" si="0"/>
        <v>2029</v>
      </c>
      <c r="B34" s="17">
        <f t="shared" si="7"/>
        <v>175266.00393843162</v>
      </c>
      <c r="C34" s="17"/>
      <c r="D34" s="17">
        <f t="shared" si="8"/>
        <v>-8763.300196921582</v>
      </c>
      <c r="E34" s="17"/>
      <c r="F34" s="17"/>
      <c r="G34" s="17"/>
      <c r="H34" s="17"/>
      <c r="I34" s="17"/>
      <c r="J34" s="17">
        <f t="shared" si="9"/>
        <v>0</v>
      </c>
      <c r="K34" s="17"/>
      <c r="L34" s="17">
        <f t="shared" si="10"/>
        <v>11509134.258623678</v>
      </c>
      <c r="M34" s="17"/>
      <c r="N34" s="17">
        <f t="shared" si="11"/>
        <v>11596767.260592893</v>
      </c>
      <c r="O34" s="17"/>
      <c r="P34" s="17">
        <f t="shared" si="12"/>
        <v>490402.7912898279</v>
      </c>
      <c r="Q34" s="17"/>
      <c r="R34" s="17">
        <f t="shared" si="13"/>
        <v>5817451.768761971</v>
      </c>
    </row>
    <row r="35" spans="1:18" x14ac:dyDescent="0.25">
      <c r="A35">
        <f t="shared" si="0"/>
        <v>2030</v>
      </c>
      <c r="B35" s="17">
        <f t="shared" si="7"/>
        <v>172637.01387935516</v>
      </c>
      <c r="C35" s="17"/>
      <c r="D35" s="17">
        <f t="shared" si="8"/>
        <v>-8631.8506939677591</v>
      </c>
      <c r="E35" s="17"/>
      <c r="F35" s="17"/>
      <c r="G35" s="17"/>
      <c r="H35" s="17"/>
      <c r="I35" s="17"/>
      <c r="J35" s="17">
        <f t="shared" si="9"/>
        <v>0</v>
      </c>
      <c r="K35" s="17"/>
      <c r="L35" s="17">
        <f t="shared" si="10"/>
        <v>11336497.244744323</v>
      </c>
      <c r="M35" s="17"/>
      <c r="N35" s="17">
        <f t="shared" si="11"/>
        <v>11422815.751684001</v>
      </c>
      <c r="O35" s="17"/>
      <c r="P35" s="17">
        <f t="shared" si="12"/>
        <v>483046.74942048051</v>
      </c>
      <c r="Q35" s="17"/>
      <c r="R35" s="17">
        <f t="shared" si="13"/>
        <v>6119229.6536091287</v>
      </c>
    </row>
    <row r="36" spans="1:18" x14ac:dyDescent="0.25">
      <c r="A36">
        <f t="shared" si="0"/>
        <v>2031</v>
      </c>
      <c r="B36" s="17">
        <f t="shared" si="7"/>
        <v>170047.45867116484</v>
      </c>
      <c r="C36" s="17"/>
      <c r="D36" s="17">
        <f t="shared" si="8"/>
        <v>-8502.3729335582429</v>
      </c>
      <c r="E36" s="17"/>
      <c r="F36" s="17"/>
      <c r="G36" s="17"/>
      <c r="H36" s="17"/>
      <c r="I36" s="17"/>
      <c r="J36" s="17">
        <f t="shared" si="9"/>
        <v>0</v>
      </c>
      <c r="K36" s="17"/>
      <c r="L36" s="17">
        <f t="shared" si="10"/>
        <v>11166449.786073158</v>
      </c>
      <c r="M36" s="17"/>
      <c r="N36" s="17">
        <f t="shared" si="11"/>
        <v>11251473.515408739</v>
      </c>
      <c r="O36" s="17"/>
      <c r="P36" s="17">
        <f t="shared" si="12"/>
        <v>475801.04817917326</v>
      </c>
      <c r="Q36" s="17"/>
      <c r="R36" s="17">
        <f t="shared" si="13"/>
        <v>6416480.8701835787</v>
      </c>
    </row>
    <row r="37" spans="1:18" x14ac:dyDescent="0.25">
      <c r="A37">
        <f t="shared" si="0"/>
        <v>2032</v>
      </c>
      <c r="B37" s="17">
        <f t="shared" si="7"/>
        <v>167496.74679109736</v>
      </c>
      <c r="C37" s="17"/>
      <c r="D37" s="17">
        <f t="shared" si="8"/>
        <v>-8374.8373395548679</v>
      </c>
      <c r="E37" s="17"/>
      <c r="F37" s="17"/>
      <c r="G37" s="17"/>
      <c r="H37" s="17"/>
      <c r="I37" s="17"/>
      <c r="J37" s="17">
        <f t="shared" si="9"/>
        <v>0</v>
      </c>
      <c r="K37" s="17"/>
      <c r="L37" s="17">
        <f t="shared" si="10"/>
        <v>10998953.039282059</v>
      </c>
      <c r="M37" s="17"/>
      <c r="N37" s="17">
        <f t="shared" si="11"/>
        <v>11082701.412677608</v>
      </c>
      <c r="O37" s="17"/>
      <c r="P37" s="17">
        <f t="shared" si="12"/>
        <v>468664.03245648567</v>
      </c>
      <c r="Q37" s="17"/>
      <c r="R37" s="17">
        <f t="shared" si="13"/>
        <v>6709273.318509412</v>
      </c>
    </row>
    <row r="38" spans="1:18" x14ac:dyDescent="0.25">
      <c r="A38">
        <f t="shared" si="0"/>
        <v>2033</v>
      </c>
      <c r="B38" s="17">
        <f t="shared" si="7"/>
        <v>164984.2955892309</v>
      </c>
      <c r="C38" s="17"/>
      <c r="D38" s="17">
        <f t="shared" si="8"/>
        <v>-8249.2147794615448</v>
      </c>
      <c r="E38" s="17"/>
      <c r="F38" s="17"/>
      <c r="G38" s="17"/>
      <c r="H38" s="17"/>
      <c r="I38" s="17"/>
      <c r="J38" s="17">
        <f t="shared" si="9"/>
        <v>0</v>
      </c>
      <c r="K38" s="17"/>
      <c r="L38" s="17">
        <f t="shared" si="10"/>
        <v>10833968.743692828</v>
      </c>
      <c r="M38" s="17"/>
      <c r="N38" s="17">
        <f t="shared" si="11"/>
        <v>10916460.891487444</v>
      </c>
      <c r="O38" s="17"/>
      <c r="P38" s="17">
        <f t="shared" si="12"/>
        <v>461634.07196963835</v>
      </c>
      <c r="Q38" s="17"/>
      <c r="R38" s="17">
        <f t="shared" si="13"/>
        <v>6997673.8801103579</v>
      </c>
    </row>
    <row r="39" spans="1:18" x14ac:dyDescent="0.25">
      <c r="A39">
        <f t="shared" si="0"/>
        <v>2034</v>
      </c>
      <c r="B39" s="17">
        <f t="shared" si="7"/>
        <v>162509.53115539241</v>
      </c>
      <c r="C39" s="17"/>
      <c r="D39" s="17">
        <f t="shared" si="8"/>
        <v>-8125.4765577696207</v>
      </c>
      <c r="E39" s="17"/>
      <c r="F39" s="17"/>
      <c r="G39" s="17"/>
      <c r="H39" s="17"/>
      <c r="I39" s="17"/>
      <c r="J39" s="17">
        <f t="shared" si="9"/>
        <v>0</v>
      </c>
      <c r="K39" s="17"/>
      <c r="L39" s="17">
        <f t="shared" si="10"/>
        <v>10671459.212537436</v>
      </c>
      <c r="M39" s="17"/>
      <c r="N39" s="17">
        <f t="shared" si="11"/>
        <v>10752713.978115132</v>
      </c>
      <c r="O39" s="17"/>
      <c r="P39" s="17">
        <f t="shared" si="12"/>
        <v>454709.5608900938</v>
      </c>
      <c r="Q39" s="17"/>
      <c r="R39" s="17">
        <f t="shared" si="13"/>
        <v>7281748.433287289</v>
      </c>
    </row>
    <row r="40" spans="1:18" x14ac:dyDescent="0.25">
      <c r="A40">
        <f t="shared" si="0"/>
        <v>2035</v>
      </c>
      <c r="B40" s="17">
        <f t="shared" si="7"/>
        <v>160071.88818806154</v>
      </c>
      <c r="C40" s="17"/>
      <c r="D40" s="17">
        <f t="shared" si="8"/>
        <v>-8003.5944094030774</v>
      </c>
      <c r="E40" s="17"/>
      <c r="F40" s="17"/>
      <c r="G40" s="17"/>
      <c r="H40" s="17"/>
      <c r="I40" s="17"/>
      <c r="J40" s="17">
        <f t="shared" si="9"/>
        <v>0</v>
      </c>
      <c r="K40" s="17"/>
      <c r="L40" s="17">
        <f t="shared" si="10"/>
        <v>10511387.324349374</v>
      </c>
      <c r="M40" s="17"/>
      <c r="N40" s="17">
        <f t="shared" si="11"/>
        <v>10591423.268443406</v>
      </c>
      <c r="O40" s="17"/>
      <c r="P40" s="17">
        <f t="shared" si="12"/>
        <v>447888.91747674241</v>
      </c>
      <c r="Q40" s="17"/>
      <c r="R40" s="17">
        <f t="shared" si="13"/>
        <v>7561561.8681665668</v>
      </c>
    </row>
    <row r="41" spans="1:18" x14ac:dyDescent="0.25">
      <c r="A41">
        <f t="shared" si="0"/>
        <v>2036</v>
      </c>
      <c r="B41" s="17">
        <f t="shared" si="7"/>
        <v>157670.80986524059</v>
      </c>
      <c r="C41" s="17"/>
      <c r="D41" s="17">
        <f t="shared" si="8"/>
        <v>-7883.5404932620295</v>
      </c>
      <c r="E41" s="17"/>
      <c r="F41" s="17"/>
      <c r="G41" s="17"/>
      <c r="H41" s="17"/>
      <c r="I41" s="17"/>
      <c r="J41" s="17">
        <f t="shared" si="9"/>
        <v>0</v>
      </c>
      <c r="K41" s="17"/>
      <c r="L41" s="17">
        <f t="shared" si="10"/>
        <v>10353716.514484134</v>
      </c>
      <c r="M41" s="17"/>
      <c r="N41" s="17">
        <f t="shared" si="11"/>
        <v>10432551.919416754</v>
      </c>
      <c r="O41" s="17"/>
      <c r="P41" s="17">
        <f t="shared" si="12"/>
        <v>441170.58371459122</v>
      </c>
      <c r="Q41" s="17"/>
      <c r="R41" s="17">
        <f t="shared" si="13"/>
        <v>7837178.1015226552</v>
      </c>
    </row>
    <row r="42" spans="1:18" x14ac:dyDescent="0.25">
      <c r="A42">
        <f t="shared" si="0"/>
        <v>2037</v>
      </c>
      <c r="B42" s="17">
        <f t="shared" si="7"/>
        <v>155305.74771726198</v>
      </c>
      <c r="C42" s="17"/>
      <c r="D42" s="17">
        <f t="shared" si="8"/>
        <v>-7765.2873858630992</v>
      </c>
      <c r="E42" s="17"/>
      <c r="F42" s="17"/>
      <c r="G42" s="17"/>
      <c r="H42" s="17"/>
      <c r="I42" s="17"/>
      <c r="J42" s="17">
        <f t="shared" si="9"/>
        <v>0</v>
      </c>
      <c r="K42" s="17"/>
      <c r="L42" s="17">
        <f t="shared" si="10"/>
        <v>10198410.766766872</v>
      </c>
      <c r="M42" s="17"/>
      <c r="N42" s="17">
        <f t="shared" si="11"/>
        <v>10276063.640625503</v>
      </c>
      <c r="O42" s="17"/>
      <c r="P42" s="17">
        <f t="shared" si="12"/>
        <v>434553.02495887241</v>
      </c>
      <c r="Q42" s="17"/>
      <c r="R42" s="17">
        <f t="shared" si="13"/>
        <v>8108660.091378402</v>
      </c>
    </row>
    <row r="43" spans="1:18" x14ac:dyDescent="0.25">
      <c r="A43">
        <f t="shared" si="0"/>
        <v>2038</v>
      </c>
      <c r="B43" s="17">
        <f t="shared" si="7"/>
        <v>152976.16150150308</v>
      </c>
      <c r="C43" s="17"/>
      <c r="D43" s="17">
        <f t="shared" si="8"/>
        <v>-7648.8080750751542</v>
      </c>
      <c r="E43" s="17"/>
      <c r="F43" s="17"/>
      <c r="G43" s="17"/>
      <c r="H43" s="17"/>
      <c r="I43" s="17"/>
      <c r="J43" s="17">
        <f t="shared" si="9"/>
        <v>0</v>
      </c>
      <c r="K43" s="17"/>
      <c r="L43" s="17">
        <f t="shared" si="10"/>
        <v>10045434.60526537</v>
      </c>
      <c r="M43" s="17"/>
      <c r="N43" s="17">
        <f t="shared" si="11"/>
        <v>10121922.68601612</v>
      </c>
      <c r="O43" s="17"/>
      <c r="P43" s="17">
        <f t="shared" si="12"/>
        <v>428034.72958448931</v>
      </c>
      <c r="Q43" s="17"/>
      <c r="R43" s="17">
        <f t="shared" si="13"/>
        <v>8376069.8513863133</v>
      </c>
    </row>
    <row r="44" spans="1:18" x14ac:dyDescent="0.25">
      <c r="A44">
        <f t="shared" si="0"/>
        <v>2039</v>
      </c>
      <c r="B44" s="17">
        <f t="shared" si="7"/>
        <v>150681.51907898055</v>
      </c>
      <c r="C44" s="17"/>
      <c r="D44" s="17">
        <f t="shared" si="8"/>
        <v>-7534.0759539490282</v>
      </c>
      <c r="E44" s="17"/>
      <c r="F44" s="17"/>
      <c r="G44" s="17"/>
      <c r="H44" s="17"/>
      <c r="I44" s="17"/>
      <c r="J44" s="17">
        <f t="shared" si="9"/>
        <v>0</v>
      </c>
      <c r="K44" s="17"/>
      <c r="L44" s="17">
        <f t="shared" si="10"/>
        <v>9894753.0861863885</v>
      </c>
      <c r="M44" s="17"/>
      <c r="N44" s="17">
        <f t="shared" si="11"/>
        <v>9970093.8457258791</v>
      </c>
      <c r="O44" s="17"/>
      <c r="P44" s="17">
        <f t="shared" si="12"/>
        <v>421614.20864072198</v>
      </c>
      <c r="Q44" s="17"/>
      <c r="R44" s="17">
        <f t="shared" si="13"/>
        <v>8639468.4649941046</v>
      </c>
    </row>
    <row r="45" spans="1:18" x14ac:dyDescent="0.25">
      <c r="A45">
        <f t="shared" si="0"/>
        <v>2040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>
        <f t="shared" ref="L45:L47" si="14">L44+J45-B45-F45</f>
        <v>9894753.0861863885</v>
      </c>
      <c r="M45" s="17"/>
      <c r="N45" s="17">
        <f t="shared" ref="N45:N46" si="15">(L44+L45)/2</f>
        <v>9894753.0861863885</v>
      </c>
      <c r="O45" s="17"/>
      <c r="P45" s="17">
        <f t="shared" ref="P45:P47" si="16">N45*$P$12</f>
        <v>418428.20706409181</v>
      </c>
      <c r="Q45" s="17"/>
      <c r="R45" s="17">
        <f t="shared" ref="R45:R47" si="17">R44+P45-B45-F45+D45+H45</f>
        <v>9057896.6720581967</v>
      </c>
    </row>
    <row r="46" spans="1:18" x14ac:dyDescent="0.25">
      <c r="A46">
        <f t="shared" si="0"/>
        <v>2041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>
        <f t="shared" si="14"/>
        <v>9894753.0861863885</v>
      </c>
      <c r="M46" s="17"/>
      <c r="N46" s="17">
        <f t="shared" si="15"/>
        <v>9894753.0861863885</v>
      </c>
      <c r="O46" s="17"/>
      <c r="P46" s="17">
        <f t="shared" si="16"/>
        <v>418428.20706409181</v>
      </c>
      <c r="Q46" s="17"/>
      <c r="R46" s="17">
        <f t="shared" si="17"/>
        <v>9476324.8791222889</v>
      </c>
    </row>
    <row r="47" spans="1:18" x14ac:dyDescent="0.25">
      <c r="A47">
        <f t="shared" si="0"/>
        <v>2042</v>
      </c>
      <c r="B47" s="17"/>
      <c r="C47" s="17"/>
      <c r="D47" s="17"/>
      <c r="E47" s="17"/>
      <c r="F47" s="17">
        <f>+L46</f>
        <v>9894753.0861863885</v>
      </c>
      <c r="G47" s="17"/>
      <c r="H47" s="17">
        <f>+P3*F47</f>
        <v>0</v>
      </c>
      <c r="I47" s="17"/>
      <c r="J47" s="17"/>
      <c r="K47" s="17"/>
      <c r="L47" s="17">
        <f t="shared" si="14"/>
        <v>0</v>
      </c>
      <c r="M47" s="17"/>
      <c r="N47" s="17">
        <f>+F47</f>
        <v>9894753.0861863885</v>
      </c>
      <c r="O47" s="17"/>
      <c r="P47" s="17">
        <f t="shared" si="16"/>
        <v>418428.20706409181</v>
      </c>
      <c r="Q47" s="17"/>
      <c r="R47" s="17">
        <f t="shared" si="17"/>
        <v>-7.4505805969238281E-9</v>
      </c>
    </row>
    <row r="48" spans="1:18" x14ac:dyDescent="0.2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1:18" x14ac:dyDescent="0.25">
      <c r="A49" s="26" t="s">
        <v>69</v>
      </c>
      <c r="B49" s="31">
        <f>SUM(B22:B47)</f>
        <v>4113102.632139409</v>
      </c>
      <c r="C49" s="31">
        <f>SUM(C22:C47)</f>
        <v>0</v>
      </c>
      <c r="D49" s="31">
        <f>SUM(D22:D47)</f>
        <v>-205655.13160697048</v>
      </c>
      <c r="E49" s="17"/>
      <c r="F49" s="31">
        <f>SUM(F22:F47)</f>
        <v>9894753.0861863885</v>
      </c>
      <c r="G49" s="17"/>
      <c r="H49" s="31">
        <f>SUM(H22:H47)</f>
        <v>0</v>
      </c>
      <c r="I49" s="17"/>
      <c r="J49" s="31">
        <f>SUM(J22:J47)</f>
        <v>0</v>
      </c>
      <c r="K49" s="17"/>
      <c r="L49" s="17"/>
      <c r="M49" s="17"/>
      <c r="N49" s="31">
        <f>SUM(N22:N47)</f>
        <v>301834550.08511686</v>
      </c>
      <c r="O49" s="17"/>
      <c r="P49" s="17"/>
      <c r="Q49" s="17"/>
      <c r="R49" s="17"/>
    </row>
    <row r="50" spans="1:18" x14ac:dyDescent="0.25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1:18" x14ac:dyDescent="0.25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1:18" x14ac:dyDescent="0.25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</row>
    <row r="53" spans="1:18" x14ac:dyDescent="0.25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</row>
    <row r="54" spans="1:18" x14ac:dyDescent="0.25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</row>
    <row r="55" spans="1:18" x14ac:dyDescent="0.25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</row>
    <row r="56" spans="1:18" x14ac:dyDescent="0.25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</row>
    <row r="57" spans="1:18" x14ac:dyDescent="0.25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</row>
  </sheetData>
  <mergeCells count="1">
    <mergeCell ref="B4:E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topLeftCell="A4" workbookViewId="0">
      <selection activeCell="X23" sqref="X23"/>
    </sheetView>
  </sheetViews>
  <sheetFormatPr defaultRowHeight="15" x14ac:dyDescent="0.25"/>
  <cols>
    <col min="3" max="3" width="2.140625" customWidth="1"/>
    <col min="5" max="5" width="0.5703125" customWidth="1"/>
    <col min="6" max="6" width="14.85546875" customWidth="1"/>
    <col min="7" max="7" width="1.28515625" customWidth="1"/>
    <col min="8" max="8" width="12.28515625" customWidth="1"/>
    <col min="9" max="9" width="3" customWidth="1"/>
    <col min="11" max="11" width="1.5703125" customWidth="1"/>
    <col min="12" max="12" width="17.7109375" customWidth="1"/>
    <col min="13" max="13" width="1.28515625" customWidth="1"/>
    <col min="14" max="14" width="12.42578125" customWidth="1"/>
    <col min="15" max="15" width="2" customWidth="1"/>
    <col min="17" max="17" width="2.5703125" customWidth="1"/>
    <col min="18" max="18" width="12.5703125" customWidth="1"/>
    <col min="19" max="19" width="11.28515625" bestFit="1" customWidth="1"/>
    <col min="20" max="20" width="14" customWidth="1"/>
    <col min="23" max="23" width="11.5703125" bestFit="1" customWidth="1"/>
  </cols>
  <sheetData>
    <row r="1" spans="1:20" x14ac:dyDescent="0.25">
      <c r="B1" s="16" t="s">
        <v>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20" x14ac:dyDescent="0.25">
      <c r="B2" s="18" t="s">
        <v>71</v>
      </c>
      <c r="C2" s="17"/>
      <c r="D2" s="17"/>
      <c r="E2" s="17"/>
      <c r="F2" s="17"/>
      <c r="G2" s="17"/>
      <c r="H2" s="17"/>
      <c r="I2" s="17"/>
      <c r="J2" s="17"/>
      <c r="K2" s="17"/>
      <c r="L2" s="16" t="s">
        <v>33</v>
      </c>
      <c r="M2" s="17"/>
      <c r="N2" s="17"/>
      <c r="O2" s="17"/>
      <c r="P2" s="19">
        <f>'IRR and Int Ret %'!$F$10</f>
        <v>-0.05</v>
      </c>
      <c r="Q2" s="17"/>
      <c r="R2" s="17"/>
    </row>
    <row r="3" spans="1:20" x14ac:dyDescent="0.25">
      <c r="B3" s="16" t="s">
        <v>83</v>
      </c>
      <c r="C3" s="17"/>
      <c r="D3" s="17"/>
      <c r="E3" s="17"/>
      <c r="F3" s="17"/>
      <c r="G3" s="17"/>
      <c r="H3" s="17"/>
      <c r="I3" s="17"/>
      <c r="J3" s="17"/>
      <c r="K3" s="17"/>
      <c r="L3" s="16" t="s">
        <v>34</v>
      </c>
      <c r="M3" s="17"/>
      <c r="N3" s="17"/>
      <c r="O3" s="17"/>
      <c r="P3" s="19">
        <v>0</v>
      </c>
      <c r="Q3" s="17"/>
      <c r="R3" s="17"/>
    </row>
    <row r="4" spans="1:20" x14ac:dyDescent="0.25">
      <c r="B4" s="89" t="s">
        <v>82</v>
      </c>
      <c r="C4" s="88"/>
      <c r="D4" s="88"/>
      <c r="E4" s="88"/>
      <c r="F4" s="17"/>
      <c r="G4" s="17"/>
      <c r="H4" s="17"/>
      <c r="I4" s="17"/>
      <c r="J4" s="17"/>
      <c r="K4" s="17"/>
      <c r="L4" s="16" t="s">
        <v>35</v>
      </c>
      <c r="M4" s="17"/>
      <c r="N4" s="17"/>
      <c r="O4" s="17"/>
      <c r="P4" s="19">
        <f>(D50+H50)/(B50+F50)</f>
        <v>-1.7074360150326953E-2</v>
      </c>
      <c r="Q4" s="17"/>
      <c r="R4" s="17"/>
    </row>
    <row r="5" spans="1:20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6" t="s">
        <v>36</v>
      </c>
      <c r="M5" s="17"/>
      <c r="N5" s="17"/>
      <c r="O5" s="17"/>
      <c r="P5" s="20">
        <f>'Avg Age'!$G$294</f>
        <v>1.5720384285204236</v>
      </c>
      <c r="Q5" s="17"/>
      <c r="R5" s="17"/>
    </row>
    <row r="6" spans="1:20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6" t="s">
        <v>37</v>
      </c>
      <c r="M6" s="17"/>
      <c r="N6" s="17"/>
      <c r="O6" s="17"/>
      <c r="P6" s="21">
        <f>N50/(L21+J50)</f>
        <v>20.776306067618176</v>
      </c>
      <c r="Q6" s="17"/>
      <c r="R6" s="17"/>
    </row>
    <row r="7" spans="1:20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6" t="s">
        <v>38</v>
      </c>
      <c r="M7" s="17"/>
      <c r="N7" s="17"/>
      <c r="O7" s="17"/>
      <c r="P7" s="21">
        <f>P5+P6</f>
        <v>22.348344496138601</v>
      </c>
      <c r="Q7" s="17"/>
      <c r="R7" s="17"/>
    </row>
    <row r="8" spans="1:20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6" t="s">
        <v>39</v>
      </c>
      <c r="M8" s="17"/>
      <c r="N8" s="17"/>
      <c r="O8" s="17"/>
      <c r="P8" s="19">
        <f>R21/L21</f>
        <v>-0.35413473512118582</v>
      </c>
      <c r="Q8" s="17"/>
      <c r="R8" s="17"/>
    </row>
    <row r="9" spans="1:20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6" t="s">
        <v>40</v>
      </c>
      <c r="M9" s="17"/>
      <c r="N9" s="17"/>
      <c r="O9" s="17"/>
      <c r="P9" s="17">
        <f>((P5/P7)*((1-P4))*L21)</f>
        <v>188888.87410269631</v>
      </c>
      <c r="Q9" s="17"/>
      <c r="R9" s="17"/>
    </row>
    <row r="10" spans="1:20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 t="s">
        <v>41</v>
      </c>
      <c r="M10" s="17"/>
      <c r="N10" s="17"/>
      <c r="O10" s="17"/>
      <c r="P10" s="22">
        <f>'IRR and Int Ret %'!$D$10</f>
        <v>1.7999999999999999E-2</v>
      </c>
      <c r="Q10" s="17"/>
      <c r="R10" s="17"/>
    </row>
    <row r="11" spans="1:20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 t="s">
        <v>42</v>
      </c>
      <c r="M11" s="17"/>
      <c r="N11" s="17"/>
      <c r="O11" s="17"/>
      <c r="P11" s="23">
        <v>0</v>
      </c>
      <c r="Q11" s="17"/>
      <c r="R11" s="17"/>
    </row>
    <row r="12" spans="1:20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 t="s">
        <v>43</v>
      </c>
      <c r="M12" s="17"/>
      <c r="N12" s="17"/>
      <c r="O12" s="17"/>
      <c r="P12" s="24">
        <f>(L21+J50-D50-H50-R21)/N50</f>
        <v>6.5998695379669584E-2</v>
      </c>
      <c r="Q12" s="17"/>
      <c r="R12" s="17"/>
    </row>
    <row r="13" spans="1:20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6" t="s">
        <v>44</v>
      </c>
      <c r="M13" s="17"/>
      <c r="N13" s="17"/>
      <c r="O13" s="17"/>
      <c r="P13" s="24">
        <f>-P4/P7</f>
        <v>7.6401006585866344E-4</v>
      </c>
      <c r="Q13" s="17"/>
      <c r="R13" s="17"/>
    </row>
    <row r="14" spans="1:20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 t="s">
        <v>123</v>
      </c>
      <c r="M14" s="17"/>
      <c r="N14" s="17"/>
      <c r="O14" s="17"/>
      <c r="P14" s="24">
        <f>P12-P13</f>
        <v>6.5234685313810922E-2</v>
      </c>
      <c r="Q14" s="17"/>
      <c r="R14" s="17"/>
    </row>
    <row r="15" spans="1:20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5"/>
      <c r="M15" s="17"/>
      <c r="N15" s="17"/>
      <c r="O15" s="17"/>
      <c r="P15" s="17"/>
      <c r="Q15" s="17"/>
      <c r="R15" s="17"/>
    </row>
    <row r="16" spans="1:20" x14ac:dyDescent="0.25">
      <c r="A16" s="26" t="s">
        <v>45</v>
      </c>
      <c r="B16" s="25" t="s">
        <v>46</v>
      </c>
      <c r="C16" s="25"/>
      <c r="D16" s="25" t="s">
        <v>47</v>
      </c>
      <c r="E16" s="25"/>
      <c r="F16" s="25" t="s">
        <v>48</v>
      </c>
      <c r="G16" s="25"/>
      <c r="H16" s="25" t="s">
        <v>49</v>
      </c>
      <c r="I16" s="25"/>
      <c r="J16" s="25" t="s">
        <v>50</v>
      </c>
      <c r="K16" s="17"/>
      <c r="L16" s="25" t="s">
        <v>51</v>
      </c>
      <c r="M16" s="17"/>
      <c r="N16" s="25" t="s">
        <v>52</v>
      </c>
      <c r="O16" s="25"/>
      <c r="P16" s="25" t="s">
        <v>53</v>
      </c>
      <c r="Q16" s="25"/>
      <c r="R16" s="25" t="s">
        <v>54</v>
      </c>
      <c r="S16" s="26"/>
      <c r="T16" s="26"/>
    </row>
    <row r="17" spans="1:23" x14ac:dyDescent="0.25">
      <c r="A17" s="26"/>
      <c r="B17" s="25" t="s">
        <v>55</v>
      </c>
      <c r="C17" s="25"/>
      <c r="D17" s="25" t="s">
        <v>55</v>
      </c>
      <c r="E17" s="25"/>
      <c r="F17" s="25" t="s">
        <v>56</v>
      </c>
      <c r="G17" s="25"/>
      <c r="H17" s="25" t="s">
        <v>56</v>
      </c>
      <c r="I17" s="25"/>
      <c r="J17" s="25" t="s">
        <v>55</v>
      </c>
      <c r="K17" s="17"/>
      <c r="L17" s="25" t="s">
        <v>57</v>
      </c>
      <c r="M17" s="17"/>
      <c r="N17" s="25" t="s">
        <v>58</v>
      </c>
      <c r="O17" s="25"/>
      <c r="P17" s="25" t="s">
        <v>59</v>
      </c>
      <c r="Q17" s="25"/>
      <c r="R17" s="25" t="s">
        <v>57</v>
      </c>
      <c r="S17" s="26"/>
      <c r="T17" s="26"/>
    </row>
    <row r="18" spans="1:23" x14ac:dyDescent="0.25">
      <c r="A18" s="27" t="s">
        <v>60</v>
      </c>
      <c r="B18" s="28" t="s">
        <v>61</v>
      </c>
      <c r="C18" s="28"/>
      <c r="D18" s="28" t="s">
        <v>62</v>
      </c>
      <c r="E18" s="28"/>
      <c r="F18" s="28" t="s">
        <v>63</v>
      </c>
      <c r="G18" s="28"/>
      <c r="H18" s="28" t="s">
        <v>62</v>
      </c>
      <c r="I18" s="28"/>
      <c r="J18" s="28" t="s">
        <v>64</v>
      </c>
      <c r="K18" s="17"/>
      <c r="L18" s="28" t="s">
        <v>65</v>
      </c>
      <c r="M18" s="17"/>
      <c r="N18" s="28" t="s">
        <v>65</v>
      </c>
      <c r="O18" s="28"/>
      <c r="P18" s="28" t="s">
        <v>66</v>
      </c>
      <c r="Q18" s="28"/>
      <c r="R18" s="28" t="s">
        <v>67</v>
      </c>
      <c r="S18" s="27"/>
      <c r="T18" s="27"/>
    </row>
    <row r="19" spans="1:23" x14ac:dyDescent="0.25">
      <c r="B19" s="25" t="s">
        <v>68</v>
      </c>
      <c r="C19" s="17"/>
      <c r="D19" s="25" t="s">
        <v>68</v>
      </c>
      <c r="E19" s="17"/>
      <c r="F19" s="25" t="s">
        <v>68</v>
      </c>
      <c r="G19" s="17"/>
      <c r="H19" s="25" t="s">
        <v>68</v>
      </c>
      <c r="I19" s="17"/>
      <c r="J19" s="25" t="s">
        <v>68</v>
      </c>
      <c r="K19" s="17"/>
      <c r="L19" s="25" t="s">
        <v>68</v>
      </c>
      <c r="M19" s="17"/>
      <c r="N19" s="25" t="s">
        <v>68</v>
      </c>
      <c r="O19" s="17"/>
      <c r="P19" s="25" t="s">
        <v>68</v>
      </c>
      <c r="Q19" s="17"/>
      <c r="R19" s="25" t="s">
        <v>68</v>
      </c>
    </row>
    <row r="20" spans="1:23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T20" t="s">
        <v>135</v>
      </c>
      <c r="W20" t="s">
        <v>107</v>
      </c>
    </row>
    <row r="21" spans="1:23" x14ac:dyDescent="0.25">
      <c r="A21">
        <v>2016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0">
        <f>'Avg Age'!$E$294</f>
        <v>2640194.1895929691</v>
      </c>
      <c r="M21" s="17"/>
      <c r="N21" s="17"/>
      <c r="O21" s="17"/>
      <c r="P21" s="17"/>
      <c r="Q21" s="17"/>
      <c r="R21" s="30">
        <v>-934984.47</v>
      </c>
      <c r="S21" s="70"/>
      <c r="T21" s="30">
        <v>-1397439.5930791851</v>
      </c>
      <c r="U21" t="s">
        <v>20</v>
      </c>
      <c r="W21" s="70">
        <f>+R21-T21</f>
        <v>462455.12307918514</v>
      </c>
    </row>
    <row r="22" spans="1:23" x14ac:dyDescent="0.25">
      <c r="A22">
        <f t="shared" ref="A22:A45" si="0">A21+1</f>
        <v>2017</v>
      </c>
      <c r="B22" s="17">
        <f t="shared" ref="B22" si="1">L21*$P$10</f>
        <v>47523.495412673437</v>
      </c>
      <c r="C22" s="17"/>
      <c r="D22" s="17">
        <f t="shared" ref="D22" si="2">B22*$P$2</f>
        <v>-2376.1747706336719</v>
      </c>
      <c r="E22" s="17"/>
      <c r="F22" s="17"/>
      <c r="G22" s="17"/>
      <c r="H22" s="17"/>
      <c r="I22" s="17"/>
      <c r="J22" s="17">
        <f>B22*$P$11</f>
        <v>0</v>
      </c>
      <c r="K22" s="17"/>
      <c r="L22" s="17">
        <f t="shared" ref="L22" si="3">L21+J22-B22-F22</f>
        <v>2592670.6941802958</v>
      </c>
      <c r="M22" s="17"/>
      <c r="N22" s="17">
        <f t="shared" ref="N22" si="4">(L21+L22)/2</f>
        <v>2616432.4418866327</v>
      </c>
      <c r="O22" s="17"/>
      <c r="P22" s="17">
        <f t="shared" ref="P22" si="5">N22*$P$12</f>
        <v>172681.12771356091</v>
      </c>
      <c r="Q22" s="17"/>
      <c r="R22" s="17">
        <f t="shared" ref="R22" si="6">R21+P22-B22-F22+D22+H22</f>
        <v>-812203.01246974617</v>
      </c>
    </row>
    <row r="23" spans="1:23" x14ac:dyDescent="0.25">
      <c r="A23">
        <f t="shared" si="0"/>
        <v>2018</v>
      </c>
      <c r="B23" s="17">
        <f t="shared" ref="B23:B44" si="7">L22*$P$10</f>
        <v>46668.072495245324</v>
      </c>
      <c r="C23" s="17"/>
      <c r="D23" s="17">
        <f t="shared" ref="D23:D44" si="8">B23*$P$2</f>
        <v>-2333.4036247622662</v>
      </c>
      <c r="E23" s="17"/>
      <c r="F23" s="17"/>
      <c r="G23" s="17"/>
      <c r="H23" s="17"/>
      <c r="I23" s="17"/>
      <c r="J23" s="17">
        <f t="shared" ref="J23:J46" si="9">B23*$P$11</f>
        <v>0</v>
      </c>
      <c r="K23" s="17"/>
      <c r="L23" s="17">
        <f t="shared" ref="L23:L46" si="10">L22+J23-B23-F23</f>
        <v>2546002.6216850504</v>
      </c>
      <c r="M23" s="17"/>
      <c r="N23" s="17">
        <f t="shared" ref="N23:N46" si="11">(L22+L23)/2</f>
        <v>2569336.6579326731</v>
      </c>
      <c r="O23" s="17"/>
      <c r="P23" s="17">
        <f t="shared" ref="P23:P46" si="12">N23*$P$12</f>
        <v>169572.86741471681</v>
      </c>
      <c r="Q23" s="17"/>
      <c r="R23" s="17">
        <f t="shared" ref="R23:R46" si="13">R22+P23-B23-F23+D23+H23</f>
        <v>-691631.621175037</v>
      </c>
      <c r="W23" t="s">
        <v>136</v>
      </c>
    </row>
    <row r="24" spans="1:23" x14ac:dyDescent="0.25">
      <c r="A24">
        <f t="shared" si="0"/>
        <v>2019</v>
      </c>
      <c r="B24" s="17">
        <f t="shared" si="7"/>
        <v>45828.047190330901</v>
      </c>
      <c r="C24" s="17"/>
      <c r="D24" s="17">
        <f t="shared" si="8"/>
        <v>-2291.4023595165449</v>
      </c>
      <c r="E24" s="17"/>
      <c r="F24" s="17"/>
      <c r="G24" s="17"/>
      <c r="H24" s="17"/>
      <c r="I24" s="17"/>
      <c r="J24" s="17">
        <f t="shared" si="9"/>
        <v>0</v>
      </c>
      <c r="K24" s="17"/>
      <c r="L24" s="17">
        <f t="shared" si="10"/>
        <v>2500174.5744947195</v>
      </c>
      <c r="M24" s="17"/>
      <c r="N24" s="17">
        <f t="shared" si="11"/>
        <v>2523088.598089885</v>
      </c>
      <c r="O24" s="17"/>
      <c r="P24" s="17">
        <f t="shared" si="12"/>
        <v>166520.5558012519</v>
      </c>
      <c r="Q24" s="17"/>
      <c r="R24" s="17">
        <f t="shared" si="13"/>
        <v>-573230.51492363261</v>
      </c>
      <c r="W24" s="70">
        <f>+W21+'345 Smith CC'!W21+'344 Smith CC'!W21+'343 Smith CC'!W21+'342 Smith CC'!W21+'341 Smith CC'!W21</f>
        <v>58705609.461402543</v>
      </c>
    </row>
    <row r="25" spans="1:23" x14ac:dyDescent="0.25">
      <c r="A25">
        <f t="shared" si="0"/>
        <v>2020</v>
      </c>
      <c r="B25" s="17">
        <f t="shared" si="7"/>
        <v>45003.142340904946</v>
      </c>
      <c r="C25" s="17"/>
      <c r="D25" s="17">
        <f t="shared" si="8"/>
        <v>-2250.1571170452476</v>
      </c>
      <c r="E25" s="17"/>
      <c r="F25" s="17"/>
      <c r="G25" s="17"/>
      <c r="H25" s="17"/>
      <c r="I25" s="17"/>
      <c r="J25" s="17">
        <f t="shared" si="9"/>
        <v>0</v>
      </c>
      <c r="K25" s="17"/>
      <c r="L25" s="17">
        <f t="shared" si="10"/>
        <v>2455171.4321538145</v>
      </c>
      <c r="M25" s="17"/>
      <c r="N25" s="17">
        <f t="shared" si="11"/>
        <v>2477673.003324267</v>
      </c>
      <c r="O25" s="17"/>
      <c r="P25" s="17">
        <f t="shared" si="12"/>
        <v>163523.18579682935</v>
      </c>
      <c r="Q25" s="17"/>
      <c r="R25" s="17">
        <f t="shared" si="13"/>
        <v>-456960.62858475349</v>
      </c>
    </row>
    <row r="26" spans="1:23" x14ac:dyDescent="0.25">
      <c r="A26">
        <f t="shared" si="0"/>
        <v>2021</v>
      </c>
      <c r="B26" s="17">
        <f t="shared" si="7"/>
        <v>44193.085778768655</v>
      </c>
      <c r="C26" s="17"/>
      <c r="D26" s="17">
        <f t="shared" si="8"/>
        <v>-2209.6542889384327</v>
      </c>
      <c r="E26" s="17"/>
      <c r="F26" s="17"/>
      <c r="G26" s="17"/>
      <c r="H26" s="17"/>
      <c r="I26" s="17"/>
      <c r="J26" s="17">
        <f t="shared" si="9"/>
        <v>0</v>
      </c>
      <c r="K26" s="17"/>
      <c r="L26" s="17">
        <f t="shared" si="10"/>
        <v>2410978.3463750458</v>
      </c>
      <c r="M26" s="17"/>
      <c r="N26" s="17">
        <f t="shared" si="11"/>
        <v>2433074.8892644299</v>
      </c>
      <c r="O26" s="17"/>
      <c r="P26" s="17">
        <f t="shared" si="12"/>
        <v>160579.7684524864</v>
      </c>
      <c r="Q26" s="17"/>
      <c r="R26" s="17">
        <f t="shared" si="13"/>
        <v>-342783.6001999742</v>
      </c>
    </row>
    <row r="27" spans="1:23" x14ac:dyDescent="0.25">
      <c r="A27">
        <f t="shared" si="0"/>
        <v>2022</v>
      </c>
      <c r="B27" s="17">
        <f t="shared" si="7"/>
        <v>43397.61023475082</v>
      </c>
      <c r="C27" s="17"/>
      <c r="D27" s="17">
        <f t="shared" si="8"/>
        <v>-2169.8805117375409</v>
      </c>
      <c r="E27" s="17"/>
      <c r="F27" s="17"/>
      <c r="G27" s="17"/>
      <c r="H27" s="17"/>
      <c r="I27" s="17"/>
      <c r="J27" s="17">
        <f t="shared" si="9"/>
        <v>0</v>
      </c>
      <c r="K27" s="17"/>
      <c r="L27" s="17">
        <f t="shared" si="10"/>
        <v>2367580.7361402949</v>
      </c>
      <c r="M27" s="17"/>
      <c r="N27" s="17">
        <f t="shared" si="11"/>
        <v>2389279.5412576701</v>
      </c>
      <c r="O27" s="17"/>
      <c r="P27" s="17">
        <f t="shared" si="12"/>
        <v>157689.33262034165</v>
      </c>
      <c r="Q27" s="17"/>
      <c r="R27" s="17">
        <f t="shared" si="13"/>
        <v>-230661.75832612091</v>
      </c>
    </row>
    <row r="28" spans="1:23" x14ac:dyDescent="0.25">
      <c r="A28">
        <f t="shared" si="0"/>
        <v>2023</v>
      </c>
      <c r="B28" s="17">
        <f t="shared" si="7"/>
        <v>42616.453250525308</v>
      </c>
      <c r="C28" s="17"/>
      <c r="D28" s="17">
        <f t="shared" si="8"/>
        <v>-2130.8226625262655</v>
      </c>
      <c r="E28" s="17"/>
      <c r="F28" s="17"/>
      <c r="G28" s="17"/>
      <c r="H28" s="17"/>
      <c r="I28" s="17"/>
      <c r="J28" s="17">
        <f t="shared" si="9"/>
        <v>0</v>
      </c>
      <c r="K28" s="17"/>
      <c r="L28" s="17">
        <f t="shared" si="10"/>
        <v>2324964.2828897694</v>
      </c>
      <c r="M28" s="17"/>
      <c r="N28" s="17">
        <f t="shared" si="11"/>
        <v>2346272.5095150322</v>
      </c>
      <c r="O28" s="17"/>
      <c r="P28" s="17">
        <f t="shared" si="12"/>
        <v>154850.92463317551</v>
      </c>
      <c r="Q28" s="17"/>
      <c r="R28" s="17">
        <f t="shared" si="13"/>
        <v>-120558.10960599697</v>
      </c>
    </row>
    <row r="29" spans="1:23" x14ac:dyDescent="0.25">
      <c r="A29">
        <f t="shared" si="0"/>
        <v>2024</v>
      </c>
      <c r="B29" s="17">
        <f t="shared" si="7"/>
        <v>41849.357092015845</v>
      </c>
      <c r="C29" s="17"/>
      <c r="D29" s="17">
        <f t="shared" si="8"/>
        <v>-2092.4678546007922</v>
      </c>
      <c r="E29" s="17"/>
      <c r="F29" s="17"/>
      <c r="G29" s="17"/>
      <c r="H29" s="17"/>
      <c r="I29" s="17"/>
      <c r="J29" s="17">
        <f t="shared" si="9"/>
        <v>0</v>
      </c>
      <c r="K29" s="17"/>
      <c r="L29" s="17">
        <f t="shared" si="10"/>
        <v>2283114.9257977535</v>
      </c>
      <c r="M29" s="17"/>
      <c r="N29" s="17">
        <f t="shared" si="11"/>
        <v>2304039.6043437617</v>
      </c>
      <c r="O29" s="17"/>
      <c r="P29" s="17">
        <f t="shared" si="12"/>
        <v>152063.60798977836</v>
      </c>
      <c r="Q29" s="17"/>
      <c r="R29" s="17">
        <f t="shared" si="13"/>
        <v>-12436.326562835246</v>
      </c>
    </row>
    <row r="30" spans="1:23" x14ac:dyDescent="0.25">
      <c r="A30">
        <f t="shared" si="0"/>
        <v>2025</v>
      </c>
      <c r="B30" s="17">
        <f t="shared" si="7"/>
        <v>41096.068664359562</v>
      </c>
      <c r="C30" s="17"/>
      <c r="D30" s="17">
        <f t="shared" si="8"/>
        <v>-2054.8034332179782</v>
      </c>
      <c r="E30" s="17"/>
      <c r="F30" s="17"/>
      <c r="G30" s="17"/>
      <c r="H30" s="17"/>
      <c r="I30" s="17"/>
      <c r="J30" s="17">
        <f t="shared" si="9"/>
        <v>0</v>
      </c>
      <c r="K30" s="17"/>
      <c r="L30" s="17">
        <f t="shared" si="10"/>
        <v>2242018.8571333941</v>
      </c>
      <c r="M30" s="17"/>
      <c r="N30" s="17">
        <f t="shared" si="11"/>
        <v>2262566.8914655736</v>
      </c>
      <c r="O30" s="17"/>
      <c r="P30" s="17">
        <f t="shared" si="12"/>
        <v>149326.46304596233</v>
      </c>
      <c r="Q30" s="17"/>
      <c r="R30" s="17">
        <f t="shared" si="13"/>
        <v>93739.264385549526</v>
      </c>
    </row>
    <row r="31" spans="1:23" x14ac:dyDescent="0.25">
      <c r="A31">
        <f t="shared" si="0"/>
        <v>2026</v>
      </c>
      <c r="B31" s="17">
        <f t="shared" si="7"/>
        <v>40356.339428401094</v>
      </c>
      <c r="C31" s="17"/>
      <c r="D31" s="17">
        <f t="shared" si="8"/>
        <v>-2017.8169714200549</v>
      </c>
      <c r="E31" s="17"/>
      <c r="F31" s="17"/>
      <c r="G31" s="17"/>
      <c r="H31" s="17"/>
      <c r="I31" s="17"/>
      <c r="J31" s="17">
        <f t="shared" si="9"/>
        <v>0</v>
      </c>
      <c r="K31" s="17"/>
      <c r="L31" s="17">
        <f t="shared" si="10"/>
        <v>2201662.517704993</v>
      </c>
      <c r="M31" s="17"/>
      <c r="N31" s="17">
        <f t="shared" si="11"/>
        <v>2221840.6874191938</v>
      </c>
      <c r="O31" s="17"/>
      <c r="P31" s="17">
        <f t="shared" si="12"/>
        <v>146638.58671113502</v>
      </c>
      <c r="Q31" s="17"/>
      <c r="R31" s="17">
        <f t="shared" si="13"/>
        <v>198003.69469686341</v>
      </c>
    </row>
    <row r="32" spans="1:23" x14ac:dyDescent="0.25">
      <c r="A32">
        <f t="shared" si="0"/>
        <v>2027</v>
      </c>
      <c r="B32" s="17">
        <f t="shared" si="7"/>
        <v>39629.925318689871</v>
      </c>
      <c r="C32" s="17"/>
      <c r="D32" s="17">
        <f t="shared" si="8"/>
        <v>-1981.4962659344937</v>
      </c>
      <c r="E32" s="17"/>
      <c r="F32" s="17"/>
      <c r="G32" s="17"/>
      <c r="H32" s="17"/>
      <c r="I32" s="17"/>
      <c r="J32" s="17">
        <f t="shared" si="9"/>
        <v>0</v>
      </c>
      <c r="K32" s="17"/>
      <c r="L32" s="17">
        <f t="shared" si="10"/>
        <v>2162032.592386303</v>
      </c>
      <c r="M32" s="17"/>
      <c r="N32" s="17">
        <f t="shared" si="11"/>
        <v>2181847.555045648</v>
      </c>
      <c r="O32" s="17"/>
      <c r="P32" s="17">
        <f t="shared" si="12"/>
        <v>143999.09215033459</v>
      </c>
      <c r="Q32" s="17"/>
      <c r="R32" s="17">
        <f t="shared" si="13"/>
        <v>300391.36526257364</v>
      </c>
    </row>
    <row r="33" spans="1:18" x14ac:dyDescent="0.25">
      <c r="A33">
        <f t="shared" si="0"/>
        <v>2028</v>
      </c>
      <c r="B33" s="17">
        <f t="shared" si="7"/>
        <v>38916.58666295345</v>
      </c>
      <c r="C33" s="17"/>
      <c r="D33" s="17">
        <f t="shared" si="8"/>
        <v>-1945.8293331476725</v>
      </c>
      <c r="E33" s="17"/>
      <c r="F33" s="17"/>
      <c r="G33" s="17"/>
      <c r="H33" s="17"/>
      <c r="I33" s="17"/>
      <c r="J33" s="17">
        <f t="shared" si="9"/>
        <v>0</v>
      </c>
      <c r="K33" s="17"/>
      <c r="L33" s="17">
        <f t="shared" si="10"/>
        <v>2123116.0057233498</v>
      </c>
      <c r="M33" s="17"/>
      <c r="N33" s="17">
        <f t="shared" si="11"/>
        <v>2142574.2990548266</v>
      </c>
      <c r="O33" s="17"/>
      <c r="P33" s="17">
        <f t="shared" si="12"/>
        <v>141407.10849162858</v>
      </c>
      <c r="Q33" s="17"/>
      <c r="R33" s="17">
        <f t="shared" si="13"/>
        <v>400936.05775810115</v>
      </c>
    </row>
    <row r="34" spans="1:18" x14ac:dyDescent="0.25">
      <c r="A34">
        <f t="shared" si="0"/>
        <v>2029</v>
      </c>
      <c r="B34" s="17">
        <f t="shared" si="7"/>
        <v>38216.088103020295</v>
      </c>
      <c r="C34" s="17"/>
      <c r="D34" s="17">
        <f t="shared" si="8"/>
        <v>-1910.8044051510149</v>
      </c>
      <c r="E34" s="17"/>
      <c r="F34" s="17"/>
      <c r="G34" s="17"/>
      <c r="H34" s="17"/>
      <c r="I34" s="17"/>
      <c r="J34" s="17">
        <f t="shared" si="9"/>
        <v>0</v>
      </c>
      <c r="K34" s="17"/>
      <c r="L34" s="17">
        <f t="shared" si="10"/>
        <v>2084899.9176203294</v>
      </c>
      <c r="M34" s="17"/>
      <c r="N34" s="17">
        <f t="shared" si="11"/>
        <v>2104007.9616718395</v>
      </c>
      <c r="O34" s="17"/>
      <c r="P34" s="17">
        <f t="shared" si="12"/>
        <v>138861.78053877925</v>
      </c>
      <c r="Q34" s="17"/>
      <c r="R34" s="17">
        <f t="shared" si="13"/>
        <v>499670.9457887091</v>
      </c>
    </row>
    <row r="35" spans="1:18" x14ac:dyDescent="0.25">
      <c r="A35">
        <f t="shared" si="0"/>
        <v>2030</v>
      </c>
      <c r="B35" s="17">
        <f t="shared" si="7"/>
        <v>37528.198517165925</v>
      </c>
      <c r="C35" s="17"/>
      <c r="D35" s="17">
        <f t="shared" si="8"/>
        <v>-1876.4099258582964</v>
      </c>
      <c r="E35" s="17"/>
      <c r="F35" s="17"/>
      <c r="G35" s="17"/>
      <c r="H35" s="17"/>
      <c r="I35" s="17"/>
      <c r="J35" s="17">
        <f t="shared" si="9"/>
        <v>0</v>
      </c>
      <c r="K35" s="17"/>
      <c r="L35" s="17">
        <f t="shared" si="10"/>
        <v>2047371.7191031636</v>
      </c>
      <c r="M35" s="17"/>
      <c r="N35" s="17">
        <f t="shared" si="11"/>
        <v>2066135.8183617466</v>
      </c>
      <c r="O35" s="17"/>
      <c r="P35" s="17">
        <f t="shared" si="12"/>
        <v>136362.26848908124</v>
      </c>
      <c r="Q35" s="17"/>
      <c r="R35" s="17">
        <f t="shared" si="13"/>
        <v>596628.60583476617</v>
      </c>
    </row>
    <row r="36" spans="1:18" x14ac:dyDescent="0.25">
      <c r="A36">
        <f t="shared" si="0"/>
        <v>2031</v>
      </c>
      <c r="B36" s="17">
        <f t="shared" si="7"/>
        <v>36852.690943856942</v>
      </c>
      <c r="C36" s="17"/>
      <c r="D36" s="17">
        <f t="shared" si="8"/>
        <v>-1842.6345471928471</v>
      </c>
      <c r="E36" s="17"/>
      <c r="F36" s="17"/>
      <c r="G36" s="17"/>
      <c r="H36" s="17"/>
      <c r="I36" s="17"/>
      <c r="J36" s="17">
        <f t="shared" si="9"/>
        <v>0</v>
      </c>
      <c r="K36" s="17"/>
      <c r="L36" s="17">
        <f t="shared" si="10"/>
        <v>2010519.0281593066</v>
      </c>
      <c r="M36" s="17"/>
      <c r="N36" s="17">
        <f t="shared" si="11"/>
        <v>2028945.3736312352</v>
      </c>
      <c r="O36" s="17"/>
      <c r="P36" s="17">
        <f t="shared" si="12"/>
        <v>133907.74765627779</v>
      </c>
      <c r="Q36" s="17"/>
      <c r="R36" s="17">
        <f t="shared" si="13"/>
        <v>691841.02799999411</v>
      </c>
    </row>
    <row r="37" spans="1:18" x14ac:dyDescent="0.25">
      <c r="A37">
        <f t="shared" si="0"/>
        <v>2032</v>
      </c>
      <c r="B37" s="17">
        <f t="shared" si="7"/>
        <v>36189.342506867513</v>
      </c>
      <c r="C37" s="17"/>
      <c r="D37" s="17">
        <f t="shared" si="8"/>
        <v>-1809.4671253433758</v>
      </c>
      <c r="E37" s="17"/>
      <c r="F37" s="17"/>
      <c r="G37" s="17"/>
      <c r="H37" s="17"/>
      <c r="I37" s="17"/>
      <c r="J37" s="17">
        <f t="shared" si="9"/>
        <v>0</v>
      </c>
      <c r="K37" s="17"/>
      <c r="L37" s="17">
        <f t="shared" si="10"/>
        <v>1974329.685652439</v>
      </c>
      <c r="M37" s="17"/>
      <c r="N37" s="17">
        <f t="shared" si="11"/>
        <v>1992424.3569058729</v>
      </c>
      <c r="O37" s="17"/>
      <c r="P37" s="17">
        <f t="shared" si="12"/>
        <v>131497.40819846478</v>
      </c>
      <c r="Q37" s="17"/>
      <c r="R37" s="17">
        <f t="shared" si="13"/>
        <v>785339.62656624801</v>
      </c>
    </row>
    <row r="38" spans="1:18" x14ac:dyDescent="0.25">
      <c r="A38">
        <f t="shared" si="0"/>
        <v>2033</v>
      </c>
      <c r="B38" s="17">
        <f t="shared" si="7"/>
        <v>35537.934341743901</v>
      </c>
      <c r="C38" s="17"/>
      <c r="D38" s="17">
        <f t="shared" si="8"/>
        <v>-1776.8967170871952</v>
      </c>
      <c r="E38" s="17"/>
      <c r="F38" s="17"/>
      <c r="G38" s="17"/>
      <c r="H38" s="17"/>
      <c r="I38" s="17"/>
      <c r="J38" s="17">
        <f t="shared" si="9"/>
        <v>0</v>
      </c>
      <c r="K38" s="17"/>
      <c r="L38" s="17">
        <f t="shared" si="10"/>
        <v>1938791.7513106952</v>
      </c>
      <c r="M38" s="17"/>
      <c r="N38" s="17">
        <f t="shared" si="11"/>
        <v>1956560.7184815672</v>
      </c>
      <c r="O38" s="17"/>
      <c r="P38" s="17">
        <f t="shared" si="12"/>
        <v>129130.45485089241</v>
      </c>
      <c r="Q38" s="17"/>
      <c r="R38" s="17">
        <f t="shared" si="13"/>
        <v>877155.25035830925</v>
      </c>
    </row>
    <row r="39" spans="1:18" x14ac:dyDescent="0.25">
      <c r="A39">
        <f t="shared" si="0"/>
        <v>2034</v>
      </c>
      <c r="B39" s="17">
        <f t="shared" si="7"/>
        <v>34898.251523592509</v>
      </c>
      <c r="C39" s="17"/>
      <c r="D39" s="17">
        <f t="shared" si="8"/>
        <v>-1744.9125761796256</v>
      </c>
      <c r="E39" s="17"/>
      <c r="F39" s="17"/>
      <c r="G39" s="17"/>
      <c r="H39" s="17"/>
      <c r="I39" s="17"/>
      <c r="J39" s="17">
        <f t="shared" si="9"/>
        <v>0</v>
      </c>
      <c r="K39" s="17"/>
      <c r="L39" s="17">
        <f t="shared" si="10"/>
        <v>1903893.4997871027</v>
      </c>
      <c r="M39" s="17"/>
      <c r="N39" s="17">
        <f t="shared" si="11"/>
        <v>1921342.6255488989</v>
      </c>
      <c r="O39" s="17"/>
      <c r="P39" s="17">
        <f t="shared" si="12"/>
        <v>126806.10666357634</v>
      </c>
      <c r="Q39" s="17"/>
      <c r="R39" s="17">
        <f t="shared" si="13"/>
        <v>967318.19292211346</v>
      </c>
    </row>
    <row r="40" spans="1:18" x14ac:dyDescent="0.25">
      <c r="A40">
        <f t="shared" si="0"/>
        <v>2035</v>
      </c>
      <c r="B40" s="17">
        <f t="shared" si="7"/>
        <v>34270.082996167846</v>
      </c>
      <c r="C40" s="17"/>
      <c r="D40" s="17">
        <f t="shared" si="8"/>
        <v>-1713.5041498083924</v>
      </c>
      <c r="E40" s="17"/>
      <c r="F40" s="17"/>
      <c r="G40" s="17"/>
      <c r="H40" s="17"/>
      <c r="I40" s="17"/>
      <c r="J40" s="17">
        <f t="shared" si="9"/>
        <v>0</v>
      </c>
      <c r="K40" s="17"/>
      <c r="L40" s="17">
        <f t="shared" si="10"/>
        <v>1869623.4167909347</v>
      </c>
      <c r="M40" s="17"/>
      <c r="N40" s="17">
        <f t="shared" si="11"/>
        <v>1886758.4582890188</v>
      </c>
      <c r="O40" s="17"/>
      <c r="P40" s="17">
        <f t="shared" si="12"/>
        <v>124523.59674363198</v>
      </c>
      <c r="Q40" s="17"/>
      <c r="R40" s="17">
        <f t="shared" si="13"/>
        <v>1055858.2025197691</v>
      </c>
    </row>
    <row r="41" spans="1:18" x14ac:dyDescent="0.25">
      <c r="A41">
        <f t="shared" si="0"/>
        <v>2036</v>
      </c>
      <c r="B41" s="17">
        <f t="shared" si="7"/>
        <v>33653.221502236825</v>
      </c>
      <c r="C41" s="17"/>
      <c r="D41" s="17">
        <f t="shared" si="8"/>
        <v>-1682.6610751118415</v>
      </c>
      <c r="E41" s="17"/>
      <c r="F41" s="17"/>
      <c r="G41" s="17"/>
      <c r="H41" s="17"/>
      <c r="I41" s="17"/>
      <c r="J41" s="17">
        <f t="shared" si="9"/>
        <v>0</v>
      </c>
      <c r="K41" s="17"/>
      <c r="L41" s="17">
        <f t="shared" si="10"/>
        <v>1835970.195288698</v>
      </c>
      <c r="M41" s="17"/>
      <c r="N41" s="17">
        <f t="shared" si="11"/>
        <v>1852796.8060398162</v>
      </c>
      <c r="O41" s="17"/>
      <c r="P41" s="17">
        <f t="shared" si="12"/>
        <v>122282.17200224657</v>
      </c>
      <c r="Q41" s="17"/>
      <c r="R41" s="17">
        <f t="shared" si="13"/>
        <v>1142804.491944667</v>
      </c>
    </row>
    <row r="42" spans="1:18" x14ac:dyDescent="0.25">
      <c r="A42">
        <f t="shared" si="0"/>
        <v>2037</v>
      </c>
      <c r="B42" s="17">
        <f t="shared" si="7"/>
        <v>33047.463515196563</v>
      </c>
      <c r="C42" s="17"/>
      <c r="D42" s="17">
        <f t="shared" si="8"/>
        <v>-1652.3731757598282</v>
      </c>
      <c r="E42" s="17"/>
      <c r="F42" s="17"/>
      <c r="G42" s="17"/>
      <c r="H42" s="17"/>
      <c r="I42" s="17"/>
      <c r="J42" s="17">
        <f t="shared" si="9"/>
        <v>0</v>
      </c>
      <c r="K42" s="17"/>
      <c r="L42" s="17">
        <f t="shared" si="10"/>
        <v>1802922.7317735015</v>
      </c>
      <c r="M42" s="17"/>
      <c r="N42" s="17">
        <f t="shared" si="11"/>
        <v>1819446.4635310997</v>
      </c>
      <c r="O42" s="17"/>
      <c r="P42" s="17">
        <f t="shared" si="12"/>
        <v>120081.09290620615</v>
      </c>
      <c r="Q42" s="17"/>
      <c r="R42" s="17">
        <f t="shared" si="13"/>
        <v>1228185.7481599168</v>
      </c>
    </row>
    <row r="43" spans="1:18" x14ac:dyDescent="0.25">
      <c r="A43">
        <f t="shared" si="0"/>
        <v>2038</v>
      </c>
      <c r="B43" s="17">
        <f t="shared" si="7"/>
        <v>32452.609171923024</v>
      </c>
      <c r="C43" s="17"/>
      <c r="D43" s="17">
        <f t="shared" si="8"/>
        <v>-1622.6304585961514</v>
      </c>
      <c r="E43" s="17"/>
      <c r="F43" s="17"/>
      <c r="G43" s="17"/>
      <c r="H43" s="17"/>
      <c r="I43" s="17"/>
      <c r="J43" s="17">
        <f t="shared" si="9"/>
        <v>0</v>
      </c>
      <c r="K43" s="17"/>
      <c r="L43" s="17">
        <f t="shared" si="10"/>
        <v>1770470.1226015785</v>
      </c>
      <c r="M43" s="17"/>
      <c r="N43" s="17">
        <f t="shared" si="11"/>
        <v>1786696.4271875401</v>
      </c>
      <c r="O43" s="17"/>
      <c r="P43" s="17">
        <f t="shared" si="12"/>
        <v>117919.63323389445</v>
      </c>
      <c r="Q43" s="17"/>
      <c r="R43" s="17">
        <f t="shared" si="13"/>
        <v>1312030.141763292</v>
      </c>
    </row>
    <row r="44" spans="1:18" x14ac:dyDescent="0.25">
      <c r="A44">
        <f t="shared" si="0"/>
        <v>2039</v>
      </c>
      <c r="B44" s="17">
        <f t="shared" si="7"/>
        <v>31868.462206828412</v>
      </c>
      <c r="C44" s="17"/>
      <c r="D44" s="17">
        <f t="shared" si="8"/>
        <v>-1593.4231103414206</v>
      </c>
      <c r="E44" s="17"/>
      <c r="F44" s="17"/>
      <c r="G44" s="17"/>
      <c r="H44" s="17"/>
      <c r="I44" s="17"/>
      <c r="J44" s="17">
        <f t="shared" si="9"/>
        <v>0</v>
      </c>
      <c r="K44" s="17"/>
      <c r="L44" s="17">
        <f t="shared" si="10"/>
        <v>1738601.6603947501</v>
      </c>
      <c r="M44" s="17"/>
      <c r="N44" s="17">
        <f t="shared" si="11"/>
        <v>1754535.8914981643</v>
      </c>
      <c r="O44" s="17"/>
      <c r="P44" s="17">
        <f t="shared" si="12"/>
        <v>115797.07983568434</v>
      </c>
      <c r="Q44" s="17"/>
      <c r="R44" s="17">
        <f t="shared" si="13"/>
        <v>1394365.3362818065</v>
      </c>
    </row>
    <row r="45" spans="1:18" x14ac:dyDescent="0.25">
      <c r="A45">
        <f t="shared" si="0"/>
        <v>2040</v>
      </c>
      <c r="B45" s="17"/>
      <c r="C45" s="17"/>
      <c r="D45" s="17"/>
      <c r="E45" s="17"/>
      <c r="F45" s="17"/>
      <c r="G45" s="17"/>
      <c r="H45" s="17"/>
      <c r="I45" s="17"/>
      <c r="J45" s="17">
        <f t="shared" si="9"/>
        <v>0</v>
      </c>
      <c r="K45" s="17"/>
      <c r="L45" s="17">
        <f t="shared" si="10"/>
        <v>1738601.6603947501</v>
      </c>
      <c r="M45" s="17"/>
      <c r="N45" s="17">
        <f t="shared" si="11"/>
        <v>1738601.6603947501</v>
      </c>
      <c r="O45" s="17"/>
      <c r="P45" s="17">
        <f t="shared" si="12"/>
        <v>114745.44137098086</v>
      </c>
      <c r="Q45" s="17"/>
      <c r="R45" s="17">
        <f t="shared" si="13"/>
        <v>1509110.7776527873</v>
      </c>
    </row>
    <row r="46" spans="1:18" x14ac:dyDescent="0.25">
      <c r="A46">
        <v>2041</v>
      </c>
      <c r="B46" s="17"/>
      <c r="C46" s="17"/>
      <c r="D46" s="17"/>
      <c r="E46" s="17"/>
      <c r="F46" s="17"/>
      <c r="G46" s="17"/>
      <c r="H46" s="17"/>
      <c r="I46" s="17"/>
      <c r="J46" s="17">
        <f t="shared" si="9"/>
        <v>0</v>
      </c>
      <c r="K46" s="17"/>
      <c r="L46" s="17">
        <f t="shared" si="10"/>
        <v>1738601.6603947501</v>
      </c>
      <c r="M46" s="17"/>
      <c r="N46" s="17">
        <f t="shared" si="11"/>
        <v>1738601.6603947501</v>
      </c>
      <c r="O46" s="17"/>
      <c r="P46" s="17">
        <f t="shared" si="12"/>
        <v>114745.44137098086</v>
      </c>
      <c r="Q46" s="17"/>
      <c r="R46" s="17">
        <f t="shared" si="13"/>
        <v>1623856.2190237681</v>
      </c>
    </row>
    <row r="47" spans="1:18" x14ac:dyDescent="0.25">
      <c r="A47">
        <v>2042</v>
      </c>
      <c r="B47" s="17"/>
      <c r="C47" s="17"/>
      <c r="D47" s="17"/>
      <c r="E47" s="17"/>
      <c r="F47" s="17">
        <f>+L46</f>
        <v>1738601.6603947501</v>
      </c>
      <c r="G47" s="17"/>
      <c r="H47" s="17">
        <f>F47*P$3</f>
        <v>0</v>
      </c>
      <c r="I47" s="17"/>
      <c r="J47" s="17"/>
      <c r="K47" s="17"/>
      <c r="L47" s="17">
        <v>0</v>
      </c>
      <c r="M47" s="17"/>
      <c r="N47" s="17">
        <f>+F47</f>
        <v>1738601.6603947501</v>
      </c>
      <c r="O47" s="17"/>
      <c r="P47" s="17">
        <f t="shared" ref="P47" si="14">N47*$P$12</f>
        <v>114745.44137098086</v>
      </c>
      <c r="Q47" s="17"/>
      <c r="R47" s="17">
        <f t="shared" ref="R47" si="15">R46+P47-B47-F47+D47+H47</f>
        <v>-1.1641532182693481E-9</v>
      </c>
    </row>
    <row r="48" spans="1:18" x14ac:dyDescent="0.2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1:18" x14ac:dyDescent="0.2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1:18" x14ac:dyDescent="0.25">
      <c r="A50" s="26" t="s">
        <v>69</v>
      </c>
      <c r="B50" s="31">
        <f>SUM(B22:B47)</f>
        <v>901592.52919821895</v>
      </c>
      <c r="C50" s="31"/>
      <c r="D50" s="31">
        <f>SUM(D22:D47)</f>
        <v>-45079.626459910956</v>
      </c>
      <c r="E50" s="17"/>
      <c r="F50" s="31">
        <f>SUM(F22:F47)</f>
        <v>1738601.6603947501</v>
      </c>
      <c r="G50" s="17"/>
      <c r="H50" s="31">
        <f>SUM(H22:H47)</f>
        <v>0</v>
      </c>
      <c r="I50" s="17"/>
      <c r="J50" s="31">
        <f>SUM(J22:J47)</f>
        <v>0</v>
      </c>
      <c r="K50" s="17"/>
      <c r="L50" s="17"/>
      <c r="M50" s="17"/>
      <c r="N50" s="31">
        <f>SUM(N22:N47)</f>
        <v>54853482.560930654</v>
      </c>
      <c r="O50" s="17"/>
      <c r="P50" s="17"/>
      <c r="Q50" s="17"/>
      <c r="R50" s="17"/>
    </row>
    <row r="51" spans="1:18" x14ac:dyDescent="0.25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1:18" x14ac:dyDescent="0.25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</row>
    <row r="53" spans="1:18" x14ac:dyDescent="0.25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</row>
    <row r="54" spans="1:18" x14ac:dyDescent="0.25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</row>
    <row r="55" spans="1:18" x14ac:dyDescent="0.25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</row>
    <row r="56" spans="1:18" x14ac:dyDescent="0.25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</row>
    <row r="57" spans="1:18" x14ac:dyDescent="0.25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</row>
    <row r="58" spans="1:18" x14ac:dyDescent="0.25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</row>
  </sheetData>
  <mergeCells count="1">
    <mergeCell ref="B4:E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6" sqref="D6"/>
    </sheetView>
  </sheetViews>
  <sheetFormatPr defaultRowHeight="15" x14ac:dyDescent="0.25"/>
  <sheetData>
    <row r="1" spans="1:6" x14ac:dyDescent="0.25">
      <c r="B1" t="s">
        <v>120</v>
      </c>
      <c r="D1" t="s">
        <v>121</v>
      </c>
      <c r="F1" t="s">
        <v>122</v>
      </c>
    </row>
    <row r="4" spans="1:6" x14ac:dyDescent="0.25">
      <c r="B4" t="s">
        <v>118</v>
      </c>
      <c r="C4" t="s">
        <v>119</v>
      </c>
    </row>
    <row r="5" spans="1:6" x14ac:dyDescent="0.25">
      <c r="A5">
        <v>341</v>
      </c>
      <c r="B5" s="35">
        <v>1.5E-3</v>
      </c>
      <c r="C5" s="35">
        <v>5.0000000000000001E-3</v>
      </c>
      <c r="D5" s="35">
        <v>2.1999999999999999E-2</v>
      </c>
      <c r="F5" s="65">
        <v>-0.05</v>
      </c>
    </row>
    <row r="6" spans="1:6" x14ac:dyDescent="0.25">
      <c r="A6">
        <v>342</v>
      </c>
      <c r="B6" s="35">
        <v>3.0000000000000001E-3</v>
      </c>
      <c r="C6" s="35">
        <v>3.5000000000000001E-3</v>
      </c>
      <c r="D6" s="35">
        <v>1.2999999999999999E-2</v>
      </c>
      <c r="F6" s="65">
        <v>-0.05</v>
      </c>
    </row>
    <row r="7" spans="1:6" x14ac:dyDescent="0.25">
      <c r="A7">
        <v>343</v>
      </c>
      <c r="B7" s="35">
        <v>3.0000000000000001E-3</v>
      </c>
      <c r="C7" s="35">
        <v>0.02</v>
      </c>
      <c r="D7" s="35">
        <v>0.03</v>
      </c>
      <c r="F7" s="65">
        <v>-0.05</v>
      </c>
    </row>
    <row r="8" spans="1:6" x14ac:dyDescent="0.25">
      <c r="A8">
        <v>344</v>
      </c>
      <c r="B8" s="35">
        <v>2.5000000000000001E-3</v>
      </c>
      <c r="C8" s="35">
        <v>3.5000000000000001E-3</v>
      </c>
      <c r="D8" s="35">
        <v>2.5000000000000001E-3</v>
      </c>
      <c r="F8" s="65">
        <v>-0.05</v>
      </c>
    </row>
    <row r="9" spans="1:6" x14ac:dyDescent="0.25">
      <c r="A9">
        <v>345</v>
      </c>
      <c r="B9" s="35">
        <v>2.5000000000000001E-3</v>
      </c>
      <c r="C9" s="35">
        <v>4.0000000000000001E-3</v>
      </c>
      <c r="D9" s="35">
        <v>1.4999999999999999E-2</v>
      </c>
      <c r="F9" s="65">
        <v>-0.05</v>
      </c>
    </row>
    <row r="10" spans="1:6" x14ac:dyDescent="0.25">
      <c r="A10">
        <v>346</v>
      </c>
      <c r="B10" s="35">
        <v>3.0000000000000001E-3</v>
      </c>
      <c r="C10" s="35">
        <v>3.5000000000000001E-3</v>
      </c>
      <c r="D10" s="35">
        <v>1.7999999999999999E-2</v>
      </c>
      <c r="F10" s="65">
        <v>-0.05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6" workbookViewId="0">
      <selection activeCell="J48" sqref="J48"/>
    </sheetView>
  </sheetViews>
  <sheetFormatPr defaultRowHeight="15" x14ac:dyDescent="0.25"/>
  <cols>
    <col min="1" max="1" width="9" customWidth="1"/>
    <col min="2" max="2" width="26.42578125" customWidth="1"/>
    <col min="4" max="4" width="14.5703125" bestFit="1" customWidth="1"/>
    <col min="5" max="5" width="3.140625" customWidth="1"/>
    <col min="6" max="6" width="18.28515625" customWidth="1"/>
    <col min="7" max="7" width="1.5703125" customWidth="1"/>
    <col min="8" max="8" width="9.140625" style="75"/>
    <col min="9" max="9" width="3.7109375" customWidth="1"/>
    <col min="10" max="10" width="18.42578125" customWidth="1"/>
  </cols>
  <sheetData>
    <row r="1" spans="1:10" x14ac:dyDescent="0.25">
      <c r="A1" s="90" t="s">
        <v>75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x14ac:dyDescent="0.25">
      <c r="A2" s="34"/>
      <c r="B2" s="34"/>
      <c r="C2" s="34"/>
      <c r="D2" s="34"/>
      <c r="E2" s="34"/>
      <c r="F2" s="34"/>
      <c r="G2" s="34"/>
      <c r="H2" s="71"/>
      <c r="I2" s="34"/>
      <c r="J2" s="34"/>
    </row>
    <row r="3" spans="1:10" x14ac:dyDescent="0.25">
      <c r="A3" s="90" t="s">
        <v>92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x14ac:dyDescent="0.25">
      <c r="A4" s="90" t="s">
        <v>93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x14ac:dyDescent="0.25">
      <c r="A5" s="90" t="s">
        <v>94</v>
      </c>
      <c r="B5" s="90"/>
      <c r="C5" s="90"/>
      <c r="D5" s="90"/>
      <c r="E5" s="90"/>
      <c r="F5" s="90"/>
      <c r="G5" s="90"/>
      <c r="H5" s="90"/>
      <c r="I5" s="90"/>
      <c r="J5" s="90"/>
    </row>
    <row r="7" spans="1:10" x14ac:dyDescent="0.25">
      <c r="A7" s="40"/>
      <c r="B7" s="40"/>
      <c r="C7" s="40"/>
      <c r="D7" s="40"/>
      <c r="E7" s="40"/>
      <c r="F7" s="40"/>
      <c r="G7" s="40"/>
      <c r="H7" s="72" t="s">
        <v>84</v>
      </c>
      <c r="I7" s="41"/>
      <c r="J7" s="41" t="s">
        <v>84</v>
      </c>
    </row>
    <row r="8" spans="1:10" x14ac:dyDescent="0.25">
      <c r="A8" s="42"/>
      <c r="B8" s="42"/>
      <c r="C8" s="42"/>
      <c r="D8" s="42"/>
      <c r="E8" s="42"/>
      <c r="F8" s="42"/>
      <c r="G8" s="42"/>
      <c r="H8" s="73" t="s">
        <v>85</v>
      </c>
      <c r="I8" s="43"/>
      <c r="J8" s="43" t="s">
        <v>85</v>
      </c>
    </row>
    <row r="9" spans="1:10" x14ac:dyDescent="0.25">
      <c r="A9" s="42"/>
      <c r="B9" s="42"/>
      <c r="C9" s="42"/>
      <c r="D9" s="42"/>
      <c r="E9" s="42"/>
      <c r="F9" s="42"/>
      <c r="G9" s="42"/>
      <c r="H9" s="73" t="s">
        <v>86</v>
      </c>
      <c r="I9" s="43"/>
      <c r="J9" s="43" t="s">
        <v>86</v>
      </c>
    </row>
    <row r="10" spans="1:10" x14ac:dyDescent="0.25">
      <c r="A10" s="44" t="s">
        <v>87</v>
      </c>
      <c r="B10" s="45" t="s">
        <v>88</v>
      </c>
      <c r="C10" s="44"/>
      <c r="D10" s="45" t="s">
        <v>89</v>
      </c>
      <c r="E10" s="45"/>
      <c r="F10" s="45" t="s">
        <v>90</v>
      </c>
      <c r="G10" s="44"/>
      <c r="H10" s="74" t="s">
        <v>91</v>
      </c>
      <c r="I10" s="45"/>
      <c r="J10" s="45" t="s">
        <v>95</v>
      </c>
    </row>
    <row r="13" spans="1:10" x14ac:dyDescent="0.25">
      <c r="A13" s="39" t="s">
        <v>96</v>
      </c>
    </row>
    <row r="14" spans="1:10" x14ac:dyDescent="0.25">
      <c r="A14">
        <v>343</v>
      </c>
      <c r="B14" t="s">
        <v>17</v>
      </c>
      <c r="D14" s="36">
        <f>+'343 Pace'!L21</f>
        <v>7332158.0600000005</v>
      </c>
      <c r="E14" s="36"/>
      <c r="F14" s="36">
        <f>+'343 Pace'!R21</f>
        <v>5851055.867938159</v>
      </c>
      <c r="H14" s="75">
        <f>ROUND(+'343 Pace'!P12,3)</f>
        <v>0.10100000000000001</v>
      </c>
      <c r="J14" s="36">
        <f>+D14*H14</f>
        <v>740547.96406000014</v>
      </c>
    </row>
    <row r="15" spans="1:10" x14ac:dyDescent="0.25">
      <c r="A15">
        <v>344</v>
      </c>
      <c r="B15" t="s">
        <v>19</v>
      </c>
      <c r="D15" s="36">
        <f>+'344 Pace'!L21</f>
        <v>3484215.52</v>
      </c>
      <c r="E15" s="36"/>
      <c r="F15" s="36">
        <f>+'344 Pace'!R21</f>
        <v>2551489.9789016424</v>
      </c>
      <c r="H15" s="75">
        <f>ROUND(+'344 Pace'!P12,3)</f>
        <v>0.13400000000000001</v>
      </c>
      <c r="J15" s="36">
        <f>+D15*H15</f>
        <v>466884.87968000001</v>
      </c>
    </row>
    <row r="16" spans="1:10" x14ac:dyDescent="0.25">
      <c r="A16">
        <v>345</v>
      </c>
      <c r="B16" t="s">
        <v>14</v>
      </c>
      <c r="D16" s="36">
        <f>+'345 Pace'!L21</f>
        <v>679779.12</v>
      </c>
      <c r="E16" s="36"/>
      <c r="F16" s="36">
        <f>+'345 Pace'!R21</f>
        <v>453185.54894726607</v>
      </c>
      <c r="H16" s="75">
        <f>ROUND(+'345 Pace'!P12,3)</f>
        <v>0.16700000000000001</v>
      </c>
      <c r="J16" s="36">
        <f>+D16*H16</f>
        <v>113523.11304000001</v>
      </c>
    </row>
    <row r="17" spans="1:10" x14ac:dyDescent="0.25">
      <c r="B17" t="s">
        <v>97</v>
      </c>
      <c r="D17" s="37">
        <f>SUM(D14:D16)</f>
        <v>11496152.699999999</v>
      </c>
      <c r="E17" s="38"/>
      <c r="F17" s="37">
        <f>SUM(F14:F16)</f>
        <v>8855731.3957870658</v>
      </c>
      <c r="G17" s="38"/>
      <c r="H17" s="76">
        <f>ROUND(+J17/D17,3)</f>
        <v>0.115</v>
      </c>
      <c r="I17" s="38"/>
      <c r="J17" s="37">
        <f>SUM(J14:J16)</f>
        <v>1320955.9567800001</v>
      </c>
    </row>
    <row r="19" spans="1:10" x14ac:dyDescent="0.25">
      <c r="A19" s="39" t="s">
        <v>98</v>
      </c>
    </row>
    <row r="20" spans="1:10" x14ac:dyDescent="0.25">
      <c r="A20">
        <v>341</v>
      </c>
      <c r="B20" t="s">
        <v>18</v>
      </c>
      <c r="D20" s="36">
        <f>+'341 Perdido'!L$21</f>
        <v>2221639.92</v>
      </c>
      <c r="E20" s="36"/>
      <c r="F20" s="36">
        <f>+'341 Perdido'!R$21</f>
        <v>280794.56600000005</v>
      </c>
      <c r="H20" s="75">
        <f>ROUND(+'341 Perdido'!P$12,3)</f>
        <v>7.8E-2</v>
      </c>
      <c r="J20" s="36">
        <f>+D20*H20</f>
        <v>173287.91376</v>
      </c>
    </row>
    <row r="21" spans="1:10" x14ac:dyDescent="0.25">
      <c r="A21">
        <v>342</v>
      </c>
      <c r="B21" t="s">
        <v>15</v>
      </c>
      <c r="D21" s="36">
        <f>+'342 Perdido'!L$21</f>
        <v>797164.95</v>
      </c>
      <c r="E21" s="36"/>
      <c r="F21" s="36">
        <f>+'342 Perdido'!R$21</f>
        <v>162850.51750000002</v>
      </c>
      <c r="H21" s="75">
        <f>ROUND(+'342 Perdido'!P$12,3)</f>
        <v>6.7000000000000004E-2</v>
      </c>
      <c r="J21" s="36">
        <f>+D21*H21</f>
        <v>53410.051650000001</v>
      </c>
    </row>
    <row r="22" spans="1:10" x14ac:dyDescent="0.25">
      <c r="A22">
        <v>343</v>
      </c>
      <c r="B22" t="s">
        <v>17</v>
      </c>
      <c r="D22" s="36">
        <f>+'343 Perdido'!L$21</f>
        <v>3993649.29</v>
      </c>
      <c r="E22" s="36"/>
      <c r="F22" s="36">
        <f>+'343 Perdido'!R$21</f>
        <v>776142.82449999987</v>
      </c>
      <c r="H22" s="75">
        <f>ROUND(+'343 Perdido'!P$12,3)</f>
        <v>7.5999999999999998E-2</v>
      </c>
      <c r="J22" s="36">
        <f>+D22*H22</f>
        <v>303517.34603999997</v>
      </c>
    </row>
    <row r="23" spans="1:10" x14ac:dyDescent="0.25">
      <c r="A23">
        <v>345</v>
      </c>
      <c r="B23" t="s">
        <v>14</v>
      </c>
      <c r="D23" s="36">
        <f>+'345 Perdido'!L$21</f>
        <v>1056281.83</v>
      </c>
      <c r="E23" s="36"/>
      <c r="F23" s="36">
        <f>+'345 Perdido'!R$21</f>
        <v>224856.36149999997</v>
      </c>
      <c r="H23" s="75">
        <f>ROUND(+'345 Perdido'!P$12,3)</f>
        <v>6.7000000000000004E-2</v>
      </c>
      <c r="J23" s="36">
        <f>+D23*H23</f>
        <v>70770.882610000015</v>
      </c>
    </row>
    <row r="24" spans="1:10" x14ac:dyDescent="0.25">
      <c r="A24">
        <v>346</v>
      </c>
      <c r="B24" t="s">
        <v>16</v>
      </c>
      <c r="D24" s="36">
        <f>+'346 Perdido'!L$21</f>
        <v>170349.6</v>
      </c>
      <c r="E24" s="36"/>
      <c r="F24" s="36">
        <f>+'346 Perdido'!R$21</f>
        <v>184540.37</v>
      </c>
      <c r="H24" s="75">
        <f>ROUND(+'346 Perdido'!P$12,3)</f>
        <v>0</v>
      </c>
      <c r="J24" s="36">
        <f>+D24*H24</f>
        <v>0</v>
      </c>
    </row>
    <row r="25" spans="1:10" x14ac:dyDescent="0.25">
      <c r="B25" t="s">
        <v>99</v>
      </c>
      <c r="D25" s="37">
        <f>SUM(D20:D24)</f>
        <v>8239085.5899999999</v>
      </c>
      <c r="E25" s="38"/>
      <c r="F25" s="37">
        <f t="shared" ref="F25:J25" si="0">SUM(F20:F24)</f>
        <v>1629184.6394999996</v>
      </c>
      <c r="G25" s="38" t="s">
        <v>20</v>
      </c>
      <c r="H25" s="76">
        <f>ROUND(+J25/D25,3)</f>
        <v>7.2999999999999995E-2</v>
      </c>
      <c r="I25" s="38" t="s">
        <v>20</v>
      </c>
      <c r="J25" s="37">
        <f t="shared" si="0"/>
        <v>600986.19405999989</v>
      </c>
    </row>
    <row r="26" spans="1:10" x14ac:dyDescent="0.25">
      <c r="D26" s="7"/>
      <c r="E26" s="3"/>
      <c r="F26" s="7"/>
      <c r="G26" s="3"/>
      <c r="H26" s="77"/>
      <c r="I26" s="3"/>
      <c r="J26" s="7"/>
    </row>
    <row r="27" spans="1:10" x14ac:dyDescent="0.25">
      <c r="A27" s="39" t="s">
        <v>81</v>
      </c>
    </row>
    <row r="28" spans="1:10" x14ac:dyDescent="0.25">
      <c r="A28">
        <v>341</v>
      </c>
      <c r="B28" t="s">
        <v>18</v>
      </c>
      <c r="D28" s="36">
        <f>+'341 Smith CT'!L$21</f>
        <v>1369494.801560086</v>
      </c>
      <c r="E28" s="36"/>
      <c r="F28" s="36">
        <f>+'341 Smith CT'!R$21</f>
        <v>228002.01690592847</v>
      </c>
      <c r="H28" s="75">
        <f>ROUND(+'341 Smith CT'!P$12,3)</f>
        <v>8.5999999999999993E-2</v>
      </c>
      <c r="J28" s="36">
        <f t="shared" ref="J28:J33" si="1">+D28*H28</f>
        <v>117776.55293416738</v>
      </c>
    </row>
    <row r="29" spans="1:10" x14ac:dyDescent="0.25">
      <c r="A29">
        <v>342</v>
      </c>
      <c r="B29" t="s">
        <v>15</v>
      </c>
      <c r="D29" s="36">
        <f>+'342 Smith CT'!L$21</f>
        <v>946034.51165383589</v>
      </c>
      <c r="E29" s="36"/>
      <c r="F29" s="36">
        <f>+'342 Smith CT'!R$21</f>
        <v>20635.308383956966</v>
      </c>
      <c r="H29" s="75">
        <f>ROUND(+'342 Smith CT'!P$12,3)</f>
        <v>9.5000000000000001E-2</v>
      </c>
      <c r="J29" s="36">
        <f t="shared" si="1"/>
        <v>89873.278607114407</v>
      </c>
    </row>
    <row r="30" spans="1:10" x14ac:dyDescent="0.25">
      <c r="A30">
        <v>343</v>
      </c>
      <c r="B30" t="s">
        <v>17</v>
      </c>
      <c r="D30" s="36">
        <f>+'343 Smith CT'!L$21</f>
        <v>2608493.4349497212</v>
      </c>
      <c r="E30" s="36"/>
      <c r="F30" s="36">
        <f>+'343 Smith CT'!R$21</f>
        <v>294983.23247117538</v>
      </c>
      <c r="H30" s="75">
        <f>ROUND(+'343 Smith CT'!P$12,3)</f>
        <v>9.5000000000000001E-2</v>
      </c>
      <c r="J30" s="36">
        <f t="shared" si="1"/>
        <v>247806.87632022353</v>
      </c>
    </row>
    <row r="31" spans="1:10" x14ac:dyDescent="0.25">
      <c r="A31">
        <v>344</v>
      </c>
      <c r="B31" t="s">
        <v>19</v>
      </c>
      <c r="D31" s="36">
        <f>+'344 Smith CT'!L$21</f>
        <v>3856145.4118581293</v>
      </c>
      <c r="E31" s="36"/>
      <c r="F31" s="36">
        <f>+'344 Smith CT'!R$21</f>
        <v>3001457.0009857002</v>
      </c>
      <c r="H31" s="75">
        <f>ROUND(+'344 Smith CT'!P$12,3)</f>
        <v>0.02</v>
      </c>
      <c r="J31" s="36">
        <f t="shared" si="1"/>
        <v>77122.908237162585</v>
      </c>
    </row>
    <row r="32" spans="1:10" x14ac:dyDescent="0.25">
      <c r="A32">
        <v>345</v>
      </c>
      <c r="B32" t="s">
        <v>14</v>
      </c>
      <c r="D32" s="36">
        <f>+'345 Smith CT'!L$21</f>
        <v>3305588.1429691189</v>
      </c>
      <c r="E32" s="36"/>
      <c r="F32" s="36">
        <f>+'345 Smith CT'!R$21</f>
        <v>955780.25595591625</v>
      </c>
      <c r="H32" s="75">
        <f>ROUND(+'345 Smith CT'!P$12,3)</f>
        <v>7.0000000000000007E-2</v>
      </c>
      <c r="J32" s="36">
        <f t="shared" si="1"/>
        <v>231391.17000783834</v>
      </c>
    </row>
    <row r="33" spans="1:10" x14ac:dyDescent="0.25">
      <c r="A33">
        <v>346</v>
      </c>
      <c r="B33" t="s">
        <v>16</v>
      </c>
      <c r="D33" s="36">
        <f>+'346 Smith CT'!L$21</f>
        <v>50915.126017081006</v>
      </c>
      <c r="E33" s="36"/>
      <c r="F33" s="36">
        <f>+'346 Smith CT'!R$21</f>
        <v>-10911.452249719749</v>
      </c>
      <c r="H33" s="75">
        <f>ROUND(+'346 Smith CT'!P$12,3)</f>
        <v>0.122</v>
      </c>
      <c r="J33" s="36">
        <f t="shared" si="1"/>
        <v>6211.6453740838824</v>
      </c>
    </row>
    <row r="34" spans="1:10" x14ac:dyDescent="0.25">
      <c r="B34" t="s">
        <v>100</v>
      </c>
      <c r="D34" s="37">
        <f>SUM(D28:D33)</f>
        <v>12136671.429007972</v>
      </c>
      <c r="E34" s="38"/>
      <c r="F34" s="37">
        <f t="shared" ref="F34:J34" si="2">SUM(F28:F33)</f>
        <v>4489946.3624529568</v>
      </c>
      <c r="G34" s="37" t="s">
        <v>20</v>
      </c>
      <c r="H34" s="76">
        <f>ROUND(+J34/D34,3)</f>
        <v>6.3E-2</v>
      </c>
      <c r="I34" s="37" t="s">
        <v>20</v>
      </c>
      <c r="J34" s="37">
        <f t="shared" si="2"/>
        <v>770182.43148059025</v>
      </c>
    </row>
    <row r="36" spans="1:10" x14ac:dyDescent="0.25">
      <c r="A36" s="39" t="s">
        <v>83</v>
      </c>
    </row>
    <row r="37" spans="1:10" x14ac:dyDescent="0.25">
      <c r="A37">
        <v>341</v>
      </c>
      <c r="B37" t="s">
        <v>18</v>
      </c>
      <c r="D37" s="36">
        <f>+'341 Smith CC'!L$21</f>
        <v>28036877.442494899</v>
      </c>
      <c r="E37" s="36"/>
      <c r="F37" s="36">
        <f>+'341 Smith CC'!R$21</f>
        <v>2730555.9299999997</v>
      </c>
      <c r="H37" s="75">
        <f>ROUND(+'341 Smith CC'!P$12,3)</f>
        <v>4.7E-2</v>
      </c>
      <c r="J37" s="36">
        <f t="shared" ref="J37:J42" si="3">+D37*H37</f>
        <v>1317733.2397972601</v>
      </c>
    </row>
    <row r="38" spans="1:10" x14ac:dyDescent="0.25">
      <c r="A38">
        <v>342</v>
      </c>
      <c r="B38" t="s">
        <v>15</v>
      </c>
      <c r="D38" s="36">
        <f>+'342 Smith CC'!L$21</f>
        <v>4698022.0675461637</v>
      </c>
      <c r="E38" s="36"/>
      <c r="F38" s="36">
        <f>+'342 Smith CC'!R$21</f>
        <v>-569072.21968576114</v>
      </c>
      <c r="H38" s="75">
        <f>ROUND(+'342 Smith CC'!P$12,3)</f>
        <v>5.0999999999999997E-2</v>
      </c>
      <c r="J38" s="36">
        <f t="shared" si="3"/>
        <v>239599.12544485432</v>
      </c>
    </row>
    <row r="39" spans="1:10" x14ac:dyDescent="0.25">
      <c r="A39">
        <v>343</v>
      </c>
      <c r="B39" t="s">
        <v>17</v>
      </c>
      <c r="D39" s="36">
        <f>+'343 Smith CC'!L$21</f>
        <v>158457669.70162061</v>
      </c>
      <c r="E39" s="36"/>
      <c r="F39" s="36">
        <f>+'343 Smith CC'!R$21</f>
        <v>2430264.7199999951</v>
      </c>
      <c r="H39" s="75">
        <f>ROUND(+'343 Smith CC'!P$12,3)</f>
        <v>5.7000000000000002E-2</v>
      </c>
      <c r="J39" s="36">
        <f t="shared" si="3"/>
        <v>9032087.1729923747</v>
      </c>
    </row>
    <row r="40" spans="1:10" x14ac:dyDescent="0.25">
      <c r="A40">
        <v>344</v>
      </c>
      <c r="B40" t="s">
        <v>19</v>
      </c>
      <c r="D40" s="36">
        <f>+'344 Smith CC'!L$21</f>
        <v>84589043.539955035</v>
      </c>
      <c r="E40" s="36"/>
      <c r="F40" s="36">
        <f>+'344 Smith CC'!R$21</f>
        <v>26301331.82</v>
      </c>
      <c r="H40" s="75">
        <f>ROUND(+'344 Smith CC'!P$12,3)</f>
        <v>2.7E-2</v>
      </c>
      <c r="J40" s="36">
        <f t="shared" si="3"/>
        <v>2283904.1755787861</v>
      </c>
    </row>
    <row r="41" spans="1:10" x14ac:dyDescent="0.25">
      <c r="A41">
        <v>345</v>
      </c>
      <c r="B41" t="s">
        <v>14</v>
      </c>
      <c r="D41" s="36">
        <f>+'345 Smith CC'!L$21</f>
        <v>14007855.718325799</v>
      </c>
      <c r="E41" s="36"/>
      <c r="F41" s="36">
        <f>+'345 Smith CC'!R$21</f>
        <v>1449565.3</v>
      </c>
      <c r="H41" s="75">
        <f>ROUND(+'345 Smith CC'!P$12,3)</f>
        <v>4.2000000000000003E-2</v>
      </c>
      <c r="J41" s="36">
        <f t="shared" si="3"/>
        <v>588329.94016968366</v>
      </c>
    </row>
    <row r="42" spans="1:10" x14ac:dyDescent="0.25">
      <c r="A42">
        <v>346</v>
      </c>
      <c r="B42" t="s">
        <v>16</v>
      </c>
      <c r="D42" s="36">
        <f>+'346 Smith CC'!L$21</f>
        <v>2640194.1895929691</v>
      </c>
      <c r="E42" s="36"/>
      <c r="F42" s="36">
        <f>+'346 Smith CC'!R$21</f>
        <v>-934984.47</v>
      </c>
      <c r="H42" s="75">
        <f>ROUND(+'346 Smith CC'!P$12,3)</f>
        <v>6.6000000000000003E-2</v>
      </c>
      <c r="J42" s="36">
        <f t="shared" si="3"/>
        <v>174252.81651313597</v>
      </c>
    </row>
    <row r="43" spans="1:10" x14ac:dyDescent="0.25">
      <c r="B43" t="s">
        <v>124</v>
      </c>
      <c r="D43" s="37">
        <f>SUM(D37:D42)</f>
        <v>292429662.65953547</v>
      </c>
      <c r="E43" s="37"/>
      <c r="F43" s="37">
        <f t="shared" ref="F43:J43" si="4">SUM(F37:F42)</f>
        <v>31407661.080314238</v>
      </c>
      <c r="G43" s="37"/>
      <c r="H43" s="76">
        <f>ROUND(+J43/D43,3)</f>
        <v>4.7E-2</v>
      </c>
      <c r="I43" s="37" t="s">
        <v>20</v>
      </c>
      <c r="J43" s="37">
        <f t="shared" si="4"/>
        <v>13635906.470496096</v>
      </c>
    </row>
  </sheetData>
  <mergeCells count="4">
    <mergeCell ref="A1:J1"/>
    <mergeCell ref="A3:J3"/>
    <mergeCell ref="A4:J4"/>
    <mergeCell ref="A5:J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C8" sqref="C8"/>
    </sheetView>
  </sheetViews>
  <sheetFormatPr defaultRowHeight="15" x14ac:dyDescent="0.25"/>
  <cols>
    <col min="1" max="1" width="8.85546875" customWidth="1"/>
    <col min="2" max="2" width="17" customWidth="1"/>
    <col min="3" max="3" width="18.7109375" customWidth="1"/>
    <col min="4" max="4" width="11" style="75" customWidth="1"/>
    <col min="5" max="5" width="22.140625" customWidth="1"/>
    <col min="6" max="6" width="15" customWidth="1"/>
    <col min="7" max="7" width="19.7109375" customWidth="1"/>
    <col min="8" max="8" width="19.85546875" customWidth="1"/>
  </cols>
  <sheetData>
    <row r="1" spans="1:9" ht="15.75" x14ac:dyDescent="0.25">
      <c r="A1" s="91" t="s">
        <v>75</v>
      </c>
      <c r="B1" s="91">
        <v>0</v>
      </c>
      <c r="C1" s="91">
        <v>0</v>
      </c>
      <c r="D1" s="91">
        <v>0</v>
      </c>
      <c r="E1" s="91">
        <v>0</v>
      </c>
      <c r="F1" s="91">
        <v>0</v>
      </c>
      <c r="G1" s="92">
        <v>0</v>
      </c>
      <c r="H1" s="92">
        <v>0</v>
      </c>
    </row>
    <row r="2" spans="1:9" ht="15.75" x14ac:dyDescent="0.25">
      <c r="A2" s="91" t="s">
        <v>108</v>
      </c>
      <c r="B2" s="91">
        <v>0</v>
      </c>
      <c r="C2" s="91">
        <v>0</v>
      </c>
      <c r="D2" s="91">
        <v>0</v>
      </c>
      <c r="E2" s="91">
        <v>0</v>
      </c>
      <c r="F2" s="91">
        <v>0</v>
      </c>
      <c r="G2" s="92">
        <v>0</v>
      </c>
      <c r="H2" s="92">
        <v>0</v>
      </c>
    </row>
    <row r="3" spans="1:9" ht="15.75" x14ac:dyDescent="0.25">
      <c r="A3" s="91" t="s">
        <v>20</v>
      </c>
      <c r="B3" s="91">
        <v>0</v>
      </c>
      <c r="C3" s="91">
        <v>0</v>
      </c>
      <c r="D3" s="91">
        <v>0</v>
      </c>
      <c r="E3" s="91">
        <v>0</v>
      </c>
      <c r="F3" s="91">
        <v>0</v>
      </c>
      <c r="G3" s="92">
        <v>0</v>
      </c>
      <c r="H3" s="92">
        <v>0</v>
      </c>
    </row>
    <row r="4" spans="1:9" ht="15.75" x14ac:dyDescent="0.25">
      <c r="A4" s="46"/>
      <c r="B4" s="46"/>
      <c r="C4" s="46"/>
      <c r="D4" s="78" t="s">
        <v>103</v>
      </c>
      <c r="E4" s="46" t="s">
        <v>85</v>
      </c>
      <c r="F4" s="47" t="s">
        <v>84</v>
      </c>
      <c r="G4" s="46" t="s">
        <v>85</v>
      </c>
      <c r="H4" s="48"/>
    </row>
    <row r="5" spans="1:9" ht="15.75" x14ac:dyDescent="0.25">
      <c r="A5" s="46"/>
      <c r="B5" s="48"/>
      <c r="C5" s="49" t="s">
        <v>104</v>
      </c>
      <c r="D5" s="79" t="s">
        <v>85</v>
      </c>
      <c r="E5" s="49" t="s">
        <v>86</v>
      </c>
      <c r="F5" s="50" t="s">
        <v>85</v>
      </c>
      <c r="G5" s="49" t="s">
        <v>86</v>
      </c>
      <c r="H5" s="51"/>
    </row>
    <row r="6" spans="1:9" ht="15.75" x14ac:dyDescent="0.25">
      <c r="A6" s="48"/>
      <c r="B6" s="48"/>
      <c r="C6" s="52" t="s">
        <v>105</v>
      </c>
      <c r="D6" s="79" t="s">
        <v>86</v>
      </c>
      <c r="E6" s="49" t="s">
        <v>103</v>
      </c>
      <c r="F6" s="50" t="s">
        <v>86</v>
      </c>
      <c r="G6" s="52" t="s">
        <v>84</v>
      </c>
      <c r="H6" s="51"/>
    </row>
    <row r="7" spans="1:9" ht="15.75" x14ac:dyDescent="0.25">
      <c r="A7" s="53" t="s">
        <v>87</v>
      </c>
      <c r="B7" s="53" t="s">
        <v>88</v>
      </c>
      <c r="C7" s="54">
        <v>42735</v>
      </c>
      <c r="D7" s="80" t="s">
        <v>91</v>
      </c>
      <c r="E7" s="54" t="s">
        <v>106</v>
      </c>
      <c r="F7" s="55" t="s">
        <v>91</v>
      </c>
      <c r="G7" s="56" t="s">
        <v>106</v>
      </c>
      <c r="H7" s="54" t="s">
        <v>107</v>
      </c>
    </row>
    <row r="8" spans="1:9" ht="15.75" x14ac:dyDescent="0.25">
      <c r="A8" s="57" t="s">
        <v>109</v>
      </c>
      <c r="B8" s="58"/>
      <c r="C8" s="51"/>
      <c r="D8" s="79"/>
      <c r="E8" s="51"/>
      <c r="F8" s="50" t="s">
        <v>20</v>
      </c>
      <c r="G8" s="52"/>
      <c r="H8" s="51"/>
    </row>
    <row r="9" spans="1:9" ht="15.75" x14ac:dyDescent="0.25">
      <c r="A9" s="59"/>
      <c r="B9" s="59" t="s">
        <v>28</v>
      </c>
      <c r="C9" s="63">
        <f>'Composite Accr by Plt'!D17</f>
        <v>11496152.699999999</v>
      </c>
      <c r="D9" s="81">
        <v>5.2999999999999999E-2</v>
      </c>
      <c r="E9" s="63">
        <f>+C9*D9</f>
        <v>609296.09309999994</v>
      </c>
      <c r="F9" s="83">
        <f>'Composite Accr by Plt'!H17</f>
        <v>0.115</v>
      </c>
      <c r="G9" s="63">
        <f>+C9*F9</f>
        <v>1322057.5604999999</v>
      </c>
      <c r="H9" s="63">
        <f>+G9-E9</f>
        <v>712761.46739999996</v>
      </c>
      <c r="I9" s="59"/>
    </row>
    <row r="10" spans="1:9" ht="15.75" x14ac:dyDescent="0.25">
      <c r="A10" s="61"/>
      <c r="B10" s="59" t="s">
        <v>102</v>
      </c>
      <c r="C10" s="63">
        <f>'Composite Accr by Plt'!D25</f>
        <v>8239085.5899999999</v>
      </c>
      <c r="D10" s="81">
        <v>0.05</v>
      </c>
      <c r="E10" s="63">
        <f t="shared" ref="E10:E12" si="0">+C10*D10</f>
        <v>411954.2795</v>
      </c>
      <c r="F10" s="81">
        <f>'Composite Accr by Plt'!H25</f>
        <v>7.2999999999999995E-2</v>
      </c>
      <c r="G10" s="63">
        <f t="shared" ref="G10:G12" si="1">+C10*F10</f>
        <v>601453.24806999997</v>
      </c>
      <c r="H10" s="63">
        <f t="shared" ref="H10:H12" si="2">+G10-E10</f>
        <v>189498.96856999997</v>
      </c>
      <c r="I10" s="59"/>
    </row>
    <row r="11" spans="1:9" ht="15.75" x14ac:dyDescent="0.25">
      <c r="A11" s="61"/>
      <c r="B11" s="59" t="s">
        <v>101</v>
      </c>
      <c r="C11" s="63">
        <f>'Composite Accr by Plt'!D34</f>
        <v>12136671.429007972</v>
      </c>
      <c r="D11" s="81">
        <v>3.5999999999999997E-2</v>
      </c>
      <c r="E11" s="63">
        <f t="shared" si="0"/>
        <v>436920.17144428694</v>
      </c>
      <c r="F11" s="81">
        <f>'Composite Accr by Plt'!H34</f>
        <v>6.3E-2</v>
      </c>
      <c r="G11" s="63">
        <f t="shared" si="1"/>
        <v>764610.30002750224</v>
      </c>
      <c r="H11" s="63">
        <f t="shared" si="2"/>
        <v>327690.12858321529</v>
      </c>
      <c r="I11" s="59"/>
    </row>
    <row r="12" spans="1:9" ht="15.75" x14ac:dyDescent="0.25">
      <c r="A12" s="61"/>
      <c r="B12" s="59" t="s">
        <v>110</v>
      </c>
      <c r="C12" s="63">
        <f>'Composite Accr by Plt'!D43</f>
        <v>292429662.65953547</v>
      </c>
      <c r="D12" s="81">
        <v>2.8000000000000001E-2</v>
      </c>
      <c r="E12" s="63">
        <f t="shared" si="0"/>
        <v>8188030.5544669935</v>
      </c>
      <c r="F12" s="81">
        <f>'Composite Accr by Plt'!H43</f>
        <v>4.7E-2</v>
      </c>
      <c r="G12" s="63">
        <f t="shared" si="1"/>
        <v>13744194.144998167</v>
      </c>
      <c r="H12" s="63">
        <f t="shared" si="2"/>
        <v>5556163.5905311732</v>
      </c>
      <c r="I12" s="59"/>
    </row>
    <row r="13" spans="1:9" ht="15.75" x14ac:dyDescent="0.25">
      <c r="A13" s="61"/>
      <c r="B13" s="59"/>
      <c r="C13" s="64">
        <f>SUM(C9:C12)</f>
        <v>324301572.37854344</v>
      </c>
      <c r="D13" s="82"/>
      <c r="E13" s="64">
        <f t="shared" ref="E13:H13" si="3">SUM(E9:E12)</f>
        <v>9646201.0985112805</v>
      </c>
      <c r="F13" s="62" t="s">
        <v>20</v>
      </c>
      <c r="G13" s="64">
        <f t="shared" si="3"/>
        <v>16432315.253595669</v>
      </c>
      <c r="H13" s="64">
        <f t="shared" si="3"/>
        <v>6786114.1550843883</v>
      </c>
      <c r="I13" s="59"/>
    </row>
    <row r="14" spans="1:9" ht="15.75" x14ac:dyDescent="0.25">
      <c r="A14" s="61"/>
      <c r="B14" s="59"/>
      <c r="C14" s="60"/>
      <c r="D14" s="81"/>
      <c r="E14" s="59"/>
      <c r="F14" s="59"/>
      <c r="G14" s="59"/>
      <c r="H14" s="59"/>
      <c r="I14" s="59"/>
    </row>
    <row r="15" spans="1:9" ht="15.75" x14ac:dyDescent="0.25">
      <c r="A15" s="61"/>
      <c r="B15" s="59"/>
      <c r="C15" s="59"/>
      <c r="D15" s="81"/>
      <c r="E15" s="59"/>
      <c r="F15" s="59"/>
      <c r="G15" s="59"/>
      <c r="H15" s="59"/>
      <c r="I15" s="59"/>
    </row>
    <row r="16" spans="1:9" ht="15.75" x14ac:dyDescent="0.25">
      <c r="A16" s="61"/>
      <c r="B16" s="59"/>
      <c r="C16" s="59"/>
      <c r="D16" s="81"/>
      <c r="E16" s="59"/>
      <c r="F16" s="59"/>
      <c r="G16" s="59"/>
      <c r="H16" s="59"/>
      <c r="I16" s="59"/>
    </row>
    <row r="17" spans="2:9" ht="15.75" x14ac:dyDescent="0.25">
      <c r="B17" s="59"/>
      <c r="C17" s="59"/>
      <c r="D17" s="81"/>
      <c r="E17" s="59"/>
      <c r="F17" s="59"/>
      <c r="G17" s="59"/>
      <c r="H17" s="59"/>
      <c r="I17" s="59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7" workbookViewId="0">
      <selection activeCell="V28" sqref="V28"/>
    </sheetView>
  </sheetViews>
  <sheetFormatPr defaultRowHeight="15" x14ac:dyDescent="0.25"/>
  <cols>
    <col min="2" max="2" width="27.7109375" bestFit="1" customWidth="1"/>
    <col min="3" max="3" width="2.28515625" customWidth="1"/>
    <col min="4" max="4" width="18.42578125" customWidth="1"/>
    <col min="5" max="5" width="2.28515625" customWidth="1"/>
    <col min="6" max="6" width="18.28515625" customWidth="1"/>
    <col min="7" max="7" width="2.28515625" customWidth="1"/>
    <col min="8" max="8" width="13.5703125" bestFit="1" customWidth="1"/>
    <col min="9" max="9" width="2.28515625" customWidth="1"/>
    <col min="10" max="10" width="9.140625" style="75"/>
    <col min="11" max="11" width="2.28515625" style="75" customWidth="1"/>
    <col min="12" max="12" width="10.85546875" style="75" customWidth="1"/>
  </cols>
  <sheetData>
    <row r="1" spans="1:15" x14ac:dyDescent="0.25">
      <c r="A1" s="90" t="str">
        <f>'Composite Accr by Plt'!A1</f>
        <v>GULF POWER</v>
      </c>
      <c r="B1" s="90">
        <f>'Composite Accr by Plt'!B1</f>
        <v>0</v>
      </c>
      <c r="C1" s="90">
        <f>'Composite Accr by Plt'!C1</f>
        <v>0</v>
      </c>
      <c r="D1" s="90">
        <f>'Composite Accr by Plt'!D1</f>
        <v>0</v>
      </c>
      <c r="E1" s="90">
        <f>'Composite Accr by Plt'!E1</f>
        <v>0</v>
      </c>
      <c r="F1" s="90">
        <f>'Composite Accr by Plt'!F1</f>
        <v>0</v>
      </c>
      <c r="G1" s="90"/>
      <c r="H1" s="90"/>
      <c r="I1" s="90">
        <f>'Composite Accr by Plt'!G1</f>
        <v>0</v>
      </c>
      <c r="J1" s="90">
        <f>'Composite Accr by Plt'!H1</f>
        <v>0</v>
      </c>
      <c r="K1" s="90">
        <f>'Composite Accr by Plt'!I1</f>
        <v>0</v>
      </c>
      <c r="L1" s="90">
        <f>'Composite Accr by Plt'!J1</f>
        <v>0</v>
      </c>
    </row>
    <row r="2" spans="1:15" x14ac:dyDescent="0.25">
      <c r="A2" s="34"/>
      <c r="B2" s="34"/>
      <c r="C2" s="34"/>
      <c r="D2" s="34"/>
      <c r="E2" s="34"/>
      <c r="F2" s="34"/>
      <c r="G2" s="34"/>
      <c r="H2" s="34"/>
      <c r="I2" s="34"/>
      <c r="J2" s="71"/>
      <c r="K2" s="71"/>
      <c r="L2" s="71"/>
    </row>
    <row r="3" spans="1:15" x14ac:dyDescent="0.25">
      <c r="A3" s="90" t="s">
        <v>111</v>
      </c>
      <c r="B3" s="90">
        <f>'Composite Accr by Plt'!B3</f>
        <v>0</v>
      </c>
      <c r="C3" s="90">
        <f>'Composite Accr by Plt'!C3</f>
        <v>0</v>
      </c>
      <c r="D3" s="90">
        <f>'Composite Accr by Plt'!D3</f>
        <v>0</v>
      </c>
      <c r="E3" s="90">
        <f>'Composite Accr by Plt'!E3</f>
        <v>0</v>
      </c>
      <c r="F3" s="90">
        <f>'Composite Accr by Plt'!F3</f>
        <v>0</v>
      </c>
      <c r="G3" s="90"/>
      <c r="H3" s="90"/>
      <c r="I3" s="90">
        <f>'Composite Accr by Plt'!G3</f>
        <v>0</v>
      </c>
      <c r="J3" s="90">
        <f>'Composite Accr by Plt'!H3</f>
        <v>0</v>
      </c>
      <c r="K3" s="90">
        <f>'Composite Accr by Plt'!I3</f>
        <v>0</v>
      </c>
      <c r="L3" s="90">
        <f>'Composite Accr by Plt'!J3</f>
        <v>0</v>
      </c>
    </row>
    <row r="4" spans="1:15" x14ac:dyDescent="0.25">
      <c r="A4" s="90" t="str">
        <f>'Composite Accr by Plt'!A4</f>
        <v>For Other Production Plant</v>
      </c>
      <c r="B4" s="90">
        <f>'Composite Accr by Plt'!B4</f>
        <v>0</v>
      </c>
      <c r="C4" s="90">
        <f>'Composite Accr by Plt'!C4</f>
        <v>0</v>
      </c>
      <c r="D4" s="90">
        <f>'Composite Accr by Plt'!D4</f>
        <v>0</v>
      </c>
      <c r="E4" s="90">
        <f>'Composite Accr by Plt'!E4</f>
        <v>0</v>
      </c>
      <c r="F4" s="90">
        <f>'Composite Accr by Plt'!F4</f>
        <v>0</v>
      </c>
      <c r="G4" s="90"/>
      <c r="H4" s="90"/>
      <c r="I4" s="90">
        <f>'Composite Accr by Plt'!G4</f>
        <v>0</v>
      </c>
      <c r="J4" s="90">
        <f>'Composite Accr by Plt'!H4</f>
        <v>0</v>
      </c>
      <c r="K4" s="90">
        <f>'Composite Accr by Plt'!I4</f>
        <v>0</v>
      </c>
      <c r="L4" s="90">
        <f>'Composite Accr by Plt'!J4</f>
        <v>0</v>
      </c>
    </row>
    <row r="5" spans="1:15" x14ac:dyDescent="0.25">
      <c r="A5" s="90" t="str">
        <f>'Composite Accr by Plt'!A5</f>
        <v>As of December 31, 2016</v>
      </c>
      <c r="B5" s="90">
        <f>'Composite Accr by Plt'!B5</f>
        <v>0</v>
      </c>
      <c r="C5" s="90">
        <f>'Composite Accr by Plt'!C5</f>
        <v>0</v>
      </c>
      <c r="D5" s="90">
        <f>'Composite Accr by Plt'!D5</f>
        <v>0</v>
      </c>
      <c r="E5" s="90">
        <f>'Composite Accr by Plt'!E5</f>
        <v>0</v>
      </c>
      <c r="F5" s="90">
        <f>'Composite Accr by Plt'!F5</f>
        <v>0</v>
      </c>
      <c r="G5" s="90"/>
      <c r="H5" s="90"/>
      <c r="I5" s="90">
        <f>'Composite Accr by Plt'!G5</f>
        <v>0</v>
      </c>
      <c r="J5" s="90">
        <f>'Composite Accr by Plt'!H5</f>
        <v>0</v>
      </c>
      <c r="K5" s="90">
        <f>'Composite Accr by Plt'!I5</f>
        <v>0</v>
      </c>
      <c r="L5" s="90">
        <f>'Composite Accr by Plt'!J5</f>
        <v>0</v>
      </c>
    </row>
    <row r="7" spans="1:15" x14ac:dyDescent="0.25">
      <c r="A7" s="40"/>
      <c r="B7" s="40"/>
      <c r="C7" s="40"/>
      <c r="D7" s="40"/>
      <c r="E7" s="40"/>
      <c r="F7" s="40"/>
      <c r="G7" s="40"/>
      <c r="H7" s="40"/>
      <c r="I7" s="40"/>
      <c r="J7" s="72" t="str">
        <f>'Composite Accr by Plt'!H7</f>
        <v>Proposed</v>
      </c>
      <c r="K7" s="72"/>
      <c r="L7" s="73" t="s">
        <v>20</v>
      </c>
      <c r="M7" s="43" t="s">
        <v>20</v>
      </c>
    </row>
    <row r="8" spans="1:15" x14ac:dyDescent="0.25">
      <c r="A8" s="42"/>
      <c r="B8" s="42"/>
      <c r="C8" s="42"/>
      <c r="D8" s="42"/>
      <c r="E8" s="42"/>
      <c r="F8" s="42"/>
      <c r="G8" s="42"/>
      <c r="H8" s="42"/>
      <c r="I8" s="42"/>
      <c r="J8" s="73" t="str">
        <f>'Composite Accr by Plt'!H8</f>
        <v>Annual</v>
      </c>
      <c r="K8" s="73"/>
      <c r="L8" s="73" t="s">
        <v>117</v>
      </c>
      <c r="M8" s="43" t="s">
        <v>20</v>
      </c>
    </row>
    <row r="9" spans="1:15" x14ac:dyDescent="0.25">
      <c r="A9" s="42"/>
      <c r="B9" s="42"/>
      <c r="C9" s="42"/>
      <c r="D9" s="42"/>
      <c r="E9" s="42"/>
      <c r="F9" s="42"/>
      <c r="G9" s="42"/>
      <c r="H9" s="42"/>
      <c r="I9" s="42"/>
      <c r="J9" s="73" t="str">
        <f>'Composite Accr by Plt'!H9</f>
        <v>Accrual</v>
      </c>
      <c r="K9" s="73"/>
      <c r="L9" s="73" t="s">
        <v>113</v>
      </c>
    </row>
    <row r="10" spans="1:15" x14ac:dyDescent="0.25">
      <c r="A10" s="42"/>
      <c r="B10" s="42"/>
      <c r="C10" s="42"/>
      <c r="D10" s="42"/>
      <c r="E10" s="42"/>
      <c r="F10" s="43" t="s">
        <v>116</v>
      </c>
      <c r="G10" s="42"/>
      <c r="H10" s="42" t="s">
        <v>114</v>
      </c>
      <c r="I10" s="42"/>
      <c r="J10" s="73" t="str">
        <f>'Composite Accr by Plt'!H10</f>
        <v>Rate</v>
      </c>
      <c r="K10" s="73"/>
      <c r="L10" s="73" t="s">
        <v>86</v>
      </c>
    </row>
    <row r="11" spans="1:15" x14ac:dyDescent="0.25">
      <c r="A11" s="44" t="str">
        <f>'Composite Accr by Plt'!A10</f>
        <v>Account</v>
      </c>
      <c r="B11" s="45" t="str">
        <f>'Composite Accr by Plt'!B10</f>
        <v>Description</v>
      </c>
      <c r="C11" s="44" t="s">
        <v>20</v>
      </c>
      <c r="D11" s="45" t="str">
        <f>'Composite Accr by Plt'!D10</f>
        <v>Plant Balance</v>
      </c>
      <c r="E11" s="45" t="s">
        <v>20</v>
      </c>
      <c r="F11" s="45" t="s">
        <v>115</v>
      </c>
      <c r="G11" s="45"/>
      <c r="H11" s="45" t="s">
        <v>115</v>
      </c>
      <c r="I11" s="44" t="s">
        <v>20</v>
      </c>
      <c r="J11" s="84" t="s">
        <v>112</v>
      </c>
      <c r="K11" s="74"/>
      <c r="L11" s="84" t="s">
        <v>91</v>
      </c>
    </row>
    <row r="14" spans="1:15" x14ac:dyDescent="0.25">
      <c r="A14" s="39" t="str">
        <f>'Composite Accr by Plt'!A13</f>
        <v xml:space="preserve">PACE PLANT  </v>
      </c>
    </row>
    <row r="15" spans="1:15" x14ac:dyDescent="0.25">
      <c r="A15">
        <f>'Composite Accr by Plt'!A14</f>
        <v>343</v>
      </c>
      <c r="B15" t="str">
        <f>'Composite Accr by Plt'!B14</f>
        <v>Prime Movers</v>
      </c>
      <c r="D15" s="36">
        <f>'Composite Accr by Plt'!D14</f>
        <v>7332158.0600000005</v>
      </c>
      <c r="E15" s="36"/>
      <c r="F15" s="36">
        <f>'Composite Accr by Plt'!F14</f>
        <v>5851055.867938159</v>
      </c>
      <c r="G15" s="36"/>
      <c r="H15" s="36">
        <f>+'343 Pace'!P$9</f>
        <v>6507581.2226905553</v>
      </c>
      <c r="J15" s="75">
        <f>'Composite Accr by Plt'!H14</f>
        <v>0.10100000000000001</v>
      </c>
      <c r="L15" s="75">
        <f>ROUND((1-'343 Pace'!P$4)/'343 Pace'!P$7,3)</f>
        <v>5.6000000000000001E-2</v>
      </c>
      <c r="N15" s="86"/>
      <c r="O15" s="86"/>
    </row>
    <row r="16" spans="1:15" x14ac:dyDescent="0.25">
      <c r="A16">
        <f>'Composite Accr by Plt'!A15</f>
        <v>344</v>
      </c>
      <c r="B16" t="str">
        <f>'Composite Accr by Plt'!B15</f>
        <v>Generators</v>
      </c>
      <c r="D16" s="36">
        <f>'Composite Accr by Plt'!D15</f>
        <v>3484215.52</v>
      </c>
      <c r="E16" s="36"/>
      <c r="F16" s="36">
        <f>'Composite Accr by Plt'!F15</f>
        <v>2551489.9789016424</v>
      </c>
      <c r="G16" s="36"/>
      <c r="H16" s="36">
        <f>+'344 Pace'!P$9</f>
        <v>3062435.6310163401</v>
      </c>
      <c r="J16" s="75">
        <f>'Composite Accr by Plt'!H15</f>
        <v>0.13400000000000001</v>
      </c>
      <c r="L16" s="75">
        <f>ROUND((1-'344 Pace'!P$4)/'344 Pace'!P$7,3)</f>
        <v>6.0999999999999999E-2</v>
      </c>
      <c r="N16" s="86"/>
      <c r="O16" s="86"/>
    </row>
    <row r="17" spans="1:15" x14ac:dyDescent="0.25">
      <c r="A17">
        <f>'Composite Accr by Plt'!A16</f>
        <v>345</v>
      </c>
      <c r="B17" t="str">
        <f>'Composite Accr by Plt'!B16</f>
        <v>Accessory Electric Equipment</v>
      </c>
      <c r="D17" s="36">
        <f>'Composite Accr by Plt'!D16</f>
        <v>679779.12</v>
      </c>
      <c r="E17" s="36"/>
      <c r="F17" s="36">
        <f>'Composite Accr by Plt'!F16</f>
        <v>453185.54894726607</v>
      </c>
      <c r="G17" s="36"/>
      <c r="H17" s="36">
        <f>+'345 Pace'!P$9</f>
        <v>591058.04162687482</v>
      </c>
      <c r="J17" s="75">
        <f>'Composite Accr by Plt'!H16</f>
        <v>0.16700000000000001</v>
      </c>
      <c r="L17" s="75">
        <f>ROUND((1-'345 Pace'!P$4)/'345 Pace'!P$7,3)</f>
        <v>6.5000000000000002E-2</v>
      </c>
      <c r="N17" s="86"/>
      <c r="O17" s="86"/>
    </row>
    <row r="18" spans="1:15" x14ac:dyDescent="0.25">
      <c r="A18" t="s">
        <v>20</v>
      </c>
      <c r="B18" t="str">
        <f>'Composite Accr by Plt'!B17</f>
        <v>Total Pace Plant</v>
      </c>
      <c r="D18" s="37">
        <f>SUM(D15:D17)</f>
        <v>11496152.699999999</v>
      </c>
      <c r="E18" s="38"/>
      <c r="F18" s="37">
        <f>SUM(F15:F17)</f>
        <v>8855731.3957870658</v>
      </c>
      <c r="G18" s="37"/>
      <c r="H18" s="37">
        <f>SUM(H15:H17)</f>
        <v>10161074.895333771</v>
      </c>
      <c r="I18" s="38"/>
      <c r="J18" s="76">
        <f>'Composite Accr by Plt'!H17</f>
        <v>0.115</v>
      </c>
      <c r="K18" s="76"/>
      <c r="L18" s="85">
        <f>ROUND((D15*L15+D16*L16+D17*L17)/D18,3)</f>
        <v>5.8000000000000003E-2</v>
      </c>
      <c r="N18" s="86"/>
      <c r="O18" s="86"/>
    </row>
    <row r="19" spans="1:15" x14ac:dyDescent="0.25">
      <c r="N19" s="86"/>
      <c r="O19" s="86"/>
    </row>
    <row r="20" spans="1:15" x14ac:dyDescent="0.25">
      <c r="A20" s="39" t="str">
        <f>'Composite Accr by Plt'!A19</f>
        <v>PERDIDO LANDFILL</v>
      </c>
      <c r="N20" s="86"/>
      <c r="O20" s="86"/>
    </row>
    <row r="21" spans="1:15" x14ac:dyDescent="0.25">
      <c r="A21">
        <f>'Composite Accr by Plt'!A20</f>
        <v>341</v>
      </c>
      <c r="B21" t="str">
        <f>'Composite Accr by Plt'!B20</f>
        <v>Structures and Improvements</v>
      </c>
      <c r="D21" s="36">
        <f>'Composite Accr by Plt'!D20</f>
        <v>2221639.92</v>
      </c>
      <c r="E21" s="36"/>
      <c r="F21" s="36">
        <f>'Composite Accr by Plt'!F20</f>
        <v>280794.56600000005</v>
      </c>
      <c r="G21" s="36"/>
      <c r="H21" s="36">
        <f>+'341 Perdido'!P$9</f>
        <v>474078.19437444565</v>
      </c>
      <c r="J21" s="75">
        <f>'Composite Accr by Plt'!H20</f>
        <v>7.8E-2</v>
      </c>
      <c r="L21" s="75">
        <f>ROUND((1-'341 Perdido'!P$4)/'341 Perdido'!P$7,3)</f>
        <v>7.0000000000000007E-2</v>
      </c>
      <c r="N21" s="86"/>
      <c r="O21" s="86"/>
    </row>
    <row r="22" spans="1:15" x14ac:dyDescent="0.25">
      <c r="A22">
        <f>'Composite Accr by Plt'!A21</f>
        <v>342</v>
      </c>
      <c r="B22" t="str">
        <f>'Composite Accr by Plt'!B21</f>
        <v>Fuel Holders</v>
      </c>
      <c r="D22" s="36">
        <f>'Composite Accr by Plt'!D21</f>
        <v>797164.95</v>
      </c>
      <c r="E22" s="36"/>
      <c r="F22" s="36">
        <f>'Composite Accr by Plt'!F21</f>
        <v>162850.51750000002</v>
      </c>
      <c r="G22" s="36"/>
      <c r="H22" s="36">
        <f>+'342 Perdido'!P$9</f>
        <v>230991.4792173297</v>
      </c>
      <c r="J22" s="75">
        <f>'Composite Accr by Plt'!H21</f>
        <v>6.7000000000000004E-2</v>
      </c>
      <c r="L22" s="75">
        <f>ROUND((1-'342 Perdido'!P$4)/'342 Perdido'!P$7,3)</f>
        <v>0.06</v>
      </c>
      <c r="N22" s="86"/>
      <c r="O22" s="86"/>
    </row>
    <row r="23" spans="1:15" x14ac:dyDescent="0.25">
      <c r="A23">
        <f>'Composite Accr by Plt'!A22</f>
        <v>343</v>
      </c>
      <c r="B23" t="str">
        <f>'Composite Accr by Plt'!B22</f>
        <v>Prime Movers</v>
      </c>
      <c r="D23" s="36">
        <f>'Composite Accr by Plt'!D22</f>
        <v>3993649.29</v>
      </c>
      <c r="E23" s="36"/>
      <c r="F23" s="36">
        <f>'Composite Accr by Plt'!F22</f>
        <v>776142.82449999987</v>
      </c>
      <c r="G23" s="36"/>
      <c r="H23" s="36">
        <f>+'343 Perdido'!P$9</f>
        <v>1210542.6948229796</v>
      </c>
      <c r="J23" s="75">
        <f>'Composite Accr by Plt'!H22</f>
        <v>7.5999999999999998E-2</v>
      </c>
      <c r="L23" s="75">
        <f>ROUND((1-'343 Perdido'!P$4)/'343 Perdido'!P$7,3)</f>
        <v>6.6000000000000003E-2</v>
      </c>
      <c r="N23" s="86"/>
      <c r="O23" s="86"/>
    </row>
    <row r="24" spans="1:15" x14ac:dyDescent="0.25">
      <c r="A24">
        <f>'Composite Accr by Plt'!A23</f>
        <v>345</v>
      </c>
      <c r="B24" t="str">
        <f>'Composite Accr by Plt'!B23</f>
        <v>Accessory Electric Equipment</v>
      </c>
      <c r="D24" s="36">
        <f>'Composite Accr by Plt'!D23</f>
        <v>1056281.83</v>
      </c>
      <c r="E24" s="36"/>
      <c r="F24" s="36">
        <f>'Composite Accr by Plt'!F23</f>
        <v>224856.36149999997</v>
      </c>
      <c r="G24" s="36"/>
      <c r="H24" s="36">
        <f>+'345 Perdido'!P$9</f>
        <v>317573.07885560271</v>
      </c>
      <c r="J24" s="75">
        <f>'Composite Accr by Plt'!H23</f>
        <v>6.7000000000000004E-2</v>
      </c>
      <c r="L24" s="75">
        <f>ROUND((1-'345 Perdido'!P$4)/'345 Perdido'!P$7,3)</f>
        <v>0.06</v>
      </c>
      <c r="N24" s="86"/>
      <c r="O24" s="86"/>
    </row>
    <row r="25" spans="1:15" x14ac:dyDescent="0.25">
      <c r="A25">
        <f>'Composite Accr by Plt'!A24</f>
        <v>346</v>
      </c>
      <c r="B25" t="str">
        <f>'Composite Accr by Plt'!B24</f>
        <v>Misc Power Plant Equipment</v>
      </c>
      <c r="D25" s="36">
        <f>'Composite Accr by Plt'!D24</f>
        <v>170349.6</v>
      </c>
      <c r="E25" s="36"/>
      <c r="F25" s="36">
        <f>'Composite Accr by Plt'!F24</f>
        <v>184540.37</v>
      </c>
      <c r="G25" s="36"/>
      <c r="H25" s="36">
        <f>+'346 Perdido'!P$9</f>
        <v>26285.952134862589</v>
      </c>
      <c r="J25" s="75">
        <f>'Composite Accr by Plt'!H24</f>
        <v>0</v>
      </c>
      <c r="L25" s="75">
        <f>ROUND((1-'346 Perdido'!P$4)/'346 Perdido'!P$7,3)</f>
        <v>7.2999999999999995E-2</v>
      </c>
      <c r="N25" s="86"/>
      <c r="O25" s="86"/>
    </row>
    <row r="26" spans="1:15" x14ac:dyDescent="0.25">
      <c r="A26">
        <f>'Composite Accr by Plt'!A25</f>
        <v>0</v>
      </c>
      <c r="B26" t="str">
        <f>'Composite Accr by Plt'!B25</f>
        <v>Total Perdido Landfill</v>
      </c>
      <c r="D26" s="37">
        <f>SUM(D21:D25)</f>
        <v>8239085.5899999999</v>
      </c>
      <c r="E26" s="38"/>
      <c r="F26" s="37">
        <f>SUM(F21:F25)</f>
        <v>1629184.6394999996</v>
      </c>
      <c r="G26" s="37"/>
      <c r="H26" s="37">
        <f>SUM(H21:H25)</f>
        <v>2259471.3994052201</v>
      </c>
      <c r="I26" s="38"/>
      <c r="J26" s="76">
        <f>'Composite Accr by Plt'!H25</f>
        <v>7.2999999999999995E-2</v>
      </c>
      <c r="K26" s="76"/>
      <c r="L26" s="85">
        <f>ROUND((D21*L21+D22*L22+D23*L23+D24*L24+D25*L25)/D26,3)</f>
        <v>6.6000000000000003E-2</v>
      </c>
      <c r="N26" s="86"/>
      <c r="O26" s="86"/>
    </row>
    <row r="27" spans="1:15" x14ac:dyDescent="0.25">
      <c r="D27" s="7"/>
      <c r="E27" s="3"/>
      <c r="F27" s="7"/>
      <c r="G27" s="7"/>
      <c r="H27" s="7"/>
      <c r="I27" s="3"/>
      <c r="J27" s="77"/>
      <c r="K27" s="77"/>
      <c r="L27" s="77"/>
      <c r="N27" s="86"/>
      <c r="O27" s="86"/>
    </row>
    <row r="28" spans="1:15" x14ac:dyDescent="0.25">
      <c r="A28" s="39" t="str">
        <f>'Composite Accr by Plt'!A27</f>
        <v>SMITH CT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s="75" t="s">
        <v>20</v>
      </c>
      <c r="K28" s="75" t="s">
        <v>20</v>
      </c>
      <c r="L28" s="75" t="s">
        <v>20</v>
      </c>
      <c r="N28" s="86"/>
      <c r="O28" s="86"/>
    </row>
    <row r="29" spans="1:15" x14ac:dyDescent="0.25">
      <c r="A29">
        <f>'Composite Accr by Plt'!A28</f>
        <v>341</v>
      </c>
      <c r="B29" t="str">
        <f>'Composite Accr by Plt'!B28</f>
        <v>Structures and Improvements</v>
      </c>
      <c r="D29" s="36">
        <f>'Composite Accr by Plt'!D28</f>
        <v>1369494.801560086</v>
      </c>
      <c r="E29" s="36"/>
      <c r="F29" s="36">
        <f>'Composite Accr by Plt'!F28</f>
        <v>228002.01690592847</v>
      </c>
      <c r="G29" s="36"/>
      <c r="H29" s="36">
        <f>+'341 Smith CT'!P$9</f>
        <v>510085.77089446347</v>
      </c>
      <c r="J29" s="75">
        <f>'Composite Accr by Plt'!H28</f>
        <v>8.5999999999999993E-2</v>
      </c>
      <c r="L29" s="75">
        <f>ROUND((1-'341 Smith CT'!P$4)/'341 Smith CT'!P$7,3)</f>
        <v>6.5000000000000002E-2</v>
      </c>
      <c r="N29" s="86"/>
      <c r="O29" s="86"/>
    </row>
    <row r="30" spans="1:15" x14ac:dyDescent="0.25">
      <c r="A30">
        <f>'Composite Accr by Plt'!A29</f>
        <v>342</v>
      </c>
      <c r="B30" t="str">
        <f>'Composite Accr by Plt'!B29</f>
        <v>Fuel Holders</v>
      </c>
      <c r="D30" s="36">
        <f>'Composite Accr by Plt'!D29</f>
        <v>946034.51165383589</v>
      </c>
      <c r="E30" s="36"/>
      <c r="F30" s="36">
        <f>'Composite Accr by Plt'!F29</f>
        <v>20635.308383956966</v>
      </c>
      <c r="G30" s="36"/>
      <c r="H30" s="36">
        <f>+'342 Smith CT'!P$9</f>
        <v>243113.08612093667</v>
      </c>
      <c r="J30" s="75">
        <f>'Composite Accr by Plt'!H29</f>
        <v>9.5000000000000001E-2</v>
      </c>
      <c r="L30" s="75">
        <f>ROUND((1-'342 Smith CT'!P$4)/'342 Smith CT'!P$7,3)</f>
        <v>7.2999999999999995E-2</v>
      </c>
      <c r="N30" s="86"/>
      <c r="O30" s="86"/>
    </row>
    <row r="31" spans="1:15" x14ac:dyDescent="0.25">
      <c r="A31">
        <f>'Composite Accr by Plt'!A30</f>
        <v>343</v>
      </c>
      <c r="B31" t="str">
        <f>'Composite Accr by Plt'!B30</f>
        <v>Prime Movers</v>
      </c>
      <c r="D31" s="36">
        <f>'Composite Accr by Plt'!D30</f>
        <v>2608493.4349497212</v>
      </c>
      <c r="E31" s="36"/>
      <c r="F31" s="36">
        <f>'Composite Accr by Plt'!F30</f>
        <v>294983.23247117538</v>
      </c>
      <c r="G31" s="36"/>
      <c r="H31" s="36">
        <f>+'343 Smith CT'!P$9</f>
        <v>1008111.684813531</v>
      </c>
      <c r="J31" s="75">
        <f>'Composite Accr by Plt'!H30</f>
        <v>9.5000000000000001E-2</v>
      </c>
      <c r="L31" s="75">
        <f>ROUND((1-'343 Smith CT'!P$4)/'343 Smith CT'!P$7,3)</f>
        <v>6.6000000000000003E-2</v>
      </c>
      <c r="N31" s="86"/>
      <c r="O31" s="86"/>
    </row>
    <row r="32" spans="1:15" x14ac:dyDescent="0.25">
      <c r="A32">
        <f>'Composite Accr by Plt'!A31</f>
        <v>344</v>
      </c>
      <c r="B32" t="str">
        <f>'Composite Accr by Plt'!B31</f>
        <v>Generators</v>
      </c>
      <c r="D32" s="36">
        <f>'Composite Accr by Plt'!D31</f>
        <v>3856145.4118581293</v>
      </c>
      <c r="E32" s="36"/>
      <c r="F32" s="36">
        <f>'Composite Accr by Plt'!F31</f>
        <v>3001457.0009857002</v>
      </c>
      <c r="G32" s="36"/>
      <c r="H32" s="36">
        <f>+'344 Smith CT'!P$9</f>
        <v>2843377.598785962</v>
      </c>
      <c r="J32" s="75">
        <f>'Composite Accr by Plt'!H31</f>
        <v>0.02</v>
      </c>
      <c r="L32" s="75">
        <f>ROUND((1-'344 Smith CT'!P$4)/'344 Smith CT'!P$7,3)</f>
        <v>2.4E-2</v>
      </c>
      <c r="N32" s="86"/>
      <c r="O32" s="86"/>
    </row>
    <row r="33" spans="1:15" x14ac:dyDescent="0.25">
      <c r="A33">
        <f>'Composite Accr by Plt'!A32</f>
        <v>345</v>
      </c>
      <c r="B33" t="str">
        <f>'Composite Accr by Plt'!B32</f>
        <v>Accessory Electric Equipment</v>
      </c>
      <c r="D33" s="36">
        <f>'Composite Accr by Plt'!D32</f>
        <v>3305588.1429691189</v>
      </c>
      <c r="E33" s="36"/>
      <c r="F33" s="36">
        <f>'Composite Accr by Plt'!F32</f>
        <v>955780.25595591625</v>
      </c>
      <c r="G33" s="36"/>
      <c r="H33" s="36">
        <f>+'345 Smith CT'!P$9</f>
        <v>1919810.3511418861</v>
      </c>
      <c r="J33" s="75">
        <f>'Composite Accr by Plt'!H32</f>
        <v>7.0000000000000007E-2</v>
      </c>
      <c r="L33" s="75">
        <f>ROUND((1-'345 Smith CT'!P$4)/'345 Smith CT'!P$7,3)</f>
        <v>4.2000000000000003E-2</v>
      </c>
      <c r="N33" s="86"/>
      <c r="O33" s="86"/>
    </row>
    <row r="34" spans="1:15" x14ac:dyDescent="0.25">
      <c r="A34">
        <f>'Composite Accr by Plt'!A33</f>
        <v>346</v>
      </c>
      <c r="B34" t="str">
        <f>'Composite Accr by Plt'!B33</f>
        <v>Misc Power Plant Equipment</v>
      </c>
      <c r="D34" s="36">
        <f>'Composite Accr by Plt'!D33</f>
        <v>50915.126017081006</v>
      </c>
      <c r="E34" s="36"/>
      <c r="F34" s="36">
        <f>'Composite Accr by Plt'!F33</f>
        <v>-10911.452249719749</v>
      </c>
      <c r="G34" s="36"/>
      <c r="H34" s="36">
        <f>+'346 Smith CT'!P$9</f>
        <v>14450.541431620684</v>
      </c>
      <c r="J34" s="75">
        <f>'Composite Accr by Plt'!H33</f>
        <v>0.122</v>
      </c>
      <c r="L34" s="75">
        <f>ROUND((1-'346 Smith CT'!P$4)/'346 Smith CT'!P$7,3)</f>
        <v>7.1999999999999995E-2</v>
      </c>
      <c r="N34" s="86"/>
      <c r="O34" s="86"/>
    </row>
    <row r="35" spans="1:15" x14ac:dyDescent="0.25">
      <c r="A35">
        <f>'Composite Accr by Plt'!A34</f>
        <v>0</v>
      </c>
      <c r="B35" t="str">
        <f>'Composite Accr by Plt'!B34</f>
        <v>Total Smith CT</v>
      </c>
      <c r="D35" s="37">
        <f>SUM(D29:D34)</f>
        <v>12136671.429007972</v>
      </c>
      <c r="E35" s="38"/>
      <c r="F35" s="37">
        <f>SUM(F29:F34)</f>
        <v>4489946.3624529568</v>
      </c>
      <c r="G35" s="37"/>
      <c r="H35" s="37">
        <f>SUM(H29:H34)</f>
        <v>6538949.0331883999</v>
      </c>
      <c r="I35" s="37"/>
      <c r="J35" s="76">
        <f>'Composite Accr by Plt'!H34</f>
        <v>6.3E-2</v>
      </c>
      <c r="K35" s="76"/>
      <c r="L35" s="85">
        <f>ROUND((D29*L29+D30*L30+D31*L31+D32*L32+D33*L33+D34*L34)/D35,3)</f>
        <v>4.7E-2</v>
      </c>
      <c r="N35" s="86"/>
      <c r="O35" s="86"/>
    </row>
    <row r="36" spans="1:15" x14ac:dyDescent="0.25">
      <c r="N36" s="86"/>
      <c r="O36" s="86"/>
    </row>
    <row r="37" spans="1:15" x14ac:dyDescent="0.25">
      <c r="A37" s="39" t="str">
        <f>'Composite Accr by Plt'!A36</f>
        <v>SMITH CC</v>
      </c>
      <c r="N37" s="86"/>
      <c r="O37" s="86"/>
    </row>
    <row r="38" spans="1:15" x14ac:dyDescent="0.25">
      <c r="A38">
        <f>'Composite Accr by Plt'!A37</f>
        <v>341</v>
      </c>
      <c r="B38" t="str">
        <f>'Composite Accr by Plt'!B37</f>
        <v>Structures and Improvements</v>
      </c>
      <c r="D38" s="36">
        <f>'Composite Accr by Plt'!D37</f>
        <v>28036877.442494899</v>
      </c>
      <c r="E38" s="36"/>
      <c r="F38" s="36">
        <f>'Composite Accr by Plt'!F37</f>
        <v>2730555.9299999997</v>
      </c>
      <c r="G38" s="36"/>
      <c r="H38" s="36">
        <f>+'341 Smith CT'!P$9</f>
        <v>510085.77089446347</v>
      </c>
      <c r="J38" s="75">
        <f>'Composite Accr by Plt'!H37</f>
        <v>4.7E-2</v>
      </c>
      <c r="L38" s="75">
        <f>ROUND((1-'341 Smith CC'!P$4)/'341 Smith CC'!P$7,3)</f>
        <v>3.6999999999999998E-2</v>
      </c>
      <c r="N38" s="86"/>
      <c r="O38" s="86"/>
    </row>
    <row r="39" spans="1:15" x14ac:dyDescent="0.25">
      <c r="A39">
        <f>'Composite Accr by Plt'!A38</f>
        <v>342</v>
      </c>
      <c r="B39" t="str">
        <f>'Composite Accr by Plt'!B38</f>
        <v>Fuel Holders</v>
      </c>
      <c r="D39" s="36">
        <f>'Composite Accr by Plt'!D38</f>
        <v>4698022.0675461637</v>
      </c>
      <c r="E39" s="36"/>
      <c r="F39" s="36">
        <f>'Composite Accr by Plt'!F38</f>
        <v>-569072.21968576114</v>
      </c>
      <c r="G39" s="36"/>
      <c r="H39" s="36">
        <f>+'342 Smith CT'!P$9</f>
        <v>243113.08612093667</v>
      </c>
      <c r="J39" s="75">
        <f>'Composite Accr by Plt'!H38</f>
        <v>5.0999999999999997E-2</v>
      </c>
      <c r="L39" s="75">
        <f>ROUND((1-'342 Smith CC'!P$4)/'342 Smith CC'!P$7,3)</f>
        <v>3.9E-2</v>
      </c>
      <c r="N39" s="86"/>
      <c r="O39" s="86"/>
    </row>
    <row r="40" spans="1:15" x14ac:dyDescent="0.25">
      <c r="A40">
        <f>'Composite Accr by Plt'!A39</f>
        <v>343</v>
      </c>
      <c r="B40" t="str">
        <f>'Composite Accr by Plt'!B39</f>
        <v>Prime Movers</v>
      </c>
      <c r="D40" s="36">
        <f>'Composite Accr by Plt'!D39</f>
        <v>158457669.70162061</v>
      </c>
      <c r="E40" s="36"/>
      <c r="F40" s="36">
        <f>'Composite Accr by Plt'!F39</f>
        <v>2430264.7199999951</v>
      </c>
      <c r="G40" s="36"/>
      <c r="H40" s="36">
        <f>+'343 Smith CT'!P$9</f>
        <v>1008111.684813531</v>
      </c>
      <c r="J40" s="75">
        <f>'Composite Accr by Plt'!H39</f>
        <v>5.7000000000000002E-2</v>
      </c>
      <c r="L40" s="75">
        <f>ROUND((1-'343 Smith CC'!P$4)/'343 Smith CC'!P$7,3)</f>
        <v>3.9E-2</v>
      </c>
      <c r="N40" s="86"/>
      <c r="O40" s="86"/>
    </row>
    <row r="41" spans="1:15" x14ac:dyDescent="0.25">
      <c r="A41">
        <f>'Composite Accr by Plt'!A40</f>
        <v>344</v>
      </c>
      <c r="B41" t="str">
        <f>'Composite Accr by Plt'!B40</f>
        <v>Generators</v>
      </c>
      <c r="D41" s="36">
        <f>'Composite Accr by Plt'!D40</f>
        <v>84589043.539955035</v>
      </c>
      <c r="E41" s="36"/>
      <c r="F41" s="36">
        <f>'Composite Accr by Plt'!F40</f>
        <v>26301331.82</v>
      </c>
      <c r="G41" s="36"/>
      <c r="H41" s="36">
        <f>+'344 Smith CT'!P$9</f>
        <v>2843377.598785962</v>
      </c>
      <c r="J41" s="75">
        <f>'Composite Accr by Plt'!H40</f>
        <v>2.7E-2</v>
      </c>
      <c r="L41" s="75">
        <f>ROUND((1-'344 Smith CC'!P$4)/'344 Smith CC'!P$7,3)</f>
        <v>2.7E-2</v>
      </c>
      <c r="N41" s="86"/>
      <c r="O41" s="86"/>
    </row>
    <row r="42" spans="1:15" x14ac:dyDescent="0.25">
      <c r="A42">
        <f>'Composite Accr by Plt'!A41</f>
        <v>345</v>
      </c>
      <c r="B42" t="str">
        <f>'Composite Accr by Plt'!B41</f>
        <v>Accessory Electric Equipment</v>
      </c>
      <c r="D42" s="36">
        <f>'Composite Accr by Plt'!D41</f>
        <v>14007855.718325799</v>
      </c>
      <c r="E42" s="36"/>
      <c r="F42" s="36">
        <f>'Composite Accr by Plt'!F41</f>
        <v>1449565.3</v>
      </c>
      <c r="G42" s="36"/>
      <c r="H42" s="36">
        <f>+'345 Smith CT'!P$9</f>
        <v>1919810.3511418861</v>
      </c>
      <c r="J42" s="75">
        <f>'Composite Accr by Plt'!H41</f>
        <v>4.2000000000000003E-2</v>
      </c>
      <c r="L42" s="75">
        <f>ROUND((1-'345 Smith CC'!P$4)/'345 Smith CC'!P$7,3)</f>
        <v>3.4000000000000002E-2</v>
      </c>
      <c r="N42" s="86"/>
      <c r="O42" s="86"/>
    </row>
    <row r="43" spans="1:15" x14ac:dyDescent="0.25">
      <c r="A43">
        <f>'Composite Accr by Plt'!A42</f>
        <v>346</v>
      </c>
      <c r="B43" t="str">
        <f>'Composite Accr by Plt'!B42</f>
        <v>Misc Power Plant Equipment</v>
      </c>
      <c r="D43" s="36">
        <f>'Composite Accr by Plt'!D42</f>
        <v>2640194.1895929691</v>
      </c>
      <c r="E43" s="36"/>
      <c r="F43" s="36">
        <f>'Composite Accr by Plt'!F42</f>
        <v>-934984.47</v>
      </c>
      <c r="G43" s="36"/>
      <c r="H43" s="36">
        <f>+'346 Smith CT'!P$9</f>
        <v>14450.541431620684</v>
      </c>
      <c r="J43" s="75">
        <f>'Composite Accr by Plt'!H42</f>
        <v>6.6000000000000003E-2</v>
      </c>
      <c r="L43" s="75">
        <f>ROUND((1-'346 Smith CC'!P$4)/'346 Smith CC'!P$7,3)</f>
        <v>4.5999999999999999E-2</v>
      </c>
      <c r="N43" s="86"/>
      <c r="O43" s="86"/>
    </row>
    <row r="44" spans="1:15" x14ac:dyDescent="0.25">
      <c r="A44" t="s">
        <v>20</v>
      </c>
      <c r="B44" t="str">
        <f>'Composite Accr by Plt'!B43</f>
        <v>Total Smith CC</v>
      </c>
      <c r="D44" s="37">
        <f>SUM(D38:D43)</f>
        <v>292429662.65953547</v>
      </c>
      <c r="E44" s="37"/>
      <c r="F44" s="37">
        <f>SUM(F38:F43)</f>
        <v>31407661.080314238</v>
      </c>
      <c r="G44" s="37"/>
      <c r="H44" s="37">
        <f>SUM(H38:H43)</f>
        <v>6538949.0331883999</v>
      </c>
      <c r="I44" s="37"/>
      <c r="J44" s="76">
        <f>'Composite Accr by Plt'!H43</f>
        <v>4.7E-2</v>
      </c>
      <c r="K44" s="76"/>
      <c r="L44" s="85">
        <f>ROUND((D38*L38+D39*L39+D40*L40+D41*L41+D42*L42+D43*L43)/D44,3)</f>
        <v>3.5000000000000003E-2</v>
      </c>
      <c r="N44" s="86"/>
      <c r="O44" s="86"/>
    </row>
  </sheetData>
  <mergeCells count="4">
    <mergeCell ref="A1:L1"/>
    <mergeCell ref="A3:L3"/>
    <mergeCell ref="A4:L4"/>
    <mergeCell ref="A5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L15" sqref="L15"/>
    </sheetView>
  </sheetViews>
  <sheetFormatPr defaultRowHeight="15" x14ac:dyDescent="0.25"/>
  <cols>
    <col min="3" max="3" width="1.140625" customWidth="1"/>
    <col min="5" max="5" width="0.7109375" customWidth="1"/>
    <col min="6" max="6" width="14" customWidth="1"/>
    <col min="7" max="7" width="2.85546875" customWidth="1"/>
    <col min="9" max="9" width="2.140625" customWidth="1"/>
    <col min="11" max="11" width="3" customWidth="1"/>
    <col min="12" max="12" width="13.5703125" customWidth="1"/>
    <col min="13" max="13" width="2.28515625" customWidth="1"/>
    <col min="14" max="14" width="17.5703125" customWidth="1"/>
    <col min="15" max="15" width="2" customWidth="1"/>
    <col min="16" max="16" width="15.140625" customWidth="1"/>
    <col min="17" max="17" width="2.7109375" customWidth="1"/>
    <col min="18" max="18" width="15.5703125" customWidth="1"/>
  </cols>
  <sheetData>
    <row r="1" spans="1:18" x14ac:dyDescent="0.25">
      <c r="B1" s="16" t="s">
        <v>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B2" s="18" t="s">
        <v>32</v>
      </c>
      <c r="C2" s="17"/>
      <c r="D2" s="17"/>
      <c r="E2" s="17"/>
      <c r="F2" s="17"/>
      <c r="G2" s="17"/>
      <c r="H2" s="17"/>
      <c r="I2" s="17"/>
      <c r="J2" s="17"/>
      <c r="K2" s="17"/>
      <c r="L2" s="16" t="s">
        <v>33</v>
      </c>
      <c r="M2" s="17"/>
      <c r="N2" s="17"/>
      <c r="O2" s="17"/>
      <c r="P2" s="19">
        <f>'IRR and Int Ret %'!$F$8</f>
        <v>-0.05</v>
      </c>
      <c r="Q2" s="17"/>
      <c r="R2" s="17"/>
    </row>
    <row r="3" spans="1:18" x14ac:dyDescent="0.25">
      <c r="B3" s="16" t="s">
        <v>76</v>
      </c>
      <c r="C3" s="17"/>
      <c r="D3" s="17"/>
      <c r="E3" s="17"/>
      <c r="F3" s="17"/>
      <c r="G3" s="17"/>
      <c r="H3" s="17"/>
      <c r="I3" s="17"/>
      <c r="J3" s="17"/>
      <c r="K3" s="17"/>
      <c r="L3" s="16" t="s">
        <v>34</v>
      </c>
      <c r="M3" s="17"/>
      <c r="N3" s="17"/>
      <c r="O3" s="17"/>
      <c r="P3" s="19">
        <v>0</v>
      </c>
      <c r="Q3" s="17"/>
      <c r="R3" s="17"/>
    </row>
    <row r="4" spans="1:18" x14ac:dyDescent="0.25">
      <c r="B4" s="87" t="s">
        <v>77</v>
      </c>
      <c r="C4" s="88"/>
      <c r="D4" s="88"/>
      <c r="E4" s="17"/>
      <c r="F4" s="17"/>
      <c r="G4" s="17"/>
      <c r="H4" s="17"/>
      <c r="I4" s="17"/>
      <c r="J4" s="17"/>
      <c r="K4" s="17"/>
      <c r="L4" s="16" t="s">
        <v>35</v>
      </c>
      <c r="M4" s="17"/>
      <c r="N4" s="17"/>
      <c r="O4" s="17"/>
      <c r="P4" s="19">
        <f>(D26+H26)/(B26+F26)</f>
        <v>0</v>
      </c>
      <c r="Q4" s="17"/>
      <c r="R4" s="17"/>
    </row>
    <row r="5" spans="1:18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6" t="s">
        <v>36</v>
      </c>
      <c r="M5" s="17"/>
      <c r="N5" s="17"/>
      <c r="O5" s="17"/>
      <c r="P5" s="20">
        <f>'Avg Age'!$G$302</f>
        <v>14.521487206968185</v>
      </c>
      <c r="Q5" s="17"/>
      <c r="R5" s="17"/>
    </row>
    <row r="6" spans="1:18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6" t="s">
        <v>37</v>
      </c>
      <c r="M6" s="17"/>
      <c r="N6" s="17"/>
      <c r="O6" s="17"/>
      <c r="P6" s="21">
        <f>N26/(L21+J26)</f>
        <v>2</v>
      </c>
      <c r="Q6" s="17"/>
      <c r="R6" s="17"/>
    </row>
    <row r="7" spans="1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6" t="s">
        <v>38</v>
      </c>
      <c r="M7" s="17"/>
      <c r="N7" s="17"/>
      <c r="O7" s="17"/>
      <c r="P7" s="21">
        <f>P5+P6</f>
        <v>16.521487206968185</v>
      </c>
      <c r="Q7" s="17"/>
      <c r="R7" s="17"/>
    </row>
    <row r="8" spans="1:18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6" t="s">
        <v>39</v>
      </c>
      <c r="M8" s="17"/>
      <c r="N8" s="17"/>
      <c r="O8" s="17"/>
      <c r="P8" s="19">
        <f>R21/L21</f>
        <v>0.7322996996757658</v>
      </c>
      <c r="Q8" s="17"/>
      <c r="R8" s="17"/>
    </row>
    <row r="9" spans="1:18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6" t="s">
        <v>40</v>
      </c>
      <c r="M9" s="17"/>
      <c r="N9" s="17"/>
      <c r="O9" s="17"/>
      <c r="P9" s="17">
        <f>((P5/P7)*((1-P4))*L21)</f>
        <v>3062435.6310163401</v>
      </c>
      <c r="Q9" s="17"/>
      <c r="R9" s="17"/>
    </row>
    <row r="10" spans="1:18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 t="s">
        <v>41</v>
      </c>
      <c r="M10" s="17"/>
      <c r="N10" s="17"/>
      <c r="O10" s="17"/>
      <c r="P10" s="22">
        <f>'IRR and Int Ret %'!$D$8</f>
        <v>2.5000000000000001E-3</v>
      </c>
      <c r="Q10" s="17"/>
      <c r="R10" s="17"/>
    </row>
    <row r="11" spans="1:18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 t="s">
        <v>42</v>
      </c>
      <c r="M11" s="17"/>
      <c r="N11" s="17"/>
      <c r="O11" s="17"/>
      <c r="P11" s="23">
        <v>0</v>
      </c>
      <c r="Q11" s="17"/>
      <c r="R11" s="17"/>
    </row>
    <row r="12" spans="1:18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 t="s">
        <v>43</v>
      </c>
      <c r="M12" s="17"/>
      <c r="N12" s="17"/>
      <c r="O12" s="17"/>
      <c r="P12" s="24">
        <f>(L21+J26-D26-H26-R21)/N26</f>
        <v>0.13385015016211707</v>
      </c>
      <c r="Q12" s="17"/>
      <c r="R12" s="17"/>
    </row>
    <row r="13" spans="1:18" x14ac:dyDescent="0.25">
      <c r="B13" s="17"/>
      <c r="C13" s="17"/>
      <c r="D13" s="17"/>
      <c r="E13" s="17"/>
      <c r="F13" s="17"/>
      <c r="G13" s="17"/>
      <c r="H13" s="17">
        <v>0</v>
      </c>
      <c r="I13" s="17"/>
      <c r="J13" s="17"/>
      <c r="K13" s="17"/>
      <c r="L13" s="16" t="s">
        <v>44</v>
      </c>
      <c r="M13" s="17"/>
      <c r="N13" s="17"/>
      <c r="O13" s="17"/>
      <c r="P13" s="24">
        <f>-P4/P7</f>
        <v>0</v>
      </c>
      <c r="Q13" s="17"/>
      <c r="R13" s="17"/>
    </row>
    <row r="14" spans="1:18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 t="s">
        <v>123</v>
      </c>
      <c r="M14" s="17"/>
      <c r="N14" s="17"/>
      <c r="O14" s="17"/>
      <c r="P14" s="24">
        <f>P12-P13</f>
        <v>0.13385015016211707</v>
      </c>
      <c r="Q14" s="17"/>
      <c r="R14" s="17"/>
    </row>
    <row r="15" spans="1:18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5"/>
      <c r="M15" s="17"/>
      <c r="N15" s="17"/>
      <c r="O15" s="17"/>
      <c r="P15" s="17"/>
      <c r="Q15" s="17"/>
      <c r="R15" s="17"/>
    </row>
    <row r="16" spans="1:18" x14ac:dyDescent="0.25">
      <c r="A16" s="26" t="s">
        <v>45</v>
      </c>
      <c r="B16" s="25" t="s">
        <v>46</v>
      </c>
      <c r="C16" s="25"/>
      <c r="D16" s="25" t="s">
        <v>47</v>
      </c>
      <c r="E16" s="25"/>
      <c r="F16" s="25" t="s">
        <v>48</v>
      </c>
      <c r="G16" s="25"/>
      <c r="H16" s="25" t="s">
        <v>49</v>
      </c>
      <c r="I16" s="25"/>
      <c r="J16" s="25" t="s">
        <v>50</v>
      </c>
      <c r="K16" s="17"/>
      <c r="L16" s="25" t="s">
        <v>51</v>
      </c>
      <c r="M16" s="17"/>
      <c r="N16" s="25" t="s">
        <v>52</v>
      </c>
      <c r="O16" s="25"/>
      <c r="P16" s="25" t="s">
        <v>53</v>
      </c>
      <c r="Q16" s="25"/>
      <c r="R16" s="25" t="s">
        <v>54</v>
      </c>
    </row>
    <row r="17" spans="1:18" x14ac:dyDescent="0.25">
      <c r="A17" s="26"/>
      <c r="B17" s="25" t="s">
        <v>55</v>
      </c>
      <c r="C17" s="25"/>
      <c r="D17" s="25" t="s">
        <v>55</v>
      </c>
      <c r="E17" s="25"/>
      <c r="F17" s="25" t="s">
        <v>56</v>
      </c>
      <c r="G17" s="25"/>
      <c r="H17" s="25" t="s">
        <v>56</v>
      </c>
      <c r="I17" s="25"/>
      <c r="J17" s="25" t="s">
        <v>55</v>
      </c>
      <c r="K17" s="17"/>
      <c r="L17" s="25" t="s">
        <v>57</v>
      </c>
      <c r="M17" s="17"/>
      <c r="N17" s="25" t="s">
        <v>58</v>
      </c>
      <c r="O17" s="25"/>
      <c r="P17" s="25" t="s">
        <v>59</v>
      </c>
      <c r="Q17" s="25"/>
      <c r="R17" s="25" t="s">
        <v>57</v>
      </c>
    </row>
    <row r="18" spans="1:18" x14ac:dyDescent="0.25">
      <c r="A18" s="27" t="s">
        <v>60</v>
      </c>
      <c r="B18" s="28" t="s">
        <v>61</v>
      </c>
      <c r="C18" s="28"/>
      <c r="D18" s="28" t="s">
        <v>62</v>
      </c>
      <c r="E18" s="28"/>
      <c r="F18" s="28" t="s">
        <v>63</v>
      </c>
      <c r="G18" s="28"/>
      <c r="H18" s="28" t="s">
        <v>62</v>
      </c>
      <c r="I18" s="28"/>
      <c r="J18" s="28" t="s">
        <v>64</v>
      </c>
      <c r="K18" s="17"/>
      <c r="L18" s="28" t="s">
        <v>65</v>
      </c>
      <c r="M18" s="17"/>
      <c r="N18" s="28" t="s">
        <v>65</v>
      </c>
      <c r="O18" s="28"/>
      <c r="P18" s="28" t="s">
        <v>66</v>
      </c>
      <c r="Q18" s="28"/>
      <c r="R18" s="28" t="s">
        <v>67</v>
      </c>
    </row>
    <row r="19" spans="1:18" x14ac:dyDescent="0.25">
      <c r="B19" s="25" t="s">
        <v>68</v>
      </c>
      <c r="C19" s="17"/>
      <c r="D19" s="25" t="s">
        <v>68</v>
      </c>
      <c r="E19" s="17"/>
      <c r="F19" s="25" t="s">
        <v>68</v>
      </c>
      <c r="G19" s="17"/>
      <c r="H19" s="25" t="s">
        <v>68</v>
      </c>
      <c r="I19" s="17"/>
      <c r="J19" s="25" t="s">
        <v>68</v>
      </c>
      <c r="K19" s="17"/>
      <c r="L19" s="25" t="s">
        <v>68</v>
      </c>
      <c r="M19" s="17"/>
      <c r="N19" s="25" t="s">
        <v>68</v>
      </c>
      <c r="O19" s="17"/>
      <c r="P19" s="25" t="s">
        <v>68</v>
      </c>
      <c r="Q19" s="17"/>
      <c r="R19" s="25" t="s">
        <v>68</v>
      </c>
    </row>
    <row r="20" spans="1:18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>
        <v>2016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29">
        <f>'Avg Age'!$E$302</f>
        <v>3484215.52</v>
      </c>
      <c r="M21" s="17"/>
      <c r="N21" s="17"/>
      <c r="O21" s="17"/>
      <c r="P21" s="17"/>
      <c r="Q21" s="17"/>
      <c r="R21" s="30">
        <v>2551489.9789016424</v>
      </c>
    </row>
    <row r="22" spans="1:18" x14ac:dyDescent="0.25">
      <c r="A22">
        <f t="shared" ref="A22:A23" si="0">A21+1</f>
        <v>2017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>
        <f t="shared" ref="L22:L23" si="1">L21+J22-B22-F22</f>
        <v>3484215.52</v>
      </c>
      <c r="M22" s="17"/>
      <c r="N22" s="17">
        <f t="shared" ref="N22" si="2">(L21+L22)/2</f>
        <v>3484215.52</v>
      </c>
      <c r="O22" s="17"/>
      <c r="P22" s="17">
        <f t="shared" ref="P22:P23" si="3">N22*$P$12</f>
        <v>466362.77054917882</v>
      </c>
      <c r="Q22" s="17"/>
      <c r="R22" s="17">
        <f t="shared" ref="R22:R23" si="4">R21+P22-B22-F22+D22+H22</f>
        <v>3017852.7494508214</v>
      </c>
    </row>
    <row r="23" spans="1:18" x14ac:dyDescent="0.25">
      <c r="A23">
        <f t="shared" si="0"/>
        <v>2018</v>
      </c>
      <c r="B23" s="17"/>
      <c r="C23" s="17"/>
      <c r="D23" s="17"/>
      <c r="E23" s="17"/>
      <c r="F23" s="17">
        <f>+L22</f>
        <v>3484215.52</v>
      </c>
      <c r="G23" s="17"/>
      <c r="H23" s="17"/>
      <c r="I23" s="17"/>
      <c r="J23" s="17"/>
      <c r="K23" s="17"/>
      <c r="L23" s="17">
        <f t="shared" si="1"/>
        <v>0</v>
      </c>
      <c r="M23" s="17"/>
      <c r="N23" s="17">
        <f>+L22</f>
        <v>3484215.52</v>
      </c>
      <c r="O23" s="17"/>
      <c r="P23" s="17">
        <f t="shared" si="3"/>
        <v>466362.77054917882</v>
      </c>
      <c r="Q23" s="17"/>
      <c r="R23" s="17">
        <f t="shared" si="4"/>
        <v>4.6566128730773926E-10</v>
      </c>
    </row>
    <row r="24" spans="1:18" x14ac:dyDescent="0.25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26" t="s">
        <v>69</v>
      </c>
      <c r="B26" s="31">
        <f>SUM(B22:B24)</f>
        <v>0</v>
      </c>
      <c r="C26" s="31">
        <f>SUM(C22:C24)</f>
        <v>0</v>
      </c>
      <c r="D26" s="31">
        <f>SUM(D22:D24)</f>
        <v>0</v>
      </c>
      <c r="E26" s="17"/>
      <c r="F26" s="31">
        <f>SUM(F22:F24)</f>
        <v>3484215.52</v>
      </c>
      <c r="G26" s="17"/>
      <c r="H26" s="31">
        <f>SUM(H22:H24)</f>
        <v>0</v>
      </c>
      <c r="I26" s="17"/>
      <c r="J26" s="31">
        <f>SUM(J22:J24)</f>
        <v>0</v>
      </c>
      <c r="K26" s="17"/>
      <c r="L26" s="17"/>
      <c r="M26" s="17"/>
      <c r="N26" s="31">
        <f>SUM(N22:N24)</f>
        <v>6968431.04</v>
      </c>
      <c r="O26" s="17"/>
      <c r="P26" s="17"/>
      <c r="Q26" s="17"/>
      <c r="R26" s="17"/>
    </row>
  </sheetData>
  <mergeCells count="1">
    <mergeCell ref="B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P15" sqref="P15"/>
    </sheetView>
  </sheetViews>
  <sheetFormatPr defaultRowHeight="15" x14ac:dyDescent="0.25"/>
  <cols>
    <col min="3" max="3" width="2.5703125" customWidth="1"/>
    <col min="5" max="5" width="2.7109375" customWidth="1"/>
    <col min="7" max="7" width="3" customWidth="1"/>
    <col min="8" max="8" width="9.140625" customWidth="1"/>
    <col min="9" max="9" width="1.5703125" customWidth="1"/>
    <col min="11" max="11" width="3.28515625" customWidth="1"/>
    <col min="13" max="13" width="0.7109375" customWidth="1"/>
    <col min="14" max="14" width="11" customWidth="1"/>
    <col min="15" max="15" width="2.28515625" customWidth="1"/>
    <col min="17" max="17" width="1.85546875" customWidth="1"/>
  </cols>
  <sheetData>
    <row r="1" spans="1:18" x14ac:dyDescent="0.25">
      <c r="B1" s="16" t="s">
        <v>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B2" s="18" t="s">
        <v>70</v>
      </c>
      <c r="C2" s="17"/>
      <c r="D2" s="17"/>
      <c r="E2" s="17"/>
      <c r="F2" s="17"/>
      <c r="G2" s="17"/>
      <c r="H2" s="17"/>
      <c r="I2" s="17"/>
      <c r="J2" s="17"/>
      <c r="K2" s="17"/>
      <c r="L2" s="16" t="s">
        <v>33</v>
      </c>
      <c r="M2" s="17"/>
      <c r="N2" s="17"/>
      <c r="O2" s="17"/>
      <c r="P2" s="19">
        <f>'IRR and Int Ret %'!$F$9</f>
        <v>-0.05</v>
      </c>
      <c r="Q2" s="17"/>
      <c r="R2" s="17"/>
    </row>
    <row r="3" spans="1:18" x14ac:dyDescent="0.25">
      <c r="B3" s="16" t="s">
        <v>76</v>
      </c>
      <c r="C3" s="17"/>
      <c r="D3" s="17"/>
      <c r="E3" s="17"/>
      <c r="F3" s="17"/>
      <c r="G3" s="17"/>
      <c r="H3" s="17"/>
      <c r="I3" s="17"/>
      <c r="J3" s="17"/>
      <c r="K3" s="17"/>
      <c r="L3" s="16" t="s">
        <v>34</v>
      </c>
      <c r="M3" s="17"/>
      <c r="N3" s="17"/>
      <c r="O3" s="17"/>
      <c r="P3" s="19">
        <v>0</v>
      </c>
      <c r="Q3" s="17"/>
      <c r="R3" s="17"/>
    </row>
    <row r="4" spans="1:18" x14ac:dyDescent="0.25">
      <c r="B4" s="87" t="s">
        <v>77</v>
      </c>
      <c r="C4" s="88"/>
      <c r="D4" s="88"/>
      <c r="E4" s="17"/>
      <c r="F4" s="17"/>
      <c r="G4" s="17"/>
      <c r="H4" s="17"/>
      <c r="I4" s="17"/>
      <c r="J4" s="17"/>
      <c r="K4" s="17"/>
      <c r="L4" s="16" t="s">
        <v>35</v>
      </c>
      <c r="M4" s="17"/>
      <c r="N4" s="17"/>
      <c r="O4" s="17"/>
      <c r="P4" s="19">
        <f>(D25+H25)/(B25+F25)</f>
        <v>0</v>
      </c>
      <c r="Q4" s="17"/>
      <c r="R4" s="17"/>
    </row>
    <row r="5" spans="1:18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6" t="s">
        <v>36</v>
      </c>
      <c r="M5" s="17"/>
      <c r="N5" s="17"/>
      <c r="O5" s="17"/>
      <c r="P5" s="20">
        <f>'Avg Age'!$G$306</f>
        <v>13.323959818006768</v>
      </c>
      <c r="Q5" s="17"/>
      <c r="R5" s="17"/>
    </row>
    <row r="6" spans="1:18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6" t="s">
        <v>37</v>
      </c>
      <c r="M6" s="17"/>
      <c r="N6" s="17"/>
      <c r="O6" s="17"/>
      <c r="P6" s="21">
        <f>N25/(L21+J25)</f>
        <v>2</v>
      </c>
      <c r="Q6" s="17"/>
      <c r="R6" s="17"/>
    </row>
    <row r="7" spans="1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6" t="s">
        <v>38</v>
      </c>
      <c r="M7" s="17"/>
      <c r="N7" s="17"/>
      <c r="O7" s="17"/>
      <c r="P7" s="21">
        <f>P5+P6</f>
        <v>15.323959818006768</v>
      </c>
      <c r="Q7" s="17"/>
      <c r="R7" s="17"/>
    </row>
    <row r="8" spans="1:18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6" t="s">
        <v>39</v>
      </c>
      <c r="M8" s="17"/>
      <c r="N8" s="17"/>
      <c r="O8" s="17"/>
      <c r="P8" s="19">
        <f>R21/L21</f>
        <v>0.6666658854530072</v>
      </c>
      <c r="Q8" s="17"/>
      <c r="R8" s="17"/>
    </row>
    <row r="9" spans="1:18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6" t="s">
        <v>40</v>
      </c>
      <c r="M9" s="17"/>
      <c r="N9" s="17"/>
      <c r="O9" s="17"/>
      <c r="P9" s="17">
        <f>((P5/P7)*((1-P4))*L21)</f>
        <v>591058.04162687482</v>
      </c>
      <c r="Q9" s="17"/>
      <c r="R9" s="17"/>
    </row>
    <row r="10" spans="1:18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 t="s">
        <v>41</v>
      </c>
      <c r="M10" s="17"/>
      <c r="N10" s="17"/>
      <c r="O10" s="17"/>
      <c r="P10" s="22">
        <f>'IRR and Int Ret %'!$D$9</f>
        <v>1.4999999999999999E-2</v>
      </c>
      <c r="Q10" s="17"/>
      <c r="R10" s="17"/>
    </row>
    <row r="11" spans="1:18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 t="s">
        <v>42</v>
      </c>
      <c r="M11" s="17"/>
      <c r="N11" s="17"/>
      <c r="O11" s="17"/>
      <c r="P11" s="23">
        <v>0</v>
      </c>
      <c r="Q11" s="17"/>
      <c r="R11" s="17"/>
    </row>
    <row r="12" spans="1:18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 t="s">
        <v>43</v>
      </c>
      <c r="M12" s="17"/>
      <c r="N12" s="17"/>
      <c r="O12" s="17"/>
      <c r="P12" s="24">
        <f>(L21+J25-D25-H25-R21)/N25</f>
        <v>0.16666705727349637</v>
      </c>
      <c r="Q12" s="17"/>
      <c r="R12" s="17"/>
    </row>
    <row r="13" spans="1:18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6" t="s">
        <v>44</v>
      </c>
      <c r="M13" s="17"/>
      <c r="N13" s="17"/>
      <c r="O13" s="17"/>
      <c r="P13" s="24">
        <f>-P4/P7</f>
        <v>0</v>
      </c>
      <c r="Q13" s="17"/>
      <c r="R13" s="17"/>
    </row>
    <row r="14" spans="1:18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 t="s">
        <v>123</v>
      </c>
      <c r="M14" s="16"/>
      <c r="N14" s="16"/>
      <c r="O14" s="17"/>
      <c r="P14" s="24">
        <f>P12-P13</f>
        <v>0.16666705727349637</v>
      </c>
      <c r="Q14" s="17"/>
      <c r="R14" s="17"/>
    </row>
    <row r="15" spans="1:18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5"/>
      <c r="M15" s="17"/>
      <c r="N15" s="17"/>
      <c r="O15" s="17"/>
      <c r="P15" s="17"/>
      <c r="Q15" s="17"/>
      <c r="R15" s="17"/>
    </row>
    <row r="16" spans="1:18" x14ac:dyDescent="0.25">
      <c r="A16" s="26" t="s">
        <v>45</v>
      </c>
      <c r="B16" s="25" t="s">
        <v>46</v>
      </c>
      <c r="C16" s="25"/>
      <c r="D16" s="25" t="s">
        <v>47</v>
      </c>
      <c r="E16" s="25"/>
      <c r="F16" s="25" t="s">
        <v>48</v>
      </c>
      <c r="G16" s="25"/>
      <c r="H16" s="25" t="s">
        <v>49</v>
      </c>
      <c r="I16" s="25"/>
      <c r="J16" s="25" t="s">
        <v>50</v>
      </c>
      <c r="K16" s="17"/>
      <c r="L16" s="25" t="s">
        <v>51</v>
      </c>
      <c r="M16" s="17"/>
      <c r="N16" s="25" t="s">
        <v>52</v>
      </c>
      <c r="O16" s="25"/>
      <c r="P16" s="25" t="s">
        <v>53</v>
      </c>
      <c r="Q16" s="25"/>
      <c r="R16" s="25" t="s">
        <v>54</v>
      </c>
    </row>
    <row r="17" spans="1:18" x14ac:dyDescent="0.25">
      <c r="A17" s="26"/>
      <c r="B17" s="25" t="s">
        <v>55</v>
      </c>
      <c r="C17" s="25"/>
      <c r="D17" s="25" t="s">
        <v>55</v>
      </c>
      <c r="E17" s="25"/>
      <c r="F17" s="25" t="s">
        <v>56</v>
      </c>
      <c r="G17" s="25"/>
      <c r="H17" s="25" t="s">
        <v>56</v>
      </c>
      <c r="I17" s="25"/>
      <c r="J17" s="25" t="s">
        <v>55</v>
      </c>
      <c r="K17" s="17"/>
      <c r="L17" s="25" t="s">
        <v>57</v>
      </c>
      <c r="M17" s="17"/>
      <c r="N17" s="25" t="s">
        <v>58</v>
      </c>
      <c r="O17" s="25"/>
      <c r="P17" s="25" t="s">
        <v>59</v>
      </c>
      <c r="Q17" s="25"/>
      <c r="R17" s="25" t="s">
        <v>57</v>
      </c>
    </row>
    <row r="18" spans="1:18" x14ac:dyDescent="0.25">
      <c r="A18" s="27" t="s">
        <v>60</v>
      </c>
      <c r="B18" s="28" t="s">
        <v>61</v>
      </c>
      <c r="C18" s="28"/>
      <c r="D18" s="28" t="s">
        <v>62</v>
      </c>
      <c r="E18" s="28"/>
      <c r="F18" s="28" t="s">
        <v>63</v>
      </c>
      <c r="G18" s="28"/>
      <c r="H18" s="28" t="s">
        <v>62</v>
      </c>
      <c r="I18" s="28"/>
      <c r="J18" s="28" t="s">
        <v>64</v>
      </c>
      <c r="K18" s="17"/>
      <c r="L18" s="28" t="s">
        <v>65</v>
      </c>
      <c r="M18" s="17"/>
      <c r="N18" s="28" t="s">
        <v>65</v>
      </c>
      <c r="O18" s="28"/>
      <c r="P18" s="28" t="s">
        <v>66</v>
      </c>
      <c r="Q18" s="28"/>
      <c r="R18" s="28" t="s">
        <v>67</v>
      </c>
    </row>
    <row r="19" spans="1:18" x14ac:dyDescent="0.25">
      <c r="B19" s="25" t="s">
        <v>68</v>
      </c>
      <c r="C19" s="17"/>
      <c r="D19" s="25" t="s">
        <v>68</v>
      </c>
      <c r="E19" s="17"/>
      <c r="F19" s="25" t="s">
        <v>68</v>
      </c>
      <c r="G19" s="17"/>
      <c r="H19" s="25" t="s">
        <v>68</v>
      </c>
      <c r="I19" s="17"/>
      <c r="J19" s="25" t="s">
        <v>68</v>
      </c>
      <c r="K19" s="17"/>
      <c r="L19" s="25" t="s">
        <v>68</v>
      </c>
      <c r="M19" s="17"/>
      <c r="N19" s="25" t="s">
        <v>68</v>
      </c>
      <c r="O19" s="17"/>
      <c r="P19" s="25" t="s">
        <v>68</v>
      </c>
      <c r="Q19" s="17"/>
      <c r="R19" s="25" t="s">
        <v>68</v>
      </c>
    </row>
    <row r="20" spans="1:18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>
        <v>2016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0">
        <f>'Avg Age'!$E$306</f>
        <v>679779.12</v>
      </c>
      <c r="M21" s="17"/>
      <c r="N21" s="17"/>
      <c r="O21" s="17"/>
      <c r="P21" s="17"/>
      <c r="Q21" s="17"/>
      <c r="R21" s="30">
        <f>'[1]Accumulated_Reserve_(2015-2016)'!$R$89</f>
        <v>453185.54894726607</v>
      </c>
    </row>
    <row r="22" spans="1:18" x14ac:dyDescent="0.25">
      <c r="A22">
        <f t="shared" ref="A22:A23" si="0">A21+1</f>
        <v>2017</v>
      </c>
      <c r="B22" s="17"/>
      <c r="C22" s="17"/>
      <c r="D22" s="17">
        <f t="shared" ref="D22:D23" si="1">B22*$P$2</f>
        <v>0</v>
      </c>
      <c r="E22" s="17"/>
      <c r="F22" s="17"/>
      <c r="G22" s="17"/>
      <c r="H22" s="17"/>
      <c r="I22" s="17"/>
      <c r="J22" s="17">
        <f>B22*$P$11</f>
        <v>0</v>
      </c>
      <c r="K22" s="17"/>
      <c r="L22" s="17">
        <f t="shared" ref="L22:L23" si="2">L21+J22-B22-F22</f>
        <v>679779.12</v>
      </c>
      <c r="M22" s="17"/>
      <c r="N22" s="17">
        <f t="shared" ref="N22" si="3">(L21+L22)/2</f>
        <v>679779.12</v>
      </c>
      <c r="O22" s="17"/>
      <c r="P22" s="17">
        <f t="shared" ref="P22:P23" si="4">N22*$P$12</f>
        <v>113296.78552636696</v>
      </c>
      <c r="Q22" s="17"/>
      <c r="R22" s="17">
        <f t="shared" ref="R22:R23" si="5">R21+P22-B22-F22+D22+H22</f>
        <v>566482.33447363297</v>
      </c>
    </row>
    <row r="23" spans="1:18" x14ac:dyDescent="0.25">
      <c r="A23">
        <f t="shared" si="0"/>
        <v>2018</v>
      </c>
      <c r="B23" s="17"/>
      <c r="C23" s="17"/>
      <c r="D23" s="17">
        <f t="shared" si="1"/>
        <v>0</v>
      </c>
      <c r="E23" s="17"/>
      <c r="F23" s="17">
        <f>+L22</f>
        <v>679779.12</v>
      </c>
      <c r="G23" s="17"/>
      <c r="H23" s="17"/>
      <c r="I23" s="17"/>
      <c r="J23" s="17">
        <f>B23*$P$11</f>
        <v>0</v>
      </c>
      <c r="K23" s="17"/>
      <c r="L23" s="17">
        <f t="shared" si="2"/>
        <v>0</v>
      </c>
      <c r="M23" s="17"/>
      <c r="N23" s="17">
        <f>+L22</f>
        <v>679779.12</v>
      </c>
      <c r="O23" s="17"/>
      <c r="P23" s="17">
        <f t="shared" si="4"/>
        <v>113296.78552636696</v>
      </c>
      <c r="Q23" s="17"/>
      <c r="R23" s="17">
        <f t="shared" si="5"/>
        <v>-1.1641532182693481E-10</v>
      </c>
    </row>
    <row r="24" spans="1:18" x14ac:dyDescent="0.25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x14ac:dyDescent="0.25">
      <c r="A25" s="26" t="s">
        <v>69</v>
      </c>
      <c r="B25" s="31">
        <f>SUM(B22:B23)</f>
        <v>0</v>
      </c>
      <c r="C25" s="31"/>
      <c r="D25" s="31">
        <f>SUM(D22:D23)</f>
        <v>0</v>
      </c>
      <c r="E25" s="17"/>
      <c r="F25" s="31">
        <f>SUM(F22:F23)</f>
        <v>679779.12</v>
      </c>
      <c r="G25" s="17"/>
      <c r="H25" s="31">
        <f>SUM(H22:H23)</f>
        <v>0</v>
      </c>
      <c r="I25" s="17"/>
      <c r="J25" s="31">
        <f>SUM(J22:J23)</f>
        <v>0</v>
      </c>
      <c r="K25" s="17"/>
      <c r="L25" s="17"/>
      <c r="M25" s="17"/>
      <c r="N25" s="31">
        <f>SUM(N22:N23)</f>
        <v>1359558.24</v>
      </c>
      <c r="O25" s="17"/>
      <c r="P25" s="17"/>
      <c r="Q25" s="17"/>
      <c r="R25" s="17"/>
    </row>
    <row r="26" spans="1:18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</sheetData>
  <mergeCells count="1">
    <mergeCell ref="B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>
      <selection activeCell="L15" sqref="L15"/>
    </sheetView>
  </sheetViews>
  <sheetFormatPr defaultRowHeight="15" x14ac:dyDescent="0.25"/>
  <cols>
    <col min="3" max="3" width="2.7109375" customWidth="1"/>
    <col min="5" max="5" width="2.5703125" customWidth="1"/>
    <col min="6" max="6" width="13.5703125" customWidth="1"/>
    <col min="7" max="7" width="1.85546875" customWidth="1"/>
    <col min="8" max="8" width="13" customWidth="1"/>
    <col min="9" max="9" width="4" customWidth="1"/>
    <col min="11" max="11" width="2.42578125" customWidth="1"/>
    <col min="12" max="12" width="16.42578125" customWidth="1"/>
    <col min="13" max="13" width="3.5703125" customWidth="1"/>
    <col min="14" max="14" width="14" customWidth="1"/>
    <col min="15" max="15" width="3.85546875" customWidth="1"/>
    <col min="16" max="16" width="12.7109375" customWidth="1"/>
    <col min="17" max="17" width="3.7109375" customWidth="1"/>
    <col min="18" max="18" width="12.42578125" customWidth="1"/>
  </cols>
  <sheetData>
    <row r="1" spans="1:18" x14ac:dyDescent="0.25">
      <c r="B1" s="16" t="s">
        <v>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B2" s="16" t="s">
        <v>72</v>
      </c>
      <c r="C2" s="17"/>
      <c r="D2" s="17"/>
      <c r="E2" s="17"/>
      <c r="F2" s="17"/>
      <c r="G2" s="17"/>
      <c r="H2" s="17"/>
      <c r="I2" s="17"/>
      <c r="J2" s="17"/>
      <c r="K2" s="17"/>
      <c r="L2" s="16" t="s">
        <v>33</v>
      </c>
      <c r="M2" s="17"/>
      <c r="N2" s="17"/>
      <c r="O2" s="17"/>
      <c r="P2" s="19">
        <f>'IRR and Int Ret %'!$F$5</f>
        <v>-0.05</v>
      </c>
      <c r="Q2" s="17"/>
      <c r="R2" s="17"/>
    </row>
    <row r="3" spans="1:18" x14ac:dyDescent="0.25">
      <c r="B3" s="16" t="s">
        <v>78</v>
      </c>
      <c r="C3" s="17"/>
      <c r="D3" s="17"/>
      <c r="E3" s="17"/>
      <c r="F3" s="17"/>
      <c r="G3" s="17"/>
      <c r="H3" s="17"/>
      <c r="I3" s="17"/>
      <c r="J3" s="17"/>
      <c r="K3" s="17"/>
      <c r="L3" s="16" t="s">
        <v>34</v>
      </c>
      <c r="M3" s="17"/>
      <c r="N3" s="17"/>
      <c r="O3" s="17"/>
      <c r="P3" s="19">
        <v>0</v>
      </c>
      <c r="Q3" s="17"/>
      <c r="R3" s="17"/>
    </row>
    <row r="4" spans="1:18" x14ac:dyDescent="0.25">
      <c r="B4" s="33" t="s">
        <v>79</v>
      </c>
      <c r="C4" s="17"/>
      <c r="D4" s="17"/>
      <c r="E4" s="17"/>
      <c r="F4" s="17"/>
      <c r="G4" s="17"/>
      <c r="H4" s="17"/>
      <c r="I4" s="17"/>
      <c r="J4" s="17"/>
      <c r="K4" s="17"/>
      <c r="L4" s="16" t="s">
        <v>35</v>
      </c>
      <c r="M4" s="17"/>
      <c r="N4" s="17"/>
      <c r="O4" s="17"/>
      <c r="P4" s="19">
        <f>(D36+H36)/(B36+F36)</f>
        <v>-9.9724920721174851E-3</v>
      </c>
      <c r="Q4" s="17"/>
      <c r="R4" s="17"/>
    </row>
    <row r="5" spans="1:18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6" t="s">
        <v>36</v>
      </c>
      <c r="M5" s="17"/>
      <c r="N5" s="17"/>
      <c r="O5" s="17"/>
      <c r="P5" s="20">
        <f>'Avg Age'!$G$309</f>
        <v>3.0452547323690515</v>
      </c>
      <c r="Q5" s="17"/>
      <c r="R5" s="17"/>
    </row>
    <row r="6" spans="1:18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6" t="s">
        <v>37</v>
      </c>
      <c r="M6" s="17"/>
      <c r="N6" s="17"/>
      <c r="O6" s="17"/>
      <c r="P6" s="21">
        <f>N36/(L21+J36)</f>
        <v>11.367827438694944</v>
      </c>
      <c r="Q6" s="17"/>
      <c r="R6" s="17"/>
    </row>
    <row r="7" spans="1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6" t="s">
        <v>38</v>
      </c>
      <c r="M7" s="17"/>
      <c r="N7" s="17"/>
      <c r="O7" s="17"/>
      <c r="P7" s="21">
        <f>P5+P6</f>
        <v>14.413082171063994</v>
      </c>
      <c r="Q7" s="17"/>
      <c r="R7" s="17"/>
    </row>
    <row r="8" spans="1:18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6" t="s">
        <v>39</v>
      </c>
      <c r="M8" s="17"/>
      <c r="N8" s="17"/>
      <c r="O8" s="17"/>
      <c r="P8" s="19">
        <f>R21/L21</f>
        <v>0.12639067360654918</v>
      </c>
      <c r="Q8" s="17"/>
      <c r="R8" s="17"/>
    </row>
    <row r="9" spans="1:18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6" t="s">
        <v>40</v>
      </c>
      <c r="M9" s="17"/>
      <c r="N9" s="17"/>
      <c r="O9" s="17"/>
      <c r="P9" s="17">
        <f>((P5/P7)*((1-P4))*L21)</f>
        <v>474078.19437444565</v>
      </c>
      <c r="Q9" s="17"/>
      <c r="R9" s="17"/>
    </row>
    <row r="10" spans="1:18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 t="s">
        <v>41</v>
      </c>
      <c r="M10" s="17"/>
      <c r="N10" s="17"/>
      <c r="O10" s="17"/>
      <c r="P10" s="22">
        <f>'IRR and Int Ret %'!$D$5</f>
        <v>2.1999999999999999E-2</v>
      </c>
      <c r="Q10" s="17"/>
      <c r="R10" s="17"/>
    </row>
    <row r="11" spans="1:18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 t="s">
        <v>42</v>
      </c>
      <c r="M11" s="17"/>
      <c r="N11" s="17"/>
      <c r="O11" s="17"/>
      <c r="P11" s="23">
        <v>0</v>
      </c>
      <c r="Q11" s="17"/>
      <c r="R11" s="17"/>
    </row>
    <row r="12" spans="1:18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 t="s">
        <v>43</v>
      </c>
      <c r="M12" s="17"/>
      <c r="N12" s="17"/>
      <c r="O12" s="17"/>
      <c r="P12" s="24">
        <f>(L21+J36-D36-H36-R21)/N36</f>
        <v>7.7726533344264562E-2</v>
      </c>
      <c r="Q12" s="17"/>
      <c r="R12" s="17"/>
    </row>
    <row r="13" spans="1:18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6" t="s">
        <v>44</v>
      </c>
      <c r="M13" s="17"/>
      <c r="N13" s="17"/>
      <c r="O13" s="17"/>
      <c r="P13" s="24">
        <f>-P4/P7</f>
        <v>6.9190558644968171E-4</v>
      </c>
      <c r="Q13" s="17"/>
      <c r="R13" s="17"/>
    </row>
    <row r="14" spans="1:18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 t="s">
        <v>123</v>
      </c>
      <c r="M14" s="17"/>
      <c r="N14" s="17"/>
      <c r="O14" s="17"/>
      <c r="P14" s="24">
        <f>P12-P13</f>
        <v>7.7034627757814875E-2</v>
      </c>
      <c r="Q14" s="17"/>
      <c r="R14" s="17"/>
    </row>
    <row r="15" spans="1:18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5"/>
      <c r="M15" s="17"/>
      <c r="N15" s="17"/>
      <c r="O15" s="17"/>
      <c r="P15" s="17"/>
      <c r="Q15" s="17"/>
      <c r="R15" s="17"/>
    </row>
    <row r="16" spans="1:18" x14ac:dyDescent="0.25">
      <c r="A16" s="26" t="s">
        <v>45</v>
      </c>
      <c r="B16" s="25" t="s">
        <v>46</v>
      </c>
      <c r="C16" s="25"/>
      <c r="D16" s="25" t="s">
        <v>47</v>
      </c>
      <c r="E16" s="25"/>
      <c r="F16" s="25" t="s">
        <v>48</v>
      </c>
      <c r="G16" s="25"/>
      <c r="H16" s="25" t="s">
        <v>49</v>
      </c>
      <c r="I16" s="25"/>
      <c r="J16" s="25" t="s">
        <v>50</v>
      </c>
      <c r="K16" s="17"/>
      <c r="L16" s="25" t="s">
        <v>51</v>
      </c>
      <c r="M16" s="17"/>
      <c r="N16" s="25" t="s">
        <v>52</v>
      </c>
      <c r="O16" s="25"/>
      <c r="P16" s="25" t="s">
        <v>53</v>
      </c>
      <c r="Q16" s="25"/>
      <c r="R16" s="25" t="s">
        <v>54</v>
      </c>
    </row>
    <row r="17" spans="1:18" x14ac:dyDescent="0.25">
      <c r="A17" s="26"/>
      <c r="B17" s="25" t="s">
        <v>55</v>
      </c>
      <c r="C17" s="25"/>
      <c r="D17" s="25" t="s">
        <v>55</v>
      </c>
      <c r="E17" s="25"/>
      <c r="F17" s="25" t="s">
        <v>56</v>
      </c>
      <c r="G17" s="25"/>
      <c r="H17" s="25" t="s">
        <v>56</v>
      </c>
      <c r="I17" s="25"/>
      <c r="J17" s="25" t="s">
        <v>55</v>
      </c>
      <c r="K17" s="17"/>
      <c r="L17" s="25" t="s">
        <v>57</v>
      </c>
      <c r="M17" s="17"/>
      <c r="N17" s="25" t="s">
        <v>58</v>
      </c>
      <c r="O17" s="25"/>
      <c r="P17" s="25" t="s">
        <v>59</v>
      </c>
      <c r="Q17" s="25"/>
      <c r="R17" s="25" t="s">
        <v>57</v>
      </c>
    </row>
    <row r="18" spans="1:18" x14ac:dyDescent="0.25">
      <c r="A18" s="27" t="s">
        <v>60</v>
      </c>
      <c r="B18" s="28" t="s">
        <v>61</v>
      </c>
      <c r="C18" s="28"/>
      <c r="D18" s="28" t="s">
        <v>62</v>
      </c>
      <c r="E18" s="28"/>
      <c r="F18" s="28" t="s">
        <v>63</v>
      </c>
      <c r="G18" s="28"/>
      <c r="H18" s="28" t="s">
        <v>62</v>
      </c>
      <c r="I18" s="28"/>
      <c r="J18" s="28" t="s">
        <v>64</v>
      </c>
      <c r="K18" s="17"/>
      <c r="L18" s="28" t="s">
        <v>65</v>
      </c>
      <c r="M18" s="17"/>
      <c r="N18" s="28" t="s">
        <v>65</v>
      </c>
      <c r="O18" s="28"/>
      <c r="P18" s="28" t="s">
        <v>66</v>
      </c>
      <c r="Q18" s="28"/>
      <c r="R18" s="28" t="s">
        <v>67</v>
      </c>
    </row>
    <row r="19" spans="1:18" x14ac:dyDescent="0.25">
      <c r="B19" s="25" t="s">
        <v>68</v>
      </c>
      <c r="C19" s="17"/>
      <c r="D19" s="25" t="s">
        <v>68</v>
      </c>
      <c r="E19" s="17"/>
      <c r="F19" s="25" t="s">
        <v>68</v>
      </c>
      <c r="G19" s="17"/>
      <c r="H19" s="25" t="s">
        <v>68</v>
      </c>
      <c r="I19" s="17"/>
      <c r="J19" s="25" t="s">
        <v>68</v>
      </c>
      <c r="K19" s="17"/>
      <c r="L19" s="25" t="s">
        <v>68</v>
      </c>
      <c r="M19" s="17"/>
      <c r="N19" s="25" t="s">
        <v>68</v>
      </c>
      <c r="O19" s="17"/>
      <c r="P19" s="25" t="s">
        <v>68</v>
      </c>
      <c r="Q19" s="17"/>
      <c r="R19" s="25" t="s">
        <v>68</v>
      </c>
    </row>
    <row r="20" spans="1:18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>
        <v>2016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0">
        <f>'Avg Age'!$E$309</f>
        <v>2221639.92</v>
      </c>
      <c r="M21" s="17"/>
      <c r="N21" s="17"/>
      <c r="O21" s="17"/>
      <c r="P21" s="17"/>
      <c r="Q21" s="17"/>
      <c r="R21" s="30">
        <v>280794.56600000005</v>
      </c>
    </row>
    <row r="22" spans="1:18" x14ac:dyDescent="0.25">
      <c r="A22">
        <f>A21+1</f>
        <v>2017</v>
      </c>
      <c r="B22" s="17">
        <f>L21*$P$10</f>
        <v>48876.078239999995</v>
      </c>
      <c r="C22" s="17"/>
      <c r="D22" s="17">
        <f>B22*$P$2</f>
        <v>-2443.8039119999999</v>
      </c>
      <c r="E22" s="17"/>
      <c r="F22" s="17"/>
      <c r="G22" s="17"/>
      <c r="H22" s="17"/>
      <c r="I22" s="17"/>
      <c r="J22" s="17">
        <f>B22*$P$11</f>
        <v>0</v>
      </c>
      <c r="K22" s="17"/>
      <c r="L22" s="17">
        <f>L21+J22-B22-F22</f>
        <v>2172763.8417599997</v>
      </c>
      <c r="M22" s="17"/>
      <c r="N22" s="17">
        <f>(L21+L22)/2</f>
        <v>2197201.8808800001</v>
      </c>
      <c r="O22" s="17"/>
      <c r="P22" s="17">
        <f>N22*$P$12</f>
        <v>170780.88525830014</v>
      </c>
      <c r="Q22" s="17"/>
      <c r="R22" s="17">
        <f>R21+P22-B22-F22+D22+H22</f>
        <v>400255.56910630025</v>
      </c>
    </row>
    <row r="23" spans="1:18" x14ac:dyDescent="0.25">
      <c r="A23">
        <f>A22+1</f>
        <v>2018</v>
      </c>
      <c r="B23" s="17">
        <f t="shared" ref="B23:B31" si="0">L22*$P$10</f>
        <v>47800.80451871999</v>
      </c>
      <c r="C23" s="17"/>
      <c r="D23" s="17">
        <f t="shared" ref="D23:D31" si="1">B23*$P$2</f>
        <v>-2390.0402259359994</v>
      </c>
      <c r="E23" s="17"/>
      <c r="F23" s="17"/>
      <c r="G23" s="17"/>
      <c r="H23" s="17"/>
      <c r="I23" s="17"/>
      <c r="J23" s="17">
        <f>B23*$P$11</f>
        <v>0</v>
      </c>
      <c r="K23" s="17"/>
      <c r="L23" s="17">
        <f>L22+J23-B23-F23</f>
        <v>2124963.0372412796</v>
      </c>
      <c r="M23" s="17"/>
      <c r="N23" s="17">
        <f>(L22+L23)/2</f>
        <v>2148863.4395006397</v>
      </c>
      <c r="O23" s="17"/>
      <c r="P23" s="17">
        <f>N23*$P$12</f>
        <v>167023.7057826175</v>
      </c>
      <c r="Q23" s="17"/>
      <c r="R23" s="17">
        <f>R22+P23-B23-F23+D23+H23</f>
        <v>517088.4301442618</v>
      </c>
    </row>
    <row r="24" spans="1:18" x14ac:dyDescent="0.25">
      <c r="A24">
        <f>A23+1</f>
        <v>2019</v>
      </c>
      <c r="B24" s="17">
        <f t="shared" si="0"/>
        <v>46749.186819308146</v>
      </c>
      <c r="C24" s="17"/>
      <c r="D24" s="17">
        <f t="shared" si="1"/>
        <v>-2337.4593409654076</v>
      </c>
      <c r="E24" s="17"/>
      <c r="F24" s="17"/>
      <c r="G24" s="17"/>
      <c r="H24" s="17"/>
      <c r="I24" s="17"/>
      <c r="J24" s="17">
        <f>B24*$P$11</f>
        <v>0</v>
      </c>
      <c r="K24" s="17"/>
      <c r="L24" s="17">
        <f>L23+J24-B24-F24</f>
        <v>2078213.8504219714</v>
      </c>
      <c r="M24" s="17"/>
      <c r="N24" s="17">
        <f>(L23+L24)/2</f>
        <v>2101588.4438316254</v>
      </c>
      <c r="O24" s="17"/>
      <c r="P24" s="17">
        <f>N24*$P$12</f>
        <v>163349.18425539992</v>
      </c>
      <c r="Q24" s="17"/>
      <c r="R24" s="17">
        <f>R23+P24-B24-F24+D24+H24</f>
        <v>631350.9682393882</v>
      </c>
    </row>
    <row r="25" spans="1:18" x14ac:dyDescent="0.25">
      <c r="A25">
        <f>A24+1</f>
        <v>2020</v>
      </c>
      <c r="B25" s="17">
        <f t="shared" si="0"/>
        <v>45720.704709283367</v>
      </c>
      <c r="C25" s="17"/>
      <c r="D25" s="17">
        <f t="shared" si="1"/>
        <v>-2286.0352354641686</v>
      </c>
      <c r="E25" s="17"/>
      <c r="F25" s="17"/>
      <c r="G25" s="17"/>
      <c r="H25" s="17"/>
      <c r="I25" s="17"/>
      <c r="J25" s="17">
        <f>B25*$P$11</f>
        <v>0</v>
      </c>
      <c r="K25" s="17"/>
      <c r="L25" s="17">
        <f>L24+J25-B25-F25</f>
        <v>2032493.1457126881</v>
      </c>
      <c r="M25" s="17"/>
      <c r="N25" s="17">
        <f>(L24+L25)/2</f>
        <v>2055353.4980673296</v>
      </c>
      <c r="O25" s="17"/>
      <c r="P25" s="17">
        <f>N25*$P$12</f>
        <v>159755.50220178111</v>
      </c>
      <c r="Q25" s="17"/>
      <c r="R25" s="17">
        <f>R24+P25-B25-F25+D25+H25</f>
        <v>743099.73049642181</v>
      </c>
    </row>
    <row r="26" spans="1:18" x14ac:dyDescent="0.25">
      <c r="A26">
        <f t="shared" ref="A26:A34" si="2">A25+1</f>
        <v>2021</v>
      </c>
      <c r="B26" s="17">
        <f t="shared" si="0"/>
        <v>44714.849205679137</v>
      </c>
      <c r="C26" s="17"/>
      <c r="D26" s="17">
        <f t="shared" si="1"/>
        <v>-2235.7424602839569</v>
      </c>
      <c r="E26" s="17"/>
      <c r="F26" s="17"/>
      <c r="G26" s="17"/>
      <c r="H26" s="17"/>
      <c r="I26" s="17"/>
      <c r="J26" s="17"/>
      <c r="K26" s="17"/>
      <c r="L26" s="17">
        <f t="shared" ref="L26:L34" si="3">L25+J26-B26-F26</f>
        <v>1987778.2965070091</v>
      </c>
      <c r="M26" s="17"/>
      <c r="N26" s="17">
        <f t="shared" ref="N26:N33" si="4">(L25+L26)/2</f>
        <v>2010135.7211098485</v>
      </c>
      <c r="O26" s="17"/>
      <c r="P26" s="17">
        <f t="shared" ref="P26:P34" si="5">N26*$P$12</f>
        <v>156240.88115334194</v>
      </c>
      <c r="Q26" s="17"/>
      <c r="R26" s="17">
        <f t="shared" ref="R26:R34" si="6">R25+P26-B26-F26+D26+H26</f>
        <v>852390.01998380071</v>
      </c>
    </row>
    <row r="27" spans="1:18" x14ac:dyDescent="0.25">
      <c r="A27">
        <f t="shared" si="2"/>
        <v>2022</v>
      </c>
      <c r="B27" s="17">
        <f t="shared" si="0"/>
        <v>43731.122523154198</v>
      </c>
      <c r="C27" s="17"/>
      <c r="D27" s="17">
        <f t="shared" si="1"/>
        <v>-2186.55612615771</v>
      </c>
      <c r="E27" s="17"/>
      <c r="F27" s="17"/>
      <c r="G27" s="17"/>
      <c r="H27" s="17"/>
      <c r="I27" s="17"/>
      <c r="J27" s="17"/>
      <c r="K27" s="17"/>
      <c r="L27" s="17">
        <f t="shared" si="3"/>
        <v>1944047.1739838549</v>
      </c>
      <c r="M27" s="17"/>
      <c r="N27" s="17">
        <f t="shared" si="4"/>
        <v>1965912.735245432</v>
      </c>
      <c r="O27" s="17"/>
      <c r="P27" s="17">
        <f t="shared" si="5"/>
        <v>152803.58176796843</v>
      </c>
      <c r="Q27" s="17"/>
      <c r="R27" s="17">
        <f t="shared" si="6"/>
        <v>959275.92310245719</v>
      </c>
    </row>
    <row r="28" spans="1:18" x14ac:dyDescent="0.25">
      <c r="A28">
        <f t="shared" si="2"/>
        <v>2023</v>
      </c>
      <c r="B28" s="17">
        <f t="shared" si="0"/>
        <v>42769.037827644803</v>
      </c>
      <c r="C28" s="17"/>
      <c r="D28" s="17">
        <f t="shared" si="1"/>
        <v>-2138.4518913822403</v>
      </c>
      <c r="E28" s="17"/>
      <c r="F28" s="17"/>
      <c r="G28" s="17"/>
      <c r="H28" s="17"/>
      <c r="I28" s="17"/>
      <c r="J28" s="17"/>
      <c r="K28" s="17"/>
      <c r="L28" s="17">
        <f t="shared" si="3"/>
        <v>1901278.1361562102</v>
      </c>
      <c r="M28" s="17"/>
      <c r="N28" s="17">
        <f t="shared" si="4"/>
        <v>1922662.6550700325</v>
      </c>
      <c r="O28" s="17"/>
      <c r="P28" s="17">
        <f t="shared" si="5"/>
        <v>149441.90296907313</v>
      </c>
      <c r="Q28" s="17"/>
      <c r="R28" s="17">
        <f t="shared" si="6"/>
        <v>1063810.3363525034</v>
      </c>
    </row>
    <row r="29" spans="1:18" x14ac:dyDescent="0.25">
      <c r="A29">
        <f t="shared" si="2"/>
        <v>2024</v>
      </c>
      <c r="B29" s="17">
        <f t="shared" si="0"/>
        <v>41828.11899543662</v>
      </c>
      <c r="C29" s="17"/>
      <c r="D29" s="17">
        <f t="shared" si="1"/>
        <v>-2091.4059497718313</v>
      </c>
      <c r="E29" s="17"/>
      <c r="F29" s="17"/>
      <c r="G29" s="17"/>
      <c r="H29" s="17"/>
      <c r="I29" s="17"/>
      <c r="J29" s="17"/>
      <c r="K29" s="17"/>
      <c r="L29" s="17">
        <f t="shared" si="3"/>
        <v>1859450.0171607735</v>
      </c>
      <c r="M29" s="17"/>
      <c r="N29" s="17">
        <f t="shared" si="4"/>
        <v>1880364.076658492</v>
      </c>
      <c r="O29" s="17"/>
      <c r="P29" s="17">
        <f t="shared" si="5"/>
        <v>146154.18110375351</v>
      </c>
      <c r="Q29" s="17"/>
      <c r="R29" s="17">
        <f t="shared" si="6"/>
        <v>1166044.9925110482</v>
      </c>
    </row>
    <row r="30" spans="1:18" x14ac:dyDescent="0.25">
      <c r="A30">
        <f t="shared" si="2"/>
        <v>2025</v>
      </c>
      <c r="B30" s="17">
        <f t="shared" si="0"/>
        <v>40907.900377537015</v>
      </c>
      <c r="C30" s="17"/>
      <c r="D30" s="17">
        <f t="shared" si="1"/>
        <v>-2045.3950188768508</v>
      </c>
      <c r="E30" s="17"/>
      <c r="F30" s="17"/>
      <c r="G30" s="17"/>
      <c r="H30" s="17"/>
      <c r="I30" s="17"/>
      <c r="J30" s="17"/>
      <c r="K30" s="17"/>
      <c r="L30" s="17">
        <f t="shared" si="3"/>
        <v>1818542.1167832364</v>
      </c>
      <c r="M30" s="17"/>
      <c r="N30" s="17">
        <f t="shared" si="4"/>
        <v>1838996.0669720049</v>
      </c>
      <c r="O30" s="17"/>
      <c r="P30" s="17">
        <f t="shared" si="5"/>
        <v>142938.78911947092</v>
      </c>
      <c r="Q30" s="17"/>
      <c r="R30" s="17">
        <f t="shared" si="6"/>
        <v>1266030.4862341052</v>
      </c>
    </row>
    <row r="31" spans="1:18" x14ac:dyDescent="0.25">
      <c r="A31">
        <f t="shared" si="2"/>
        <v>2026</v>
      </c>
      <c r="B31" s="17">
        <f t="shared" si="0"/>
        <v>40007.926569231196</v>
      </c>
      <c r="C31" s="17"/>
      <c r="D31" s="17">
        <f t="shared" si="1"/>
        <v>-2000.39632846156</v>
      </c>
      <c r="E31" s="17"/>
      <c r="F31" s="17"/>
      <c r="G31" s="17"/>
      <c r="H31" s="17"/>
      <c r="I31" s="17"/>
      <c r="J31" s="17"/>
      <c r="K31" s="17"/>
      <c r="L31" s="17">
        <f t="shared" si="3"/>
        <v>1778534.1902140053</v>
      </c>
      <c r="M31" s="17"/>
      <c r="N31" s="17">
        <f t="shared" si="4"/>
        <v>1798538.1534986207</v>
      </c>
      <c r="O31" s="17"/>
      <c r="P31" s="17">
        <f t="shared" si="5"/>
        <v>139794.13575884255</v>
      </c>
      <c r="Q31" s="17"/>
      <c r="R31" s="17">
        <f t="shared" si="6"/>
        <v>1363816.2990952551</v>
      </c>
    </row>
    <row r="32" spans="1:18" x14ac:dyDescent="0.25">
      <c r="A32">
        <f t="shared" si="2"/>
        <v>2027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>
        <f t="shared" si="3"/>
        <v>1778534.1902140053</v>
      </c>
      <c r="M32" s="17"/>
      <c r="N32" s="17">
        <f t="shared" si="4"/>
        <v>1778534.1902140053</v>
      </c>
      <c r="O32" s="17"/>
      <c r="P32" s="17">
        <f t="shared" si="5"/>
        <v>138239.29703958344</v>
      </c>
      <c r="Q32" s="17"/>
      <c r="R32" s="17">
        <f t="shared" si="6"/>
        <v>1502055.5961348386</v>
      </c>
    </row>
    <row r="33" spans="1:18" x14ac:dyDescent="0.25">
      <c r="A33">
        <f t="shared" si="2"/>
        <v>2028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>
        <f t="shared" si="3"/>
        <v>1778534.1902140053</v>
      </c>
      <c r="M33" s="17"/>
      <c r="N33" s="17">
        <f t="shared" si="4"/>
        <v>1778534.1902140053</v>
      </c>
      <c r="O33" s="17"/>
      <c r="P33" s="17">
        <f t="shared" si="5"/>
        <v>138239.29703958344</v>
      </c>
      <c r="Q33" s="17"/>
      <c r="R33" s="17">
        <f t="shared" si="6"/>
        <v>1640294.893174422</v>
      </c>
    </row>
    <row r="34" spans="1:18" x14ac:dyDescent="0.25">
      <c r="A34">
        <f t="shared" si="2"/>
        <v>2029</v>
      </c>
      <c r="B34" s="17"/>
      <c r="C34" s="17"/>
      <c r="D34" s="17"/>
      <c r="E34" s="17"/>
      <c r="F34" s="17">
        <f>L33</f>
        <v>1778534.1902140053</v>
      </c>
      <c r="G34" s="17"/>
      <c r="H34" s="17">
        <f>F34*P$3</f>
        <v>0</v>
      </c>
      <c r="I34" s="17"/>
      <c r="J34" s="17"/>
      <c r="K34" s="17"/>
      <c r="L34" s="17">
        <f t="shared" si="3"/>
        <v>0</v>
      </c>
      <c r="M34" s="17"/>
      <c r="N34" s="17">
        <f>+L33</f>
        <v>1778534.1902140053</v>
      </c>
      <c r="O34" s="17"/>
      <c r="P34" s="17">
        <f t="shared" si="5"/>
        <v>138239.29703958344</v>
      </c>
      <c r="Q34" s="17"/>
      <c r="R34" s="17">
        <f t="shared" si="6"/>
        <v>0</v>
      </c>
    </row>
    <row r="35" spans="1:18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 x14ac:dyDescent="0.25">
      <c r="A36" s="26" t="s">
        <v>69</v>
      </c>
      <c r="B36" s="31">
        <f>SUM(B22:B34)</f>
        <v>443105.72978599451</v>
      </c>
      <c r="C36" s="32" t="s">
        <v>20</v>
      </c>
      <c r="D36" s="31">
        <f>SUM(D22:D34)</f>
        <v>-22155.286489299724</v>
      </c>
      <c r="E36" s="17"/>
      <c r="F36" s="31">
        <f>SUM(F22:F34)</f>
        <v>1778534.1902140053</v>
      </c>
      <c r="G36" s="17"/>
      <c r="H36" s="31">
        <f>SUM(H22:H34)</f>
        <v>0</v>
      </c>
      <c r="I36" s="17"/>
      <c r="J36" s="31">
        <f>SUM(J22:J34)</f>
        <v>0</v>
      </c>
      <c r="K36" s="17"/>
      <c r="L36" s="17"/>
      <c r="M36" s="17"/>
      <c r="N36" s="31">
        <f>SUM(N22:N34)</f>
        <v>25255219.24147604</v>
      </c>
      <c r="O36" s="17"/>
      <c r="P36" s="17"/>
      <c r="Q36" s="17"/>
      <c r="R36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P15" sqref="P15"/>
    </sheetView>
  </sheetViews>
  <sheetFormatPr defaultRowHeight="15" x14ac:dyDescent="0.25"/>
  <cols>
    <col min="3" max="3" width="2.7109375" customWidth="1"/>
    <col min="5" max="5" width="1.42578125" customWidth="1"/>
    <col min="7" max="7" width="2" customWidth="1"/>
    <col min="9" max="9" width="2" customWidth="1"/>
    <col min="11" max="11" width="1.85546875" customWidth="1"/>
    <col min="13" max="13" width="2" customWidth="1"/>
    <col min="14" max="14" width="12.5703125" customWidth="1"/>
    <col min="15" max="15" width="1.85546875" customWidth="1"/>
    <col min="17" max="17" width="1.85546875" customWidth="1"/>
  </cols>
  <sheetData>
    <row r="1" spans="1:18" x14ac:dyDescent="0.25">
      <c r="B1" s="16" t="s">
        <v>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B2" s="18" t="s">
        <v>73</v>
      </c>
      <c r="C2" s="17"/>
      <c r="D2" s="17"/>
      <c r="E2" s="17"/>
      <c r="F2" s="17"/>
      <c r="G2" s="17"/>
      <c r="H2" s="17"/>
      <c r="I2" s="17"/>
      <c r="J2" s="17"/>
      <c r="K2" s="17"/>
      <c r="L2" s="16" t="s">
        <v>33</v>
      </c>
      <c r="M2" s="17"/>
      <c r="N2" s="17"/>
      <c r="O2" s="17"/>
      <c r="P2" s="19">
        <f>'IRR and Int Ret %'!$F$6</f>
        <v>-0.05</v>
      </c>
      <c r="Q2" s="17"/>
      <c r="R2" s="17"/>
    </row>
    <row r="3" spans="1:18" x14ac:dyDescent="0.25">
      <c r="B3" s="16" t="s">
        <v>78</v>
      </c>
      <c r="C3" s="17"/>
      <c r="D3" s="17"/>
      <c r="E3" s="17"/>
      <c r="F3" s="17"/>
      <c r="G3" s="17"/>
      <c r="H3" s="17"/>
      <c r="I3" s="17"/>
      <c r="J3" s="17"/>
      <c r="K3" s="17"/>
      <c r="L3" s="16" t="s">
        <v>34</v>
      </c>
      <c r="M3" s="17"/>
      <c r="N3" s="17"/>
      <c r="O3" s="17"/>
      <c r="P3" s="19">
        <v>0</v>
      </c>
      <c r="Q3" s="17"/>
      <c r="R3" s="17"/>
    </row>
    <row r="4" spans="1:18" x14ac:dyDescent="0.25">
      <c r="B4" s="33" t="s">
        <v>79</v>
      </c>
      <c r="C4" s="17"/>
      <c r="D4" s="17"/>
      <c r="E4" s="17"/>
      <c r="F4" s="17"/>
      <c r="G4" s="17"/>
      <c r="H4" s="17"/>
      <c r="I4" s="17"/>
      <c r="J4" s="17"/>
      <c r="K4" s="17"/>
      <c r="L4" s="16" t="s">
        <v>35</v>
      </c>
      <c r="M4" s="17"/>
      <c r="N4" s="17"/>
      <c r="O4" s="17"/>
      <c r="P4" s="19">
        <f>(D36+H36)/(B36+F36)</f>
        <v>-6.1326367374849667E-3</v>
      </c>
      <c r="Q4" s="17"/>
      <c r="R4" s="17"/>
    </row>
    <row r="5" spans="1:18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6" t="s">
        <v>36</v>
      </c>
      <c r="M5" s="17"/>
      <c r="N5" s="17"/>
      <c r="O5" s="17"/>
      <c r="P5" s="20">
        <f>'Avg Age'!$G$312</f>
        <v>4.8561745909676537</v>
      </c>
      <c r="Q5" s="17"/>
      <c r="R5" s="17"/>
    </row>
    <row r="6" spans="1:18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6" t="s">
        <v>37</v>
      </c>
      <c r="M6" s="17"/>
      <c r="N6" s="17"/>
      <c r="O6" s="17"/>
      <c r="P6" s="21">
        <f>N36/(L21+J36)</f>
        <v>12.005541178352923</v>
      </c>
      <c r="Q6" s="17"/>
      <c r="R6" s="17"/>
    </row>
    <row r="7" spans="1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6" t="s">
        <v>38</v>
      </c>
      <c r="M7" s="17"/>
      <c r="N7" s="17"/>
      <c r="O7" s="17"/>
      <c r="P7" s="21">
        <f>P5+P6</f>
        <v>16.861715769320575</v>
      </c>
      <c r="Q7" s="17"/>
      <c r="R7" s="17"/>
    </row>
    <row r="8" spans="1:18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6" t="s">
        <v>39</v>
      </c>
      <c r="M8" s="17"/>
      <c r="N8" s="17"/>
      <c r="O8" s="17"/>
      <c r="P8" s="19">
        <f>R21/L21</f>
        <v>0.20428710206087214</v>
      </c>
      <c r="Q8" s="17"/>
      <c r="R8" s="17"/>
    </row>
    <row r="9" spans="1:18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6" t="s">
        <v>40</v>
      </c>
      <c r="M9" s="17"/>
      <c r="N9" s="17"/>
      <c r="O9" s="17"/>
      <c r="P9" s="17">
        <f>((P5/P7)*((1-P4))*L21)</f>
        <v>230991.4792173297</v>
      </c>
      <c r="Q9" s="17"/>
      <c r="R9" s="17"/>
    </row>
    <row r="10" spans="1:18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 t="s">
        <v>41</v>
      </c>
      <c r="M10" s="17"/>
      <c r="N10" s="17"/>
      <c r="O10" s="17"/>
      <c r="P10" s="22">
        <f>'IRR and Int Ret %'!$D$6</f>
        <v>1.2999999999999999E-2</v>
      </c>
      <c r="Q10" s="17"/>
      <c r="R10" s="17"/>
    </row>
    <row r="11" spans="1:18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 t="s">
        <v>42</v>
      </c>
      <c r="M11" s="17"/>
      <c r="N11" s="17"/>
      <c r="O11" s="17"/>
      <c r="P11" s="23">
        <v>0</v>
      </c>
      <c r="Q11" s="17"/>
      <c r="R11" s="17"/>
    </row>
    <row r="12" spans="1:18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 t="s">
        <v>43</v>
      </c>
      <c r="M12" s="17"/>
      <c r="N12" s="17"/>
      <c r="O12" s="17"/>
      <c r="P12" s="24">
        <f>(L21+J36-D36-H36-R21)/N36</f>
        <v>6.6789620123282142E-2</v>
      </c>
      <c r="Q12" s="17"/>
      <c r="R12" s="17"/>
    </row>
    <row r="13" spans="1:18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6" t="s">
        <v>44</v>
      </c>
      <c r="M13" s="17"/>
      <c r="N13" s="17"/>
      <c r="O13" s="17"/>
      <c r="P13" s="24">
        <f>-P4/P7</f>
        <v>3.6370182141506202E-4</v>
      </c>
      <c r="Q13" s="17"/>
      <c r="R13" s="17"/>
    </row>
    <row r="14" spans="1:18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 t="s">
        <v>123</v>
      </c>
      <c r="M14" s="17"/>
      <c r="N14" s="17"/>
      <c r="O14" s="17"/>
      <c r="P14" s="24">
        <f>P12-P13</f>
        <v>6.6425918301867073E-2</v>
      </c>
      <c r="Q14" s="17"/>
      <c r="R14" s="17"/>
    </row>
    <row r="15" spans="1:18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5"/>
      <c r="M15" s="17"/>
      <c r="N15" s="17"/>
      <c r="O15" s="17"/>
      <c r="P15" s="17"/>
      <c r="Q15" s="17"/>
      <c r="R15" s="17"/>
    </row>
    <row r="16" spans="1:18" x14ac:dyDescent="0.25">
      <c r="A16" s="26" t="s">
        <v>45</v>
      </c>
      <c r="B16" s="25" t="s">
        <v>46</v>
      </c>
      <c r="C16" s="25"/>
      <c r="D16" s="25" t="s">
        <v>47</v>
      </c>
      <c r="E16" s="25"/>
      <c r="F16" s="25" t="s">
        <v>48</v>
      </c>
      <c r="G16" s="25"/>
      <c r="H16" s="25" t="s">
        <v>49</v>
      </c>
      <c r="I16" s="25"/>
      <c r="J16" s="25" t="s">
        <v>50</v>
      </c>
      <c r="K16" s="17"/>
      <c r="L16" s="25" t="s">
        <v>51</v>
      </c>
      <c r="M16" s="17"/>
      <c r="N16" s="25" t="s">
        <v>52</v>
      </c>
      <c r="O16" s="25"/>
      <c r="P16" s="25" t="s">
        <v>53</v>
      </c>
      <c r="Q16" s="25"/>
      <c r="R16" s="25" t="s">
        <v>54</v>
      </c>
    </row>
    <row r="17" spans="1:18" x14ac:dyDescent="0.25">
      <c r="A17" s="26"/>
      <c r="B17" s="25" t="s">
        <v>55</v>
      </c>
      <c r="C17" s="25"/>
      <c r="D17" s="25" t="s">
        <v>55</v>
      </c>
      <c r="E17" s="25"/>
      <c r="F17" s="25" t="s">
        <v>56</v>
      </c>
      <c r="G17" s="25"/>
      <c r="H17" s="25" t="s">
        <v>56</v>
      </c>
      <c r="I17" s="25"/>
      <c r="J17" s="25" t="s">
        <v>55</v>
      </c>
      <c r="K17" s="17"/>
      <c r="L17" s="25" t="s">
        <v>57</v>
      </c>
      <c r="M17" s="17"/>
      <c r="N17" s="25" t="s">
        <v>58</v>
      </c>
      <c r="O17" s="25"/>
      <c r="P17" s="25" t="s">
        <v>59</v>
      </c>
      <c r="Q17" s="25"/>
      <c r="R17" s="25" t="s">
        <v>57</v>
      </c>
    </row>
    <row r="18" spans="1:18" x14ac:dyDescent="0.25">
      <c r="A18" s="27" t="s">
        <v>60</v>
      </c>
      <c r="B18" s="28" t="s">
        <v>61</v>
      </c>
      <c r="C18" s="28"/>
      <c r="D18" s="28" t="s">
        <v>62</v>
      </c>
      <c r="E18" s="28"/>
      <c r="F18" s="28" t="s">
        <v>63</v>
      </c>
      <c r="G18" s="28"/>
      <c r="H18" s="28" t="s">
        <v>62</v>
      </c>
      <c r="I18" s="28"/>
      <c r="J18" s="28" t="s">
        <v>64</v>
      </c>
      <c r="K18" s="17"/>
      <c r="L18" s="28" t="s">
        <v>65</v>
      </c>
      <c r="M18" s="17"/>
      <c r="N18" s="28" t="s">
        <v>65</v>
      </c>
      <c r="O18" s="28"/>
      <c r="P18" s="28" t="s">
        <v>66</v>
      </c>
      <c r="Q18" s="28"/>
      <c r="R18" s="28" t="s">
        <v>67</v>
      </c>
    </row>
    <row r="19" spans="1:18" x14ac:dyDescent="0.25">
      <c r="B19" s="25" t="s">
        <v>68</v>
      </c>
      <c r="C19" s="17"/>
      <c r="D19" s="25" t="s">
        <v>68</v>
      </c>
      <c r="E19" s="17"/>
      <c r="F19" s="25" t="s">
        <v>68</v>
      </c>
      <c r="G19" s="17"/>
      <c r="H19" s="25" t="s">
        <v>68</v>
      </c>
      <c r="I19" s="17"/>
      <c r="J19" s="25" t="s">
        <v>68</v>
      </c>
      <c r="K19" s="17"/>
      <c r="L19" s="25" t="s">
        <v>68</v>
      </c>
      <c r="M19" s="17"/>
      <c r="N19" s="25" t="s">
        <v>68</v>
      </c>
      <c r="O19" s="17"/>
      <c r="P19" s="25" t="s">
        <v>68</v>
      </c>
      <c r="Q19" s="17"/>
      <c r="R19" s="25" t="s">
        <v>68</v>
      </c>
    </row>
    <row r="20" spans="1:18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>
        <v>2016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0">
        <f>'Avg Age'!$E$312</f>
        <v>797164.95</v>
      </c>
      <c r="M21" s="17"/>
      <c r="N21" s="17"/>
      <c r="O21" s="17"/>
      <c r="P21" s="17"/>
      <c r="Q21" s="17"/>
      <c r="R21" s="30">
        <v>162850.51750000002</v>
      </c>
    </row>
    <row r="22" spans="1:18" x14ac:dyDescent="0.25">
      <c r="A22">
        <f t="shared" ref="A22:A34" si="0">A21+1</f>
        <v>2017</v>
      </c>
      <c r="B22" s="17">
        <f t="shared" ref="B22:B31" si="1">L21*$P$10</f>
        <v>10363.144349999999</v>
      </c>
      <c r="C22" s="17"/>
      <c r="D22" s="17">
        <f t="shared" ref="D22:D31" si="2">B22*$P$2</f>
        <v>-518.1572175</v>
      </c>
      <c r="E22" s="17"/>
      <c r="F22" s="17"/>
      <c r="G22" s="17"/>
      <c r="H22" s="17"/>
      <c r="I22" s="17"/>
      <c r="J22" s="17">
        <f>B22*$P$11</f>
        <v>0</v>
      </c>
      <c r="K22" s="17"/>
      <c r="L22" s="17">
        <f t="shared" ref="L22:L31" si="3">L21+J22-B22-F22</f>
        <v>786801.80564999999</v>
      </c>
      <c r="M22" s="17"/>
      <c r="N22" s="17">
        <f t="shared" ref="N22:N33" si="4">(L21+L22)/2</f>
        <v>791983.37782499997</v>
      </c>
      <c r="O22" s="17"/>
      <c r="P22" s="17">
        <f t="shared" ref="P22:P34" si="5">N22*$P$12</f>
        <v>52896.268948885583</v>
      </c>
      <c r="Q22" s="17"/>
      <c r="R22" s="17">
        <f t="shared" ref="R22:R31" si="6">R21+P22-B22-F22+D22+H22</f>
        <v>204865.48488138561</v>
      </c>
    </row>
    <row r="23" spans="1:18" x14ac:dyDescent="0.25">
      <c r="A23">
        <f t="shared" si="0"/>
        <v>2018</v>
      </c>
      <c r="B23" s="17">
        <f t="shared" si="1"/>
        <v>10228.423473449999</v>
      </c>
      <c r="C23" s="17"/>
      <c r="D23" s="17">
        <f t="shared" si="2"/>
        <v>-511.42117367249995</v>
      </c>
      <c r="E23" s="17"/>
      <c r="F23" s="17"/>
      <c r="G23" s="17"/>
      <c r="H23" s="17"/>
      <c r="I23" s="17"/>
      <c r="J23" s="17">
        <f>B23*$P$11</f>
        <v>0</v>
      </c>
      <c r="K23" s="17"/>
      <c r="L23" s="17">
        <f t="shared" si="3"/>
        <v>776573.38217654999</v>
      </c>
      <c r="M23" s="17"/>
      <c r="N23" s="17">
        <f t="shared" si="4"/>
        <v>781687.59391327505</v>
      </c>
      <c r="O23" s="17"/>
      <c r="P23" s="17">
        <f t="shared" si="5"/>
        <v>52208.617452550076</v>
      </c>
      <c r="Q23" s="17"/>
      <c r="R23" s="17">
        <f t="shared" si="6"/>
        <v>246334.25768681316</v>
      </c>
    </row>
    <row r="24" spans="1:18" x14ac:dyDescent="0.25">
      <c r="A24">
        <f t="shared" si="0"/>
        <v>2019</v>
      </c>
      <c r="B24" s="17">
        <f t="shared" si="1"/>
        <v>10095.453968295149</v>
      </c>
      <c r="C24" s="17"/>
      <c r="D24" s="17">
        <f t="shared" si="2"/>
        <v>-504.77269841475749</v>
      </c>
      <c r="E24" s="17"/>
      <c r="F24" s="17"/>
      <c r="G24" s="17"/>
      <c r="H24" s="17"/>
      <c r="I24" s="17"/>
      <c r="J24" s="17">
        <f>B24*$P$11</f>
        <v>0</v>
      </c>
      <c r="K24" s="17"/>
      <c r="L24" s="17">
        <f t="shared" si="3"/>
        <v>766477.92820825486</v>
      </c>
      <c r="M24" s="17"/>
      <c r="N24" s="17">
        <f t="shared" si="4"/>
        <v>771525.65519240242</v>
      </c>
      <c r="O24" s="17"/>
      <c r="P24" s="17">
        <f t="shared" si="5"/>
        <v>51529.905425666919</v>
      </c>
      <c r="Q24" s="17"/>
      <c r="R24" s="17">
        <f t="shared" si="6"/>
        <v>287263.9364457702</v>
      </c>
    </row>
    <row r="25" spans="1:18" x14ac:dyDescent="0.25">
      <c r="A25">
        <f t="shared" si="0"/>
        <v>2020</v>
      </c>
      <c r="B25" s="17">
        <f t="shared" si="1"/>
        <v>9964.2130667073125</v>
      </c>
      <c r="C25" s="17"/>
      <c r="D25" s="17">
        <f t="shared" si="2"/>
        <v>-498.21065333536563</v>
      </c>
      <c r="E25" s="17"/>
      <c r="F25" s="17"/>
      <c r="G25" s="17"/>
      <c r="H25" s="17"/>
      <c r="I25" s="17"/>
      <c r="J25" s="17">
        <f>B25*$P$11</f>
        <v>0</v>
      </c>
      <c r="K25" s="17"/>
      <c r="L25" s="17">
        <f t="shared" si="3"/>
        <v>756513.71514154749</v>
      </c>
      <c r="M25" s="17"/>
      <c r="N25" s="17">
        <f t="shared" si="4"/>
        <v>761495.82167490118</v>
      </c>
      <c r="O25" s="17"/>
      <c r="P25" s="17">
        <f t="shared" si="5"/>
        <v>50860.016655133251</v>
      </c>
      <c r="Q25" s="17"/>
      <c r="R25" s="17">
        <f t="shared" si="6"/>
        <v>327661.52938086074</v>
      </c>
    </row>
    <row r="26" spans="1:18" x14ac:dyDescent="0.25">
      <c r="A26">
        <f t="shared" si="0"/>
        <v>2021</v>
      </c>
      <c r="B26" s="17">
        <f t="shared" si="1"/>
        <v>9834.6782968401167</v>
      </c>
      <c r="C26" s="17"/>
      <c r="D26" s="17">
        <f t="shared" si="2"/>
        <v>-491.73391484200585</v>
      </c>
      <c r="E26" s="17"/>
      <c r="F26" s="17"/>
      <c r="G26" s="17"/>
      <c r="H26" s="17"/>
      <c r="I26" s="17"/>
      <c r="J26" s="17"/>
      <c r="K26" s="17"/>
      <c r="L26" s="17">
        <f t="shared" si="3"/>
        <v>746679.03684470733</v>
      </c>
      <c r="M26" s="17"/>
      <c r="N26" s="17">
        <f t="shared" si="4"/>
        <v>751596.37599312747</v>
      </c>
      <c r="O26" s="17"/>
      <c r="P26" s="17">
        <f t="shared" si="5"/>
        <v>50198.836438616519</v>
      </c>
      <c r="Q26" s="17"/>
      <c r="R26" s="17">
        <f t="shared" si="6"/>
        <v>367533.95360779512</v>
      </c>
    </row>
    <row r="27" spans="1:18" x14ac:dyDescent="0.25">
      <c r="A27">
        <f t="shared" si="0"/>
        <v>2022</v>
      </c>
      <c r="B27" s="17">
        <f t="shared" si="1"/>
        <v>9706.8274789811949</v>
      </c>
      <c r="C27" s="17"/>
      <c r="D27" s="17">
        <f t="shared" si="2"/>
        <v>-485.34137394905974</v>
      </c>
      <c r="E27" s="17"/>
      <c r="F27" s="17"/>
      <c r="G27" s="17"/>
      <c r="H27" s="17"/>
      <c r="I27" s="17"/>
      <c r="J27" s="17"/>
      <c r="K27" s="17"/>
      <c r="L27" s="17">
        <f t="shared" si="3"/>
        <v>736972.2093657261</v>
      </c>
      <c r="M27" s="17"/>
      <c r="N27" s="17">
        <f t="shared" si="4"/>
        <v>741825.62310521677</v>
      </c>
      <c r="O27" s="17"/>
      <c r="P27" s="17">
        <f t="shared" si="5"/>
        <v>49546.251564914499</v>
      </c>
      <c r="Q27" s="17"/>
      <c r="R27" s="17">
        <f t="shared" si="6"/>
        <v>406888.03631977935</v>
      </c>
    </row>
    <row r="28" spans="1:18" x14ac:dyDescent="0.25">
      <c r="A28">
        <f t="shared" si="0"/>
        <v>2023</v>
      </c>
      <c r="B28" s="17">
        <f t="shared" si="1"/>
        <v>9580.6387217544398</v>
      </c>
      <c r="C28" s="17"/>
      <c r="D28" s="17">
        <f t="shared" si="2"/>
        <v>-479.03193608772199</v>
      </c>
      <c r="E28" s="17"/>
      <c r="F28" s="17"/>
      <c r="G28" s="17"/>
      <c r="H28" s="17"/>
      <c r="I28" s="17"/>
      <c r="J28" s="17"/>
      <c r="K28" s="17"/>
      <c r="L28" s="17">
        <f t="shared" si="3"/>
        <v>727391.57064397167</v>
      </c>
      <c r="M28" s="17"/>
      <c r="N28" s="17">
        <f t="shared" si="4"/>
        <v>732181.89000484883</v>
      </c>
      <c r="O28" s="17"/>
      <c r="P28" s="17">
        <f t="shared" si="5"/>
        <v>48902.150294570602</v>
      </c>
      <c r="Q28" s="17"/>
      <c r="R28" s="17">
        <f t="shared" si="6"/>
        <v>445730.51595650782</v>
      </c>
    </row>
    <row r="29" spans="1:18" x14ac:dyDescent="0.25">
      <c r="A29">
        <f t="shared" si="0"/>
        <v>2024</v>
      </c>
      <c r="B29" s="17">
        <f t="shared" si="1"/>
        <v>9456.090418371632</v>
      </c>
      <c r="C29" s="17"/>
      <c r="D29" s="17">
        <f t="shared" si="2"/>
        <v>-472.8045209185816</v>
      </c>
      <c r="E29" s="17"/>
      <c r="F29" s="17"/>
      <c r="G29" s="17"/>
      <c r="H29" s="17"/>
      <c r="I29" s="17"/>
      <c r="J29" s="17"/>
      <c r="K29" s="17"/>
      <c r="L29" s="17">
        <f t="shared" si="3"/>
        <v>717935.48022560007</v>
      </c>
      <c r="M29" s="17"/>
      <c r="N29" s="17">
        <f t="shared" si="4"/>
        <v>722663.52543478587</v>
      </c>
      <c r="O29" s="17"/>
      <c r="P29" s="17">
        <f t="shared" si="5"/>
        <v>48266.422340741192</v>
      </c>
      <c r="Q29" s="17"/>
      <c r="R29" s="17">
        <f t="shared" si="6"/>
        <v>484068.04335795884</v>
      </c>
    </row>
    <row r="30" spans="1:18" x14ac:dyDescent="0.25">
      <c r="A30">
        <f t="shared" si="0"/>
        <v>2025</v>
      </c>
      <c r="B30" s="17">
        <f t="shared" si="1"/>
        <v>9333.1612429327997</v>
      </c>
      <c r="C30" s="17"/>
      <c r="D30" s="17">
        <f t="shared" si="2"/>
        <v>-466.65806214664002</v>
      </c>
      <c r="E30" s="17"/>
      <c r="F30" s="17"/>
      <c r="G30" s="17"/>
      <c r="H30" s="17"/>
      <c r="I30" s="17"/>
      <c r="J30" s="17"/>
      <c r="K30" s="17"/>
      <c r="L30" s="17">
        <f t="shared" si="3"/>
        <v>708602.31898266729</v>
      </c>
      <c r="M30" s="17"/>
      <c r="N30" s="17">
        <f t="shared" si="4"/>
        <v>713268.89960413368</v>
      </c>
      <c r="O30" s="17"/>
      <c r="P30" s="17">
        <f t="shared" si="5"/>
        <v>47638.958850311559</v>
      </c>
      <c r="Q30" s="17"/>
      <c r="R30" s="17">
        <f t="shared" si="6"/>
        <v>521907.18290319096</v>
      </c>
    </row>
    <row r="31" spans="1:18" x14ac:dyDescent="0.25">
      <c r="A31">
        <f t="shared" si="0"/>
        <v>2026</v>
      </c>
      <c r="B31" s="17">
        <f t="shared" si="1"/>
        <v>9211.8301467746751</v>
      </c>
      <c r="C31" s="17"/>
      <c r="D31" s="17">
        <f t="shared" si="2"/>
        <v>-460.59150733873378</v>
      </c>
      <c r="E31" s="17"/>
      <c r="F31" s="17"/>
      <c r="G31" s="17"/>
      <c r="H31" s="17"/>
      <c r="I31" s="17"/>
      <c r="J31" s="17"/>
      <c r="K31" s="17"/>
      <c r="L31" s="17">
        <f t="shared" si="3"/>
        <v>699390.48883589264</v>
      </c>
      <c r="M31" s="17"/>
      <c r="N31" s="17">
        <f t="shared" si="4"/>
        <v>703996.40390927996</v>
      </c>
      <c r="O31" s="17"/>
      <c r="P31" s="17">
        <f t="shared" si="5"/>
        <v>47019.652385257505</v>
      </c>
      <c r="Q31" s="17"/>
      <c r="R31" s="17">
        <f t="shared" si="6"/>
        <v>559254.41363433516</v>
      </c>
    </row>
    <row r="32" spans="1:18" x14ac:dyDescent="0.25">
      <c r="A32">
        <f t="shared" si="0"/>
        <v>2027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>
        <f>L31+J32-B32-F32</f>
        <v>699390.48883589264</v>
      </c>
      <c r="M32" s="17"/>
      <c r="N32" s="17">
        <f t="shared" si="4"/>
        <v>699390.48883589264</v>
      </c>
      <c r="O32" s="17"/>
      <c r="P32" s="17">
        <f t="shared" si="5"/>
        <v>46712.025067185867</v>
      </c>
      <c r="Q32" s="17"/>
      <c r="R32" s="17">
        <f>R31+P32-B32-F32+D32+H32</f>
        <v>605966.43870152102</v>
      </c>
    </row>
    <row r="33" spans="1:18" x14ac:dyDescent="0.25">
      <c r="A33">
        <f t="shared" si="0"/>
        <v>2028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>
        <f>L32+J33-B33-F33</f>
        <v>699390.48883589264</v>
      </c>
      <c r="M33" s="17"/>
      <c r="N33" s="17">
        <f t="shared" si="4"/>
        <v>699390.48883589264</v>
      </c>
      <c r="O33" s="17"/>
      <c r="P33" s="17">
        <f t="shared" si="5"/>
        <v>46712.025067185867</v>
      </c>
      <c r="Q33" s="17"/>
      <c r="R33" s="17">
        <f>R32+P33-B33-F33+D33+H33</f>
        <v>652678.46376870689</v>
      </c>
    </row>
    <row r="34" spans="1:18" x14ac:dyDescent="0.25">
      <c r="A34">
        <f t="shared" si="0"/>
        <v>2029</v>
      </c>
      <c r="B34" s="17"/>
      <c r="C34" s="17"/>
      <c r="D34" s="17"/>
      <c r="E34" s="17"/>
      <c r="F34" s="17">
        <f>L33</f>
        <v>699390.48883589264</v>
      </c>
      <c r="G34" s="17"/>
      <c r="H34" s="17">
        <f>F34*P$3</f>
        <v>0</v>
      </c>
      <c r="I34" s="17"/>
      <c r="J34" s="17"/>
      <c r="K34" s="17"/>
      <c r="L34" s="17">
        <f>L33+J34-B34-F34</f>
        <v>0</v>
      </c>
      <c r="M34" s="17"/>
      <c r="N34" s="17">
        <f>+L33</f>
        <v>699390.48883589264</v>
      </c>
      <c r="O34" s="17"/>
      <c r="P34" s="17">
        <f t="shared" si="5"/>
        <v>46712.025067185867</v>
      </c>
      <c r="Q34" s="17"/>
      <c r="R34" s="17">
        <f>R33+P34-B34-F34+D34+H34</f>
        <v>1.1641532182693481E-10</v>
      </c>
    </row>
    <row r="35" spans="1:18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 x14ac:dyDescent="0.25">
      <c r="A36" s="26" t="s">
        <v>69</v>
      </c>
      <c r="B36" s="31">
        <f>SUM(B22:B34)</f>
        <v>97774.461164107313</v>
      </c>
      <c r="C36" s="32" t="s">
        <v>20</v>
      </c>
      <c r="D36" s="31">
        <f>SUM(D22:D34)</f>
        <v>-4888.7230582053662</v>
      </c>
      <c r="E36" s="17"/>
      <c r="F36" s="31">
        <f>SUM(F22:F34)</f>
        <v>699390.48883589264</v>
      </c>
      <c r="G36" s="17"/>
      <c r="H36" s="31">
        <f>SUM(H22:H34)</f>
        <v>0</v>
      </c>
      <c r="I36" s="17"/>
      <c r="J36" s="31">
        <f>SUM(J22:J34)</f>
        <v>0</v>
      </c>
      <c r="K36" s="17"/>
      <c r="L36" s="17"/>
      <c r="M36" s="17"/>
      <c r="N36" s="31">
        <f>SUM(N22:N34)</f>
        <v>9570396.633164648</v>
      </c>
      <c r="O36" s="17"/>
      <c r="P36" s="17"/>
      <c r="Q36" s="17"/>
      <c r="R36" s="17"/>
    </row>
    <row r="37" spans="1:18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L14" sqref="L14:P14"/>
    </sheetView>
  </sheetViews>
  <sheetFormatPr defaultRowHeight="15" x14ac:dyDescent="0.25"/>
  <cols>
    <col min="3" max="3" width="1.85546875" customWidth="1"/>
    <col min="5" max="5" width="1.85546875" customWidth="1"/>
    <col min="6" max="6" width="11.28515625" customWidth="1"/>
    <col min="7" max="7" width="1.42578125" customWidth="1"/>
    <col min="9" max="9" width="3.5703125" customWidth="1"/>
    <col min="11" max="11" width="1" customWidth="1"/>
    <col min="12" max="12" width="17.42578125" customWidth="1"/>
    <col min="13" max="13" width="2.28515625" customWidth="1"/>
    <col min="14" max="14" width="14.85546875" customWidth="1"/>
    <col min="15" max="15" width="0.42578125" customWidth="1"/>
    <col min="16" max="16" width="12" customWidth="1"/>
    <col min="17" max="17" width="2.5703125" customWidth="1"/>
    <col min="18" max="18" width="13.5703125" customWidth="1"/>
  </cols>
  <sheetData>
    <row r="1" spans="1:18" x14ac:dyDescent="0.25">
      <c r="B1" s="16" t="s">
        <v>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B2" s="18" t="s">
        <v>74</v>
      </c>
      <c r="C2" s="17"/>
      <c r="D2" s="17"/>
      <c r="E2" s="17"/>
      <c r="F2" s="17"/>
      <c r="G2" s="17"/>
      <c r="H2" s="17"/>
      <c r="I2" s="17"/>
      <c r="J2" s="17"/>
      <c r="K2" s="17"/>
      <c r="L2" s="16" t="s">
        <v>33</v>
      </c>
      <c r="M2" s="17"/>
      <c r="N2" s="17"/>
      <c r="O2" s="17"/>
      <c r="P2" s="19">
        <f>'IRR and Int Ret %'!$F$7</f>
        <v>-0.05</v>
      </c>
      <c r="Q2" s="17"/>
      <c r="R2" s="17"/>
    </row>
    <row r="3" spans="1:18" x14ac:dyDescent="0.25">
      <c r="B3" s="16" t="s">
        <v>78</v>
      </c>
      <c r="C3" s="17"/>
      <c r="D3" s="17"/>
      <c r="E3" s="17"/>
      <c r="F3" s="17"/>
      <c r="G3" s="17"/>
      <c r="H3" s="17"/>
      <c r="I3" s="17"/>
      <c r="J3" s="17"/>
      <c r="K3" s="17"/>
      <c r="L3" s="16" t="s">
        <v>34</v>
      </c>
      <c r="M3" s="17"/>
      <c r="N3" s="17"/>
      <c r="O3" s="17"/>
      <c r="P3" s="19">
        <v>0</v>
      </c>
      <c r="Q3" s="17"/>
      <c r="R3" s="17"/>
    </row>
    <row r="4" spans="1:18" x14ac:dyDescent="0.25">
      <c r="B4" s="33" t="s">
        <v>79</v>
      </c>
      <c r="C4" s="17"/>
      <c r="D4" s="17"/>
      <c r="E4" s="17"/>
      <c r="F4" s="17"/>
      <c r="G4" s="17"/>
      <c r="H4" s="17"/>
      <c r="I4" s="17"/>
      <c r="J4" s="17"/>
      <c r="K4" s="17"/>
      <c r="L4" s="16" t="s">
        <v>35</v>
      </c>
      <c r="M4" s="17"/>
      <c r="N4" s="17"/>
      <c r="O4" s="17"/>
      <c r="P4" s="19">
        <f>(D37+H37)/(B37+F37)</f>
        <v>-1.3128793655253589E-2</v>
      </c>
      <c r="Q4" s="17"/>
      <c r="R4" s="17"/>
    </row>
    <row r="5" spans="1:18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6" t="s">
        <v>36</v>
      </c>
      <c r="M5" s="17"/>
      <c r="N5" s="17"/>
      <c r="O5" s="17"/>
      <c r="P5" s="20">
        <f>'Avg Age'!$G$315</f>
        <v>4.6250231414286258</v>
      </c>
      <c r="Q5" s="17"/>
      <c r="R5" s="17"/>
    </row>
    <row r="6" spans="1:18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6" t="s">
        <v>37</v>
      </c>
      <c r="M6" s="17"/>
      <c r="N6" s="17"/>
      <c r="O6" s="17"/>
      <c r="P6" s="21">
        <f>N37/(L21+J37)</f>
        <v>10.833513547634643</v>
      </c>
      <c r="Q6" s="17"/>
      <c r="R6" s="17"/>
    </row>
    <row r="7" spans="1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6" t="s">
        <v>38</v>
      </c>
      <c r="M7" s="17"/>
      <c r="N7" s="17"/>
      <c r="O7" s="17"/>
      <c r="P7" s="21">
        <f>P5+P6</f>
        <v>15.458536689063269</v>
      </c>
      <c r="Q7" s="17"/>
      <c r="R7" s="17"/>
    </row>
    <row r="8" spans="1:18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6" t="s">
        <v>39</v>
      </c>
      <c r="M8" s="17"/>
      <c r="N8" s="17"/>
      <c r="O8" s="17"/>
      <c r="P8" s="19">
        <f>R21/L21</f>
        <v>0.19434426213724937</v>
      </c>
      <c r="Q8" s="17"/>
      <c r="R8" s="17"/>
    </row>
    <row r="9" spans="1:18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6" t="s">
        <v>40</v>
      </c>
      <c r="M9" s="17"/>
      <c r="N9" s="17"/>
      <c r="O9" s="17"/>
      <c r="P9" s="17">
        <f>((P5/P7)*((1-P4))*L21)</f>
        <v>1210542.6948229796</v>
      </c>
      <c r="Q9" s="17"/>
      <c r="R9" s="17"/>
    </row>
    <row r="10" spans="1:18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 t="s">
        <v>41</v>
      </c>
      <c r="M10" s="17"/>
      <c r="N10" s="17"/>
      <c r="O10" s="17"/>
      <c r="P10" s="22">
        <f>'IRR and Int Ret %'!$D$7</f>
        <v>0.03</v>
      </c>
      <c r="Q10" s="17"/>
      <c r="R10" s="17"/>
    </row>
    <row r="11" spans="1:18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 t="s">
        <v>42</v>
      </c>
      <c r="M11" s="17"/>
      <c r="N11" s="17"/>
      <c r="O11" s="17"/>
      <c r="P11" s="23">
        <v>0</v>
      </c>
      <c r="Q11" s="17"/>
      <c r="R11" s="17"/>
    </row>
    <row r="12" spans="1:18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 t="s">
        <v>43</v>
      </c>
      <c r="M12" s="17"/>
      <c r="N12" s="17"/>
      <c r="O12" s="17"/>
      <c r="P12" s="24">
        <f>(L21+J37-D37-H37-R21)/N37</f>
        <v>7.5578853334869842E-2</v>
      </c>
      <c r="Q12" s="17"/>
      <c r="R12" s="17"/>
    </row>
    <row r="13" spans="1:18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6" t="s">
        <v>44</v>
      </c>
      <c r="M13" s="17"/>
      <c r="N13" s="17"/>
      <c r="O13" s="17"/>
      <c r="P13" s="24">
        <f>-P4/P7</f>
        <v>8.4929084293871454E-4</v>
      </c>
      <c r="Q13" s="17"/>
      <c r="R13" s="17"/>
    </row>
    <row r="14" spans="1:18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 t="s">
        <v>123</v>
      </c>
      <c r="M14" s="17"/>
      <c r="N14" s="17"/>
      <c r="O14" s="17"/>
      <c r="P14" s="24">
        <f>P12-P13</f>
        <v>7.472956249193112E-2</v>
      </c>
      <c r="Q14" s="17"/>
      <c r="R14" s="17"/>
    </row>
    <row r="15" spans="1:18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5"/>
      <c r="M15" s="17"/>
      <c r="N15" s="17"/>
      <c r="O15" s="17"/>
      <c r="P15" s="17"/>
      <c r="Q15" s="17"/>
      <c r="R15" s="17"/>
    </row>
    <row r="16" spans="1:18" x14ac:dyDescent="0.25">
      <c r="A16" s="26" t="s">
        <v>45</v>
      </c>
      <c r="B16" s="25" t="s">
        <v>46</v>
      </c>
      <c r="C16" s="25"/>
      <c r="D16" s="25" t="s">
        <v>47</v>
      </c>
      <c r="E16" s="25"/>
      <c r="F16" s="25" t="s">
        <v>48</v>
      </c>
      <c r="G16" s="25"/>
      <c r="H16" s="25" t="s">
        <v>49</v>
      </c>
      <c r="I16" s="25"/>
      <c r="J16" s="25" t="s">
        <v>50</v>
      </c>
      <c r="K16" s="17"/>
      <c r="L16" s="25" t="s">
        <v>51</v>
      </c>
      <c r="M16" s="17"/>
      <c r="N16" s="25" t="s">
        <v>52</v>
      </c>
      <c r="O16" s="25"/>
      <c r="P16" s="25" t="s">
        <v>53</v>
      </c>
      <c r="Q16" s="25"/>
      <c r="R16" s="25" t="s">
        <v>54</v>
      </c>
    </row>
    <row r="17" spans="1:18" x14ac:dyDescent="0.25">
      <c r="A17" s="26"/>
      <c r="B17" s="25" t="s">
        <v>55</v>
      </c>
      <c r="C17" s="25"/>
      <c r="D17" s="25" t="s">
        <v>55</v>
      </c>
      <c r="E17" s="25"/>
      <c r="F17" s="25" t="s">
        <v>56</v>
      </c>
      <c r="G17" s="25"/>
      <c r="H17" s="25" t="s">
        <v>56</v>
      </c>
      <c r="I17" s="25"/>
      <c r="J17" s="25" t="s">
        <v>55</v>
      </c>
      <c r="K17" s="17"/>
      <c r="L17" s="25" t="s">
        <v>57</v>
      </c>
      <c r="M17" s="17"/>
      <c r="N17" s="25" t="s">
        <v>58</v>
      </c>
      <c r="O17" s="25"/>
      <c r="P17" s="25" t="s">
        <v>59</v>
      </c>
      <c r="Q17" s="25"/>
      <c r="R17" s="25" t="s">
        <v>57</v>
      </c>
    </row>
    <row r="18" spans="1:18" x14ac:dyDescent="0.25">
      <c r="A18" s="27" t="s">
        <v>60</v>
      </c>
      <c r="B18" s="28" t="s">
        <v>61</v>
      </c>
      <c r="C18" s="28"/>
      <c r="D18" s="28" t="s">
        <v>62</v>
      </c>
      <c r="E18" s="28"/>
      <c r="F18" s="28" t="s">
        <v>63</v>
      </c>
      <c r="G18" s="28"/>
      <c r="H18" s="28" t="s">
        <v>62</v>
      </c>
      <c r="I18" s="28"/>
      <c r="J18" s="28" t="s">
        <v>64</v>
      </c>
      <c r="K18" s="17"/>
      <c r="L18" s="28" t="s">
        <v>65</v>
      </c>
      <c r="M18" s="17"/>
      <c r="N18" s="28" t="s">
        <v>65</v>
      </c>
      <c r="O18" s="28"/>
      <c r="P18" s="28" t="s">
        <v>66</v>
      </c>
      <c r="Q18" s="28"/>
      <c r="R18" s="28" t="s">
        <v>67</v>
      </c>
    </row>
    <row r="19" spans="1:18" x14ac:dyDescent="0.25">
      <c r="B19" s="25" t="s">
        <v>68</v>
      </c>
      <c r="C19" s="17"/>
      <c r="D19" s="25" t="s">
        <v>68</v>
      </c>
      <c r="E19" s="17"/>
      <c r="F19" s="25" t="s">
        <v>68</v>
      </c>
      <c r="G19" s="17"/>
      <c r="H19" s="25" t="s">
        <v>68</v>
      </c>
      <c r="I19" s="17"/>
      <c r="J19" s="25" t="s">
        <v>68</v>
      </c>
      <c r="K19" s="17"/>
      <c r="L19" s="25" t="s">
        <v>68</v>
      </c>
      <c r="M19" s="17"/>
      <c r="N19" s="25" t="s">
        <v>68</v>
      </c>
      <c r="O19" s="17"/>
      <c r="P19" s="25" t="s">
        <v>68</v>
      </c>
      <c r="Q19" s="17"/>
      <c r="R19" s="25" t="s">
        <v>68</v>
      </c>
    </row>
    <row r="20" spans="1:18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>
        <v>2016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0">
        <f>'Avg Age'!$E$315</f>
        <v>3993649.29</v>
      </c>
      <c r="M21" s="17"/>
      <c r="N21" s="17"/>
      <c r="O21" s="17"/>
      <c r="P21" s="17"/>
      <c r="Q21" s="17"/>
      <c r="R21" s="30">
        <v>776142.82449999987</v>
      </c>
    </row>
    <row r="22" spans="1:18" x14ac:dyDescent="0.25">
      <c r="A22">
        <f t="shared" ref="A22:A34" si="0">A21+1</f>
        <v>2017</v>
      </c>
      <c r="B22" s="17">
        <f t="shared" ref="B22:B31" si="1">L21*$P$10</f>
        <v>119809.47869999999</v>
      </c>
      <c r="C22" s="17"/>
      <c r="D22" s="17">
        <f t="shared" ref="D22:D31" si="2">B22*$P$2</f>
        <v>-5990.473935</v>
      </c>
      <c r="E22" s="17"/>
      <c r="F22" s="17"/>
      <c r="G22" s="17"/>
      <c r="H22" s="17"/>
      <c r="I22" s="17"/>
      <c r="J22" s="17">
        <f>B22*$P$11</f>
        <v>0</v>
      </c>
      <c r="K22" s="17"/>
      <c r="L22" s="17">
        <f t="shared" ref="L22:L34" si="3">L21+J22-B22-F22</f>
        <v>3873839.8113000002</v>
      </c>
      <c r="M22" s="17"/>
      <c r="N22" s="17">
        <f t="shared" ref="N22:N33" si="4">(L21+L22)/2</f>
        <v>3933744.5506500001</v>
      </c>
      <c r="O22" s="17"/>
      <c r="P22" s="17">
        <f t="shared" ref="P22:P34" si="5">N22*$P$12</f>
        <v>297307.90245041985</v>
      </c>
      <c r="Q22" s="17"/>
      <c r="R22" s="17">
        <f>R21+P22-B22-F22+D22+H22</f>
        <v>947650.77431541961</v>
      </c>
    </row>
    <row r="23" spans="1:18" x14ac:dyDescent="0.25">
      <c r="A23">
        <f t="shared" si="0"/>
        <v>2018</v>
      </c>
      <c r="B23" s="17">
        <f t="shared" si="1"/>
        <v>116215.19433899999</v>
      </c>
      <c r="C23" s="17"/>
      <c r="D23" s="17">
        <f t="shared" si="2"/>
        <v>-5810.7597169500004</v>
      </c>
      <c r="E23" s="17"/>
      <c r="F23" s="17"/>
      <c r="G23" s="17"/>
      <c r="H23" s="17"/>
      <c r="I23" s="17"/>
      <c r="J23" s="17">
        <f>B23*$P$11</f>
        <v>0</v>
      </c>
      <c r="K23" s="17"/>
      <c r="L23" s="17">
        <f t="shared" si="3"/>
        <v>3757624.616961</v>
      </c>
      <c r="M23" s="17"/>
      <c r="N23" s="17">
        <f t="shared" si="4"/>
        <v>3815732.2141305003</v>
      </c>
      <c r="O23" s="17"/>
      <c r="P23" s="17">
        <f t="shared" si="5"/>
        <v>288388.66537690727</v>
      </c>
      <c r="Q23" s="17"/>
      <c r="R23" s="17">
        <f t="shared" ref="R23:R34" si="6">R22+P23-B23-F23+D23+H23</f>
        <v>1114013.485636377</v>
      </c>
    </row>
    <row r="24" spans="1:18" x14ac:dyDescent="0.25">
      <c r="A24">
        <f t="shared" si="0"/>
        <v>2019</v>
      </c>
      <c r="B24" s="17">
        <f t="shared" si="1"/>
        <v>112728.73850882999</v>
      </c>
      <c r="C24" s="17"/>
      <c r="D24" s="17">
        <f t="shared" si="2"/>
        <v>-5636.4369254414996</v>
      </c>
      <c r="E24" s="17"/>
      <c r="F24" s="17"/>
      <c r="G24" s="17"/>
      <c r="H24" s="17"/>
      <c r="I24" s="17"/>
      <c r="J24" s="17">
        <f>B24*$P$11</f>
        <v>0</v>
      </c>
      <c r="K24" s="17"/>
      <c r="L24" s="17">
        <f t="shared" si="3"/>
        <v>3644895.8784521702</v>
      </c>
      <c r="M24" s="17"/>
      <c r="N24" s="17">
        <f t="shared" si="4"/>
        <v>3701260.2477065851</v>
      </c>
      <c r="O24" s="17"/>
      <c r="P24" s="17">
        <f t="shared" si="5"/>
        <v>279737.00541560003</v>
      </c>
      <c r="Q24" s="17"/>
      <c r="R24" s="17">
        <f t="shared" si="6"/>
        <v>1275385.3156177055</v>
      </c>
    </row>
    <row r="25" spans="1:18" x14ac:dyDescent="0.25">
      <c r="A25">
        <f t="shared" si="0"/>
        <v>2020</v>
      </c>
      <c r="B25" s="17">
        <f t="shared" si="1"/>
        <v>109346.87635356509</v>
      </c>
      <c r="C25" s="17"/>
      <c r="D25" s="17">
        <f t="shared" si="2"/>
        <v>-5467.3438176782547</v>
      </c>
      <c r="E25" s="17"/>
      <c r="F25" s="17"/>
      <c r="G25" s="17"/>
      <c r="H25" s="17"/>
      <c r="I25" s="17"/>
      <c r="J25" s="17">
        <f>B25*$P$11</f>
        <v>0</v>
      </c>
      <c r="K25" s="17"/>
      <c r="L25" s="17">
        <f t="shared" si="3"/>
        <v>3535549.002098605</v>
      </c>
      <c r="M25" s="17"/>
      <c r="N25" s="17">
        <f t="shared" si="4"/>
        <v>3590222.4402753878</v>
      </c>
      <c r="O25" s="17"/>
      <c r="P25" s="17">
        <f t="shared" si="5"/>
        <v>271344.89525313204</v>
      </c>
      <c r="Q25" s="17"/>
      <c r="R25" s="17">
        <f t="shared" si="6"/>
        <v>1431915.9906995941</v>
      </c>
    </row>
    <row r="26" spans="1:18" x14ac:dyDescent="0.25">
      <c r="A26">
        <f t="shared" si="0"/>
        <v>2021</v>
      </c>
      <c r="B26" s="17">
        <f t="shared" si="1"/>
        <v>106066.47006295815</v>
      </c>
      <c r="C26" s="17"/>
      <c r="D26" s="17">
        <f t="shared" si="2"/>
        <v>-5303.323503147908</v>
      </c>
      <c r="E26" s="17"/>
      <c r="F26" s="17"/>
      <c r="G26" s="17"/>
      <c r="H26" s="17"/>
      <c r="I26" s="17"/>
      <c r="J26" s="17"/>
      <c r="K26" s="17"/>
      <c r="L26" s="17">
        <f t="shared" si="3"/>
        <v>3429482.532035647</v>
      </c>
      <c r="M26" s="17"/>
      <c r="N26" s="17">
        <f t="shared" si="4"/>
        <v>3482515.767067126</v>
      </c>
      <c r="O26" s="17"/>
      <c r="P26" s="17">
        <f t="shared" si="5"/>
        <v>263204.54839553806</v>
      </c>
      <c r="Q26" s="17"/>
      <c r="R26" s="17">
        <f t="shared" si="6"/>
        <v>1583750.7455290263</v>
      </c>
    </row>
    <row r="27" spans="1:18" x14ac:dyDescent="0.25">
      <c r="A27">
        <f t="shared" si="0"/>
        <v>2022</v>
      </c>
      <c r="B27" s="17">
        <f t="shared" si="1"/>
        <v>102884.4759610694</v>
      </c>
      <c r="C27" s="17"/>
      <c r="D27" s="17">
        <f t="shared" si="2"/>
        <v>-5144.2237980534701</v>
      </c>
      <c r="E27" s="17"/>
      <c r="F27" s="17"/>
      <c r="G27" s="17"/>
      <c r="H27" s="17"/>
      <c r="I27" s="17"/>
      <c r="J27" s="17"/>
      <c r="K27" s="17"/>
      <c r="L27" s="17">
        <f t="shared" si="3"/>
        <v>3326598.0560745774</v>
      </c>
      <c r="M27" s="17"/>
      <c r="N27" s="17">
        <f t="shared" si="4"/>
        <v>3378040.2940551122</v>
      </c>
      <c r="O27" s="17"/>
      <c r="P27" s="17">
        <f t="shared" si="5"/>
        <v>255308.4119436719</v>
      </c>
      <c r="Q27" s="17"/>
      <c r="R27" s="17">
        <f t="shared" si="6"/>
        <v>1731030.4577135753</v>
      </c>
    </row>
    <row r="28" spans="1:18" x14ac:dyDescent="0.25">
      <c r="A28">
        <f t="shared" si="0"/>
        <v>2023</v>
      </c>
      <c r="B28" s="17">
        <f t="shared" si="1"/>
        <v>99797.941682237317</v>
      </c>
      <c r="C28" s="17"/>
      <c r="D28" s="17">
        <f t="shared" si="2"/>
        <v>-4989.8970841118662</v>
      </c>
      <c r="E28" s="17"/>
      <c r="F28" s="17"/>
      <c r="G28" s="17"/>
      <c r="H28" s="17"/>
      <c r="I28" s="17"/>
      <c r="J28" s="17"/>
      <c r="K28" s="17"/>
      <c r="L28" s="17">
        <f t="shared" si="3"/>
        <v>3226800.1143923402</v>
      </c>
      <c r="M28" s="17"/>
      <c r="N28" s="17">
        <f t="shared" si="4"/>
        <v>3276699.0852334588</v>
      </c>
      <c r="O28" s="17"/>
      <c r="P28" s="17">
        <f t="shared" si="5"/>
        <v>247649.15958536175</v>
      </c>
      <c r="Q28" s="17"/>
      <c r="R28" s="17">
        <f t="shared" si="6"/>
        <v>1873891.7785325879</v>
      </c>
    </row>
    <row r="29" spans="1:18" x14ac:dyDescent="0.25">
      <c r="A29">
        <f t="shared" si="0"/>
        <v>2024</v>
      </c>
      <c r="B29" s="17">
        <f t="shared" si="1"/>
        <v>96804.003431770208</v>
      </c>
      <c r="C29" s="17"/>
      <c r="D29" s="17">
        <f t="shared" si="2"/>
        <v>-4840.2001715885108</v>
      </c>
      <c r="E29" s="17"/>
      <c r="F29" s="17"/>
      <c r="G29" s="17"/>
      <c r="H29" s="17"/>
      <c r="I29" s="17"/>
      <c r="J29" s="17"/>
      <c r="K29" s="17"/>
      <c r="L29" s="17">
        <f t="shared" si="3"/>
        <v>3129996.1109605702</v>
      </c>
      <c r="M29" s="17"/>
      <c r="N29" s="17">
        <f t="shared" si="4"/>
        <v>3178398.1126764552</v>
      </c>
      <c r="O29" s="17"/>
      <c r="P29" s="17">
        <f t="shared" si="5"/>
        <v>240219.6847978009</v>
      </c>
      <c r="Q29" s="17"/>
      <c r="R29" s="17">
        <f t="shared" si="6"/>
        <v>2012467.2597270303</v>
      </c>
    </row>
    <row r="30" spans="1:18" x14ac:dyDescent="0.25">
      <c r="A30">
        <f t="shared" si="0"/>
        <v>2025</v>
      </c>
      <c r="B30" s="17">
        <f t="shared" si="1"/>
        <v>93899.883328817101</v>
      </c>
      <c r="C30" s="17"/>
      <c r="D30" s="17">
        <f t="shared" si="2"/>
        <v>-4694.9941664408552</v>
      </c>
      <c r="E30" s="17"/>
      <c r="F30" s="17"/>
      <c r="G30" s="17"/>
      <c r="H30" s="17"/>
      <c r="I30" s="17"/>
      <c r="J30" s="17"/>
      <c r="K30" s="17"/>
      <c r="L30" s="17">
        <f t="shared" si="3"/>
        <v>3036096.2276317528</v>
      </c>
      <c r="M30" s="17"/>
      <c r="N30" s="17">
        <f t="shared" si="4"/>
        <v>3083046.1692961613</v>
      </c>
      <c r="O30" s="17"/>
      <c r="P30" s="17">
        <f t="shared" si="5"/>
        <v>233013.09425386688</v>
      </c>
      <c r="Q30" s="17"/>
      <c r="R30" s="17">
        <f t="shared" si="6"/>
        <v>2146885.4764856389</v>
      </c>
    </row>
    <row r="31" spans="1:18" x14ac:dyDescent="0.25">
      <c r="A31">
        <f t="shared" si="0"/>
        <v>2026</v>
      </c>
      <c r="B31" s="17">
        <f t="shared" si="1"/>
        <v>91082.886828952585</v>
      </c>
      <c r="C31" s="17"/>
      <c r="D31" s="17">
        <f t="shared" si="2"/>
        <v>-4554.1443414476298</v>
      </c>
      <c r="E31" s="17"/>
      <c r="F31" s="17"/>
      <c r="G31" s="17"/>
      <c r="H31" s="17"/>
      <c r="I31" s="17"/>
      <c r="J31" s="17"/>
      <c r="K31" s="17"/>
      <c r="L31" s="17">
        <f t="shared" si="3"/>
        <v>2945013.3408028004</v>
      </c>
      <c r="M31" s="17"/>
      <c r="N31" s="17">
        <f t="shared" si="4"/>
        <v>2990554.7842172766</v>
      </c>
      <c r="O31" s="17"/>
      <c r="P31" s="17">
        <f t="shared" si="5"/>
        <v>226022.70142625089</v>
      </c>
      <c r="Q31" s="17"/>
      <c r="R31" s="17">
        <f t="shared" si="6"/>
        <v>2277271.1467414894</v>
      </c>
    </row>
    <row r="32" spans="1:18" x14ac:dyDescent="0.25">
      <c r="A32">
        <f t="shared" si="0"/>
        <v>2027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>
        <f t="shared" si="3"/>
        <v>2945013.3408028004</v>
      </c>
      <c r="M32" s="17"/>
      <c r="N32" s="17">
        <f t="shared" si="4"/>
        <v>2945013.3408028004</v>
      </c>
      <c r="O32" s="17"/>
      <c r="P32" s="17">
        <f t="shared" si="5"/>
        <v>222580.73135376989</v>
      </c>
      <c r="Q32" s="17"/>
      <c r="R32" s="17">
        <f t="shared" si="6"/>
        <v>2499851.8780952594</v>
      </c>
    </row>
    <row r="33" spans="1:18" x14ac:dyDescent="0.25">
      <c r="A33">
        <f t="shared" si="0"/>
        <v>2028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>
        <f t="shared" si="3"/>
        <v>2945013.3408028004</v>
      </c>
      <c r="M33" s="17"/>
      <c r="N33" s="17">
        <f t="shared" si="4"/>
        <v>2945013.3408028004</v>
      </c>
      <c r="O33" s="17"/>
      <c r="P33" s="17">
        <f t="shared" si="5"/>
        <v>222580.73135376989</v>
      </c>
      <c r="Q33" s="17"/>
      <c r="R33" s="17">
        <f t="shared" si="6"/>
        <v>2722432.6094490294</v>
      </c>
    </row>
    <row r="34" spans="1:18" x14ac:dyDescent="0.25">
      <c r="A34">
        <f t="shared" si="0"/>
        <v>2029</v>
      </c>
      <c r="B34" s="17"/>
      <c r="C34" s="17"/>
      <c r="D34" s="17"/>
      <c r="E34" s="17"/>
      <c r="F34" s="17">
        <f>+L33</f>
        <v>2945013.3408028004</v>
      </c>
      <c r="G34" s="17"/>
      <c r="H34" s="17">
        <f>F34*P$3</f>
        <v>0</v>
      </c>
      <c r="I34" s="17"/>
      <c r="J34" s="17"/>
      <c r="K34" s="17"/>
      <c r="L34" s="17">
        <f t="shared" si="3"/>
        <v>0</v>
      </c>
      <c r="M34" s="17"/>
      <c r="N34" s="17">
        <f>+L33</f>
        <v>2945013.3408028004</v>
      </c>
      <c r="O34" s="17"/>
      <c r="P34" s="17">
        <f t="shared" si="5"/>
        <v>222580.73135376989</v>
      </c>
      <c r="Q34" s="17"/>
      <c r="R34" s="17">
        <f t="shared" si="6"/>
        <v>-9.3132257461547852E-10</v>
      </c>
    </row>
    <row r="35" spans="1:18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1:18" x14ac:dyDescent="0.25">
      <c r="A37" s="26" t="s">
        <v>69</v>
      </c>
      <c r="B37" s="31">
        <f>SUM(B22:B35)</f>
        <v>1048635.9491971999</v>
      </c>
      <c r="C37" s="31">
        <f>SUM(C22:C35)</f>
        <v>0</v>
      </c>
      <c r="D37" s="31">
        <f>SUM(D22:D35)</f>
        <v>-52431.797459859998</v>
      </c>
      <c r="E37" s="17"/>
      <c r="F37" s="31">
        <f>SUM(F22:F35)</f>
        <v>2945013.3408028004</v>
      </c>
      <c r="G37" s="17"/>
      <c r="H37" s="31">
        <f>SUM(H22:H35)</f>
        <v>0</v>
      </c>
      <c r="I37" s="17"/>
      <c r="J37" s="31">
        <f>SUM(J22:J35)</f>
        <v>0</v>
      </c>
      <c r="K37" s="17"/>
      <c r="L37" s="17"/>
      <c r="M37" s="17"/>
      <c r="N37" s="31">
        <f>SUM(N22:N35)</f>
        <v>43265253.687716477</v>
      </c>
      <c r="O37" s="17"/>
      <c r="P37" s="17"/>
      <c r="Q37" s="17"/>
      <c r="R37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selection activeCell="L14" sqref="L14:P14"/>
    </sheetView>
  </sheetViews>
  <sheetFormatPr defaultRowHeight="15" x14ac:dyDescent="0.25"/>
  <cols>
    <col min="5" max="5" width="2.5703125" customWidth="1"/>
    <col min="6" max="6" width="13.28515625" customWidth="1"/>
    <col min="7" max="7" width="3.5703125" customWidth="1"/>
    <col min="9" max="9" width="2.7109375" customWidth="1"/>
    <col min="11" max="11" width="1.5703125" customWidth="1"/>
    <col min="12" max="12" width="13.7109375" customWidth="1"/>
    <col min="13" max="13" width="1.28515625" customWidth="1"/>
    <col min="14" max="14" width="12.28515625" customWidth="1"/>
    <col min="15" max="15" width="1.85546875" customWidth="1"/>
    <col min="17" max="17" width="0.42578125" customWidth="1"/>
    <col min="18" max="18" width="13.42578125" customWidth="1"/>
  </cols>
  <sheetData>
    <row r="1" spans="1:18" x14ac:dyDescent="0.25">
      <c r="B1" s="16" t="s">
        <v>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B2" s="18" t="s">
        <v>70</v>
      </c>
      <c r="C2" s="17"/>
      <c r="D2" s="17"/>
      <c r="E2" s="17"/>
      <c r="F2" s="17"/>
      <c r="G2" s="17"/>
      <c r="H2" s="17"/>
      <c r="I2" s="17"/>
      <c r="J2" s="17"/>
      <c r="K2" s="17"/>
      <c r="L2" s="16" t="s">
        <v>33</v>
      </c>
      <c r="M2" s="17"/>
      <c r="N2" s="17"/>
      <c r="O2" s="17"/>
      <c r="P2" s="19">
        <f>'IRR and Int Ret %'!$F$9</f>
        <v>-0.05</v>
      </c>
      <c r="Q2" s="17"/>
      <c r="R2" s="17"/>
    </row>
    <row r="3" spans="1:18" x14ac:dyDescent="0.25">
      <c r="B3" s="16" t="s">
        <v>78</v>
      </c>
      <c r="C3" s="17"/>
      <c r="D3" s="17"/>
      <c r="E3" s="17"/>
      <c r="F3" s="17"/>
      <c r="G3" s="17"/>
      <c r="H3" s="17"/>
      <c r="I3" s="17"/>
      <c r="J3" s="17"/>
      <c r="K3" s="17"/>
      <c r="L3" s="16" t="s">
        <v>34</v>
      </c>
      <c r="M3" s="17"/>
      <c r="N3" s="17"/>
      <c r="O3" s="17"/>
      <c r="P3" s="19">
        <v>0</v>
      </c>
      <c r="Q3" s="17"/>
      <c r="R3" s="17"/>
    </row>
    <row r="4" spans="1:18" x14ac:dyDescent="0.25">
      <c r="B4" s="33" t="s">
        <v>79</v>
      </c>
      <c r="C4" s="17"/>
      <c r="D4" s="17"/>
      <c r="E4" s="17"/>
      <c r="F4" s="17"/>
      <c r="G4" s="17"/>
      <c r="H4" s="17"/>
      <c r="I4" s="17"/>
      <c r="J4" s="17"/>
      <c r="K4" s="17"/>
      <c r="L4" s="16" t="s">
        <v>35</v>
      </c>
      <c r="M4" s="17"/>
      <c r="N4" s="17"/>
      <c r="O4" s="17"/>
      <c r="P4" s="19">
        <f>(D36+H36)/(B36+F36)</f>
        <v>-7.0134778870428469E-3</v>
      </c>
      <c r="Q4" s="17"/>
      <c r="R4" s="17"/>
    </row>
    <row r="5" spans="1:18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6" t="s">
        <v>36</v>
      </c>
      <c r="M5" s="17"/>
      <c r="N5" s="17"/>
      <c r="O5" s="17"/>
      <c r="P5" s="20">
        <f>'Avg Age'!$G$319</f>
        <v>5.0481779233104849</v>
      </c>
      <c r="Q5" s="17"/>
      <c r="R5" s="17"/>
    </row>
    <row r="6" spans="1:18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6" t="s">
        <v>37</v>
      </c>
      <c r="M6" s="17"/>
      <c r="N6" s="17"/>
      <c r="O6" s="17"/>
      <c r="P6" s="21">
        <f>N36/(L21+J36)</f>
        <v>11.860360397297466</v>
      </c>
      <c r="Q6" s="17"/>
      <c r="R6" s="17"/>
    </row>
    <row r="7" spans="1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6" t="s">
        <v>38</v>
      </c>
      <c r="M7" s="17"/>
      <c r="N7" s="17"/>
      <c r="O7" s="17"/>
      <c r="P7" s="21">
        <f>P5+P6</f>
        <v>16.908538320607953</v>
      </c>
      <c r="Q7" s="17"/>
      <c r="R7" s="17"/>
    </row>
    <row r="8" spans="1:18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6" t="s">
        <v>39</v>
      </c>
      <c r="M8" s="17"/>
      <c r="N8" s="17"/>
      <c r="O8" s="17"/>
      <c r="P8" s="19">
        <f>R21/L21</f>
        <v>0.2128753473871646</v>
      </c>
      <c r="Q8" s="17"/>
      <c r="R8" s="17"/>
    </row>
    <row r="9" spans="1:18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6" t="s">
        <v>40</v>
      </c>
      <c r="M9" s="17"/>
      <c r="N9" s="17"/>
      <c r="O9" s="17"/>
      <c r="P9" s="17">
        <f>((P5/P7)*((1-P4))*L21)</f>
        <v>317573.07885560271</v>
      </c>
      <c r="Q9" s="17"/>
      <c r="R9" s="17"/>
    </row>
    <row r="10" spans="1:18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 t="s">
        <v>41</v>
      </c>
      <c r="M10" s="17"/>
      <c r="N10" s="17"/>
      <c r="O10" s="17"/>
      <c r="P10" s="22">
        <f>'IRR and Int Ret %'!$D$9</f>
        <v>1.4999999999999999E-2</v>
      </c>
      <c r="Q10" s="17"/>
      <c r="R10" s="17"/>
    </row>
    <row r="11" spans="1:18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 t="s">
        <v>42</v>
      </c>
      <c r="M11" s="17"/>
      <c r="N11" s="17"/>
      <c r="O11" s="17"/>
      <c r="P11" s="23">
        <v>0</v>
      </c>
      <c r="Q11" s="17"/>
      <c r="R11" s="17"/>
    </row>
    <row r="12" spans="1:18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 t="s">
        <v>43</v>
      </c>
      <c r="M12" s="17"/>
      <c r="N12" s="17"/>
      <c r="O12" s="17"/>
      <c r="P12" s="24">
        <f>(L21+J36-D36-H36-R21)/N36</f>
        <v>6.6957335519149369E-2</v>
      </c>
      <c r="Q12" s="17"/>
      <c r="R12" s="17"/>
    </row>
    <row r="13" spans="1:18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6" t="s">
        <v>44</v>
      </c>
      <c r="M13" s="17"/>
      <c r="N13" s="17"/>
      <c r="O13" s="17"/>
      <c r="P13" s="24">
        <f>-P4/P7</f>
        <v>4.1478912925873034E-4</v>
      </c>
      <c r="Q13" s="17"/>
      <c r="R13" s="17"/>
    </row>
    <row r="14" spans="1:18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 t="s">
        <v>123</v>
      </c>
      <c r="M14" s="17"/>
      <c r="N14" s="17"/>
      <c r="O14" s="17"/>
      <c r="P14" s="24">
        <f>P12-P13</f>
        <v>6.6542546389890642E-2</v>
      </c>
      <c r="Q14" s="17"/>
      <c r="R14" s="17"/>
    </row>
    <row r="15" spans="1:18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5"/>
      <c r="M15" s="17"/>
      <c r="N15" s="17"/>
      <c r="O15" s="17"/>
      <c r="P15" s="17"/>
      <c r="Q15" s="17"/>
      <c r="R15" s="17"/>
    </row>
    <row r="16" spans="1:18" x14ac:dyDescent="0.25">
      <c r="A16" s="26" t="s">
        <v>45</v>
      </c>
      <c r="B16" s="25" t="s">
        <v>46</v>
      </c>
      <c r="C16" s="25"/>
      <c r="D16" s="25" t="s">
        <v>47</v>
      </c>
      <c r="E16" s="25"/>
      <c r="F16" s="25" t="s">
        <v>48</v>
      </c>
      <c r="G16" s="25"/>
      <c r="H16" s="25" t="s">
        <v>49</v>
      </c>
      <c r="I16" s="25"/>
      <c r="J16" s="25" t="s">
        <v>50</v>
      </c>
      <c r="K16" s="17"/>
      <c r="L16" s="25" t="s">
        <v>51</v>
      </c>
      <c r="M16" s="17"/>
      <c r="N16" s="25" t="s">
        <v>52</v>
      </c>
      <c r="O16" s="25"/>
      <c r="P16" s="25" t="s">
        <v>53</v>
      </c>
      <c r="Q16" s="25"/>
      <c r="R16" s="25" t="s">
        <v>54</v>
      </c>
    </row>
    <row r="17" spans="1:18" x14ac:dyDescent="0.25">
      <c r="A17" s="26"/>
      <c r="B17" s="25" t="s">
        <v>55</v>
      </c>
      <c r="C17" s="25"/>
      <c r="D17" s="25" t="s">
        <v>55</v>
      </c>
      <c r="E17" s="25"/>
      <c r="F17" s="25" t="s">
        <v>56</v>
      </c>
      <c r="G17" s="25"/>
      <c r="H17" s="25" t="s">
        <v>56</v>
      </c>
      <c r="I17" s="25"/>
      <c r="J17" s="25" t="s">
        <v>55</v>
      </c>
      <c r="K17" s="17"/>
      <c r="L17" s="25" t="s">
        <v>57</v>
      </c>
      <c r="M17" s="17"/>
      <c r="N17" s="25" t="s">
        <v>58</v>
      </c>
      <c r="O17" s="25"/>
      <c r="P17" s="25" t="s">
        <v>59</v>
      </c>
      <c r="Q17" s="25"/>
      <c r="R17" s="25" t="s">
        <v>57</v>
      </c>
    </row>
    <row r="18" spans="1:18" x14ac:dyDescent="0.25">
      <c r="A18" s="27" t="s">
        <v>60</v>
      </c>
      <c r="B18" s="28" t="s">
        <v>61</v>
      </c>
      <c r="C18" s="28"/>
      <c r="D18" s="28" t="s">
        <v>62</v>
      </c>
      <c r="E18" s="28"/>
      <c r="F18" s="28" t="s">
        <v>63</v>
      </c>
      <c r="G18" s="28"/>
      <c r="H18" s="28" t="s">
        <v>62</v>
      </c>
      <c r="I18" s="28"/>
      <c r="J18" s="28" t="s">
        <v>64</v>
      </c>
      <c r="K18" s="17"/>
      <c r="L18" s="28" t="s">
        <v>65</v>
      </c>
      <c r="M18" s="17"/>
      <c r="N18" s="28" t="s">
        <v>65</v>
      </c>
      <c r="O18" s="28"/>
      <c r="P18" s="28" t="s">
        <v>66</v>
      </c>
      <c r="Q18" s="28"/>
      <c r="R18" s="28" t="s">
        <v>67</v>
      </c>
    </row>
    <row r="19" spans="1:18" x14ac:dyDescent="0.25">
      <c r="B19" s="25" t="s">
        <v>68</v>
      </c>
      <c r="C19" s="17"/>
      <c r="D19" s="25" t="s">
        <v>68</v>
      </c>
      <c r="E19" s="17"/>
      <c r="F19" s="25" t="s">
        <v>68</v>
      </c>
      <c r="G19" s="17"/>
      <c r="H19" s="25" t="s">
        <v>68</v>
      </c>
      <c r="I19" s="17"/>
      <c r="J19" s="25" t="s">
        <v>68</v>
      </c>
      <c r="K19" s="17"/>
      <c r="L19" s="25" t="s">
        <v>68</v>
      </c>
      <c r="M19" s="17"/>
      <c r="N19" s="25" t="s">
        <v>68</v>
      </c>
      <c r="O19" s="17"/>
      <c r="P19" s="25" t="s">
        <v>68</v>
      </c>
      <c r="Q19" s="17"/>
      <c r="R19" s="25" t="s">
        <v>68</v>
      </c>
    </row>
    <row r="20" spans="1:18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>
        <v>2016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0">
        <f>'Avg Age'!$E$319</f>
        <v>1056281.83</v>
      </c>
      <c r="M21" s="17"/>
      <c r="N21" s="17"/>
      <c r="O21" s="17"/>
      <c r="P21" s="17"/>
      <c r="Q21" s="17"/>
      <c r="R21" s="30">
        <v>224856.36149999997</v>
      </c>
    </row>
    <row r="22" spans="1:18" x14ac:dyDescent="0.25">
      <c r="A22">
        <f t="shared" ref="A22:A34" si="0">A21+1</f>
        <v>2017</v>
      </c>
      <c r="B22" s="17">
        <f t="shared" ref="B22:B27" si="1">L21*$P$10</f>
        <v>15844.22745</v>
      </c>
      <c r="C22" s="17"/>
      <c r="D22" s="17">
        <f t="shared" ref="D22:D27" si="2">B22*$P$2</f>
        <v>-792.21137250000004</v>
      </c>
      <c r="E22" s="17"/>
      <c r="F22" s="17"/>
      <c r="G22" s="17"/>
      <c r="H22" s="17"/>
      <c r="I22" s="17"/>
      <c r="J22" s="17">
        <f>B22*$P$11</f>
        <v>0</v>
      </c>
      <c r="K22" s="17"/>
      <c r="L22" s="17">
        <f t="shared" ref="L22:L27" si="3">L21+J22-B22-F22</f>
        <v>1040437.6025500001</v>
      </c>
      <c r="M22" s="17"/>
      <c r="N22" s="17">
        <f t="shared" ref="N22:N27" si="4">(L21+L22)/2</f>
        <v>1048359.716275</v>
      </c>
      <c r="O22" s="17"/>
      <c r="P22" s="17">
        <f t="shared" ref="P22:P34" si="5">N22*$P$12</f>
        <v>70195.37326738541</v>
      </c>
      <c r="Q22" s="17"/>
      <c r="R22" s="17">
        <f t="shared" ref="R22:R34" si="6">R21+P22-B22-F22+D22+H22</f>
        <v>278415.29594488541</v>
      </c>
    </row>
    <row r="23" spans="1:18" x14ac:dyDescent="0.25">
      <c r="A23">
        <f t="shared" si="0"/>
        <v>2018</v>
      </c>
      <c r="B23" s="17">
        <f t="shared" si="1"/>
        <v>15606.564038250001</v>
      </c>
      <c r="C23" s="17"/>
      <c r="D23" s="17">
        <f t="shared" si="2"/>
        <v>-780.32820191250005</v>
      </c>
      <c r="E23" s="17"/>
      <c r="F23" s="17"/>
      <c r="G23" s="17"/>
      <c r="H23" s="17"/>
      <c r="I23" s="17"/>
      <c r="J23" s="17">
        <f>B23*$P$11</f>
        <v>0</v>
      </c>
      <c r="K23" s="17"/>
      <c r="L23" s="17">
        <f t="shared" si="3"/>
        <v>1024831.0385117501</v>
      </c>
      <c r="M23" s="17"/>
      <c r="N23" s="17">
        <f t="shared" si="4"/>
        <v>1032634.3205308751</v>
      </c>
      <c r="O23" s="17"/>
      <c r="P23" s="17">
        <f t="shared" si="5"/>
        <v>69142.442668374642</v>
      </c>
      <c r="Q23" s="17"/>
      <c r="R23" s="17">
        <f t="shared" si="6"/>
        <v>331170.84637309751</v>
      </c>
    </row>
    <row r="24" spans="1:18" x14ac:dyDescent="0.25">
      <c r="A24">
        <f t="shared" si="0"/>
        <v>2019</v>
      </c>
      <c r="B24" s="17">
        <f t="shared" si="1"/>
        <v>15372.46557767625</v>
      </c>
      <c r="C24" s="17"/>
      <c r="D24" s="17">
        <f t="shared" si="2"/>
        <v>-768.62327888381253</v>
      </c>
      <c r="E24" s="17"/>
      <c r="F24" s="17"/>
      <c r="G24" s="17"/>
      <c r="H24" s="17"/>
      <c r="I24" s="17"/>
      <c r="J24" s="17">
        <f>B24*$P$11</f>
        <v>0</v>
      </c>
      <c r="K24" s="17"/>
      <c r="L24" s="17">
        <f t="shared" si="3"/>
        <v>1009458.5729340739</v>
      </c>
      <c r="M24" s="17"/>
      <c r="N24" s="17">
        <f t="shared" si="4"/>
        <v>1017144.805722912</v>
      </c>
      <c r="O24" s="17"/>
      <c r="P24" s="17">
        <f t="shared" si="5"/>
        <v>68105.306028349019</v>
      </c>
      <c r="Q24" s="17"/>
      <c r="R24" s="17">
        <f t="shared" si="6"/>
        <v>383135.06354488648</v>
      </c>
    </row>
    <row r="25" spans="1:18" x14ac:dyDescent="0.25">
      <c r="A25">
        <f t="shared" si="0"/>
        <v>2020</v>
      </c>
      <c r="B25" s="17">
        <f t="shared" si="1"/>
        <v>15141.878594011107</v>
      </c>
      <c r="C25" s="17"/>
      <c r="D25" s="17">
        <f t="shared" si="2"/>
        <v>-757.09392970055535</v>
      </c>
      <c r="E25" s="17"/>
      <c r="F25" s="17"/>
      <c r="G25" s="17"/>
      <c r="H25" s="17"/>
      <c r="I25" s="17"/>
      <c r="J25" s="17">
        <f>B25*$P$11</f>
        <v>0</v>
      </c>
      <c r="K25" s="17"/>
      <c r="L25" s="17">
        <f t="shared" si="3"/>
        <v>994316.69434006279</v>
      </c>
      <c r="M25" s="17"/>
      <c r="N25" s="17">
        <f t="shared" si="4"/>
        <v>1001887.6336370683</v>
      </c>
      <c r="O25" s="17"/>
      <c r="P25" s="17">
        <f t="shared" si="5"/>
        <v>67083.726437923789</v>
      </c>
      <c r="Q25" s="17"/>
      <c r="R25" s="17">
        <f t="shared" si="6"/>
        <v>434319.81745909859</v>
      </c>
    </row>
    <row r="26" spans="1:18" x14ac:dyDescent="0.25">
      <c r="A26">
        <f t="shared" si="0"/>
        <v>2021</v>
      </c>
      <c r="B26" s="17">
        <f t="shared" si="1"/>
        <v>14914.750415100942</v>
      </c>
      <c r="C26" s="17"/>
      <c r="D26" s="17">
        <f t="shared" si="2"/>
        <v>-745.73752075504717</v>
      </c>
      <c r="E26" s="17"/>
      <c r="F26" s="17"/>
      <c r="G26" s="17"/>
      <c r="H26" s="17"/>
      <c r="I26" s="17"/>
      <c r="J26" s="17"/>
      <c r="K26" s="17"/>
      <c r="L26" s="17">
        <f t="shared" si="3"/>
        <v>979401.94392496184</v>
      </c>
      <c r="M26" s="17"/>
      <c r="N26" s="17">
        <f t="shared" si="4"/>
        <v>986859.31913251232</v>
      </c>
      <c r="O26" s="17"/>
      <c r="P26" s="17">
        <f t="shared" si="5"/>
        <v>66077.470541354924</v>
      </c>
      <c r="Q26" s="17"/>
      <c r="R26" s="17">
        <f t="shared" si="6"/>
        <v>484736.80006459751</v>
      </c>
    </row>
    <row r="27" spans="1:18" x14ac:dyDescent="0.25">
      <c r="A27">
        <f t="shared" si="0"/>
        <v>2022</v>
      </c>
      <c r="B27" s="17">
        <f t="shared" si="1"/>
        <v>14691.029158874428</v>
      </c>
      <c r="C27" s="17"/>
      <c r="D27" s="17">
        <f t="shared" si="2"/>
        <v>-734.5514579437214</v>
      </c>
      <c r="E27" s="17"/>
      <c r="F27" s="17"/>
      <c r="G27" s="17"/>
      <c r="H27" s="17"/>
      <c r="I27" s="17"/>
      <c r="J27" s="17"/>
      <c r="K27" s="17"/>
      <c r="L27" s="17">
        <f t="shared" si="3"/>
        <v>964710.91476608743</v>
      </c>
      <c r="M27" s="17"/>
      <c r="N27" s="17">
        <f t="shared" si="4"/>
        <v>972056.42934552464</v>
      </c>
      <c r="O27" s="17"/>
      <c r="P27" s="17">
        <f t="shared" si="5"/>
        <v>65086.308483234607</v>
      </c>
      <c r="Q27" s="17"/>
      <c r="R27" s="17">
        <f t="shared" si="6"/>
        <v>534397.52793101396</v>
      </c>
    </row>
    <row r="28" spans="1:18" x14ac:dyDescent="0.25">
      <c r="A28">
        <f t="shared" si="0"/>
        <v>2023</v>
      </c>
      <c r="B28" s="17">
        <f t="shared" ref="B28:B31" si="7">L27*$P$10</f>
        <v>14470.663721491312</v>
      </c>
      <c r="C28" s="17"/>
      <c r="D28" s="17">
        <f t="shared" ref="D28:D31" si="8">B28*$P$2</f>
        <v>-723.53318607456561</v>
      </c>
      <c r="E28" s="17"/>
      <c r="F28" s="17"/>
      <c r="G28" s="17"/>
      <c r="H28" s="17"/>
      <c r="I28" s="17"/>
      <c r="J28" s="17"/>
      <c r="K28" s="17"/>
      <c r="L28" s="17">
        <f t="shared" ref="L28:L33" si="9">L27+J28-B28-F28</f>
        <v>950240.25104459608</v>
      </c>
      <c r="M28" s="17"/>
      <c r="N28" s="17">
        <f t="shared" ref="N28:N33" si="10">(L27+L28)/2</f>
        <v>957475.58290534175</v>
      </c>
      <c r="O28" s="17"/>
      <c r="P28" s="17">
        <f t="shared" ref="P28:P33" si="11">N28*$P$12</f>
        <v>64110.013855986086</v>
      </c>
      <c r="Q28" s="17"/>
      <c r="R28" s="17">
        <f t="shared" ref="R28:R33" si="12">R27+P28-B28-F28+D28+H28</f>
        <v>583313.34487943409</v>
      </c>
    </row>
    <row r="29" spans="1:18" x14ac:dyDescent="0.25">
      <c r="A29">
        <f t="shared" si="0"/>
        <v>2024</v>
      </c>
      <c r="B29" s="17">
        <f t="shared" si="7"/>
        <v>14253.60376566894</v>
      </c>
      <c r="C29" s="17"/>
      <c r="D29" s="17">
        <f t="shared" si="8"/>
        <v>-712.68018828344702</v>
      </c>
      <c r="E29" s="17"/>
      <c r="F29" s="17"/>
      <c r="G29" s="17"/>
      <c r="H29" s="17"/>
      <c r="I29" s="17"/>
      <c r="J29" s="17"/>
      <c r="K29" s="17"/>
      <c r="L29" s="17">
        <f t="shared" si="9"/>
        <v>935986.64727892715</v>
      </c>
      <c r="M29" s="17"/>
      <c r="N29" s="17">
        <f t="shared" si="10"/>
        <v>943113.44916176167</v>
      </c>
      <c r="O29" s="17"/>
      <c r="P29" s="17">
        <f t="shared" si="11"/>
        <v>63148.363648146296</v>
      </c>
      <c r="Q29" s="17"/>
      <c r="R29" s="17">
        <f t="shared" si="12"/>
        <v>631495.424573628</v>
      </c>
    </row>
    <row r="30" spans="1:18" x14ac:dyDescent="0.25">
      <c r="A30">
        <f t="shared" si="0"/>
        <v>2025</v>
      </c>
      <c r="B30" s="17">
        <f t="shared" si="7"/>
        <v>14039.799709183906</v>
      </c>
      <c r="C30" s="17"/>
      <c r="D30" s="17">
        <f t="shared" si="8"/>
        <v>-701.9899854591954</v>
      </c>
      <c r="E30" s="17"/>
      <c r="F30" s="17"/>
      <c r="G30" s="17"/>
      <c r="H30" s="17"/>
      <c r="I30" s="17"/>
      <c r="J30" s="17"/>
      <c r="K30" s="17"/>
      <c r="L30" s="17">
        <f t="shared" si="9"/>
        <v>921946.84756974329</v>
      </c>
      <c r="M30" s="17"/>
      <c r="N30" s="17">
        <f t="shared" si="10"/>
        <v>928966.74742433522</v>
      </c>
      <c r="O30" s="17"/>
      <c r="P30" s="17">
        <f t="shared" si="11"/>
        <v>62201.1381934241</v>
      </c>
      <c r="Q30" s="17"/>
      <c r="R30" s="17">
        <f t="shared" si="12"/>
        <v>678954.77307240898</v>
      </c>
    </row>
    <row r="31" spans="1:18" x14ac:dyDescent="0.25">
      <c r="A31">
        <f t="shared" si="0"/>
        <v>2026</v>
      </c>
      <c r="B31" s="17">
        <f t="shared" si="7"/>
        <v>13829.202713546149</v>
      </c>
      <c r="C31" s="17"/>
      <c r="D31" s="17">
        <f t="shared" si="8"/>
        <v>-691.46013567730745</v>
      </c>
      <c r="E31" s="17"/>
      <c r="F31" s="17"/>
      <c r="G31" s="17"/>
      <c r="H31" s="17"/>
      <c r="I31" s="17"/>
      <c r="J31" s="17"/>
      <c r="K31" s="17"/>
      <c r="L31" s="17">
        <f t="shared" si="9"/>
        <v>908117.64485619718</v>
      </c>
      <c r="M31" s="17"/>
      <c r="N31" s="17">
        <f t="shared" si="10"/>
        <v>915032.24621297023</v>
      </c>
      <c r="O31" s="17"/>
      <c r="P31" s="17">
        <f t="shared" si="11"/>
        <v>61268.121120522745</v>
      </c>
      <c r="Q31" s="17"/>
      <c r="R31" s="17">
        <f t="shared" si="12"/>
        <v>725702.23134370823</v>
      </c>
    </row>
    <row r="32" spans="1:18" x14ac:dyDescent="0.25">
      <c r="A32">
        <f t="shared" si="0"/>
        <v>2027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>
        <f t="shared" si="9"/>
        <v>908117.64485619718</v>
      </c>
      <c r="M32" s="17"/>
      <c r="N32" s="17">
        <f t="shared" si="10"/>
        <v>908117.64485619718</v>
      </c>
      <c r="O32" s="17"/>
      <c r="P32" s="17">
        <f t="shared" si="11"/>
        <v>60805.13783749612</v>
      </c>
      <c r="Q32" s="17"/>
      <c r="R32" s="17">
        <f t="shared" si="12"/>
        <v>786507.36918120435</v>
      </c>
    </row>
    <row r="33" spans="1:18" x14ac:dyDescent="0.25">
      <c r="A33">
        <f t="shared" si="0"/>
        <v>2028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>
        <f t="shared" si="9"/>
        <v>908117.64485619718</v>
      </c>
      <c r="M33" s="17"/>
      <c r="N33" s="17">
        <f t="shared" si="10"/>
        <v>908117.64485619718</v>
      </c>
      <c r="O33" s="17"/>
      <c r="P33" s="17">
        <f t="shared" si="11"/>
        <v>60805.13783749612</v>
      </c>
      <c r="Q33" s="17"/>
      <c r="R33" s="17">
        <f t="shared" si="12"/>
        <v>847312.50701870047</v>
      </c>
    </row>
    <row r="34" spans="1:18" x14ac:dyDescent="0.25">
      <c r="A34">
        <f t="shared" si="0"/>
        <v>2029</v>
      </c>
      <c r="B34" s="17"/>
      <c r="C34" s="17"/>
      <c r="D34" s="17"/>
      <c r="E34" s="17"/>
      <c r="F34" s="17">
        <f>+L33</f>
        <v>908117.64485619718</v>
      </c>
      <c r="G34" s="17"/>
      <c r="H34" s="17">
        <f>F34*P$3</f>
        <v>0</v>
      </c>
      <c r="I34" s="17"/>
      <c r="J34" s="17"/>
      <c r="K34" s="17"/>
      <c r="L34" s="17">
        <v>0</v>
      </c>
      <c r="M34" s="17"/>
      <c r="N34" s="17">
        <f>+L33</f>
        <v>908117.64485619718</v>
      </c>
      <c r="O34" s="17"/>
      <c r="P34" s="17">
        <f t="shared" si="5"/>
        <v>60805.13783749612</v>
      </c>
      <c r="Q34" s="17"/>
      <c r="R34" s="17">
        <f t="shared" si="6"/>
        <v>-5.8207660913467407E-10</v>
      </c>
    </row>
    <row r="35" spans="1:18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 x14ac:dyDescent="0.25">
      <c r="A36" s="26" t="s">
        <v>69</v>
      </c>
      <c r="B36" s="31">
        <f>SUM(B22:B34)</f>
        <v>148164.18514380301</v>
      </c>
      <c r="C36" s="31"/>
      <c r="D36" s="31">
        <f>SUM(D22:D34)</f>
        <v>-7408.2092571901521</v>
      </c>
      <c r="E36" s="17"/>
      <c r="F36" s="31">
        <f>SUM(F22:F34)</f>
        <v>908117.64485619718</v>
      </c>
      <c r="G36" s="17"/>
      <c r="H36" s="31">
        <f>SUM(H22:H34)</f>
        <v>0</v>
      </c>
      <c r="I36" s="17"/>
      <c r="J36" s="31">
        <f>SUM(J22:J34)</f>
        <v>0</v>
      </c>
      <c r="K36" s="17"/>
      <c r="L36" s="17"/>
      <c r="M36" s="17"/>
      <c r="N36" s="31">
        <f>SUM(N22:N34)</f>
        <v>12527883.184916895</v>
      </c>
      <c r="O36" s="17"/>
      <c r="P36" s="17"/>
      <c r="Q36" s="17"/>
      <c r="R36" s="17"/>
    </row>
    <row r="37" spans="1:18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1:18" x14ac:dyDescent="0.2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selection activeCell="P13" sqref="P13"/>
    </sheetView>
  </sheetViews>
  <sheetFormatPr defaultRowHeight="15" x14ac:dyDescent="0.25"/>
  <cols>
    <col min="3" max="3" width="1.85546875" customWidth="1"/>
    <col min="5" max="5" width="2.85546875" customWidth="1"/>
    <col min="7" max="7" width="3.42578125" customWidth="1"/>
    <col min="9" max="9" width="1.7109375" customWidth="1"/>
    <col min="11" max="11" width="2.85546875" customWidth="1"/>
    <col min="13" max="13" width="3" customWidth="1"/>
    <col min="14" max="14" width="15.140625" customWidth="1"/>
    <col min="15" max="15" width="4" customWidth="1"/>
    <col min="17" max="17" width="3.5703125" customWidth="1"/>
  </cols>
  <sheetData>
    <row r="1" spans="1:18" x14ac:dyDescent="0.25">
      <c r="B1" s="16" t="s">
        <v>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B2" s="18" t="s">
        <v>71</v>
      </c>
      <c r="C2" s="17"/>
      <c r="D2" s="17"/>
      <c r="E2" s="17"/>
      <c r="F2" s="17"/>
      <c r="G2" s="17"/>
      <c r="H2" s="17"/>
      <c r="I2" s="17"/>
      <c r="J2" s="17"/>
      <c r="K2" s="17"/>
      <c r="L2" s="16" t="s">
        <v>33</v>
      </c>
      <c r="M2" s="17"/>
      <c r="N2" s="17"/>
      <c r="O2" s="17"/>
      <c r="P2" s="19">
        <f>'IRR and Int Ret %'!$F$10</f>
        <v>-0.05</v>
      </c>
      <c r="Q2" s="17"/>
      <c r="R2" s="17"/>
    </row>
    <row r="3" spans="1:18" x14ac:dyDescent="0.25">
      <c r="B3" s="16" t="s">
        <v>78</v>
      </c>
      <c r="C3" s="17"/>
      <c r="D3" s="17"/>
      <c r="E3" s="17"/>
      <c r="F3" s="17"/>
      <c r="G3" s="17"/>
      <c r="H3" s="17"/>
      <c r="I3" s="17"/>
      <c r="J3" s="17"/>
      <c r="K3" s="17"/>
      <c r="L3" s="16" t="s">
        <v>34</v>
      </c>
      <c r="M3" s="17"/>
      <c r="N3" s="17"/>
      <c r="O3" s="17"/>
      <c r="P3" s="19">
        <v>0</v>
      </c>
      <c r="Q3" s="17"/>
      <c r="R3" s="17"/>
    </row>
    <row r="4" spans="1:18" x14ac:dyDescent="0.25">
      <c r="B4" s="33" t="s">
        <v>79</v>
      </c>
      <c r="C4" s="17"/>
      <c r="D4" s="17"/>
      <c r="E4" s="17"/>
      <c r="F4" s="17"/>
      <c r="G4" s="17"/>
      <c r="H4" s="17"/>
      <c r="I4" s="17"/>
      <c r="J4" s="17"/>
      <c r="K4" s="17"/>
      <c r="L4" s="16" t="s">
        <v>35</v>
      </c>
      <c r="M4" s="17"/>
      <c r="N4" s="17"/>
      <c r="O4" s="17"/>
      <c r="P4" s="19">
        <f>(D37+H37)/(B37+F37)</f>
        <v>-8.3049132070770731E-3</v>
      </c>
      <c r="Q4" s="17"/>
      <c r="R4" s="17"/>
    </row>
    <row r="5" spans="1:18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6" t="s">
        <v>36</v>
      </c>
      <c r="M5" s="17"/>
      <c r="N5" s="17"/>
      <c r="O5" s="17"/>
      <c r="P5" s="20">
        <f>'Avg Age'!$G$322</f>
        <v>2.1043336761577365</v>
      </c>
      <c r="Q5" s="17"/>
      <c r="R5" s="17"/>
    </row>
    <row r="6" spans="1:18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6" t="s">
        <v>37</v>
      </c>
      <c r="M6" s="17"/>
      <c r="N6" s="17"/>
      <c r="O6" s="17"/>
      <c r="P6" s="21">
        <f>N37/(L21+J37)</f>
        <v>11.646337416701352</v>
      </c>
      <c r="Q6" s="17"/>
      <c r="R6" s="17"/>
    </row>
    <row r="7" spans="1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6" t="s">
        <v>38</v>
      </c>
      <c r="M7" s="17"/>
      <c r="N7" s="17"/>
      <c r="O7" s="17"/>
      <c r="P7" s="21">
        <f>P5+P6</f>
        <v>13.750671092859088</v>
      </c>
      <c r="Q7" s="17"/>
      <c r="R7" s="17"/>
    </row>
    <row r="8" spans="1:18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6" t="s">
        <v>39</v>
      </c>
      <c r="M8" s="17"/>
      <c r="N8" s="17"/>
      <c r="O8" s="17"/>
      <c r="P8" s="19">
        <f>R21/L21</f>
        <v>1.0833038058205009</v>
      </c>
      <c r="Q8" s="17"/>
      <c r="R8" s="17"/>
    </row>
    <row r="9" spans="1:18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6" t="s">
        <v>40</v>
      </c>
      <c r="M9" s="17"/>
      <c r="N9" s="17"/>
      <c r="O9" s="17"/>
      <c r="P9" s="17">
        <f>((P5/P7)*((1-P4))*L21)</f>
        <v>26285.952134862589</v>
      </c>
      <c r="Q9" s="17"/>
      <c r="R9" s="17"/>
    </row>
    <row r="10" spans="1:18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 t="s">
        <v>41</v>
      </c>
      <c r="M10" s="17"/>
      <c r="N10" s="17"/>
      <c r="O10" s="17"/>
      <c r="P10" s="22">
        <f>'IRR and Int Ret %'!$D$10</f>
        <v>1.7999999999999999E-2</v>
      </c>
      <c r="Q10" s="17"/>
      <c r="R10" s="17"/>
    </row>
    <row r="11" spans="1:18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 t="s">
        <v>42</v>
      </c>
      <c r="M11" s="17"/>
      <c r="N11" s="17"/>
      <c r="O11" s="17"/>
      <c r="P11" s="23">
        <v>0</v>
      </c>
      <c r="Q11" s="17"/>
      <c r="R11" s="17"/>
    </row>
    <row r="12" spans="1:18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 t="s">
        <v>43</v>
      </c>
      <c r="M12" s="17"/>
      <c r="N12" s="17"/>
      <c r="O12" s="17"/>
      <c r="P12" s="24">
        <v>0</v>
      </c>
      <c r="Q12" s="17"/>
      <c r="R12" s="17"/>
    </row>
    <row r="13" spans="1:18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6" t="s">
        <v>44</v>
      </c>
      <c r="M13" s="17"/>
      <c r="N13" s="17"/>
      <c r="O13" s="17"/>
      <c r="P13" s="24">
        <v>0</v>
      </c>
      <c r="Q13" s="17"/>
      <c r="R13" s="17"/>
    </row>
    <row r="14" spans="1:18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6" t="s">
        <v>123</v>
      </c>
      <c r="M14" s="17"/>
      <c r="N14" s="17"/>
      <c r="O14" s="17"/>
      <c r="P14" s="24">
        <v>0</v>
      </c>
      <c r="Q14" s="17"/>
      <c r="R14" s="17"/>
    </row>
    <row r="15" spans="1:18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5"/>
      <c r="M15" s="17"/>
      <c r="N15" s="17"/>
      <c r="O15" s="17"/>
      <c r="P15" s="33" t="s">
        <v>134</v>
      </c>
      <c r="Q15" s="17"/>
      <c r="R15" s="17"/>
    </row>
    <row r="16" spans="1:18" x14ac:dyDescent="0.25">
      <c r="A16" s="26" t="s">
        <v>45</v>
      </c>
      <c r="B16" s="25" t="s">
        <v>46</v>
      </c>
      <c r="C16" s="25"/>
      <c r="D16" s="25" t="s">
        <v>47</v>
      </c>
      <c r="E16" s="25"/>
      <c r="F16" s="25" t="s">
        <v>48</v>
      </c>
      <c r="G16" s="25"/>
      <c r="H16" s="25" t="s">
        <v>49</v>
      </c>
      <c r="I16" s="25"/>
      <c r="J16" s="25" t="s">
        <v>50</v>
      </c>
      <c r="K16" s="17"/>
      <c r="L16" s="25" t="s">
        <v>51</v>
      </c>
      <c r="M16" s="17"/>
      <c r="N16" s="25" t="s">
        <v>52</v>
      </c>
      <c r="O16" s="25"/>
      <c r="P16" s="25" t="s">
        <v>53</v>
      </c>
      <c r="Q16" s="25"/>
      <c r="R16" s="25" t="s">
        <v>54</v>
      </c>
    </row>
    <row r="17" spans="1:18" x14ac:dyDescent="0.25">
      <c r="A17" s="26"/>
      <c r="B17" s="25" t="s">
        <v>55</v>
      </c>
      <c r="C17" s="25"/>
      <c r="D17" s="25" t="s">
        <v>55</v>
      </c>
      <c r="E17" s="25"/>
      <c r="F17" s="25" t="s">
        <v>56</v>
      </c>
      <c r="G17" s="25"/>
      <c r="H17" s="25" t="s">
        <v>56</v>
      </c>
      <c r="I17" s="25"/>
      <c r="J17" s="25" t="s">
        <v>55</v>
      </c>
      <c r="K17" s="17"/>
      <c r="L17" s="25" t="s">
        <v>57</v>
      </c>
      <c r="M17" s="17"/>
      <c r="N17" s="25" t="s">
        <v>58</v>
      </c>
      <c r="O17" s="25"/>
      <c r="P17" s="25" t="s">
        <v>59</v>
      </c>
      <c r="Q17" s="25"/>
      <c r="R17" s="25" t="s">
        <v>57</v>
      </c>
    </row>
    <row r="18" spans="1:18" x14ac:dyDescent="0.25">
      <c r="A18" s="27" t="s">
        <v>60</v>
      </c>
      <c r="B18" s="28" t="s">
        <v>61</v>
      </c>
      <c r="C18" s="28"/>
      <c r="D18" s="28" t="s">
        <v>62</v>
      </c>
      <c r="E18" s="28"/>
      <c r="F18" s="28" t="s">
        <v>63</v>
      </c>
      <c r="G18" s="28"/>
      <c r="H18" s="28" t="s">
        <v>62</v>
      </c>
      <c r="I18" s="28"/>
      <c r="J18" s="28" t="s">
        <v>64</v>
      </c>
      <c r="K18" s="17"/>
      <c r="L18" s="28" t="s">
        <v>65</v>
      </c>
      <c r="M18" s="17"/>
      <c r="N18" s="28" t="s">
        <v>65</v>
      </c>
      <c r="O18" s="28"/>
      <c r="P18" s="28" t="s">
        <v>66</v>
      </c>
      <c r="Q18" s="28"/>
      <c r="R18" s="28" t="s">
        <v>67</v>
      </c>
    </row>
    <row r="19" spans="1:18" x14ac:dyDescent="0.25">
      <c r="B19" s="25" t="s">
        <v>68</v>
      </c>
      <c r="C19" s="17"/>
      <c r="D19" s="25" t="s">
        <v>68</v>
      </c>
      <c r="E19" s="17"/>
      <c r="F19" s="25" t="s">
        <v>68</v>
      </c>
      <c r="G19" s="17"/>
      <c r="H19" s="25" t="s">
        <v>68</v>
      </c>
      <c r="I19" s="17"/>
      <c r="J19" s="25" t="s">
        <v>68</v>
      </c>
      <c r="K19" s="17"/>
      <c r="L19" s="25" t="s">
        <v>68</v>
      </c>
      <c r="M19" s="17"/>
      <c r="N19" s="25" t="s">
        <v>68</v>
      </c>
      <c r="O19" s="17"/>
      <c r="P19" s="25" t="s">
        <v>68</v>
      </c>
      <c r="Q19" s="17"/>
      <c r="R19" s="25" t="s">
        <v>68</v>
      </c>
    </row>
    <row r="20" spans="1:18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>
        <v>2016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0">
        <f>'Avg Age'!$E$322</f>
        <v>170349.6</v>
      </c>
      <c r="M21" s="17"/>
      <c r="N21" s="17"/>
      <c r="O21" s="17"/>
      <c r="P21" s="17"/>
      <c r="Q21" s="17"/>
      <c r="R21" s="30">
        <v>184540.37</v>
      </c>
    </row>
    <row r="22" spans="1:18" x14ac:dyDescent="0.25">
      <c r="A22">
        <f t="shared" ref="A22:A34" si="0">A21+1</f>
        <v>2017</v>
      </c>
      <c r="B22" s="17">
        <f t="shared" ref="B22:B26" si="1">L21*$P$10</f>
        <v>3066.2927999999997</v>
      </c>
      <c r="C22" s="17"/>
      <c r="D22" s="17">
        <f t="shared" ref="D22:D26" si="2">B22*$P$2</f>
        <v>-153.31464</v>
      </c>
      <c r="E22" s="17"/>
      <c r="F22" s="17"/>
      <c r="G22" s="17"/>
      <c r="H22" s="17"/>
      <c r="I22" s="17"/>
      <c r="J22" s="17">
        <f>B22*$P$11</f>
        <v>0</v>
      </c>
      <c r="K22" s="17"/>
      <c r="L22" s="17">
        <f t="shared" ref="L22" si="3">L21+J22-B22-F22</f>
        <v>167283.30720000001</v>
      </c>
      <c r="M22" s="17"/>
      <c r="N22" s="17">
        <f t="shared" ref="N22" si="4">(L21+L22)/2</f>
        <v>168816.45360000001</v>
      </c>
      <c r="O22" s="17"/>
      <c r="P22" s="17">
        <f t="shared" ref="P22:P34" si="5">N22*$P$12</f>
        <v>0</v>
      </c>
      <c r="Q22" s="17"/>
      <c r="R22" s="17">
        <f>R21+P22-B22-F22+D22+H22</f>
        <v>181320.76256</v>
      </c>
    </row>
    <row r="23" spans="1:18" x14ac:dyDescent="0.25">
      <c r="A23">
        <f t="shared" si="0"/>
        <v>2018</v>
      </c>
      <c r="B23" s="17">
        <f t="shared" si="1"/>
        <v>3011.0995296000001</v>
      </c>
      <c r="C23" s="17"/>
      <c r="D23" s="17">
        <f t="shared" si="2"/>
        <v>-150.55497648000002</v>
      </c>
      <c r="E23" s="17"/>
      <c r="F23" s="17"/>
      <c r="G23" s="17"/>
      <c r="H23" s="17"/>
      <c r="I23" s="17"/>
      <c r="J23" s="17">
        <f>B23*$P$11</f>
        <v>0</v>
      </c>
      <c r="K23" s="17"/>
      <c r="L23" s="17">
        <f t="shared" ref="L23:L33" si="6">L22+J23-B23-F23</f>
        <v>164272.20767040001</v>
      </c>
      <c r="M23" s="17"/>
      <c r="N23" s="17">
        <f t="shared" ref="N23:N33" si="7">(L22+L23)/2</f>
        <v>165777.75743520001</v>
      </c>
      <c r="O23" s="17"/>
      <c r="P23" s="17">
        <f t="shared" si="5"/>
        <v>0</v>
      </c>
      <c r="Q23" s="17"/>
      <c r="R23" s="17">
        <f t="shared" ref="R23:R34" si="8">R22+P23-B23-F23+D23+H23</f>
        <v>178159.10805392</v>
      </c>
    </row>
    <row r="24" spans="1:18" x14ac:dyDescent="0.25">
      <c r="A24">
        <f t="shared" si="0"/>
        <v>2019</v>
      </c>
      <c r="B24" s="17">
        <f t="shared" si="1"/>
        <v>2956.8997380671999</v>
      </c>
      <c r="C24" s="17"/>
      <c r="D24" s="17">
        <f t="shared" si="2"/>
        <v>-147.84498690336</v>
      </c>
      <c r="E24" s="17"/>
      <c r="F24" s="17"/>
      <c r="G24" s="17"/>
      <c r="H24" s="17"/>
      <c r="I24" s="17"/>
      <c r="J24" s="17">
        <f>B24*$P$11</f>
        <v>0</v>
      </c>
      <c r="K24" s="17"/>
      <c r="L24" s="17">
        <f t="shared" si="6"/>
        <v>161315.3079323328</v>
      </c>
      <c r="M24" s="17"/>
      <c r="N24" s="17">
        <f t="shared" si="7"/>
        <v>162793.75780136639</v>
      </c>
      <c r="O24" s="17"/>
      <c r="P24" s="17">
        <f t="shared" si="5"/>
        <v>0</v>
      </c>
      <c r="Q24" s="17"/>
      <c r="R24" s="17">
        <f t="shared" si="8"/>
        <v>175054.36332894943</v>
      </c>
    </row>
    <row r="25" spans="1:18" x14ac:dyDescent="0.25">
      <c r="A25">
        <f t="shared" si="0"/>
        <v>2020</v>
      </c>
      <c r="B25" s="17">
        <f t="shared" si="1"/>
        <v>2903.6755427819903</v>
      </c>
      <c r="C25" s="17"/>
      <c r="D25" s="17">
        <f t="shared" si="2"/>
        <v>-145.18377713909953</v>
      </c>
      <c r="E25" s="17"/>
      <c r="F25" s="17"/>
      <c r="G25" s="17"/>
      <c r="H25" s="17"/>
      <c r="I25" s="17"/>
      <c r="J25" s="17">
        <f>B25*$P$11</f>
        <v>0</v>
      </c>
      <c r="K25" s="17"/>
      <c r="L25" s="17">
        <f t="shared" si="6"/>
        <v>158411.6323895508</v>
      </c>
      <c r="M25" s="17"/>
      <c r="N25" s="17">
        <f t="shared" si="7"/>
        <v>159863.4701609418</v>
      </c>
      <c r="O25" s="17"/>
      <c r="P25" s="17">
        <f t="shared" si="5"/>
        <v>0</v>
      </c>
      <c r="Q25" s="17"/>
      <c r="R25" s="17">
        <f t="shared" si="8"/>
        <v>172005.50400902834</v>
      </c>
    </row>
    <row r="26" spans="1:18" x14ac:dyDescent="0.25">
      <c r="A26">
        <f t="shared" si="0"/>
        <v>2021</v>
      </c>
      <c r="B26" s="17">
        <f t="shared" si="1"/>
        <v>2851.4093830119141</v>
      </c>
      <c r="C26" s="17"/>
      <c r="D26" s="17">
        <f t="shared" si="2"/>
        <v>-142.5704691505957</v>
      </c>
      <c r="E26" s="17"/>
      <c r="F26" s="17"/>
      <c r="G26" s="17"/>
      <c r="H26" s="17"/>
      <c r="I26" s="17"/>
      <c r="J26" s="17"/>
      <c r="K26" s="17"/>
      <c r="L26" s="17">
        <f t="shared" si="6"/>
        <v>155560.22300653887</v>
      </c>
      <c r="M26" s="17"/>
      <c r="N26" s="17">
        <f t="shared" si="7"/>
        <v>156985.92769804483</v>
      </c>
      <c r="O26" s="17"/>
      <c r="P26" s="17">
        <f t="shared" si="5"/>
        <v>0</v>
      </c>
      <c r="Q26" s="17"/>
      <c r="R26" s="17">
        <f t="shared" si="8"/>
        <v>169011.52415686584</v>
      </c>
    </row>
    <row r="27" spans="1:18" x14ac:dyDescent="0.25">
      <c r="A27">
        <f t="shared" si="0"/>
        <v>2022</v>
      </c>
      <c r="B27" s="17">
        <f t="shared" ref="B27:B31" si="9">L26*$P$10</f>
        <v>2800.0840141176996</v>
      </c>
      <c r="C27" s="17"/>
      <c r="D27" s="17">
        <f t="shared" ref="D27:D31" si="10">B27*$P$2</f>
        <v>-140.00420070588498</v>
      </c>
      <c r="E27" s="17"/>
      <c r="F27" s="17"/>
      <c r="G27" s="17"/>
      <c r="H27" s="17"/>
      <c r="I27" s="17"/>
      <c r="J27" s="17"/>
      <c r="K27" s="17"/>
      <c r="L27" s="17">
        <f t="shared" si="6"/>
        <v>152760.13899242118</v>
      </c>
      <c r="M27" s="17"/>
      <c r="N27" s="17">
        <f t="shared" si="7"/>
        <v>154160.18099948001</v>
      </c>
      <c r="O27" s="17"/>
      <c r="P27" s="17">
        <f t="shared" si="5"/>
        <v>0</v>
      </c>
      <c r="Q27" s="17"/>
      <c r="R27" s="17">
        <f t="shared" si="8"/>
        <v>166071.43594204227</v>
      </c>
    </row>
    <row r="28" spans="1:18" x14ac:dyDescent="0.25">
      <c r="A28">
        <f t="shared" si="0"/>
        <v>2023</v>
      </c>
      <c r="B28" s="17">
        <f t="shared" si="9"/>
        <v>2749.6825018635809</v>
      </c>
      <c r="C28" s="17"/>
      <c r="D28" s="17">
        <f t="shared" si="10"/>
        <v>-137.48412509317905</v>
      </c>
      <c r="E28" s="17"/>
      <c r="F28" s="17"/>
      <c r="G28" s="17"/>
      <c r="H28" s="17"/>
      <c r="I28" s="17"/>
      <c r="J28" s="17"/>
      <c r="K28" s="17"/>
      <c r="L28" s="17">
        <f t="shared" si="6"/>
        <v>150010.45649055761</v>
      </c>
      <c r="M28" s="17"/>
      <c r="N28" s="17">
        <f t="shared" si="7"/>
        <v>151385.2977414894</v>
      </c>
      <c r="O28" s="17"/>
      <c r="P28" s="17">
        <f t="shared" si="5"/>
        <v>0</v>
      </c>
      <c r="Q28" s="17"/>
      <c r="R28" s="17">
        <f t="shared" si="8"/>
        <v>163184.26931508552</v>
      </c>
    </row>
    <row r="29" spans="1:18" x14ac:dyDescent="0.25">
      <c r="A29">
        <f t="shared" si="0"/>
        <v>2024</v>
      </c>
      <c r="B29" s="17">
        <f t="shared" si="9"/>
        <v>2700.1882168300367</v>
      </c>
      <c r="C29" s="17"/>
      <c r="D29" s="17">
        <f t="shared" si="10"/>
        <v>-135.00941084150185</v>
      </c>
      <c r="E29" s="17"/>
      <c r="F29" s="17"/>
      <c r="G29" s="17"/>
      <c r="H29" s="17"/>
      <c r="I29" s="17"/>
      <c r="J29" s="17"/>
      <c r="K29" s="17"/>
      <c r="L29" s="17">
        <f t="shared" si="6"/>
        <v>147310.26827372756</v>
      </c>
      <c r="M29" s="17"/>
      <c r="N29" s="17">
        <f t="shared" si="7"/>
        <v>148660.36238214257</v>
      </c>
      <c r="O29" s="17"/>
      <c r="P29" s="17">
        <f t="shared" si="5"/>
        <v>0</v>
      </c>
      <c r="Q29" s="17"/>
      <c r="R29" s="17">
        <f t="shared" si="8"/>
        <v>160349.07168741396</v>
      </c>
    </row>
    <row r="30" spans="1:18" x14ac:dyDescent="0.25">
      <c r="A30">
        <f t="shared" si="0"/>
        <v>2025</v>
      </c>
      <c r="B30" s="17">
        <f t="shared" si="9"/>
        <v>2651.5848289270957</v>
      </c>
      <c r="C30" s="17"/>
      <c r="D30" s="17">
        <f t="shared" si="10"/>
        <v>-132.57924144635479</v>
      </c>
      <c r="E30" s="17"/>
      <c r="F30" s="17"/>
      <c r="G30" s="17"/>
      <c r="H30" s="17"/>
      <c r="I30" s="17"/>
      <c r="J30" s="17"/>
      <c r="K30" s="17"/>
      <c r="L30" s="17">
        <f t="shared" si="6"/>
        <v>144658.68344480047</v>
      </c>
      <c r="M30" s="17"/>
      <c r="N30" s="17">
        <f t="shared" si="7"/>
        <v>145984.47585926403</v>
      </c>
      <c r="O30" s="17"/>
      <c r="P30" s="17">
        <f t="shared" si="5"/>
        <v>0</v>
      </c>
      <c r="Q30" s="17"/>
      <c r="R30" s="17">
        <f t="shared" si="8"/>
        <v>157564.9076170405</v>
      </c>
    </row>
    <row r="31" spans="1:18" x14ac:dyDescent="0.25">
      <c r="A31">
        <f t="shared" si="0"/>
        <v>2026</v>
      </c>
      <c r="B31" s="17">
        <f t="shared" si="9"/>
        <v>2603.856302006408</v>
      </c>
      <c r="C31" s="17"/>
      <c r="D31" s="17">
        <f t="shared" si="10"/>
        <v>-130.19281510032042</v>
      </c>
      <c r="E31" s="17"/>
      <c r="F31" s="17"/>
      <c r="G31" s="17"/>
      <c r="H31" s="17"/>
      <c r="I31" s="17"/>
      <c r="J31" s="17"/>
      <c r="K31" s="17"/>
      <c r="L31" s="17">
        <f t="shared" si="6"/>
        <v>142054.82714279406</v>
      </c>
      <c r="M31" s="17"/>
      <c r="N31" s="17">
        <f t="shared" si="7"/>
        <v>143356.75529379727</v>
      </c>
      <c r="O31" s="17"/>
      <c r="P31" s="17">
        <f t="shared" si="5"/>
        <v>0</v>
      </c>
      <c r="Q31" s="17"/>
      <c r="R31" s="17">
        <f t="shared" si="8"/>
        <v>154830.85849993379</v>
      </c>
    </row>
    <row r="32" spans="1:18" x14ac:dyDescent="0.25">
      <c r="A32">
        <f t="shared" si="0"/>
        <v>2027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>
        <f t="shared" si="6"/>
        <v>142054.82714279406</v>
      </c>
      <c r="M32" s="17"/>
      <c r="N32" s="17">
        <f t="shared" si="7"/>
        <v>142054.82714279406</v>
      </c>
      <c r="O32" s="17"/>
      <c r="P32" s="17">
        <f t="shared" si="5"/>
        <v>0</v>
      </c>
      <c r="Q32" s="17"/>
      <c r="R32" s="17">
        <f t="shared" si="8"/>
        <v>154830.85849993379</v>
      </c>
    </row>
    <row r="33" spans="1:18" x14ac:dyDescent="0.25">
      <c r="A33">
        <f t="shared" si="0"/>
        <v>2028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>
        <f t="shared" si="6"/>
        <v>142054.82714279406</v>
      </c>
      <c r="M33" s="17"/>
      <c r="N33" s="17">
        <f t="shared" si="7"/>
        <v>142054.82714279406</v>
      </c>
      <c r="O33" s="17"/>
      <c r="P33" s="17">
        <f t="shared" si="5"/>
        <v>0</v>
      </c>
      <c r="Q33" s="17"/>
      <c r="R33" s="17">
        <f t="shared" si="8"/>
        <v>154830.85849993379</v>
      </c>
    </row>
    <row r="34" spans="1:18" x14ac:dyDescent="0.25">
      <c r="A34">
        <f t="shared" si="0"/>
        <v>2029</v>
      </c>
      <c r="B34" s="17"/>
      <c r="C34" s="17"/>
      <c r="D34" s="17"/>
      <c r="E34" s="17"/>
      <c r="F34" s="17">
        <f>+L33</f>
        <v>142054.82714279406</v>
      </c>
      <c r="G34" s="17"/>
      <c r="H34" s="17">
        <f>F34*P$3</f>
        <v>0</v>
      </c>
      <c r="I34" s="17"/>
      <c r="J34" s="17"/>
      <c r="K34" s="17"/>
      <c r="L34" s="17">
        <v>0</v>
      </c>
      <c r="M34" s="17"/>
      <c r="N34" s="17">
        <f>+L33</f>
        <v>142054.82714279406</v>
      </c>
      <c r="O34" s="17"/>
      <c r="P34" s="17">
        <f t="shared" si="5"/>
        <v>0</v>
      </c>
      <c r="Q34" s="17"/>
      <c r="R34" s="17">
        <f t="shared" si="8"/>
        <v>12776.031357139727</v>
      </c>
    </row>
    <row r="35" spans="1:18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1:18" x14ac:dyDescent="0.25">
      <c r="A37" s="26" t="s">
        <v>69</v>
      </c>
      <c r="B37" s="31">
        <f>SUM(B22:B34)</f>
        <v>28294.772857205924</v>
      </c>
      <c r="C37" s="31"/>
      <c r="D37" s="31">
        <f>SUM(D22:D34)</f>
        <v>-1414.7386428602963</v>
      </c>
      <c r="E37" s="17"/>
      <c r="F37" s="31">
        <f>SUM(F22:F34)</f>
        <v>142054.82714279406</v>
      </c>
      <c r="G37" s="17"/>
      <c r="H37" s="31">
        <f>SUM(H22:H34)</f>
        <v>0</v>
      </c>
      <c r="I37" s="17"/>
      <c r="J37" s="31">
        <f>SUM(J22:J34)</f>
        <v>0</v>
      </c>
      <c r="K37" s="17"/>
      <c r="L37" s="17"/>
      <c r="M37" s="17"/>
      <c r="N37" s="31">
        <f>SUM(N22:N34)</f>
        <v>1983948.9204001087</v>
      </c>
      <c r="O37" s="17"/>
      <c r="P37" s="17"/>
      <c r="Q37" s="17"/>
      <c r="R37" s="17"/>
    </row>
    <row r="38" spans="1:18" x14ac:dyDescent="0.2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1:18" x14ac:dyDescent="0.2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1:18" x14ac:dyDescent="0.2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1:18" x14ac:dyDescent="0.2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1:18" x14ac:dyDescent="0.2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1:18" x14ac:dyDescent="0.2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  <row r="44" spans="1:18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B3B24AFDCB40B0CC298408C3F915" ma:contentTypeVersion="13" ma:contentTypeDescription="Create a new document." ma:contentTypeScope="" ma:versionID="bb2078a80aea7d18c08b96031e7adcd7">
  <xsd:schema xmlns:xsd="http://www.w3.org/2001/XMLSchema" xmlns:xs="http://www.w3.org/2001/XMLSchema" xmlns:p="http://schemas.microsoft.com/office/2006/metadata/properties" xmlns:ns2="3b2b225c-bba3-4d8f-86c2-6a6ee720f379" targetNamespace="http://schemas.microsoft.com/office/2006/metadata/properties" ma:root="true" ma:fieldsID="700fd521037c430dadb4a9a96361a948" ns2:_="">
    <xsd:import namespace="3b2b225c-bba3-4d8f-86c2-6a6ee720f379"/>
    <xsd:element name="properties">
      <xsd:complexType>
        <xsd:sequence>
          <xsd:element name="documentManagement">
            <xsd:complexType>
              <xsd:all>
                <xsd:element ref="ns2:xjne" minOccurs="0"/>
                <xsd:element ref="ns2:yyqh" minOccurs="0"/>
                <xsd:element ref="ns2:vs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b225c-bba3-4d8f-86c2-6a6ee720f379" elementFormDefault="qualified">
    <xsd:import namespace="http://schemas.microsoft.com/office/2006/documentManagement/types"/>
    <xsd:import namespace="http://schemas.microsoft.com/office/infopath/2007/PartnerControls"/>
    <xsd:element name="xjne" ma:index="10" nillable="true" ma:displayName="Assignment" ma:list="UserInfo" ma:internalName="xj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yqh" ma:index="11" nillable="true" ma:displayName="Assingment" ma:list="UserInfo" ma:internalName="yyq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sct" ma:index="12" nillable="true" ma:displayName="Due Date" ma:internalName="vsct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ct xmlns="3b2b225c-bba3-4d8f-86c2-6a6ee720f379" xsi:nil="true"/>
    <xjne xmlns="3b2b225c-bba3-4d8f-86c2-6a6ee720f379">
      <UserInfo>
        <DisplayName/>
        <AccountId xsi:nil="true"/>
        <AccountType/>
      </UserInfo>
    </xjne>
    <yyqh xmlns="3b2b225c-bba3-4d8f-86c2-6a6ee720f379">
      <UserInfo>
        <DisplayName/>
        <AccountId xsi:nil="true"/>
        <AccountType/>
      </UserInfo>
    </yyqh>
  </documentManagement>
</p:properties>
</file>

<file path=customXml/itemProps1.xml><?xml version="1.0" encoding="utf-8"?>
<ds:datastoreItem xmlns:ds="http://schemas.openxmlformats.org/officeDocument/2006/customXml" ds:itemID="{E1ECEFB9-A611-48F6-A156-74E83F6B674B}"/>
</file>

<file path=customXml/itemProps2.xml><?xml version="1.0" encoding="utf-8"?>
<ds:datastoreItem xmlns:ds="http://schemas.openxmlformats.org/officeDocument/2006/customXml" ds:itemID="{CAA25303-24CC-4B68-8F15-3970BD1EC738}"/>
</file>

<file path=customXml/itemProps3.xml><?xml version="1.0" encoding="utf-8"?>
<ds:datastoreItem xmlns:ds="http://schemas.openxmlformats.org/officeDocument/2006/customXml" ds:itemID="{A33CC010-C866-4BF5-87D1-9FD40A33AA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Avg Age</vt:lpstr>
      <vt:lpstr>343 Pace</vt:lpstr>
      <vt:lpstr>344 Pace</vt:lpstr>
      <vt:lpstr>345 Pace</vt:lpstr>
      <vt:lpstr>341 Perdido</vt:lpstr>
      <vt:lpstr>342 Perdido</vt:lpstr>
      <vt:lpstr>343 Perdido</vt:lpstr>
      <vt:lpstr>345 Perdido</vt:lpstr>
      <vt:lpstr>346 Perdido</vt:lpstr>
      <vt:lpstr>341 Smith CT</vt:lpstr>
      <vt:lpstr>342 Smith CT</vt:lpstr>
      <vt:lpstr>343 Smith CT</vt:lpstr>
      <vt:lpstr>344 Smith CT</vt:lpstr>
      <vt:lpstr>345 Smith CT</vt:lpstr>
      <vt:lpstr>346 Smith CT</vt:lpstr>
      <vt:lpstr>341 Smith CC</vt:lpstr>
      <vt:lpstr>342 Smith CC</vt:lpstr>
      <vt:lpstr>343 Smith CC</vt:lpstr>
      <vt:lpstr>344 Smith CC</vt:lpstr>
      <vt:lpstr>345 Smith CC</vt:lpstr>
      <vt:lpstr>346 Smith CC</vt:lpstr>
      <vt:lpstr>IRR and Int Ret %</vt:lpstr>
      <vt:lpstr>Composite Accr by Plt</vt:lpstr>
      <vt:lpstr>Comparison Accr</vt:lpstr>
      <vt:lpstr>WL vs RL</vt:lpstr>
    </vt:vector>
  </TitlesOfParts>
  <Company>Alliance Consulting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Ponder</dc:creator>
  <cp:lastModifiedBy>Karen Ponder</cp:lastModifiedBy>
  <dcterms:created xsi:type="dcterms:W3CDTF">2016-03-31T16:45:51Z</dcterms:created>
  <dcterms:modified xsi:type="dcterms:W3CDTF">2016-09-13T21:52:01Z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0x010100CCFCB3B24AFDCB40B0CC298408C3F915</vt:lpwstr>
  </property>
  <property fmtid="{D5CDD505-2E9C-101B-9397-08002B2CF9AE}" pid="3" name="_AdHocReviewCycleID">
    <vt:i4>-648932867</vt:i4>
  </property>
  <property fmtid="{D5CDD505-2E9C-101B-9397-08002B2CF9AE}" pid="4" name="_NewReviewCycle">
    <vt:lpwstr/>
  </property>
  <property fmtid="{D5CDD505-2E9C-101B-9397-08002B2CF9AE}" pid="5" name="_EmailSubject">
    <vt:lpwstr>Jackie:  Staff 9th  POD 66</vt:lpwstr>
  </property>
  <property fmtid="{D5CDD505-2E9C-101B-9397-08002B2CF9AE}" pid="6" name="_AuthorEmail">
    <vt:lpwstr>TADAIR@southernco.com</vt:lpwstr>
  </property>
  <property fmtid="{D5CDD505-2E9C-101B-9397-08002B2CF9AE}" pid="7" name="_AuthorEmailDisplayName">
    <vt:lpwstr>Adair, Traci</vt:lpwstr>
  </property>
</Properties>
</file>