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 activeTab="2"/>
  </bookViews>
  <sheets>
    <sheet name="As Filed " sheetId="1" r:id="rId1"/>
    <sheet name="Avg Age @ 2009" sheetId="2" r:id="rId2"/>
    <sheet name="Proposed Methodology This case" sheetId="3" r:id="rId3"/>
  </sheets>
  <calcPr calcId="145621" iterate="1" calcOnSave="0"/>
</workbook>
</file>

<file path=xl/calcChain.xml><?xml version="1.0" encoding="utf-8"?>
<calcChain xmlns="http://schemas.openxmlformats.org/spreadsheetml/2006/main">
  <c r="N36" i="3" l="1"/>
  <c r="L23" i="3"/>
  <c r="B23" i="3"/>
  <c r="D23" i="3" s="1"/>
  <c r="L21" i="3"/>
  <c r="J40" i="3"/>
  <c r="H40" i="3"/>
  <c r="A30" i="3"/>
  <c r="A31" i="3" s="1"/>
  <c r="A32" i="3" s="1"/>
  <c r="A33" i="3" s="1"/>
  <c r="A34" i="3" s="1"/>
  <c r="A35" i="3" s="1"/>
  <c r="A36" i="3" s="1"/>
  <c r="D35" i="3"/>
  <c r="N23" i="3" l="1"/>
  <c r="L24" i="3"/>
  <c r="B24" i="3"/>
  <c r="D24" i="3" s="1"/>
  <c r="D36" i="3"/>
  <c r="B22" i="3"/>
  <c r="L22" i="3" s="1"/>
  <c r="N22" i="3" s="1"/>
  <c r="P8" i="3"/>
  <c r="E35" i="2"/>
  <c r="D34" i="2"/>
  <c r="D35" i="2"/>
  <c r="C3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I50" i="1"/>
  <c r="L48" i="1"/>
  <c r="K48" i="1"/>
  <c r="J48" i="1"/>
  <c r="I48" i="1"/>
  <c r="H48" i="1"/>
  <c r="B48" i="1"/>
  <c r="I45" i="1"/>
  <c r="B45" i="1"/>
  <c r="E44" i="1"/>
  <c r="H44" i="1" s="1"/>
  <c r="E43" i="1"/>
  <c r="H43" i="1" s="1"/>
  <c r="H42" i="1"/>
  <c r="E42" i="1"/>
  <c r="E41" i="1"/>
  <c r="H41" i="1" s="1"/>
  <c r="H45" i="1" s="1"/>
  <c r="D44" i="1"/>
  <c r="F44" i="1" s="1"/>
  <c r="J44" i="1" s="1"/>
  <c r="K44" i="1" s="1"/>
  <c r="L44" i="1" s="1"/>
  <c r="D43" i="1"/>
  <c r="D42" i="1"/>
  <c r="F42" i="1" s="1"/>
  <c r="J42" i="1" s="1"/>
  <c r="K42" i="1" s="1"/>
  <c r="L42" i="1" s="1"/>
  <c r="D41" i="1"/>
  <c r="L33" i="1"/>
  <c r="L32" i="1"/>
  <c r="L31" i="1"/>
  <c r="L30" i="1"/>
  <c r="L29" i="1"/>
  <c r="L28" i="1"/>
  <c r="L37" i="1" s="1"/>
  <c r="L27" i="1"/>
  <c r="L26" i="1"/>
  <c r="L25" i="1"/>
  <c r="J36" i="1"/>
  <c r="K36" i="1" s="1"/>
  <c r="I36" i="1"/>
  <c r="J35" i="1"/>
  <c r="K35" i="1" s="1"/>
  <c r="I35" i="1"/>
  <c r="J34" i="1"/>
  <c r="K34" i="1" s="1"/>
  <c r="I34" i="1"/>
  <c r="K33" i="1"/>
  <c r="J33" i="1"/>
  <c r="I33" i="1"/>
  <c r="J32" i="1"/>
  <c r="K32" i="1" s="1"/>
  <c r="I32" i="1"/>
  <c r="J31" i="1"/>
  <c r="K31" i="1" s="1"/>
  <c r="I31" i="1"/>
  <c r="J30" i="1"/>
  <c r="K30" i="1" s="1"/>
  <c r="I30" i="1"/>
  <c r="K29" i="1"/>
  <c r="J29" i="1"/>
  <c r="I29" i="1"/>
  <c r="J28" i="1"/>
  <c r="K28" i="1" s="1"/>
  <c r="J27" i="1"/>
  <c r="K27" i="1" s="1"/>
  <c r="K26" i="1"/>
  <c r="J26" i="1"/>
  <c r="J37" i="1" s="1"/>
  <c r="I37" i="1"/>
  <c r="H37" i="1"/>
  <c r="C37" i="1"/>
  <c r="H36" i="1"/>
  <c r="H35" i="1"/>
  <c r="H34" i="1"/>
  <c r="H33" i="1"/>
  <c r="H32" i="1"/>
  <c r="H31" i="1"/>
  <c r="H30" i="1"/>
  <c r="H29" i="1"/>
  <c r="H28" i="1"/>
  <c r="H27" i="1"/>
  <c r="H26" i="1"/>
  <c r="K25" i="1"/>
  <c r="J25" i="1"/>
  <c r="H25" i="1"/>
  <c r="F33" i="1"/>
  <c r="F32" i="1"/>
  <c r="F31" i="1"/>
  <c r="F30" i="1"/>
  <c r="F29" i="1"/>
  <c r="F28" i="1"/>
  <c r="F27" i="1"/>
  <c r="F26" i="1"/>
  <c r="F25" i="1"/>
  <c r="E36" i="1"/>
  <c r="E35" i="1"/>
  <c r="E34" i="1"/>
  <c r="E33" i="1"/>
  <c r="E32" i="1"/>
  <c r="E31" i="1"/>
  <c r="E30" i="1"/>
  <c r="E29" i="1"/>
  <c r="E28" i="1"/>
  <c r="E27" i="1"/>
  <c r="E26" i="1"/>
  <c r="E25" i="1"/>
  <c r="D36" i="1"/>
  <c r="D35" i="1"/>
  <c r="D34" i="1"/>
  <c r="D33" i="1"/>
  <c r="D32" i="1"/>
  <c r="D31" i="1"/>
  <c r="D30" i="1"/>
  <c r="D29" i="1"/>
  <c r="D28" i="1"/>
  <c r="D27" i="1"/>
  <c r="D25" i="1"/>
  <c r="D26" i="1"/>
  <c r="C36" i="1"/>
  <c r="C35" i="1"/>
  <c r="C34" i="1"/>
  <c r="C33" i="1"/>
  <c r="C32" i="1"/>
  <c r="C31" i="1"/>
  <c r="C30" i="1"/>
  <c r="C29" i="1"/>
  <c r="B37" i="1"/>
  <c r="L7" i="1"/>
  <c r="L19" i="1" s="1"/>
  <c r="L6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18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18" i="1"/>
  <c r="F7" i="1"/>
  <c r="F6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B25" i="3" l="1"/>
  <c r="D25" i="3" s="1"/>
  <c r="L25" i="3"/>
  <c r="N24" i="3"/>
  <c r="D22" i="3"/>
  <c r="F43" i="1"/>
  <c r="J43" i="1" s="1"/>
  <c r="K43" i="1" s="1"/>
  <c r="L43" i="1" s="1"/>
  <c r="F41" i="1"/>
  <c r="J41" i="1" s="1"/>
  <c r="K37" i="1"/>
  <c r="B26" i="3" l="1"/>
  <c r="D26" i="3" s="1"/>
  <c r="L26" i="3"/>
  <c r="N26" i="3" s="1"/>
  <c r="N25" i="3"/>
  <c r="K41" i="1"/>
  <c r="J45" i="1"/>
  <c r="L27" i="3" l="1"/>
  <c r="B27" i="3"/>
  <c r="D27" i="3" s="1"/>
  <c r="L41" i="1"/>
  <c r="L45" i="1" s="1"/>
  <c r="K45" i="1"/>
  <c r="B28" i="3" l="1"/>
  <c r="D28" i="3" s="1"/>
  <c r="L28" i="3"/>
  <c r="N27" i="3"/>
  <c r="B29" i="3" l="1"/>
  <c r="D29" i="3" s="1"/>
  <c r="N28" i="3"/>
  <c r="L29" i="3" l="1"/>
  <c r="B30" i="3" l="1"/>
  <c r="D30" i="3" s="1"/>
  <c r="L30" i="3"/>
  <c r="N29" i="3"/>
  <c r="L31" i="3" l="1"/>
  <c r="B31" i="3"/>
  <c r="D31" i="3" s="1"/>
  <c r="N30" i="3"/>
  <c r="B32" i="3" l="1"/>
  <c r="L32" i="3" s="1"/>
  <c r="N31" i="3"/>
  <c r="B33" i="3" l="1"/>
  <c r="D33" i="3" s="1"/>
  <c r="N32" i="3"/>
  <c r="D32" i="3"/>
  <c r="L33" i="3" l="1"/>
  <c r="B34" i="3" l="1"/>
  <c r="L34" i="3" s="1"/>
  <c r="N33" i="3"/>
  <c r="L35" i="3" l="1"/>
  <c r="N34" i="3"/>
  <c r="D34" i="3"/>
  <c r="D40" i="3" s="1"/>
  <c r="B40" i="3"/>
  <c r="L36" i="3" l="1"/>
  <c r="F36" i="3"/>
  <c r="F40" i="3" s="1"/>
  <c r="P4" i="3" s="1"/>
  <c r="N35" i="3"/>
  <c r="N40" i="3" l="1"/>
  <c r="P6" i="3" l="1"/>
  <c r="P7" i="3" s="1"/>
  <c r="P12" i="3"/>
  <c r="P23" i="3" l="1"/>
  <c r="P24" i="3"/>
  <c r="P26" i="3"/>
  <c r="P25" i="3"/>
  <c r="P27" i="3"/>
  <c r="P28" i="3"/>
  <c r="P29" i="3"/>
  <c r="P30" i="3"/>
  <c r="P31" i="3"/>
  <c r="P32" i="3"/>
  <c r="P33" i="3"/>
  <c r="P22" i="3"/>
  <c r="P34" i="3"/>
  <c r="P36" i="3"/>
  <c r="P35" i="3"/>
  <c r="P9" i="3"/>
  <c r="P13" i="3"/>
  <c r="P14" i="3" s="1"/>
  <c r="P40" i="3" l="1"/>
  <c r="R22" i="3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</calcChain>
</file>

<file path=xl/sharedStrings.xml><?xml version="1.0" encoding="utf-8"?>
<sst xmlns="http://schemas.openxmlformats.org/spreadsheetml/2006/main" count="130" uniqueCount="73">
  <si>
    <t>Group 1</t>
  </si>
  <si>
    <t>0 to 20 year service life</t>
  </si>
  <si>
    <t>Vintage</t>
  </si>
  <si>
    <t>Balance</t>
  </si>
  <si>
    <t>Ret Year</t>
  </si>
  <si>
    <t>ASL</t>
  </si>
  <si>
    <t>Age</t>
  </si>
  <si>
    <t>ARL</t>
  </si>
  <si>
    <t xml:space="preserve">Weight </t>
  </si>
  <si>
    <t>Interim Sal</t>
  </si>
  <si>
    <t>Cal Reserve</t>
  </si>
  <si>
    <t xml:space="preserve">Uncovered </t>
  </si>
  <si>
    <t>Accrual</t>
  </si>
  <si>
    <t xml:space="preserve"> </t>
  </si>
  <si>
    <t>Acccount 315</t>
  </si>
  <si>
    <t>315 1</t>
  </si>
  <si>
    <t>Crist Unit 4 Data at 12 2009</t>
  </si>
  <si>
    <t>Group 2</t>
  </si>
  <si>
    <t>21 to 35 year service life</t>
  </si>
  <si>
    <t>315 2</t>
  </si>
  <si>
    <t>Group 3</t>
  </si>
  <si>
    <t>36 to Retirement Date</t>
  </si>
  <si>
    <t>Total Acct 315</t>
  </si>
  <si>
    <t>315 3</t>
  </si>
  <si>
    <t>Interim Net Salvage</t>
  </si>
  <si>
    <t>Age @ 2009</t>
  </si>
  <si>
    <t>$ x Age</t>
  </si>
  <si>
    <t>Avg Age</t>
  </si>
  <si>
    <t>GULF POWER</t>
  </si>
  <si>
    <t>ACCOUNT 315 - Accessory Electric Equipment Total</t>
  </si>
  <si>
    <t>IRC tab</t>
  </si>
  <si>
    <t>PRODUCTION</t>
  </si>
  <si>
    <t>Terminal Net Salvage</t>
  </si>
  <si>
    <t>Dismantling</t>
  </si>
  <si>
    <t>Crist Plant - Unit 4</t>
  </si>
  <si>
    <t>Average Net Salvage</t>
  </si>
  <si>
    <t>Average Age Survivors</t>
  </si>
  <si>
    <t>Avg Age tab</t>
  </si>
  <si>
    <t>Average Remaining Life</t>
  </si>
  <si>
    <t>Average Service Life</t>
  </si>
  <si>
    <t>Book Reserve Ratio</t>
  </si>
  <si>
    <t xml:space="preserve">Theoretical Reserve </t>
  </si>
  <si>
    <t>Interim Retmt. Ratio</t>
  </si>
  <si>
    <t>IRR tab</t>
  </si>
  <si>
    <t>Interim Addition Factor</t>
  </si>
  <si>
    <t>Depreciation Rate</t>
  </si>
  <si>
    <t>COR Rate</t>
  </si>
  <si>
    <t>Life Rate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</si>
  <si>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</si>
  <si>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</si>
  <si>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</si>
  <si>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</si>
  <si>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</si>
  <si>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</si>
  <si>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</si>
  <si>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</si>
  <si>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</si>
  <si>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</si>
  <si>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INTERIM</t>
  </si>
  <si>
    <t>TERMINAL</t>
  </si>
  <si>
    <t>ENDING</t>
  </si>
  <si>
    <t>AVERAGE</t>
  </si>
  <si>
    <t>DEPREC.</t>
  </si>
  <si>
    <t>YEAR</t>
  </si>
  <si>
    <t>RETMTS</t>
  </si>
  <si>
    <t>NET SALV.</t>
  </si>
  <si>
    <t>RETMTS.</t>
  </si>
  <si>
    <t>ADDITIONS</t>
  </si>
  <si>
    <t>BALANCE</t>
  </si>
  <si>
    <t>AMOUNT</t>
  </si>
  <si>
    <t>RESERVE</t>
  </si>
  <si>
    <t>$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</si>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</sst>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37" fontId="0" fillId="0" borderId="0" xfId="0" applyNumberFormat="1"/>
    <xf numFmtId="37" fontId="0" fillId="0" borderId="1" xfId="0" applyNumberFormat="1" applyBorder="1"/>
    <xf numFmtId="10" fontId="0" fillId="0" borderId="0" xfId="0" applyNumberFormat="1"/>
    <xf numFmtId="37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39" fontId="0" fillId="0" borderId="1" xfId="0" applyNumberFormat="1" applyBorder="1"/>
    <xf numFmtId="0" fontId="2" fillId="0" borderId="0" xfId="0" applyFont="1" applyFill="1"/>
    <xf numFmtId="164" fontId="3" fillId="0" borderId="0" xfId="1" applyNumberFormat="1" applyFont="1" applyFill="1"/>
    <xf numFmtId="164" fontId="2" fillId="0" borderId="0" xfId="1" applyNumberFormat="1" applyFont="1" applyFill="1"/>
    <xf numFmtId="165" fontId="2" fillId="0" borderId="0" xfId="2" applyNumberFormat="1" applyFont="1" applyFill="1"/>
    <xf numFmtId="43" fontId="2" fillId="0" borderId="0" xfId="1" applyFont="1" applyFill="1"/>
    <xf numFmtId="10" fontId="2" fillId="0" borderId="0" xfId="2" applyNumberFormat="1" applyFont="1" applyFill="1"/>
    <xf numFmtId="166" fontId="2" fillId="0" borderId="0" xfId="1" applyNumberFormat="1" applyFont="1" applyFill="1"/>
    <xf numFmtId="167" fontId="3" fillId="0" borderId="0" xfId="2" applyNumberFormat="1" applyFont="1" applyFill="1"/>
    <xf numFmtId="164" fontId="4" fillId="0" borderId="0" xfId="1" applyNumberFormat="1" applyFont="1"/>
    <xf numFmtId="167" fontId="5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4" fontId="2" fillId="0" borderId="0" xfId="0" applyNumberFormat="1" applyFont="1" applyFill="1"/>
    <xf numFmtId="164" fontId="2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3" workbookViewId="0">
      <selection activeCell="I50" sqref="I50"/>
    </sheetView>
  </sheetViews>
  <sheetFormatPr defaultRowHeight="15" x14ac:dyDescent="0.25"/>
  <cols>
    <col min="1" max="1" width="29.140625" customWidth="1"/>
    <col min="2" max="2" width="9.85546875" bestFit="1" customWidth="1"/>
    <col min="8" max="8" width="15.7109375" customWidth="1"/>
    <col min="10" max="10" width="13.5703125" customWidth="1"/>
    <col min="11" max="11" width="16.140625" customWidth="1"/>
  </cols>
  <sheetData>
    <row r="1" spans="1:12" x14ac:dyDescent="0.25">
      <c r="A1" t="s">
        <v>16</v>
      </c>
    </row>
    <row r="2" spans="1:12" x14ac:dyDescent="0.25">
      <c r="A2" t="s">
        <v>14</v>
      </c>
    </row>
    <row r="3" spans="1:12" x14ac:dyDescent="0.25">
      <c r="A3" t="s">
        <v>0</v>
      </c>
      <c r="B3" t="s">
        <v>1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6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25">
      <c r="A6">
        <v>1995</v>
      </c>
      <c r="B6">
        <v>0</v>
      </c>
      <c r="C6">
        <f>+A6+20</f>
        <v>2015</v>
      </c>
      <c r="D6">
        <v>20</v>
      </c>
      <c r="E6">
        <f>2009.5-A6</f>
        <v>14.5</v>
      </c>
      <c r="F6">
        <f>+D6-E6</f>
        <v>5.5</v>
      </c>
      <c r="H6" s="4">
        <f t="shared" ref="H6:H17" si="0">+B6/E6</f>
        <v>0</v>
      </c>
      <c r="I6" s="4">
        <f>+B6*-0.2</f>
        <v>0</v>
      </c>
      <c r="J6" s="4">
        <f t="shared" ref="J6:J17" si="1">+B6*(1-F6/D6)</f>
        <v>0</v>
      </c>
      <c r="K6" s="4">
        <f>+B6-J6</f>
        <v>0</v>
      </c>
      <c r="L6" s="4">
        <f>+K6/F6</f>
        <v>0</v>
      </c>
    </row>
    <row r="7" spans="1:12" x14ac:dyDescent="0.25">
      <c r="A7">
        <v>1992</v>
      </c>
      <c r="B7" s="1">
        <v>3738</v>
      </c>
      <c r="C7">
        <f t="shared" ref="C7:C18" si="2">+A7+20</f>
        <v>2012</v>
      </c>
      <c r="D7">
        <v>20</v>
      </c>
      <c r="E7">
        <f t="shared" ref="E7:E18" si="3">2009.5-A7</f>
        <v>17.5</v>
      </c>
      <c r="F7">
        <f>+D7-E7</f>
        <v>2.5</v>
      </c>
      <c r="H7" s="4">
        <f t="shared" si="0"/>
        <v>213.6</v>
      </c>
      <c r="I7" s="4">
        <f t="shared" ref="I7:I18" si="4">+B7*-0.2</f>
        <v>-747.6</v>
      </c>
      <c r="J7" s="4">
        <f t="shared" si="1"/>
        <v>3270.75</v>
      </c>
      <c r="K7" s="4">
        <f t="shared" ref="K7:K18" si="5">+B7-J7</f>
        <v>467.25</v>
      </c>
      <c r="L7" s="4">
        <f>+K7/F7</f>
        <v>186.9</v>
      </c>
    </row>
    <row r="8" spans="1:12" x14ac:dyDescent="0.25">
      <c r="A8">
        <v>1986</v>
      </c>
      <c r="B8" s="1">
        <v>8821</v>
      </c>
      <c r="C8">
        <f t="shared" si="2"/>
        <v>2006</v>
      </c>
      <c r="D8">
        <v>20</v>
      </c>
      <c r="E8">
        <f t="shared" si="3"/>
        <v>23.5</v>
      </c>
      <c r="F8">
        <v>0</v>
      </c>
      <c r="H8" s="4">
        <f t="shared" si="0"/>
        <v>375.36170212765956</v>
      </c>
      <c r="I8" s="4">
        <f t="shared" si="4"/>
        <v>-1764.2</v>
      </c>
      <c r="J8" s="4">
        <f t="shared" si="1"/>
        <v>8821</v>
      </c>
      <c r="K8" s="4">
        <f t="shared" si="5"/>
        <v>0</v>
      </c>
      <c r="L8" s="4">
        <v>0</v>
      </c>
    </row>
    <row r="9" spans="1:12" x14ac:dyDescent="0.25">
      <c r="A9">
        <v>1984</v>
      </c>
      <c r="B9" s="1">
        <v>4803</v>
      </c>
      <c r="C9">
        <f t="shared" si="2"/>
        <v>2004</v>
      </c>
      <c r="D9">
        <v>20</v>
      </c>
      <c r="E9">
        <f t="shared" si="3"/>
        <v>25.5</v>
      </c>
      <c r="F9">
        <v>0</v>
      </c>
      <c r="H9" s="4">
        <f t="shared" si="0"/>
        <v>188.35294117647058</v>
      </c>
      <c r="I9" s="4">
        <f t="shared" si="4"/>
        <v>-960.6</v>
      </c>
      <c r="J9" s="4">
        <f t="shared" si="1"/>
        <v>4803</v>
      </c>
      <c r="K9" s="4">
        <f t="shared" si="5"/>
        <v>0</v>
      </c>
      <c r="L9" s="4"/>
    </row>
    <row r="10" spans="1:12" x14ac:dyDescent="0.25">
      <c r="A10">
        <v>1982</v>
      </c>
      <c r="B10" s="1">
        <v>1207</v>
      </c>
      <c r="C10">
        <f t="shared" si="2"/>
        <v>2002</v>
      </c>
      <c r="D10">
        <v>20</v>
      </c>
      <c r="E10">
        <f t="shared" si="3"/>
        <v>27.5</v>
      </c>
      <c r="F10">
        <v>0</v>
      </c>
      <c r="H10" s="4">
        <f t="shared" si="0"/>
        <v>43.890909090909091</v>
      </c>
      <c r="I10" s="4">
        <f t="shared" si="4"/>
        <v>-241.4</v>
      </c>
      <c r="J10" s="4">
        <f t="shared" si="1"/>
        <v>1207</v>
      </c>
      <c r="K10" s="4">
        <f t="shared" si="5"/>
        <v>0</v>
      </c>
      <c r="L10" s="4">
        <v>0</v>
      </c>
    </row>
    <row r="11" spans="1:12" x14ac:dyDescent="0.25">
      <c r="A11">
        <v>1981</v>
      </c>
      <c r="B11" s="1">
        <v>4017</v>
      </c>
      <c r="C11">
        <f t="shared" si="2"/>
        <v>2001</v>
      </c>
      <c r="D11">
        <v>20</v>
      </c>
      <c r="E11">
        <f t="shared" si="3"/>
        <v>28.5</v>
      </c>
      <c r="F11">
        <v>0</v>
      </c>
      <c r="H11" s="4">
        <f t="shared" si="0"/>
        <v>140.94736842105263</v>
      </c>
      <c r="I11" s="4">
        <f t="shared" si="4"/>
        <v>-803.40000000000009</v>
      </c>
      <c r="J11" s="4">
        <f t="shared" si="1"/>
        <v>4017</v>
      </c>
      <c r="K11" s="4">
        <f t="shared" si="5"/>
        <v>0</v>
      </c>
      <c r="L11" s="4">
        <v>0</v>
      </c>
    </row>
    <row r="12" spans="1:12" x14ac:dyDescent="0.25">
      <c r="A12">
        <v>1980</v>
      </c>
      <c r="B12" s="1">
        <v>6505</v>
      </c>
      <c r="C12">
        <f t="shared" si="2"/>
        <v>2000</v>
      </c>
      <c r="D12">
        <v>20</v>
      </c>
      <c r="E12">
        <f t="shared" si="3"/>
        <v>29.5</v>
      </c>
      <c r="F12">
        <v>0</v>
      </c>
      <c r="H12" s="4">
        <f t="shared" si="0"/>
        <v>220.5084745762712</v>
      </c>
      <c r="I12" s="4">
        <f t="shared" si="4"/>
        <v>-1301</v>
      </c>
      <c r="J12" s="4">
        <f t="shared" si="1"/>
        <v>6505</v>
      </c>
      <c r="K12" s="4">
        <f t="shared" si="5"/>
        <v>0</v>
      </c>
      <c r="L12" s="4">
        <v>0</v>
      </c>
    </row>
    <row r="13" spans="1:12" x14ac:dyDescent="0.25">
      <c r="A13">
        <v>1979</v>
      </c>
      <c r="B13" s="1">
        <v>2155</v>
      </c>
      <c r="C13">
        <f t="shared" si="2"/>
        <v>1999</v>
      </c>
      <c r="D13">
        <v>20</v>
      </c>
      <c r="E13">
        <f t="shared" si="3"/>
        <v>30.5</v>
      </c>
      <c r="F13">
        <v>0</v>
      </c>
      <c r="H13" s="4">
        <f t="shared" si="0"/>
        <v>70.655737704918039</v>
      </c>
      <c r="I13" s="4">
        <f t="shared" si="4"/>
        <v>-431</v>
      </c>
      <c r="J13" s="4">
        <f t="shared" si="1"/>
        <v>2155</v>
      </c>
      <c r="K13" s="4">
        <f t="shared" si="5"/>
        <v>0</v>
      </c>
      <c r="L13" s="4">
        <v>0</v>
      </c>
    </row>
    <row r="14" spans="1:12" x14ac:dyDescent="0.25">
      <c r="A14">
        <v>1978</v>
      </c>
      <c r="B14" s="1">
        <v>14818</v>
      </c>
      <c r="C14">
        <f t="shared" si="2"/>
        <v>1998</v>
      </c>
      <c r="D14">
        <v>20</v>
      </c>
      <c r="E14">
        <f t="shared" si="3"/>
        <v>31.5</v>
      </c>
      <c r="F14">
        <v>0</v>
      </c>
      <c r="H14" s="4">
        <f t="shared" si="0"/>
        <v>470.41269841269843</v>
      </c>
      <c r="I14" s="4">
        <f t="shared" si="4"/>
        <v>-2963.6000000000004</v>
      </c>
      <c r="J14" s="4">
        <f t="shared" si="1"/>
        <v>14818</v>
      </c>
      <c r="K14" s="4">
        <f t="shared" si="5"/>
        <v>0</v>
      </c>
      <c r="L14" s="4">
        <v>0</v>
      </c>
    </row>
    <row r="15" spans="1:12" x14ac:dyDescent="0.25">
      <c r="A15">
        <v>1977</v>
      </c>
      <c r="B15" s="1">
        <v>0</v>
      </c>
      <c r="C15">
        <f t="shared" si="2"/>
        <v>1997</v>
      </c>
      <c r="D15">
        <v>20</v>
      </c>
      <c r="E15">
        <f t="shared" si="3"/>
        <v>32.5</v>
      </c>
      <c r="F15">
        <v>0</v>
      </c>
      <c r="H15" s="4">
        <f t="shared" si="0"/>
        <v>0</v>
      </c>
      <c r="I15" s="4">
        <f t="shared" si="4"/>
        <v>0</v>
      </c>
      <c r="J15" s="4">
        <f t="shared" si="1"/>
        <v>0</v>
      </c>
      <c r="K15" s="4">
        <f t="shared" si="5"/>
        <v>0</v>
      </c>
      <c r="L15" s="4">
        <v>0</v>
      </c>
    </row>
    <row r="16" spans="1:12" x14ac:dyDescent="0.25">
      <c r="A16">
        <v>1974</v>
      </c>
      <c r="B16" s="1">
        <v>0</v>
      </c>
      <c r="C16">
        <f t="shared" si="2"/>
        <v>1994</v>
      </c>
      <c r="D16">
        <v>20</v>
      </c>
      <c r="E16">
        <f t="shared" si="3"/>
        <v>35.5</v>
      </c>
      <c r="F16">
        <v>0</v>
      </c>
      <c r="H16" s="4">
        <f t="shared" si="0"/>
        <v>0</v>
      </c>
      <c r="I16" s="4">
        <f t="shared" si="4"/>
        <v>0</v>
      </c>
      <c r="J16" s="4">
        <f t="shared" si="1"/>
        <v>0</v>
      </c>
      <c r="K16" s="4">
        <f t="shared" si="5"/>
        <v>0</v>
      </c>
      <c r="L16" s="4">
        <v>0</v>
      </c>
    </row>
    <row r="17" spans="1:13" x14ac:dyDescent="0.25">
      <c r="A17">
        <v>1960</v>
      </c>
      <c r="B17" s="1">
        <v>168</v>
      </c>
      <c r="C17">
        <f t="shared" si="2"/>
        <v>1980</v>
      </c>
      <c r="D17">
        <v>20</v>
      </c>
      <c r="E17">
        <f t="shared" si="3"/>
        <v>49.5</v>
      </c>
      <c r="F17">
        <v>0</v>
      </c>
      <c r="H17" s="4">
        <f t="shared" si="0"/>
        <v>3.393939393939394</v>
      </c>
      <c r="I17" s="4">
        <f t="shared" si="4"/>
        <v>-33.6</v>
      </c>
      <c r="J17" s="4">
        <f t="shared" si="1"/>
        <v>168</v>
      </c>
      <c r="K17" s="4">
        <f t="shared" si="5"/>
        <v>0</v>
      </c>
      <c r="L17" s="4">
        <v>0</v>
      </c>
    </row>
    <row r="18" spans="1:13" x14ac:dyDescent="0.25">
      <c r="A18">
        <v>1959</v>
      </c>
      <c r="B18" s="1">
        <v>65260</v>
      </c>
      <c r="C18">
        <f t="shared" si="2"/>
        <v>1979</v>
      </c>
      <c r="D18">
        <v>20</v>
      </c>
      <c r="E18">
        <f t="shared" si="3"/>
        <v>50.5</v>
      </c>
      <c r="F18">
        <v>0</v>
      </c>
      <c r="H18" s="4">
        <f>+B18/E18</f>
        <v>1292.2772277227723</v>
      </c>
      <c r="I18" s="4">
        <f t="shared" si="4"/>
        <v>-13052</v>
      </c>
      <c r="J18" s="4">
        <f>+B18*(1-F18/D18)</f>
        <v>65260</v>
      </c>
      <c r="K18" s="4">
        <f t="shared" si="5"/>
        <v>0</v>
      </c>
      <c r="L18" s="4">
        <v>0</v>
      </c>
    </row>
    <row r="19" spans="1:13" x14ac:dyDescent="0.25">
      <c r="A19" t="s">
        <v>15</v>
      </c>
      <c r="B19" s="2">
        <f>SUM(B7:B18)</f>
        <v>111492</v>
      </c>
      <c r="C19" s="3"/>
      <c r="D19" s="3"/>
      <c r="E19" s="3"/>
      <c r="F19" s="3"/>
      <c r="G19" s="3"/>
      <c r="H19" s="2">
        <f>SUM(H7:H18)</f>
        <v>3019.4009986266915</v>
      </c>
      <c r="I19" s="2">
        <f>SUM(I7:I18)</f>
        <v>-22298.400000000001</v>
      </c>
      <c r="J19" s="2">
        <f>SUM(J7:J18)</f>
        <v>111024.75</v>
      </c>
      <c r="K19" s="2">
        <f t="shared" ref="K19:L19" si="6">SUM(K7:K18)</f>
        <v>467.25</v>
      </c>
      <c r="L19" s="2">
        <f t="shared" si="6"/>
        <v>186.9</v>
      </c>
      <c r="M19" s="3"/>
    </row>
    <row r="20" spans="1:13" x14ac:dyDescent="0.25">
      <c r="G20" t="s">
        <v>13</v>
      </c>
    </row>
    <row r="22" spans="1:13" x14ac:dyDescent="0.25">
      <c r="A22" t="s">
        <v>17</v>
      </c>
      <c r="B22" t="s">
        <v>18</v>
      </c>
    </row>
    <row r="24" spans="1:13" x14ac:dyDescent="0.25">
      <c r="A24" t="s">
        <v>2</v>
      </c>
      <c r="B24" t="s">
        <v>3</v>
      </c>
      <c r="C24" t="s">
        <v>4</v>
      </c>
      <c r="D24" t="s">
        <v>5</v>
      </c>
      <c r="E24" t="s">
        <v>6</v>
      </c>
      <c r="F24" t="s">
        <v>7</v>
      </c>
      <c r="G24" t="s">
        <v>6</v>
      </c>
      <c r="H24" t="s">
        <v>8</v>
      </c>
      <c r="I24" t="s">
        <v>9</v>
      </c>
      <c r="J24" t="s">
        <v>10</v>
      </c>
      <c r="K24" t="s">
        <v>11</v>
      </c>
      <c r="L24" t="s">
        <v>12</v>
      </c>
    </row>
    <row r="25" spans="1:13" x14ac:dyDescent="0.25">
      <c r="A25">
        <v>2008</v>
      </c>
      <c r="B25" s="4">
        <v>1984876</v>
      </c>
      <c r="C25">
        <v>2024</v>
      </c>
      <c r="D25">
        <f t="shared" ref="D25" si="7">+C25-A25</f>
        <v>16</v>
      </c>
      <c r="E25">
        <f>2009.5-A25</f>
        <v>1.5</v>
      </c>
      <c r="F25">
        <f>+D25-E25</f>
        <v>14.5</v>
      </c>
      <c r="H25" s="4">
        <f t="shared" ref="H25:H36" si="8">+B25/E25</f>
        <v>1323250.6666666667</v>
      </c>
      <c r="I25" s="4">
        <v>0</v>
      </c>
      <c r="J25" s="4">
        <f t="shared" ref="J25" si="9">+B25*(1-F25/D25)</f>
        <v>186082.125</v>
      </c>
      <c r="K25" s="4">
        <f t="shared" ref="K25" si="10">+B25-J25</f>
        <v>1798793.875</v>
      </c>
      <c r="L25" s="4">
        <f t="shared" ref="L25:L33" si="11">+K25/F25</f>
        <v>124054.75</v>
      </c>
    </row>
    <row r="26" spans="1:13" x14ac:dyDescent="0.25">
      <c r="A26">
        <v>2006</v>
      </c>
      <c r="B26" s="4">
        <v>13758</v>
      </c>
      <c r="C26">
        <v>2024</v>
      </c>
      <c r="D26">
        <f>+C26-A26</f>
        <v>18</v>
      </c>
      <c r="E26">
        <f t="shared" ref="E26:E36" si="12">2009.5-A26</f>
        <v>3.5</v>
      </c>
      <c r="F26">
        <f t="shared" ref="F26:F33" si="13">+D26-E26</f>
        <v>14.5</v>
      </c>
      <c r="H26" s="4">
        <f t="shared" si="8"/>
        <v>3930.8571428571427</v>
      </c>
      <c r="I26" s="4">
        <v>0</v>
      </c>
      <c r="J26" s="4">
        <f t="shared" ref="J26:J36" si="14">+B26*(1-F26/D26)</f>
        <v>2675.1666666666665</v>
      </c>
      <c r="K26" s="4">
        <f t="shared" ref="K26:K36" si="15">+B26-J26</f>
        <v>11082.833333333334</v>
      </c>
      <c r="L26" s="4">
        <f t="shared" si="11"/>
        <v>764.33333333333337</v>
      </c>
    </row>
    <row r="27" spans="1:13" x14ac:dyDescent="0.25">
      <c r="A27">
        <v>1998</v>
      </c>
      <c r="B27" s="4">
        <v>298559</v>
      </c>
      <c r="C27">
        <v>2024</v>
      </c>
      <c r="D27">
        <f t="shared" ref="D27:D36" si="16">+C27-A27</f>
        <v>26</v>
      </c>
      <c r="E27">
        <f t="shared" si="12"/>
        <v>11.5</v>
      </c>
      <c r="F27">
        <f t="shared" si="13"/>
        <v>14.5</v>
      </c>
      <c r="H27" s="4">
        <f t="shared" si="8"/>
        <v>25961.652173913044</v>
      </c>
      <c r="I27" s="4">
        <v>0</v>
      </c>
      <c r="J27" s="4">
        <f t="shared" si="14"/>
        <v>132054.94230769231</v>
      </c>
      <c r="K27" s="4">
        <f t="shared" si="15"/>
        <v>166504.05769230769</v>
      </c>
      <c r="L27" s="4">
        <f t="shared" si="11"/>
        <v>11483.038461538461</v>
      </c>
    </row>
    <row r="28" spans="1:13" x14ac:dyDescent="0.25">
      <c r="A28">
        <v>1989</v>
      </c>
      <c r="B28" s="4">
        <v>47346</v>
      </c>
      <c r="C28">
        <v>2024</v>
      </c>
      <c r="D28">
        <f t="shared" si="16"/>
        <v>35</v>
      </c>
      <c r="E28">
        <f t="shared" si="12"/>
        <v>20.5</v>
      </c>
      <c r="F28">
        <f t="shared" si="13"/>
        <v>14.5</v>
      </c>
      <c r="H28" s="4">
        <f t="shared" si="8"/>
        <v>2309.560975609756</v>
      </c>
      <c r="I28" s="4">
        <v>0</v>
      </c>
      <c r="J28" s="4">
        <f t="shared" si="14"/>
        <v>27731.228571428568</v>
      </c>
      <c r="K28" s="4">
        <f t="shared" si="15"/>
        <v>19614.771428571432</v>
      </c>
      <c r="L28" s="4">
        <f t="shared" si="11"/>
        <v>1352.7428571428575</v>
      </c>
    </row>
    <row r="29" spans="1:13" x14ac:dyDescent="0.25">
      <c r="A29">
        <v>1984</v>
      </c>
      <c r="B29" s="4">
        <v>9609</v>
      </c>
      <c r="C29">
        <f>+A29+35</f>
        <v>2019</v>
      </c>
      <c r="D29">
        <f t="shared" si="16"/>
        <v>35</v>
      </c>
      <c r="E29">
        <f t="shared" si="12"/>
        <v>25.5</v>
      </c>
      <c r="F29">
        <f t="shared" si="13"/>
        <v>9.5</v>
      </c>
      <c r="H29" s="4">
        <f t="shared" si="8"/>
        <v>376.8235294117647</v>
      </c>
      <c r="I29" s="4">
        <f t="shared" ref="I29:I36" si="17">+B29*-0.2</f>
        <v>-1921.8000000000002</v>
      </c>
      <c r="J29" s="4">
        <f t="shared" si="14"/>
        <v>7000.8428571428576</v>
      </c>
      <c r="K29" s="4">
        <f t="shared" si="15"/>
        <v>2608.1571428571424</v>
      </c>
      <c r="L29" s="4">
        <f t="shared" si="11"/>
        <v>274.54285714285709</v>
      </c>
    </row>
    <row r="30" spans="1:13" x14ac:dyDescent="0.25">
      <c r="A30">
        <v>1983</v>
      </c>
      <c r="B30" s="4">
        <v>0</v>
      </c>
      <c r="C30">
        <f t="shared" ref="C30:C36" si="18">+A30+35</f>
        <v>2018</v>
      </c>
      <c r="D30">
        <f t="shared" si="16"/>
        <v>35</v>
      </c>
      <c r="E30">
        <f t="shared" si="12"/>
        <v>26.5</v>
      </c>
      <c r="F30">
        <f t="shared" si="13"/>
        <v>8.5</v>
      </c>
      <c r="H30" s="4">
        <f t="shared" si="8"/>
        <v>0</v>
      </c>
      <c r="I30" s="4">
        <f t="shared" si="17"/>
        <v>0</v>
      </c>
      <c r="J30" s="4">
        <f t="shared" si="14"/>
        <v>0</v>
      </c>
      <c r="K30" s="4">
        <f t="shared" si="15"/>
        <v>0</v>
      </c>
      <c r="L30" s="4">
        <f t="shared" si="11"/>
        <v>0</v>
      </c>
    </row>
    <row r="31" spans="1:13" x14ac:dyDescent="0.25">
      <c r="A31">
        <v>1981</v>
      </c>
      <c r="B31" s="4">
        <v>0</v>
      </c>
      <c r="C31">
        <f t="shared" si="18"/>
        <v>2016</v>
      </c>
      <c r="D31">
        <f t="shared" si="16"/>
        <v>35</v>
      </c>
      <c r="E31">
        <f t="shared" si="12"/>
        <v>28.5</v>
      </c>
      <c r="F31">
        <f t="shared" si="13"/>
        <v>6.5</v>
      </c>
      <c r="H31" s="4">
        <f t="shared" si="8"/>
        <v>0</v>
      </c>
      <c r="I31" s="4">
        <f t="shared" si="17"/>
        <v>0</v>
      </c>
      <c r="J31" s="4">
        <f t="shared" si="14"/>
        <v>0</v>
      </c>
      <c r="K31" s="4">
        <f t="shared" si="15"/>
        <v>0</v>
      </c>
      <c r="L31" s="4">
        <f t="shared" si="11"/>
        <v>0</v>
      </c>
    </row>
    <row r="32" spans="1:13" x14ac:dyDescent="0.25">
      <c r="A32">
        <v>1979</v>
      </c>
      <c r="B32" s="4">
        <v>6506</v>
      </c>
      <c r="C32">
        <f t="shared" si="18"/>
        <v>2014</v>
      </c>
      <c r="D32">
        <f t="shared" si="16"/>
        <v>35</v>
      </c>
      <c r="E32">
        <f t="shared" si="12"/>
        <v>30.5</v>
      </c>
      <c r="F32">
        <f t="shared" si="13"/>
        <v>4.5</v>
      </c>
      <c r="H32" s="4">
        <f t="shared" si="8"/>
        <v>213.31147540983608</v>
      </c>
      <c r="I32" s="4">
        <f t="shared" si="17"/>
        <v>-1301.2</v>
      </c>
      <c r="J32" s="4">
        <f t="shared" si="14"/>
        <v>5669.5142857142855</v>
      </c>
      <c r="K32" s="4">
        <f t="shared" si="15"/>
        <v>836.48571428571449</v>
      </c>
      <c r="L32" s="4">
        <f t="shared" si="11"/>
        <v>185.88571428571433</v>
      </c>
    </row>
    <row r="33" spans="1:12" x14ac:dyDescent="0.25">
      <c r="A33">
        <v>1978</v>
      </c>
      <c r="B33" s="4">
        <v>6377</v>
      </c>
      <c r="C33">
        <f t="shared" si="18"/>
        <v>2013</v>
      </c>
      <c r="D33">
        <f t="shared" si="16"/>
        <v>35</v>
      </c>
      <c r="E33">
        <f t="shared" si="12"/>
        <v>31.5</v>
      </c>
      <c r="F33">
        <f t="shared" si="13"/>
        <v>3.5</v>
      </c>
      <c r="H33" s="4">
        <f t="shared" si="8"/>
        <v>202.44444444444446</v>
      </c>
      <c r="I33" s="4">
        <f t="shared" si="17"/>
        <v>-1275.4000000000001</v>
      </c>
      <c r="J33" s="4">
        <f t="shared" si="14"/>
        <v>5739.3</v>
      </c>
      <c r="K33" s="4">
        <f t="shared" si="15"/>
        <v>637.69999999999982</v>
      </c>
      <c r="L33" s="4">
        <f t="shared" si="11"/>
        <v>182.19999999999996</v>
      </c>
    </row>
    <row r="34" spans="1:12" x14ac:dyDescent="0.25">
      <c r="A34">
        <v>1971</v>
      </c>
      <c r="B34" s="4">
        <v>774</v>
      </c>
      <c r="C34">
        <f t="shared" si="18"/>
        <v>2006</v>
      </c>
      <c r="D34">
        <f t="shared" si="16"/>
        <v>35</v>
      </c>
      <c r="E34">
        <f t="shared" si="12"/>
        <v>38.5</v>
      </c>
      <c r="F34">
        <v>0</v>
      </c>
      <c r="H34" s="4">
        <f t="shared" si="8"/>
        <v>20.103896103896105</v>
      </c>
      <c r="I34" s="4">
        <f t="shared" si="17"/>
        <v>-154.80000000000001</v>
      </c>
      <c r="J34" s="4">
        <f t="shared" si="14"/>
        <v>774</v>
      </c>
      <c r="K34" s="4">
        <f t="shared" si="15"/>
        <v>0</v>
      </c>
      <c r="L34" s="4">
        <v>0</v>
      </c>
    </row>
    <row r="35" spans="1:12" x14ac:dyDescent="0.25">
      <c r="A35">
        <v>1960</v>
      </c>
      <c r="B35" s="4">
        <v>1161</v>
      </c>
      <c r="C35">
        <f t="shared" si="18"/>
        <v>1995</v>
      </c>
      <c r="D35">
        <f t="shared" si="16"/>
        <v>35</v>
      </c>
      <c r="E35">
        <f t="shared" si="12"/>
        <v>49.5</v>
      </c>
      <c r="F35">
        <v>0</v>
      </c>
      <c r="H35" s="4">
        <f t="shared" si="8"/>
        <v>23.454545454545453</v>
      </c>
      <c r="I35" s="4">
        <f t="shared" si="17"/>
        <v>-232.20000000000002</v>
      </c>
      <c r="J35" s="4">
        <f t="shared" si="14"/>
        <v>1161</v>
      </c>
      <c r="K35" s="4">
        <f t="shared" si="15"/>
        <v>0</v>
      </c>
      <c r="L35" s="4">
        <v>0</v>
      </c>
    </row>
    <row r="36" spans="1:12" x14ac:dyDescent="0.25">
      <c r="A36">
        <v>1959</v>
      </c>
      <c r="B36" s="4">
        <v>762794</v>
      </c>
      <c r="C36">
        <f t="shared" si="18"/>
        <v>1994</v>
      </c>
      <c r="D36">
        <f t="shared" si="16"/>
        <v>35</v>
      </c>
      <c r="E36">
        <f t="shared" si="12"/>
        <v>50.5</v>
      </c>
      <c r="F36">
        <v>0</v>
      </c>
      <c r="H36" s="4">
        <f t="shared" si="8"/>
        <v>15104.831683168317</v>
      </c>
      <c r="I36" s="4">
        <f t="shared" si="17"/>
        <v>-152558.80000000002</v>
      </c>
      <c r="J36" s="4">
        <f t="shared" si="14"/>
        <v>762794</v>
      </c>
      <c r="K36" s="4">
        <f t="shared" si="15"/>
        <v>0</v>
      </c>
      <c r="L36" s="4">
        <v>0</v>
      </c>
    </row>
    <row r="37" spans="1:12" x14ac:dyDescent="0.25">
      <c r="A37" t="s">
        <v>19</v>
      </c>
      <c r="B37" s="5">
        <f>SUM(B25:B36)</f>
        <v>3131760</v>
      </c>
      <c r="C37" s="3">
        <f t="shared" ref="C37:L37" si="19">SUM(C25:C36)</f>
        <v>24171</v>
      </c>
      <c r="D37" s="3" t="s">
        <v>13</v>
      </c>
      <c r="E37" s="3" t="s">
        <v>13</v>
      </c>
      <c r="F37" s="3" t="s">
        <v>13</v>
      </c>
      <c r="G37" s="3" t="s">
        <v>13</v>
      </c>
      <c r="H37" s="5">
        <f t="shared" si="19"/>
        <v>1371393.7065330397</v>
      </c>
      <c r="I37" s="5">
        <f t="shared" si="19"/>
        <v>-157444.20000000001</v>
      </c>
      <c r="J37" s="5">
        <f t="shared" si="19"/>
        <v>1131682.1196886448</v>
      </c>
      <c r="K37" s="5">
        <f t="shared" si="19"/>
        <v>2000077.8803113552</v>
      </c>
      <c r="L37" s="5">
        <f t="shared" si="19"/>
        <v>138297.49322344322</v>
      </c>
    </row>
    <row r="39" spans="1:12" x14ac:dyDescent="0.25">
      <c r="A39" t="s">
        <v>20</v>
      </c>
      <c r="B39" t="s">
        <v>21</v>
      </c>
    </row>
    <row r="40" spans="1:12" x14ac:dyDescent="0.25">
      <c r="A40" t="s">
        <v>2</v>
      </c>
      <c r="B40" t="s">
        <v>3</v>
      </c>
      <c r="C40" t="s">
        <v>4</v>
      </c>
      <c r="D40" t="s">
        <v>5</v>
      </c>
      <c r="E40" t="s">
        <v>6</v>
      </c>
      <c r="F40" t="s">
        <v>7</v>
      </c>
      <c r="G40" t="s">
        <v>6</v>
      </c>
      <c r="H40" t="s">
        <v>8</v>
      </c>
      <c r="I40" t="s">
        <v>9</v>
      </c>
      <c r="J40" t="s">
        <v>10</v>
      </c>
      <c r="K40" t="s">
        <v>11</v>
      </c>
      <c r="L40" t="s">
        <v>12</v>
      </c>
    </row>
    <row r="41" spans="1:12" x14ac:dyDescent="0.25">
      <c r="A41">
        <v>1986</v>
      </c>
      <c r="B41" s="4">
        <v>678</v>
      </c>
      <c r="C41">
        <v>2024</v>
      </c>
      <c r="D41" s="4">
        <f>+C41-A41</f>
        <v>38</v>
      </c>
      <c r="E41" s="4">
        <f>2009.5-A41</f>
        <v>23.5</v>
      </c>
      <c r="F41">
        <f>+D41-E41</f>
        <v>14.5</v>
      </c>
      <c r="G41" s="4"/>
      <c r="H41" s="4">
        <f t="shared" ref="H41" si="20">+B41/E41</f>
        <v>28.851063829787233</v>
      </c>
      <c r="I41" s="4">
        <v>0</v>
      </c>
      <c r="J41" s="4">
        <f t="shared" ref="J41" si="21">+B41*(1-F41/D41)</f>
        <v>419.28947368421058</v>
      </c>
      <c r="K41" s="4">
        <f t="shared" ref="K41" si="22">+B41-J41</f>
        <v>258.71052631578942</v>
      </c>
      <c r="L41" s="4">
        <f t="shared" ref="L41" si="23">+K41/F41</f>
        <v>17.84210526315789</v>
      </c>
    </row>
    <row r="42" spans="1:12" x14ac:dyDescent="0.25">
      <c r="A42">
        <v>1979</v>
      </c>
      <c r="B42" s="4">
        <v>0</v>
      </c>
      <c r="C42">
        <v>2024</v>
      </c>
      <c r="D42" s="4">
        <f t="shared" ref="D42:D44" si="24">+C42-A42</f>
        <v>45</v>
      </c>
      <c r="E42" s="4">
        <f t="shared" ref="E42:E44" si="25">2009.5-A42</f>
        <v>30.5</v>
      </c>
      <c r="F42">
        <f t="shared" ref="F42:F44" si="26">+D42-E42</f>
        <v>14.5</v>
      </c>
      <c r="G42" s="4"/>
      <c r="H42" s="4">
        <f t="shared" ref="H42:H44" si="27">+B42/E42</f>
        <v>0</v>
      </c>
      <c r="I42" s="4">
        <v>0</v>
      </c>
      <c r="J42" s="4">
        <f t="shared" ref="J42:J44" si="28">+B42*(1-F42/D42)</f>
        <v>0</v>
      </c>
      <c r="K42" s="4">
        <f t="shared" ref="K42:K44" si="29">+B42-J42</f>
        <v>0</v>
      </c>
      <c r="L42" s="4">
        <f t="shared" ref="L42:L44" si="30">+K42/F42</f>
        <v>0</v>
      </c>
    </row>
    <row r="43" spans="1:12" x14ac:dyDescent="0.25">
      <c r="A43">
        <v>1978</v>
      </c>
      <c r="B43" s="4">
        <v>2194</v>
      </c>
      <c r="C43">
        <v>2024</v>
      </c>
      <c r="D43" s="4">
        <f t="shared" si="24"/>
        <v>46</v>
      </c>
      <c r="E43" s="4">
        <f t="shared" si="25"/>
        <v>31.5</v>
      </c>
      <c r="F43">
        <f t="shared" si="26"/>
        <v>14.5</v>
      </c>
      <c r="G43" s="4"/>
      <c r="H43" s="4">
        <f t="shared" si="27"/>
        <v>69.650793650793645</v>
      </c>
      <c r="I43" s="4">
        <v>0</v>
      </c>
      <c r="J43" s="4">
        <f t="shared" si="28"/>
        <v>1502.4130434782608</v>
      </c>
      <c r="K43" s="4">
        <f t="shared" si="29"/>
        <v>691.58695652173924</v>
      </c>
      <c r="L43" s="4">
        <f t="shared" si="30"/>
        <v>47.695652173913054</v>
      </c>
    </row>
    <row r="44" spans="1:12" x14ac:dyDescent="0.25">
      <c r="A44">
        <v>1959</v>
      </c>
      <c r="B44" s="4">
        <v>177742</v>
      </c>
      <c r="C44">
        <v>2024</v>
      </c>
      <c r="D44" s="4">
        <f t="shared" si="24"/>
        <v>65</v>
      </c>
      <c r="E44" s="4">
        <f t="shared" si="25"/>
        <v>50.5</v>
      </c>
      <c r="F44">
        <f t="shared" si="26"/>
        <v>14.5</v>
      </c>
      <c r="G44" s="4"/>
      <c r="H44" s="4">
        <f t="shared" si="27"/>
        <v>3519.6435643564355</v>
      </c>
      <c r="I44" s="4">
        <v>0</v>
      </c>
      <c r="J44" s="4">
        <f t="shared" si="28"/>
        <v>138091.86153846156</v>
      </c>
      <c r="K44" s="4">
        <f t="shared" si="29"/>
        <v>39650.138461538445</v>
      </c>
      <c r="L44" s="4">
        <f t="shared" si="30"/>
        <v>2734.4923076923064</v>
      </c>
    </row>
    <row r="45" spans="1:12" x14ac:dyDescent="0.25">
      <c r="A45" t="s">
        <v>23</v>
      </c>
      <c r="B45" s="5">
        <f>SUM(B41:B44)</f>
        <v>180614</v>
      </c>
      <c r="C45" s="5"/>
      <c r="D45" s="5"/>
      <c r="E45" s="5"/>
      <c r="F45" s="5"/>
      <c r="G45" s="5"/>
      <c r="H45" s="5">
        <f t="shared" ref="H45:L45" si="31">SUM(H41:H44)</f>
        <v>3618.1454218370163</v>
      </c>
      <c r="I45" s="5">
        <f t="shared" si="31"/>
        <v>0</v>
      </c>
      <c r="J45" s="5">
        <f t="shared" si="31"/>
        <v>140013.56405562404</v>
      </c>
      <c r="K45" s="5">
        <f t="shared" si="31"/>
        <v>40600.435944375975</v>
      </c>
      <c r="L45" s="5">
        <f t="shared" si="31"/>
        <v>2800.0300651293774</v>
      </c>
    </row>
    <row r="48" spans="1:12" x14ac:dyDescent="0.25">
      <c r="A48" t="s">
        <v>22</v>
      </c>
      <c r="B48" s="5">
        <f>+B45+B37+B19</f>
        <v>3423866</v>
      </c>
      <c r="C48" s="5" t="s">
        <v>13</v>
      </c>
      <c r="D48" s="5" t="s">
        <v>13</v>
      </c>
      <c r="E48" s="5" t="s">
        <v>13</v>
      </c>
      <c r="F48" s="5" t="s">
        <v>13</v>
      </c>
      <c r="G48" s="5" t="s">
        <v>13</v>
      </c>
      <c r="H48" s="5">
        <f t="shared" ref="H48:L48" si="32">+H45+H37+H19</f>
        <v>1378031.2529535033</v>
      </c>
      <c r="I48" s="5">
        <f t="shared" si="32"/>
        <v>-179742.6</v>
      </c>
      <c r="J48" s="5">
        <f t="shared" si="32"/>
        <v>1382720.4337442687</v>
      </c>
      <c r="K48" s="5">
        <f t="shared" si="32"/>
        <v>2041145.5662557313</v>
      </c>
      <c r="L48" s="5">
        <f t="shared" si="32"/>
        <v>141284.42328857258</v>
      </c>
    </row>
    <row r="50" spans="1:9" x14ac:dyDescent="0.25">
      <c r="A50" t="s">
        <v>24</v>
      </c>
      <c r="I50" s="6">
        <f>+I48/B48</f>
        <v>-5.2496972720310904E-2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6"/>
  <sheetViews>
    <sheetView topLeftCell="A16" workbookViewId="0">
      <selection activeCell="C35" sqref="C35"/>
    </sheetView>
  </sheetViews>
  <sheetFormatPr defaultRowHeight="15" x14ac:dyDescent="0.25"/>
  <cols>
    <col min="2" max="2" width="16.5703125" customWidth="1"/>
    <col min="3" max="3" width="30.28515625" customWidth="1"/>
    <col min="4" max="4" width="18.5703125" customWidth="1"/>
  </cols>
  <sheetData>
    <row r="4" spans="1:5" x14ac:dyDescent="0.25">
      <c r="A4" s="9" t="s">
        <v>2</v>
      </c>
      <c r="B4" s="9" t="s">
        <v>25</v>
      </c>
      <c r="C4" s="9" t="s">
        <v>3</v>
      </c>
      <c r="D4" s="9" t="s">
        <v>26</v>
      </c>
      <c r="E4" s="9" t="s">
        <v>27</v>
      </c>
    </row>
    <row r="5" spans="1:5" x14ac:dyDescent="0.25">
      <c r="A5" t="s">
        <v>13</v>
      </c>
      <c r="C5" s="7" t="s">
        <v>13</v>
      </c>
    </row>
    <row r="6" spans="1:5" x14ac:dyDescent="0.25">
      <c r="A6">
        <v>2008</v>
      </c>
      <c r="B6">
        <f>2009.5-A6</f>
        <v>1.5</v>
      </c>
      <c r="C6" s="4">
        <v>1984876</v>
      </c>
      <c r="D6" s="4">
        <f>+B6*C6</f>
        <v>2977314</v>
      </c>
    </row>
    <row r="7" spans="1:5" x14ac:dyDescent="0.25">
      <c r="A7">
        <v>2006</v>
      </c>
      <c r="B7">
        <f t="shared" ref="B7:B34" si="0">2009.5-A7</f>
        <v>3.5</v>
      </c>
      <c r="C7" s="4">
        <v>13758</v>
      </c>
      <c r="D7" s="4">
        <f t="shared" ref="D7:D34" si="1">+B7*C7</f>
        <v>48153</v>
      </c>
    </row>
    <row r="8" spans="1:5" x14ac:dyDescent="0.25">
      <c r="A8">
        <v>1998</v>
      </c>
      <c r="B8">
        <f t="shared" si="0"/>
        <v>11.5</v>
      </c>
      <c r="C8" s="4">
        <v>298559</v>
      </c>
      <c r="D8" s="4">
        <f t="shared" si="1"/>
        <v>3433428.5</v>
      </c>
    </row>
    <row r="9" spans="1:5" x14ac:dyDescent="0.25">
      <c r="A9">
        <v>1995</v>
      </c>
      <c r="B9">
        <f t="shared" si="0"/>
        <v>14.5</v>
      </c>
      <c r="C9">
        <v>0</v>
      </c>
      <c r="D9" s="4">
        <f t="shared" si="1"/>
        <v>0</v>
      </c>
    </row>
    <row r="10" spans="1:5" x14ac:dyDescent="0.25">
      <c r="A10">
        <v>1992</v>
      </c>
      <c r="B10">
        <f t="shared" si="0"/>
        <v>17.5</v>
      </c>
      <c r="C10" s="1">
        <v>3738</v>
      </c>
      <c r="D10" s="4">
        <f t="shared" si="1"/>
        <v>65415</v>
      </c>
    </row>
    <row r="11" spans="1:5" x14ac:dyDescent="0.25">
      <c r="A11">
        <v>1989</v>
      </c>
      <c r="B11">
        <f t="shared" si="0"/>
        <v>20.5</v>
      </c>
      <c r="C11" s="4">
        <v>47346</v>
      </c>
      <c r="D11" s="4">
        <f t="shared" si="1"/>
        <v>970593</v>
      </c>
    </row>
    <row r="12" spans="1:5" x14ac:dyDescent="0.25">
      <c r="A12">
        <v>1986</v>
      </c>
      <c r="B12">
        <f t="shared" si="0"/>
        <v>23.5</v>
      </c>
      <c r="C12" s="1">
        <v>8821</v>
      </c>
      <c r="D12" s="4">
        <f t="shared" si="1"/>
        <v>207293.5</v>
      </c>
    </row>
    <row r="13" spans="1:5" x14ac:dyDescent="0.25">
      <c r="A13">
        <v>1986</v>
      </c>
      <c r="B13">
        <f t="shared" si="0"/>
        <v>23.5</v>
      </c>
      <c r="C13" s="4">
        <v>678</v>
      </c>
      <c r="D13" s="4">
        <f t="shared" si="1"/>
        <v>15933</v>
      </c>
    </row>
    <row r="14" spans="1:5" x14ac:dyDescent="0.25">
      <c r="A14">
        <v>1984</v>
      </c>
      <c r="B14">
        <f t="shared" si="0"/>
        <v>25.5</v>
      </c>
      <c r="C14" s="1">
        <v>4803</v>
      </c>
      <c r="D14" s="4">
        <f t="shared" si="1"/>
        <v>122476.5</v>
      </c>
    </row>
    <row r="15" spans="1:5" x14ac:dyDescent="0.25">
      <c r="A15">
        <v>1984</v>
      </c>
      <c r="B15">
        <f t="shared" si="0"/>
        <v>25.5</v>
      </c>
      <c r="C15" s="4">
        <v>9609</v>
      </c>
      <c r="D15" s="4">
        <f t="shared" si="1"/>
        <v>245029.5</v>
      </c>
    </row>
    <row r="16" spans="1:5" x14ac:dyDescent="0.25">
      <c r="A16">
        <v>1983</v>
      </c>
      <c r="B16">
        <f t="shared" si="0"/>
        <v>26.5</v>
      </c>
      <c r="C16" s="4">
        <v>0</v>
      </c>
      <c r="D16" s="4">
        <f t="shared" si="1"/>
        <v>0</v>
      </c>
    </row>
    <row r="17" spans="1:4" x14ac:dyDescent="0.25">
      <c r="A17">
        <v>1982</v>
      </c>
      <c r="B17">
        <f t="shared" si="0"/>
        <v>27.5</v>
      </c>
      <c r="C17" s="1">
        <v>1207</v>
      </c>
      <c r="D17" s="4">
        <f t="shared" si="1"/>
        <v>33192.5</v>
      </c>
    </row>
    <row r="18" spans="1:4" x14ac:dyDescent="0.25">
      <c r="A18">
        <v>1981</v>
      </c>
      <c r="B18">
        <f t="shared" si="0"/>
        <v>28.5</v>
      </c>
      <c r="C18" s="1">
        <v>4017</v>
      </c>
      <c r="D18" s="4">
        <f t="shared" si="1"/>
        <v>114484.5</v>
      </c>
    </row>
    <row r="19" spans="1:4" x14ac:dyDescent="0.25">
      <c r="A19">
        <v>1981</v>
      </c>
      <c r="B19">
        <f t="shared" si="0"/>
        <v>28.5</v>
      </c>
      <c r="C19" s="4">
        <v>0</v>
      </c>
      <c r="D19" s="4">
        <f t="shared" si="1"/>
        <v>0</v>
      </c>
    </row>
    <row r="20" spans="1:4" x14ac:dyDescent="0.25">
      <c r="A20">
        <v>1980</v>
      </c>
      <c r="B20">
        <f t="shared" si="0"/>
        <v>29.5</v>
      </c>
      <c r="C20" s="1">
        <v>6505</v>
      </c>
      <c r="D20" s="4">
        <f t="shared" si="1"/>
        <v>191897.5</v>
      </c>
    </row>
    <row r="21" spans="1:4" x14ac:dyDescent="0.25">
      <c r="A21">
        <v>1979</v>
      </c>
      <c r="B21">
        <f t="shared" si="0"/>
        <v>30.5</v>
      </c>
      <c r="C21" s="1">
        <v>2155</v>
      </c>
      <c r="D21" s="4">
        <f t="shared" si="1"/>
        <v>65727.5</v>
      </c>
    </row>
    <row r="22" spans="1:4" x14ac:dyDescent="0.25">
      <c r="A22">
        <v>1979</v>
      </c>
      <c r="B22">
        <f t="shared" si="0"/>
        <v>30.5</v>
      </c>
      <c r="C22" s="4">
        <v>6506</v>
      </c>
      <c r="D22" s="4">
        <f t="shared" si="1"/>
        <v>198433</v>
      </c>
    </row>
    <row r="23" spans="1:4" x14ac:dyDescent="0.25">
      <c r="A23">
        <v>1979</v>
      </c>
      <c r="B23">
        <f t="shared" si="0"/>
        <v>30.5</v>
      </c>
      <c r="C23" s="4">
        <v>0</v>
      </c>
      <c r="D23" s="4">
        <f t="shared" si="1"/>
        <v>0</v>
      </c>
    </row>
    <row r="24" spans="1:4" x14ac:dyDescent="0.25">
      <c r="A24">
        <v>1978</v>
      </c>
      <c r="B24">
        <f t="shared" si="0"/>
        <v>31.5</v>
      </c>
      <c r="C24" s="1">
        <v>14818</v>
      </c>
      <c r="D24" s="4">
        <f t="shared" si="1"/>
        <v>466767</v>
      </c>
    </row>
    <row r="25" spans="1:4" x14ac:dyDescent="0.25">
      <c r="A25">
        <v>1978</v>
      </c>
      <c r="B25">
        <f t="shared" si="0"/>
        <v>31.5</v>
      </c>
      <c r="C25" s="4">
        <v>6377</v>
      </c>
      <c r="D25" s="4">
        <f t="shared" si="1"/>
        <v>200875.5</v>
      </c>
    </row>
    <row r="26" spans="1:4" x14ac:dyDescent="0.25">
      <c r="A26">
        <v>1978</v>
      </c>
      <c r="B26">
        <f t="shared" si="0"/>
        <v>31.5</v>
      </c>
      <c r="C26" s="4">
        <v>2194</v>
      </c>
      <c r="D26" s="4">
        <f t="shared" si="1"/>
        <v>69111</v>
      </c>
    </row>
    <row r="27" spans="1:4" x14ac:dyDescent="0.25">
      <c r="A27">
        <v>1977</v>
      </c>
      <c r="B27">
        <f t="shared" si="0"/>
        <v>32.5</v>
      </c>
      <c r="C27" s="1">
        <v>0</v>
      </c>
      <c r="D27" s="4">
        <f t="shared" si="1"/>
        <v>0</v>
      </c>
    </row>
    <row r="28" spans="1:4" x14ac:dyDescent="0.25">
      <c r="A28">
        <v>1974</v>
      </c>
      <c r="B28">
        <f t="shared" si="0"/>
        <v>35.5</v>
      </c>
      <c r="C28" s="1">
        <v>0</v>
      </c>
      <c r="D28" s="4">
        <f t="shared" si="1"/>
        <v>0</v>
      </c>
    </row>
    <row r="29" spans="1:4" x14ac:dyDescent="0.25">
      <c r="A29">
        <v>1971</v>
      </c>
      <c r="B29">
        <f t="shared" si="0"/>
        <v>38.5</v>
      </c>
      <c r="C29" s="4">
        <v>774</v>
      </c>
      <c r="D29" s="4">
        <f t="shared" si="1"/>
        <v>29799</v>
      </c>
    </row>
    <row r="30" spans="1:4" x14ac:dyDescent="0.25">
      <c r="A30">
        <v>1960</v>
      </c>
      <c r="B30">
        <f t="shared" si="0"/>
        <v>49.5</v>
      </c>
      <c r="C30" s="1">
        <v>168</v>
      </c>
      <c r="D30" s="4">
        <f t="shared" si="1"/>
        <v>8316</v>
      </c>
    </row>
    <row r="31" spans="1:4" x14ac:dyDescent="0.25">
      <c r="A31">
        <v>1960</v>
      </c>
      <c r="B31">
        <f t="shared" si="0"/>
        <v>49.5</v>
      </c>
      <c r="C31" s="4">
        <v>1161</v>
      </c>
      <c r="D31" s="4">
        <f t="shared" si="1"/>
        <v>57469.5</v>
      </c>
    </row>
    <row r="32" spans="1:4" x14ac:dyDescent="0.25">
      <c r="A32">
        <v>1959</v>
      </c>
      <c r="B32">
        <f t="shared" si="0"/>
        <v>50.5</v>
      </c>
      <c r="C32" s="1">
        <v>65260</v>
      </c>
      <c r="D32" s="4">
        <f t="shared" si="1"/>
        <v>3295630</v>
      </c>
    </row>
    <row r="33" spans="1:5" x14ac:dyDescent="0.25">
      <c r="A33">
        <v>1959</v>
      </c>
      <c r="B33">
        <f t="shared" si="0"/>
        <v>50.5</v>
      </c>
      <c r="C33" s="7">
        <v>762794</v>
      </c>
      <c r="D33" s="7">
        <f t="shared" si="1"/>
        <v>38521097</v>
      </c>
      <c r="E33" s="8"/>
    </row>
    <row r="34" spans="1:5" x14ac:dyDescent="0.25">
      <c r="A34">
        <v>1959</v>
      </c>
      <c r="B34">
        <f t="shared" si="0"/>
        <v>50.5</v>
      </c>
      <c r="C34" s="7">
        <v>177742</v>
      </c>
      <c r="D34" s="7">
        <f t="shared" si="1"/>
        <v>8975971</v>
      </c>
    </row>
    <row r="35" spans="1:5" x14ac:dyDescent="0.25">
      <c r="C35" s="5">
        <f>SUM(C6:C34)</f>
        <v>3423866</v>
      </c>
      <c r="D35" s="5">
        <f>SUM(D6:D34)</f>
        <v>60314407</v>
      </c>
      <c r="E35" s="10">
        <f>+D35/C35</f>
        <v>17.615878366735146</v>
      </c>
    </row>
    <row r="36" spans="1:5" x14ac:dyDescent="0.25">
      <c r="A36" t="s">
        <v>24</v>
      </c>
    </row>
  </sheetData>
  <sortState ref="A5:B34">
    <sortCondition descending="1" ref="A5: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4" workbookViewId="0">
      <selection activeCell="D42" sqref="D42"/>
    </sheetView>
  </sheetViews>
  <sheetFormatPr defaultRowHeight="15" x14ac:dyDescent="0.25"/>
  <cols>
    <col min="1" max="1" width="31.85546875" customWidth="1"/>
    <col min="2" max="2" width="9.85546875" bestFit="1" customWidth="1"/>
    <col min="3" max="3" width="3.28515625" customWidth="1"/>
    <col min="5" max="5" width="3.42578125" customWidth="1"/>
    <col min="6" max="6" width="12.7109375" customWidth="1"/>
    <col min="7" max="7" width="3.7109375" customWidth="1"/>
    <col min="12" max="12" width="18.28515625" customWidth="1"/>
    <col min="13" max="13" width="2.85546875" customWidth="1"/>
    <col min="14" max="14" width="18.85546875" customWidth="1"/>
    <col min="15" max="15" width="2.85546875" customWidth="1"/>
    <col min="16" max="16" width="14.140625" customWidth="1"/>
    <col min="17" max="17" width="1.7109375" customWidth="1"/>
    <col min="18" max="18" width="12.42578125" customWidth="1"/>
  </cols>
  <sheetData>
    <row r="1" spans="1:18" x14ac:dyDescent="0.25">
      <c r="A1" s="11"/>
      <c r="B1" s="12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1"/>
      <c r="B2" s="12" t="s">
        <v>29</v>
      </c>
      <c r="C2" s="13"/>
      <c r="D2" s="13"/>
      <c r="E2" s="13"/>
      <c r="F2" s="13"/>
      <c r="G2" s="13"/>
      <c r="H2" s="13"/>
      <c r="I2" s="13"/>
      <c r="J2" s="13"/>
      <c r="K2" s="13"/>
      <c r="L2" s="12" t="s">
        <v>24</v>
      </c>
      <c r="M2" s="13"/>
      <c r="N2" s="13"/>
      <c r="O2" s="13"/>
      <c r="P2" s="14">
        <v>-0.1</v>
      </c>
      <c r="Q2" s="13"/>
      <c r="R2" s="13" t="s">
        <v>30</v>
      </c>
    </row>
    <row r="3" spans="1:18" x14ac:dyDescent="0.25">
      <c r="A3" s="11"/>
      <c r="B3" s="12" t="s">
        <v>31</v>
      </c>
      <c r="C3" s="13"/>
      <c r="D3" s="13"/>
      <c r="E3" s="13"/>
      <c r="F3" s="13"/>
      <c r="G3" s="13"/>
      <c r="H3" s="13"/>
      <c r="I3" s="13"/>
      <c r="J3" s="13"/>
      <c r="K3" s="13"/>
      <c r="L3" s="12" t="s">
        <v>32</v>
      </c>
      <c r="M3" s="13"/>
      <c r="N3" s="13"/>
      <c r="O3" s="13"/>
      <c r="P3" s="14">
        <v>0</v>
      </c>
      <c r="Q3" s="13"/>
      <c r="R3" s="13" t="s">
        <v>33</v>
      </c>
    </row>
    <row r="4" spans="1:18" x14ac:dyDescent="0.25">
      <c r="A4" s="11"/>
      <c r="B4" s="12" t="s">
        <v>34</v>
      </c>
      <c r="C4" s="13"/>
      <c r="D4" s="13"/>
      <c r="E4" s="13"/>
      <c r="F4" s="13"/>
      <c r="G4" s="13"/>
      <c r="H4" s="13"/>
      <c r="I4" s="13"/>
      <c r="J4" s="13"/>
      <c r="K4" s="13"/>
      <c r="L4" s="12" t="s">
        <v>35</v>
      </c>
      <c r="M4" s="13"/>
      <c r="N4" s="13"/>
      <c r="O4" s="13"/>
      <c r="P4" s="14">
        <f>(D40+H40)/(B40+F40)</f>
        <v>-6.6750999996951239E-3</v>
      </c>
      <c r="Q4" s="13"/>
      <c r="R4" s="13"/>
    </row>
    <row r="5" spans="1:18" x14ac:dyDescent="0.25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2" t="s">
        <v>36</v>
      </c>
      <c r="M5" s="13"/>
      <c r="N5" s="13"/>
      <c r="O5" s="13"/>
      <c r="P5" s="15">
        <v>17.615878366735146</v>
      </c>
      <c r="Q5" s="13"/>
      <c r="R5" s="13" t="s">
        <v>37</v>
      </c>
    </row>
    <row r="6" spans="1:18" x14ac:dyDescent="0.25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2" t="s">
        <v>38</v>
      </c>
      <c r="M6" s="13"/>
      <c r="N6" s="13"/>
      <c r="O6" s="13"/>
      <c r="P6" s="15">
        <f>N40/(L21+J40)</f>
        <v>14.427650801319176</v>
      </c>
      <c r="Q6" s="13"/>
      <c r="R6" s="13"/>
    </row>
    <row r="7" spans="1:18" x14ac:dyDescent="0.25">
      <c r="A7" s="11"/>
      <c r="B7" s="13"/>
      <c r="C7" s="13"/>
      <c r="D7" s="13"/>
      <c r="E7" s="13"/>
      <c r="F7" s="13"/>
      <c r="G7" s="13"/>
      <c r="H7" s="13"/>
      <c r="I7" s="13"/>
      <c r="J7" s="13"/>
      <c r="K7" s="13"/>
      <c r="L7" s="12" t="s">
        <v>39</v>
      </c>
      <c r="M7" s="13"/>
      <c r="N7" s="13"/>
      <c r="O7" s="13"/>
      <c r="P7" s="15">
        <f>+P5+P6</f>
        <v>32.04352916805432</v>
      </c>
      <c r="Q7" s="13"/>
      <c r="R7" s="13"/>
    </row>
    <row r="8" spans="1:18" x14ac:dyDescent="0.25">
      <c r="A8" s="11"/>
      <c r="B8" s="13"/>
      <c r="C8" s="13"/>
      <c r="D8" s="13"/>
      <c r="E8" s="13"/>
      <c r="F8" s="13"/>
      <c r="G8" s="13"/>
      <c r="H8" s="13"/>
      <c r="I8" s="13"/>
      <c r="J8" s="13"/>
      <c r="K8" s="13"/>
      <c r="L8" s="12" t="s">
        <v>40</v>
      </c>
      <c r="M8" s="13"/>
      <c r="N8" s="13"/>
      <c r="O8" s="13"/>
      <c r="P8" s="14">
        <f>+R21/L21</f>
        <v>0.41803534367291245</v>
      </c>
      <c r="Q8" s="13"/>
      <c r="R8" s="13"/>
    </row>
    <row r="9" spans="1:18" x14ac:dyDescent="0.25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2" t="s">
        <v>41</v>
      </c>
      <c r="M9" s="13"/>
      <c r="N9" s="13"/>
      <c r="O9" s="13"/>
      <c r="P9" s="13">
        <f>((P5/P7)*((1-P4))*L21)</f>
        <v>1894829.1051123952</v>
      </c>
      <c r="Q9" s="13"/>
      <c r="R9" s="13"/>
    </row>
    <row r="10" spans="1:18" x14ac:dyDescent="0.25">
      <c r="A10" s="1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2" t="s">
        <v>42</v>
      </c>
      <c r="M10" s="13"/>
      <c r="N10" s="13"/>
      <c r="O10" s="13"/>
      <c r="P10" s="16">
        <v>5.3E-3</v>
      </c>
      <c r="Q10" s="13"/>
      <c r="R10" s="13" t="s">
        <v>43</v>
      </c>
    </row>
    <row r="11" spans="1:18" x14ac:dyDescent="0.25">
      <c r="A11" s="1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 t="s">
        <v>44</v>
      </c>
      <c r="M11" s="13"/>
      <c r="N11" s="13"/>
      <c r="O11" s="13"/>
      <c r="P11" s="17">
        <v>0</v>
      </c>
      <c r="Q11" s="13"/>
      <c r="R11" s="13"/>
    </row>
    <row r="12" spans="1:18" x14ac:dyDescent="0.25">
      <c r="A12" s="1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2" t="s">
        <v>45</v>
      </c>
      <c r="M12" s="13"/>
      <c r="N12" s="13"/>
      <c r="O12" s="13"/>
      <c r="P12" s="18">
        <f>(L21+J40-D40-H40-R21)/N40</f>
        <v>4.0799418036438828E-2</v>
      </c>
      <c r="Q12" s="13"/>
      <c r="R12" s="13"/>
    </row>
    <row r="13" spans="1:18" x14ac:dyDescent="0.25">
      <c r="A13" s="1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9" t="s">
        <v>46</v>
      </c>
      <c r="M13" s="13"/>
      <c r="N13" s="13"/>
      <c r="O13" s="13"/>
      <c r="P13" s="18">
        <f>-P4/P7</f>
        <v>2.0831350893614554E-4</v>
      </c>
      <c r="Q13" s="13"/>
      <c r="R13" s="13"/>
    </row>
    <row r="14" spans="1:18" x14ac:dyDescent="0.25">
      <c r="A14" s="1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2" t="s">
        <v>47</v>
      </c>
      <c r="M14" s="13"/>
      <c r="N14" s="13"/>
      <c r="O14" s="13"/>
      <c r="P14" s="18">
        <f>+P12-P13</f>
        <v>4.0591104527502683E-2</v>
      </c>
      <c r="Q14" s="13"/>
      <c r="R14" s="13"/>
    </row>
    <row r="15" spans="1:18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2"/>
      <c r="M15" s="13"/>
      <c r="N15" s="13"/>
      <c r="O15" s="13"/>
      <c r="P15" s="20"/>
      <c r="Q15" s="13"/>
      <c r="R15" s="13"/>
    </row>
    <row r="16" spans="1:18" x14ac:dyDescent="0.25">
      <c r="A16" s="21" t="s">
        <v>48</v>
      </c>
      <c r="B16" s="22" t="s">
        <v>49</v>
      </c>
      <c r="C16" s="22"/>
      <c r="D16" s="22" t="s">
        <v>50</v>
      </c>
      <c r="E16" s="22"/>
      <c r="F16" s="22" t="s">
        <v>51</v>
      </c>
      <c r="G16" s="22"/>
      <c r="H16" s="22" t="s">
        <v>52</v>
      </c>
      <c r="I16" s="22"/>
      <c r="J16" s="22" t="s">
        <v>53</v>
      </c>
      <c r="K16" s="13"/>
      <c r="L16" s="22" t="s">
        <v>54</v>
      </c>
      <c r="M16" s="13"/>
      <c r="N16" s="22" t="s">
        <v>55</v>
      </c>
      <c r="O16" s="22"/>
      <c r="P16" s="22" t="s">
        <v>56</v>
      </c>
      <c r="Q16" s="22"/>
      <c r="R16" s="22" t="s">
        <v>57</v>
      </c>
    </row>
    <row r="17" spans="1:18" x14ac:dyDescent="0.25">
      <c r="A17" s="21"/>
      <c r="B17" s="22" t="s">
        <v>58</v>
      </c>
      <c r="C17" s="22"/>
      <c r="D17" s="22" t="s">
        <v>58</v>
      </c>
      <c r="E17" s="22"/>
      <c r="F17" s="22" t="s">
        <v>59</v>
      </c>
      <c r="G17" s="22"/>
      <c r="H17" s="22" t="s">
        <v>59</v>
      </c>
      <c r="I17" s="22"/>
      <c r="J17" s="22" t="s">
        <v>58</v>
      </c>
      <c r="K17" s="13"/>
      <c r="L17" s="22" t="s">
        <v>60</v>
      </c>
      <c r="M17" s="13"/>
      <c r="N17" s="22" t="s">
        <v>61</v>
      </c>
      <c r="O17" s="22"/>
      <c r="P17" s="21" t="s">
        <v>62</v>
      </c>
      <c r="Q17" s="21"/>
      <c r="R17" s="21" t="s">
        <v>60</v>
      </c>
    </row>
    <row r="18" spans="1:18" x14ac:dyDescent="0.25">
      <c r="A18" s="23" t="s">
        <v>63</v>
      </c>
      <c r="B18" s="24" t="s">
        <v>64</v>
      </c>
      <c r="C18" s="24"/>
      <c r="D18" s="24" t="s">
        <v>65</v>
      </c>
      <c r="E18" s="24"/>
      <c r="F18" s="24" t="s">
        <v>66</v>
      </c>
      <c r="G18" s="24"/>
      <c r="H18" s="24" t="s">
        <v>65</v>
      </c>
      <c r="I18" s="24"/>
      <c r="J18" s="24" t="s">
        <v>67</v>
      </c>
      <c r="K18" s="13"/>
      <c r="L18" s="24" t="s">
        <v>68</v>
      </c>
      <c r="M18" s="13"/>
      <c r="N18" s="24" t="s">
        <v>68</v>
      </c>
      <c r="O18" s="24"/>
      <c r="P18" s="23" t="s">
        <v>69</v>
      </c>
      <c r="Q18" s="23"/>
      <c r="R18" s="25" t="s">
        <v>70</v>
      </c>
    </row>
    <row r="19" spans="1:18" x14ac:dyDescent="0.25">
      <c r="A19" s="11"/>
      <c r="B19" s="22" t="s">
        <v>71</v>
      </c>
      <c r="C19" s="13"/>
      <c r="D19" s="22" t="s">
        <v>71</v>
      </c>
      <c r="E19" s="13"/>
      <c r="F19" s="22" t="s">
        <v>71</v>
      </c>
      <c r="G19" s="13"/>
      <c r="H19" s="22" t="s">
        <v>71</v>
      </c>
      <c r="I19" s="13"/>
      <c r="J19" s="22" t="s">
        <v>71</v>
      </c>
      <c r="K19" s="13"/>
      <c r="L19" s="22" t="s">
        <v>71</v>
      </c>
      <c r="M19" s="13"/>
      <c r="N19" s="22" t="s">
        <v>71</v>
      </c>
      <c r="O19" s="13"/>
      <c r="P19" s="21" t="s">
        <v>71</v>
      </c>
      <c r="Q19" s="21"/>
      <c r="R19" s="21" t="s">
        <v>71</v>
      </c>
    </row>
    <row r="20" spans="1:18" x14ac:dyDescent="0.25">
      <c r="A20" s="1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26">
        <v>40178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>
        <f>'Avg Age @ 2009'!$C$35</f>
        <v>3423866</v>
      </c>
      <c r="M21" s="13"/>
      <c r="N21" s="13"/>
      <c r="O21" s="13"/>
      <c r="P21" s="13"/>
      <c r="Q21" s="13"/>
      <c r="R21" s="13">
        <v>1431297</v>
      </c>
    </row>
    <row r="22" spans="1:18" x14ac:dyDescent="0.25">
      <c r="A22" s="11">
        <v>2010</v>
      </c>
      <c r="B22" s="13">
        <f>+L21*P$10</f>
        <v>18146.489799999999</v>
      </c>
      <c r="C22" s="13"/>
      <c r="D22" s="13">
        <f>+B22*P$2</f>
        <v>-1814.6489799999999</v>
      </c>
      <c r="E22" s="13"/>
      <c r="F22" s="13"/>
      <c r="G22" s="13"/>
      <c r="H22" s="13"/>
      <c r="I22" s="13"/>
      <c r="J22" s="13">
        <v>0</v>
      </c>
      <c r="K22" s="13"/>
      <c r="L22" s="13">
        <f>L21+J22-B22-F22</f>
        <v>3405719.5101999999</v>
      </c>
      <c r="M22" s="13"/>
      <c r="N22" s="13">
        <f>(L21+L22)/2</f>
        <v>3414792.7550999997</v>
      </c>
      <c r="O22" s="13"/>
      <c r="P22" s="13">
        <f>N22*$P$12</f>
        <v>139321.55712312757</v>
      </c>
      <c r="Q22" s="13"/>
      <c r="R22" s="13">
        <f>R21+P22-B22-F22+D22</f>
        <v>1550657.4183431275</v>
      </c>
    </row>
    <row r="23" spans="1:18" x14ac:dyDescent="0.25">
      <c r="A23" s="11">
        <v>2011</v>
      </c>
      <c r="B23" s="13">
        <f t="shared" ref="B23:B34" si="0">+L22*P$10</f>
        <v>18050.313404059998</v>
      </c>
      <c r="C23" s="13"/>
      <c r="D23" s="13">
        <f t="shared" ref="D23:D34" si="1">+B23*P$2</f>
        <v>-1805.0313404059998</v>
      </c>
      <c r="E23" s="13"/>
      <c r="F23" s="13"/>
      <c r="G23" s="13"/>
      <c r="H23" s="13"/>
      <c r="I23" s="13"/>
      <c r="J23" s="13"/>
      <c r="K23" s="13"/>
      <c r="L23" s="13">
        <f t="shared" ref="L23:L36" si="2">L22+J23-B23-F23</f>
        <v>3387669.1967959399</v>
      </c>
      <c r="M23" s="13"/>
      <c r="N23" s="13">
        <f t="shared" ref="N23:N36" si="3">(L22+L23)/2</f>
        <v>3396694.3534979699</v>
      </c>
      <c r="O23" s="13"/>
      <c r="P23" s="13">
        <f t="shared" ref="P23:P36" si="4">N23*$P$12</f>
        <v>138583.15287037499</v>
      </c>
      <c r="Q23" s="13"/>
      <c r="R23" s="13">
        <f t="shared" ref="R23:R36" si="5">R22+P23-B23-F23+D23</f>
        <v>1669385.2264690364</v>
      </c>
    </row>
    <row r="24" spans="1:18" x14ac:dyDescent="0.25">
      <c r="A24" s="11">
        <v>2012</v>
      </c>
      <c r="B24" s="13">
        <f t="shared" si="0"/>
        <v>17954.646743018482</v>
      </c>
      <c r="C24" s="13"/>
      <c r="D24" s="13">
        <f t="shared" si="1"/>
        <v>-1795.4646743018484</v>
      </c>
      <c r="E24" s="13"/>
      <c r="F24" s="13"/>
      <c r="G24" s="13"/>
      <c r="H24" s="13"/>
      <c r="I24" s="13"/>
      <c r="J24" s="13"/>
      <c r="K24" s="13"/>
      <c r="L24" s="13">
        <f t="shared" si="2"/>
        <v>3369714.5500529213</v>
      </c>
      <c r="M24" s="13"/>
      <c r="N24" s="13">
        <f t="shared" si="3"/>
        <v>3378691.8734244304</v>
      </c>
      <c r="O24" s="13"/>
      <c r="P24" s="13">
        <f t="shared" si="4"/>
        <v>137848.662160162</v>
      </c>
      <c r="Q24" s="13"/>
      <c r="R24" s="13">
        <f t="shared" si="5"/>
        <v>1787483.7772118782</v>
      </c>
    </row>
    <row r="25" spans="1:18" x14ac:dyDescent="0.25">
      <c r="A25" s="11">
        <v>2013</v>
      </c>
      <c r="B25" s="13">
        <f t="shared" si="0"/>
        <v>17859.487115280484</v>
      </c>
      <c r="C25" s="13"/>
      <c r="D25" s="13">
        <f t="shared" si="1"/>
        <v>-1785.9487115280485</v>
      </c>
      <c r="E25" s="13"/>
      <c r="F25" s="13"/>
      <c r="G25" s="13"/>
      <c r="H25" s="13"/>
      <c r="I25" s="13"/>
      <c r="J25" s="13"/>
      <c r="K25" s="13"/>
      <c r="L25" s="13">
        <f t="shared" si="2"/>
        <v>3351855.0629376406</v>
      </c>
      <c r="M25" s="13"/>
      <c r="N25" s="13">
        <f t="shared" si="3"/>
        <v>3360784.8064952809</v>
      </c>
      <c r="O25" s="13"/>
      <c r="P25" s="13">
        <f t="shared" si="4"/>
        <v>137118.06425071316</v>
      </c>
      <c r="Q25" s="13"/>
      <c r="R25" s="13">
        <f t="shared" si="5"/>
        <v>1904956.405635783</v>
      </c>
    </row>
    <row r="26" spans="1:18" x14ac:dyDescent="0.25">
      <c r="A26" s="11">
        <v>2014</v>
      </c>
      <c r="B26" s="13">
        <f t="shared" si="0"/>
        <v>17764.831833569497</v>
      </c>
      <c r="C26" s="13"/>
      <c r="D26" s="13">
        <f t="shared" si="1"/>
        <v>-1776.4831833569497</v>
      </c>
      <c r="E26" s="13"/>
      <c r="F26" s="13"/>
      <c r="G26" s="13"/>
      <c r="H26" s="13"/>
      <c r="I26" s="13"/>
      <c r="J26" s="13"/>
      <c r="K26" s="13"/>
      <c r="L26" s="13">
        <f t="shared" si="2"/>
        <v>3334090.2311040713</v>
      </c>
      <c r="M26" s="13"/>
      <c r="N26" s="13">
        <f t="shared" si="3"/>
        <v>3342972.6470208559</v>
      </c>
      <c r="O26" s="13"/>
      <c r="P26" s="13">
        <f t="shared" si="4"/>
        <v>136391.33851018437</v>
      </c>
      <c r="Q26" s="13"/>
      <c r="R26" s="13">
        <f t="shared" si="5"/>
        <v>2021806.4291290408</v>
      </c>
    </row>
    <row r="27" spans="1:18" x14ac:dyDescent="0.25">
      <c r="A27" s="11">
        <v>2015</v>
      </c>
      <c r="B27" s="13">
        <f t="shared" si="0"/>
        <v>17670.678224851577</v>
      </c>
      <c r="C27" s="13"/>
      <c r="D27" s="13">
        <f t="shared" si="1"/>
        <v>-1767.0678224851579</v>
      </c>
      <c r="E27" s="13"/>
      <c r="F27" s="13"/>
      <c r="G27" s="13"/>
      <c r="H27" s="13"/>
      <c r="I27" s="13"/>
      <c r="J27" s="13"/>
      <c r="K27" s="13"/>
      <c r="L27" s="13">
        <f t="shared" si="2"/>
        <v>3316419.5528792199</v>
      </c>
      <c r="M27" s="13"/>
      <c r="N27" s="13">
        <f t="shared" si="3"/>
        <v>3325254.8919916456</v>
      </c>
      <c r="O27" s="13"/>
      <c r="P27" s="13">
        <f t="shared" si="4"/>
        <v>135668.46441608039</v>
      </c>
      <c r="Q27" s="13"/>
      <c r="R27" s="13">
        <f t="shared" si="5"/>
        <v>2138037.1474977843</v>
      </c>
    </row>
    <row r="28" spans="1:18" x14ac:dyDescent="0.25">
      <c r="A28" s="11">
        <v>2016</v>
      </c>
      <c r="B28" s="13">
        <f t="shared" si="0"/>
        <v>17577.023630259864</v>
      </c>
      <c r="C28" s="13"/>
      <c r="D28" s="13">
        <f t="shared" si="1"/>
        <v>-1757.7023630259864</v>
      </c>
      <c r="E28" s="13"/>
      <c r="F28" s="13"/>
      <c r="G28" s="13"/>
      <c r="H28" s="13"/>
      <c r="I28" s="13"/>
      <c r="J28" s="13"/>
      <c r="K28" s="13"/>
      <c r="L28" s="13">
        <f t="shared" si="2"/>
        <v>3298842.5292489599</v>
      </c>
      <c r="M28" s="13"/>
      <c r="N28" s="13">
        <f t="shared" si="3"/>
        <v>3307631.0410640901</v>
      </c>
      <c r="O28" s="13"/>
      <c r="P28" s="13">
        <f t="shared" si="4"/>
        <v>134949.42155467518</v>
      </c>
      <c r="Q28" s="13"/>
      <c r="R28" s="13">
        <f t="shared" si="5"/>
        <v>2253651.8430591738</v>
      </c>
    </row>
    <row r="29" spans="1:18" x14ac:dyDescent="0.25">
      <c r="A29" s="11">
        <v>2017</v>
      </c>
      <c r="B29" s="13">
        <f t="shared" si="0"/>
        <v>17483.865405019485</v>
      </c>
      <c r="C29" s="13"/>
      <c r="D29" s="13">
        <f t="shared" si="1"/>
        <v>-1748.3865405019487</v>
      </c>
      <c r="L29" s="13">
        <f t="shared" si="2"/>
        <v>3281358.6638439405</v>
      </c>
      <c r="M29" s="13"/>
      <c r="N29" s="13">
        <f t="shared" si="3"/>
        <v>3290100.5965464502</v>
      </c>
      <c r="O29" s="13"/>
      <c r="P29" s="13">
        <f t="shared" si="4"/>
        <v>134234.18962043538</v>
      </c>
      <c r="Q29" s="13"/>
      <c r="R29" s="13">
        <f t="shared" si="5"/>
        <v>2368653.7807340878</v>
      </c>
    </row>
    <row r="30" spans="1:18" x14ac:dyDescent="0.25">
      <c r="A30" s="11">
        <f>A29+1</f>
        <v>2018</v>
      </c>
      <c r="B30" s="13">
        <f t="shared" si="0"/>
        <v>17391.200918372884</v>
      </c>
      <c r="C30" s="13"/>
      <c r="D30" s="13">
        <f t="shared" si="1"/>
        <v>-1739.1200918372886</v>
      </c>
      <c r="E30" s="13"/>
      <c r="F30" s="13"/>
      <c r="G30" s="13"/>
      <c r="H30" s="13"/>
      <c r="I30" s="13"/>
      <c r="J30" s="13">
        <v>0</v>
      </c>
      <c r="K30" s="13"/>
      <c r="L30" s="13">
        <f t="shared" si="2"/>
        <v>3263967.4629255678</v>
      </c>
      <c r="M30" s="13"/>
      <c r="N30" s="13">
        <f t="shared" si="3"/>
        <v>3272663.0633847541</v>
      </c>
      <c r="O30" s="13"/>
      <c r="P30" s="13">
        <f t="shared" si="4"/>
        <v>133522.74841544707</v>
      </c>
      <c r="Q30" s="13"/>
      <c r="R30" s="13">
        <f t="shared" si="5"/>
        <v>2483046.208139325</v>
      </c>
    </row>
    <row r="31" spans="1:18" x14ac:dyDescent="0.25">
      <c r="A31" s="11">
        <f t="shared" ref="A31:A36" si="6">A30+1</f>
        <v>2019</v>
      </c>
      <c r="B31" s="13">
        <f t="shared" si="0"/>
        <v>17299.027553505508</v>
      </c>
      <c r="C31" s="13"/>
      <c r="D31" s="13">
        <f t="shared" si="1"/>
        <v>-1729.9027553505509</v>
      </c>
      <c r="E31" s="13"/>
      <c r="F31" s="13"/>
      <c r="G31" s="13"/>
      <c r="H31" s="13"/>
      <c r="I31" s="13"/>
      <c r="J31" s="13">
        <v>0</v>
      </c>
      <c r="K31" s="13"/>
      <c r="L31" s="13">
        <f t="shared" si="2"/>
        <v>3246668.435372062</v>
      </c>
      <c r="M31" s="13"/>
      <c r="N31" s="13">
        <f t="shared" si="3"/>
        <v>3255317.9491488151</v>
      </c>
      <c r="O31" s="13"/>
      <c r="P31" s="13">
        <f t="shared" si="4"/>
        <v>132815.07784884522</v>
      </c>
      <c r="Q31" s="13"/>
      <c r="R31" s="13">
        <f t="shared" si="5"/>
        <v>2596832.3556793141</v>
      </c>
    </row>
    <row r="32" spans="1:18" x14ac:dyDescent="0.25">
      <c r="A32" s="11">
        <f t="shared" si="6"/>
        <v>2020</v>
      </c>
      <c r="B32" s="13">
        <f t="shared" si="0"/>
        <v>17207.342707471929</v>
      </c>
      <c r="C32" s="13"/>
      <c r="D32" s="13">
        <f t="shared" si="1"/>
        <v>-1720.734270747193</v>
      </c>
      <c r="E32" s="13"/>
      <c r="F32" s="13"/>
      <c r="G32" s="13"/>
      <c r="H32" s="13"/>
      <c r="I32" s="13"/>
      <c r="J32" s="13">
        <v>0</v>
      </c>
      <c r="K32" s="13"/>
      <c r="L32" s="13">
        <f t="shared" si="2"/>
        <v>3229461.0926645901</v>
      </c>
      <c r="M32" s="13"/>
      <c r="N32" s="13">
        <f t="shared" si="3"/>
        <v>3238064.7640183261</v>
      </c>
      <c r="O32" s="13"/>
      <c r="P32" s="13">
        <f t="shared" si="4"/>
        <v>132111.15793624634</v>
      </c>
      <c r="Q32" s="13"/>
      <c r="R32" s="13">
        <f t="shared" si="5"/>
        <v>2710015.436637341</v>
      </c>
    </row>
    <row r="33" spans="1:18" x14ac:dyDescent="0.25">
      <c r="A33" s="11">
        <f t="shared" si="6"/>
        <v>2021</v>
      </c>
      <c r="B33" s="13">
        <f t="shared" si="0"/>
        <v>17116.143791122329</v>
      </c>
      <c r="C33" s="13"/>
      <c r="D33" s="13">
        <f t="shared" si="1"/>
        <v>-1711.6143791122331</v>
      </c>
      <c r="E33" s="13"/>
      <c r="F33" s="13"/>
      <c r="G33" s="13"/>
      <c r="H33" s="13"/>
      <c r="I33" s="13"/>
      <c r="J33" s="13">
        <v>0</v>
      </c>
      <c r="K33" s="13"/>
      <c r="L33" s="13">
        <f t="shared" si="2"/>
        <v>3212344.9488734677</v>
      </c>
      <c r="M33" s="13"/>
      <c r="N33" s="13">
        <f t="shared" si="3"/>
        <v>3220903.0207690289</v>
      </c>
      <c r="O33" s="13"/>
      <c r="P33" s="13">
        <f t="shared" si="4"/>
        <v>131410.96879918422</v>
      </c>
      <c r="Q33" s="13"/>
      <c r="R33" s="13">
        <f t="shared" si="5"/>
        <v>2822598.6472662906</v>
      </c>
    </row>
    <row r="34" spans="1:18" x14ac:dyDescent="0.25">
      <c r="A34" s="11">
        <f t="shared" si="6"/>
        <v>2022</v>
      </c>
      <c r="B34" s="13">
        <f t="shared" si="0"/>
        <v>17025.428229029378</v>
      </c>
      <c r="C34" s="13"/>
      <c r="D34" s="13">
        <f t="shared" si="1"/>
        <v>-1702.5428229029378</v>
      </c>
      <c r="E34" s="13"/>
      <c r="F34" s="13"/>
      <c r="G34" s="13"/>
      <c r="H34" s="13"/>
      <c r="I34" s="13"/>
      <c r="J34" s="13">
        <v>0</v>
      </c>
      <c r="K34" s="13"/>
      <c r="L34" s="13">
        <f t="shared" si="2"/>
        <v>3195319.5206444385</v>
      </c>
      <c r="M34" s="13"/>
      <c r="N34" s="13">
        <f t="shared" si="3"/>
        <v>3203832.2347589531</v>
      </c>
      <c r="O34" s="13"/>
      <c r="P34" s="13">
        <f t="shared" si="4"/>
        <v>130714.49066454855</v>
      </c>
      <c r="Q34" s="13"/>
      <c r="R34" s="13">
        <f t="shared" si="5"/>
        <v>2934585.166878907</v>
      </c>
    </row>
    <row r="35" spans="1:18" x14ac:dyDescent="0.25">
      <c r="A35" s="11">
        <f t="shared" si="6"/>
        <v>2023</v>
      </c>
      <c r="B35" s="13">
        <v>0</v>
      </c>
      <c r="C35" s="13"/>
      <c r="D35" s="13">
        <f t="shared" ref="D30:D36" si="7">+B35*P$2</f>
        <v>0</v>
      </c>
      <c r="E35" s="13"/>
      <c r="F35" s="13"/>
      <c r="G35" s="13"/>
      <c r="H35" s="13"/>
      <c r="I35" s="13"/>
      <c r="J35" s="13">
        <v>0</v>
      </c>
      <c r="K35" s="13"/>
      <c r="L35" s="13">
        <f t="shared" si="2"/>
        <v>3195319.5206444385</v>
      </c>
      <c r="M35" s="13"/>
      <c r="N35" s="13">
        <f t="shared" si="3"/>
        <v>3195319.5206444385</v>
      </c>
      <c r="O35" s="13"/>
      <c r="P35" s="13">
        <f t="shared" si="4"/>
        <v>130367.17688276578</v>
      </c>
      <c r="Q35" s="13"/>
      <c r="R35" s="13">
        <f t="shared" si="5"/>
        <v>3064952.3437616727</v>
      </c>
    </row>
    <row r="36" spans="1:18" x14ac:dyDescent="0.25">
      <c r="A36" s="11">
        <f t="shared" si="6"/>
        <v>2024</v>
      </c>
      <c r="B36" s="13">
        <v>0</v>
      </c>
      <c r="C36" s="13"/>
      <c r="D36" s="13">
        <f t="shared" si="7"/>
        <v>0</v>
      </c>
      <c r="E36" s="13"/>
      <c r="F36" s="13">
        <f>L35</f>
        <v>3195319.5206444385</v>
      </c>
      <c r="G36" s="13"/>
      <c r="H36" s="13"/>
      <c r="I36" s="13"/>
      <c r="J36" s="13">
        <v>0</v>
      </c>
      <c r="K36" s="13"/>
      <c r="L36" s="13">
        <f t="shared" si="2"/>
        <v>0</v>
      </c>
      <c r="M36" s="13"/>
      <c r="N36" s="13">
        <f>(L35+L36)</f>
        <v>3195319.5206444385</v>
      </c>
      <c r="O36" s="13"/>
      <c r="P36" s="13">
        <f t="shared" si="4"/>
        <v>130367.17688276578</v>
      </c>
      <c r="Q36" s="13"/>
      <c r="R36" s="13">
        <f t="shared" si="5"/>
        <v>0</v>
      </c>
    </row>
    <row r="37" spans="1:18" x14ac:dyDescent="0.25">
      <c r="A37" s="1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x14ac:dyDescent="0.25">
      <c r="A38" s="11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x14ac:dyDescent="0.25">
      <c r="A39" s="1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5">
      <c r="A40" s="21" t="s">
        <v>72</v>
      </c>
      <c r="B40" s="27">
        <f>SUM(B20:B36)</f>
        <v>228546.4793555614</v>
      </c>
      <c r="C40" s="27" t="s">
        <v>13</v>
      </c>
      <c r="D40" s="27">
        <f>SUM(D20:D36)</f>
        <v>-22854.647935556146</v>
      </c>
      <c r="E40" s="27" t="s">
        <v>13</v>
      </c>
      <c r="F40" s="27">
        <f>SUM(F20:F36)</f>
        <v>3195319.5206444385</v>
      </c>
      <c r="G40" s="27" t="s">
        <v>13</v>
      </c>
      <c r="H40" s="27">
        <f>SUM(H20:H36)</f>
        <v>0</v>
      </c>
      <c r="I40" s="27">
        <v>0</v>
      </c>
      <c r="J40" s="27">
        <f>SUM(J20:J36)</f>
        <v>0</v>
      </c>
      <c r="K40" s="13"/>
      <c r="L40" s="13"/>
      <c r="M40" s="13"/>
      <c r="N40" s="27">
        <f>SUM(N20:N36)</f>
        <v>49398343.038509481</v>
      </c>
      <c r="O40" s="13"/>
      <c r="P40" s="27">
        <f>SUM(P20:P36)</f>
        <v>2015423.6479355558</v>
      </c>
      <c r="Q40" s="13"/>
      <c r="R4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A9553F73-46DA-40DC-A387-729943820843}"/>
</file>

<file path=customXml/itemProps2.xml><?xml version="1.0" encoding="utf-8"?>
<ds:datastoreItem xmlns:ds="http://schemas.openxmlformats.org/officeDocument/2006/customXml" ds:itemID="{163ADD00-DE82-4DB4-A40C-E5BB8E9B1050}"/>
</file>

<file path=customXml/itemProps3.xml><?xml version="1.0" encoding="utf-8"?>
<ds:datastoreItem xmlns:ds="http://schemas.openxmlformats.org/officeDocument/2006/customXml" ds:itemID="{ABECAA80-F99E-4167-A5B8-BB24BDB41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Filed </vt:lpstr>
      <vt:lpstr>Avg Age @ 2009</vt:lpstr>
      <vt:lpstr>Proposed Methodology This case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Karen Ponder</cp:lastModifiedBy>
  <dcterms:created xsi:type="dcterms:W3CDTF">2017-02-01T20:51:20Z</dcterms:created>
  <dcterms:modified xsi:type="dcterms:W3CDTF">2017-02-01T21:51:15Z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1083832342</vt:i4>
  </property>
  <property fmtid="{D5CDD505-2E9C-101B-9397-08002B2CF9AE}" pid="4" name="_NewReviewCycle">
    <vt:lpwstr/>
  </property>
  <property fmtid="{D5CDD505-2E9C-101B-9397-08002B2CF9AE}" pid="5" name="_EmailSubject">
    <vt:lpwstr>Jackie:  Staff 12th  POD 76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