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395" yWindow="-15" windowWidth="28320" windowHeight="10785" activeTab="1"/>
  </bookViews>
  <sheets>
    <sheet name="Pea Ridge Data" sheetId="1" r:id="rId1"/>
    <sheet name="Pea Ridge Import" sheetId="2" r:id="rId2"/>
    <sheet name="Pea Ridge Estimate" sheetId="4" r:id="rId3"/>
    <sheet name="Scrap Values" sheetId="5" r:id="rId4"/>
  </sheets>
  <definedNames>
    <definedName name="_xlnm._FilterDatabase" localSheetId="1" hidden="1">'Pea Ridge Import'!$A$2:$AC$62</definedName>
    <definedName name="_xlnm.Print_Area" localSheetId="0">'Pea Ridge Data'!$A$1:$CB$49</definedName>
    <definedName name="_xlnm.Print_Area" localSheetId="2">'Pea Ridge Estimate'!$A$1:$BZ$34</definedName>
    <definedName name="_xlnm.Print_Titles" localSheetId="0">'Pea Ridge Data'!$A:$B</definedName>
    <definedName name="_xlnm.Print_Titles" localSheetId="2">'Pea Ridge Estimate'!$A:$B</definedName>
  </definedNames>
  <calcPr calcId="145621" iterate="1" calcOnSave="0"/>
</workbook>
</file>

<file path=xl/calcChain.xml><?xml version="1.0" encoding="utf-8"?>
<calcChain xmlns="http://schemas.openxmlformats.org/spreadsheetml/2006/main">
  <c r="H49" i="2" l="1"/>
  <c r="E27" i="1" l="1"/>
  <c r="E25" i="1"/>
  <c r="E20" i="1"/>
  <c r="E19" i="1"/>
  <c r="E16" i="1"/>
  <c r="E10" i="1"/>
  <c r="K22" i="5" l="1"/>
  <c r="K23" i="5"/>
  <c r="K24" i="5"/>
  <c r="K25" i="5"/>
  <c r="K27" i="5"/>
  <c r="K28" i="5"/>
  <c r="K29" i="5"/>
  <c r="K30" i="5"/>
  <c r="K21" i="5"/>
  <c r="AI14" i="5" l="1"/>
  <c r="Q14" i="5"/>
  <c r="M14" i="5" s="1"/>
  <c r="K14" i="5"/>
  <c r="AI13" i="5"/>
  <c r="Q13" i="5"/>
  <c r="M13" i="5" s="1"/>
  <c r="K13" i="5"/>
  <c r="AI12" i="5"/>
  <c r="Q12" i="5"/>
  <c r="M12" i="5" s="1"/>
  <c r="K12" i="5"/>
  <c r="AI11" i="5"/>
  <c r="Q11" i="5"/>
  <c r="M11" i="5" s="1"/>
  <c r="K11" i="5"/>
  <c r="AI10" i="5"/>
  <c r="Q10" i="5"/>
  <c r="K9" i="5"/>
  <c r="AI9" i="5" s="1"/>
  <c r="K8" i="5"/>
  <c r="AI8" i="5" s="1"/>
  <c r="K7" i="5"/>
  <c r="AI7" i="5" s="1"/>
  <c r="K6" i="5"/>
  <c r="AI6" i="5" s="1"/>
  <c r="AG5" i="5"/>
  <c r="K5" i="5"/>
  <c r="AI5" i="5" s="1"/>
  <c r="Q2" i="5"/>
  <c r="F1" i="5"/>
  <c r="F3" i="5" s="1"/>
  <c r="Q5" i="5" l="1"/>
  <c r="M5" i="5" s="1"/>
  <c r="Q6" i="5"/>
  <c r="M6" i="5" s="1"/>
  <c r="Q7" i="5"/>
  <c r="M7" i="5" s="1"/>
  <c r="Q8" i="5"/>
  <c r="M8" i="5" s="1"/>
  <c r="Q9" i="5"/>
  <c r="M9" i="5" s="1"/>
  <c r="O6" i="2"/>
  <c r="O7" i="2"/>
  <c r="O8" i="2"/>
  <c r="O9" i="2"/>
  <c r="O10" i="2"/>
  <c r="N6" i="2"/>
  <c r="N7" i="2"/>
  <c r="N8" i="2"/>
  <c r="N9" i="2"/>
  <c r="N10" i="2"/>
  <c r="N49" i="2"/>
  <c r="N52" i="2"/>
  <c r="N54" i="2"/>
  <c r="E21" i="1" l="1"/>
  <c r="E18" i="1"/>
  <c r="E26" i="1"/>
  <c r="E22" i="1"/>
  <c r="E17" i="1"/>
  <c r="W9" i="2" l="1"/>
  <c r="F47" i="2"/>
  <c r="F46" i="2"/>
  <c r="F45" i="2"/>
  <c r="I41" i="2"/>
  <c r="O41" i="2" s="1"/>
  <c r="I40" i="2"/>
  <c r="O40" i="2" s="1"/>
  <c r="I39" i="2"/>
  <c r="O39" i="2" s="1"/>
  <c r="F44" i="2"/>
  <c r="F43" i="2"/>
  <c r="F42" i="2"/>
  <c r="I59" i="2"/>
  <c r="O59" i="2" s="1"/>
  <c r="F59" i="2"/>
  <c r="I58" i="2"/>
  <c r="O58" i="2" s="1"/>
  <c r="F58" i="2"/>
  <c r="I57" i="2"/>
  <c r="O57" i="2" s="1"/>
  <c r="F57" i="2"/>
  <c r="I17" i="2"/>
  <c r="O17" i="2" s="1"/>
  <c r="F17" i="2"/>
  <c r="I16" i="2"/>
  <c r="O16" i="2" s="1"/>
  <c r="F16" i="2"/>
  <c r="I15" i="2"/>
  <c r="O15" i="2" s="1"/>
  <c r="F15" i="2"/>
  <c r="I14" i="2"/>
  <c r="O14" i="2" s="1"/>
  <c r="F14" i="2"/>
  <c r="I13" i="2"/>
  <c r="O13" i="2" s="1"/>
  <c r="F13" i="2"/>
  <c r="I12" i="2"/>
  <c r="O12" i="2" s="1"/>
  <c r="F12" i="2"/>
  <c r="F37" i="2"/>
  <c r="F36" i="2"/>
  <c r="F35" i="2"/>
  <c r="F33" i="2"/>
  <c r="F32" i="2"/>
  <c r="F31" i="2"/>
  <c r="H29" i="2"/>
  <c r="N29" i="2" s="1"/>
  <c r="H28" i="2"/>
  <c r="N28" i="2" s="1"/>
  <c r="H27" i="2"/>
  <c r="N27" i="2" s="1"/>
  <c r="H26" i="2"/>
  <c r="N26" i="2" s="1"/>
  <c r="H59" i="2"/>
  <c r="N59" i="2" s="1"/>
  <c r="H17" i="2"/>
  <c r="N17" i="2" s="1"/>
  <c r="H16" i="2"/>
  <c r="N16" i="2" s="1"/>
  <c r="H38" i="2"/>
  <c r="N38" i="2" s="1"/>
  <c r="H37" i="2"/>
  <c r="N37" i="2" s="1"/>
  <c r="H36" i="2"/>
  <c r="N36" i="2" s="1"/>
  <c r="BV27" i="1"/>
  <c r="CB27" i="1" s="1"/>
  <c r="BM27" i="1"/>
  <c r="BS27" i="1" s="1"/>
  <c r="BD27" i="1"/>
  <c r="BJ27" i="1" s="1"/>
  <c r="AU27" i="1"/>
  <c r="BA27" i="1" s="1"/>
  <c r="AL27" i="1"/>
  <c r="AR27" i="1" s="1"/>
  <c r="AC27" i="1"/>
  <c r="AI27" i="1" s="1"/>
  <c r="T27" i="1"/>
  <c r="Z27" i="1" s="1"/>
  <c r="K27" i="1"/>
  <c r="Q27" i="1" s="1"/>
  <c r="BV26" i="1"/>
  <c r="CB26" i="1" s="1"/>
  <c r="BM26" i="1"/>
  <c r="BS26" i="1" s="1"/>
  <c r="BD26" i="1"/>
  <c r="BJ26" i="1" s="1"/>
  <c r="AU26" i="1"/>
  <c r="BA26" i="1" s="1"/>
  <c r="AL26" i="1"/>
  <c r="AR26" i="1" s="1"/>
  <c r="AC26" i="1"/>
  <c r="AI26" i="1" s="1"/>
  <c r="T26" i="1"/>
  <c r="Z26" i="1" s="1"/>
  <c r="K26" i="1"/>
  <c r="Q26" i="1" s="1"/>
  <c r="BV25" i="1"/>
  <c r="CB25" i="1" s="1"/>
  <c r="BM25" i="1"/>
  <c r="BS25" i="1" s="1"/>
  <c r="BD25" i="1"/>
  <c r="BJ25" i="1" s="1"/>
  <c r="AU25" i="1"/>
  <c r="BA25" i="1" s="1"/>
  <c r="AL25" i="1"/>
  <c r="AR25" i="1" s="1"/>
  <c r="AC25" i="1"/>
  <c r="AI25" i="1" s="1"/>
  <c r="T25" i="1"/>
  <c r="Z25" i="1" s="1"/>
  <c r="K25" i="1"/>
  <c r="Q25" i="1" s="1"/>
  <c r="BV24" i="1"/>
  <c r="CB24" i="1" s="1"/>
  <c r="BM24" i="1"/>
  <c r="BS24" i="1" s="1"/>
  <c r="BD24" i="1"/>
  <c r="BJ24" i="1" s="1"/>
  <c r="AU24" i="1"/>
  <c r="BA24" i="1" s="1"/>
  <c r="AL24" i="1"/>
  <c r="AR24" i="1" s="1"/>
  <c r="AC24" i="1"/>
  <c r="AI24" i="1" s="1"/>
  <c r="T24" i="1"/>
  <c r="Z24" i="1" s="1"/>
  <c r="K24" i="1"/>
  <c r="Q24" i="1" s="1"/>
  <c r="F17" i="1"/>
  <c r="BV17" i="1" s="1"/>
  <c r="D17" i="1"/>
  <c r="F38" i="2" s="1"/>
  <c r="D16" i="1"/>
  <c r="F16" i="1" s="1"/>
  <c r="I29" i="2" s="1"/>
  <c r="O29" i="2" s="1"/>
  <c r="BV21" i="1"/>
  <c r="CB21" i="1" s="1"/>
  <c r="BM21" i="1"/>
  <c r="BS21" i="1" s="1"/>
  <c r="BD21" i="1"/>
  <c r="BJ21" i="1" s="1"/>
  <c r="AU21" i="1"/>
  <c r="BA21" i="1" s="1"/>
  <c r="AL21" i="1"/>
  <c r="AR21" i="1" s="1"/>
  <c r="AC21" i="1"/>
  <c r="AI21" i="1" s="1"/>
  <c r="T21" i="1"/>
  <c r="Z21" i="1" s="1"/>
  <c r="K21" i="1"/>
  <c r="Q21" i="1" s="1"/>
  <c r="BV19" i="1"/>
  <c r="CB19" i="1" s="1"/>
  <c r="BM19" i="1"/>
  <c r="BS19" i="1" s="1"/>
  <c r="BD19" i="1"/>
  <c r="BJ19" i="1" s="1"/>
  <c r="AU19" i="1"/>
  <c r="BA19" i="1" s="1"/>
  <c r="AL19" i="1"/>
  <c r="AR19" i="1" s="1"/>
  <c r="AC19" i="1"/>
  <c r="AI19" i="1" s="1"/>
  <c r="T19" i="1"/>
  <c r="Z19" i="1" s="1"/>
  <c r="K19" i="1"/>
  <c r="Q19" i="1" s="1"/>
  <c r="BV18" i="1"/>
  <c r="CB18" i="1" s="1"/>
  <c r="BM18" i="1"/>
  <c r="BS18" i="1" s="1"/>
  <c r="BD18" i="1"/>
  <c r="BJ18" i="1" s="1"/>
  <c r="AU18" i="1"/>
  <c r="BA18" i="1" s="1"/>
  <c r="AL18" i="1"/>
  <c r="AR18" i="1" s="1"/>
  <c r="AC18" i="1"/>
  <c r="AI18" i="1" s="1"/>
  <c r="T18" i="1"/>
  <c r="Z18" i="1" s="1"/>
  <c r="K18" i="1"/>
  <c r="Q18" i="1" s="1"/>
  <c r="BZ15" i="1"/>
  <c r="BV15" i="1"/>
  <c r="CB15" i="1" s="1"/>
  <c r="BM15" i="1"/>
  <c r="BS15" i="1" s="1"/>
  <c r="BD15" i="1"/>
  <c r="BJ15" i="1" s="1"/>
  <c r="AU15" i="1"/>
  <c r="BA15" i="1" s="1"/>
  <c r="AP15" i="1"/>
  <c r="AL15" i="1"/>
  <c r="AR15" i="1" s="1"/>
  <c r="AC15" i="1"/>
  <c r="AI15" i="1" s="1"/>
  <c r="T15" i="1"/>
  <c r="Z15" i="1" s="1"/>
  <c r="K15" i="1"/>
  <c r="Q15" i="1" s="1"/>
  <c r="BV12" i="1"/>
  <c r="CB12" i="1" s="1"/>
  <c r="BM12" i="1"/>
  <c r="BQ12" i="1" s="1"/>
  <c r="BD12" i="1"/>
  <c r="BH12" i="1" s="1"/>
  <c r="AU12" i="1"/>
  <c r="AY12" i="1" s="1"/>
  <c r="AL12" i="1"/>
  <c r="AP12" i="1" s="1"/>
  <c r="AC12" i="1"/>
  <c r="AG12" i="1" s="1"/>
  <c r="T12" i="1"/>
  <c r="X12" i="1" s="1"/>
  <c r="K12" i="1"/>
  <c r="O12" i="1" s="1"/>
  <c r="BV11" i="1"/>
  <c r="BZ11" i="1" s="1"/>
  <c r="BM11" i="1"/>
  <c r="BQ11" i="1" s="1"/>
  <c r="BD11" i="1"/>
  <c r="BH11" i="1" s="1"/>
  <c r="AU11" i="1"/>
  <c r="AY11" i="1" s="1"/>
  <c r="AL11" i="1"/>
  <c r="AP11" i="1" s="1"/>
  <c r="AC11" i="1"/>
  <c r="AG11" i="1" s="1"/>
  <c r="T11" i="1"/>
  <c r="X11" i="1" s="1"/>
  <c r="K11" i="1"/>
  <c r="O11" i="1" s="1"/>
  <c r="BV10" i="1"/>
  <c r="BZ10" i="1" s="1"/>
  <c r="BM10" i="1"/>
  <c r="BQ10" i="1" s="1"/>
  <c r="BD10" i="1"/>
  <c r="BH10" i="1" s="1"/>
  <c r="AU10" i="1"/>
  <c r="AY10" i="1" s="1"/>
  <c r="AL10" i="1"/>
  <c r="AP10" i="1" s="1"/>
  <c r="AC10" i="1"/>
  <c r="AG10" i="1" s="1"/>
  <c r="T10" i="1"/>
  <c r="X10" i="1" s="1"/>
  <c r="K10" i="1"/>
  <c r="O10" i="1" s="1"/>
  <c r="BV9" i="1"/>
  <c r="BZ9" i="1" s="1"/>
  <c r="BM9" i="1"/>
  <c r="BQ9" i="1" s="1"/>
  <c r="BD9" i="1"/>
  <c r="BH9" i="1" s="1"/>
  <c r="AU9" i="1"/>
  <c r="AY9" i="1" s="1"/>
  <c r="AL9" i="1"/>
  <c r="AP9" i="1" s="1"/>
  <c r="AC9" i="1"/>
  <c r="AG9" i="1" s="1"/>
  <c r="T9" i="1"/>
  <c r="X9" i="1" s="1"/>
  <c r="K9" i="1"/>
  <c r="O9" i="1" s="1"/>
  <c r="BV8" i="1"/>
  <c r="BZ8" i="1" s="1"/>
  <c r="BM8" i="1"/>
  <c r="BQ8" i="1" s="1"/>
  <c r="BD8" i="1"/>
  <c r="BH8" i="1" s="1"/>
  <c r="AU8" i="1"/>
  <c r="AY8" i="1" s="1"/>
  <c r="AL8" i="1"/>
  <c r="AP8" i="1" s="1"/>
  <c r="AC8" i="1"/>
  <c r="AG8" i="1" s="1"/>
  <c r="T8" i="1"/>
  <c r="X8" i="1" s="1"/>
  <c r="K8" i="1"/>
  <c r="O8" i="1" s="1"/>
  <c r="BV7" i="1"/>
  <c r="BZ7" i="1" s="1"/>
  <c r="BM7" i="1"/>
  <c r="BQ7" i="1" s="1"/>
  <c r="BD7" i="1"/>
  <c r="BH7" i="1" s="1"/>
  <c r="AU7" i="1"/>
  <c r="AY7" i="1" s="1"/>
  <c r="AL7" i="1"/>
  <c r="AP7" i="1" s="1"/>
  <c r="AC7" i="1"/>
  <c r="AG7" i="1" s="1"/>
  <c r="T7" i="1"/>
  <c r="X7" i="1" s="1"/>
  <c r="K7" i="1"/>
  <c r="O7" i="1" s="1"/>
  <c r="BV6" i="1"/>
  <c r="BZ6" i="1" s="1"/>
  <c r="BM6" i="1"/>
  <c r="BQ6" i="1" s="1"/>
  <c r="BD6" i="1"/>
  <c r="BH6" i="1" s="1"/>
  <c r="AU6" i="1"/>
  <c r="AY6" i="1" s="1"/>
  <c r="AL6" i="1"/>
  <c r="AP6" i="1" s="1"/>
  <c r="AC6" i="1"/>
  <c r="AG6" i="1" s="1"/>
  <c r="T6" i="1"/>
  <c r="X6" i="1" s="1"/>
  <c r="K6" i="1"/>
  <c r="O6" i="1" s="1"/>
  <c r="BV5" i="1"/>
  <c r="BZ5" i="1" s="1"/>
  <c r="BM5" i="1"/>
  <c r="BQ5" i="1" s="1"/>
  <c r="BD5" i="1"/>
  <c r="BH5" i="1" s="1"/>
  <c r="AU5" i="1"/>
  <c r="AY5" i="1" s="1"/>
  <c r="AL5" i="1"/>
  <c r="AP5" i="1" s="1"/>
  <c r="AC5" i="1"/>
  <c r="AG5" i="1" s="1"/>
  <c r="T5" i="1"/>
  <c r="X5" i="1" s="1"/>
  <c r="K5" i="1"/>
  <c r="O5" i="1" s="1"/>
  <c r="CC27" i="4"/>
  <c r="CA27" i="4"/>
  <c r="CD27" i="4" s="1"/>
  <c r="I27" i="4"/>
  <c r="CB27" i="4" s="1"/>
  <c r="BR26" i="4"/>
  <c r="BI26" i="4"/>
  <c r="AZ26" i="4"/>
  <c r="AQ26" i="4"/>
  <c r="AH26" i="4"/>
  <c r="Y26" i="4"/>
  <c r="P26" i="4"/>
  <c r="G26" i="4"/>
  <c r="F26" i="4"/>
  <c r="CA26" i="4" s="1"/>
  <c r="CA25" i="4"/>
  <c r="BT25" i="4"/>
  <c r="BV25" i="4" s="1"/>
  <c r="BK25" i="4"/>
  <c r="BM25" i="4" s="1"/>
  <c r="BB25" i="4"/>
  <c r="BD25" i="4" s="1"/>
  <c r="AS25" i="4"/>
  <c r="AU25" i="4" s="1"/>
  <c r="AJ25" i="4"/>
  <c r="AL25" i="4" s="1"/>
  <c r="AA25" i="4"/>
  <c r="AC25" i="4" s="1"/>
  <c r="R25" i="4"/>
  <c r="T25" i="4" s="1"/>
  <c r="I25" i="4"/>
  <c r="CB25" i="4" s="1"/>
  <c r="CA24" i="4"/>
  <c r="BT24" i="4"/>
  <c r="BV24" i="4" s="1"/>
  <c r="BK24" i="4"/>
  <c r="BM24" i="4" s="1"/>
  <c r="BB24" i="4"/>
  <c r="BD24" i="4" s="1"/>
  <c r="AS24" i="4"/>
  <c r="AU24" i="4" s="1"/>
  <c r="AJ24" i="4"/>
  <c r="AL24" i="4" s="1"/>
  <c r="AA24" i="4"/>
  <c r="AC24" i="4" s="1"/>
  <c r="R24" i="4"/>
  <c r="T24" i="4" s="1"/>
  <c r="I24" i="4"/>
  <c r="CB24" i="4" s="1"/>
  <c r="CA23" i="4"/>
  <c r="BX23" i="4"/>
  <c r="BT23" i="4"/>
  <c r="BV23" i="4" s="1"/>
  <c r="BO23" i="4"/>
  <c r="BK23" i="4"/>
  <c r="BF23" i="4"/>
  <c r="BB23" i="4"/>
  <c r="AW23" i="4"/>
  <c r="AS23" i="4"/>
  <c r="AN23" i="4"/>
  <c r="AJ23" i="4"/>
  <c r="AE23" i="4"/>
  <c r="AA23" i="4"/>
  <c r="V23" i="4"/>
  <c r="R23" i="4"/>
  <c r="M23" i="4"/>
  <c r="I23" i="4"/>
  <c r="CA22" i="4"/>
  <c r="BX22" i="4"/>
  <c r="BT22" i="4"/>
  <c r="BO22" i="4"/>
  <c r="BK22" i="4"/>
  <c r="BF22" i="4"/>
  <c r="BB22" i="4"/>
  <c r="AW22" i="4"/>
  <c r="AS22" i="4"/>
  <c r="AN22" i="4"/>
  <c r="AJ22" i="4"/>
  <c r="AE22" i="4"/>
  <c r="AA22" i="4"/>
  <c r="V22" i="4"/>
  <c r="R22" i="4"/>
  <c r="M22" i="4"/>
  <c r="I22" i="4"/>
  <c r="CA21" i="4"/>
  <c r="BX21" i="4"/>
  <c r="BT21" i="4"/>
  <c r="BO21" i="4"/>
  <c r="BK21" i="4"/>
  <c r="BF21" i="4"/>
  <c r="BB21" i="4"/>
  <c r="AW21" i="4"/>
  <c r="AS21" i="4"/>
  <c r="AJ21" i="4"/>
  <c r="AP21" i="4" s="1"/>
  <c r="AC21" i="4"/>
  <c r="AA21" i="4"/>
  <c r="AG21" i="4" s="1"/>
  <c r="V21" i="4"/>
  <c r="R21" i="4"/>
  <c r="X21" i="4" s="1"/>
  <c r="M21" i="4"/>
  <c r="K21" i="4"/>
  <c r="I21" i="4"/>
  <c r="CA20" i="4"/>
  <c r="BV20" i="4"/>
  <c r="BT20" i="4"/>
  <c r="BZ20" i="4" s="1"/>
  <c r="BO20" i="4"/>
  <c r="BK20" i="4"/>
  <c r="BQ20" i="4" s="1"/>
  <c r="BF20" i="4"/>
  <c r="BD20" i="4"/>
  <c r="BB20" i="4"/>
  <c r="BH20" i="4" s="1"/>
  <c r="AS20" i="4"/>
  <c r="AY20" i="4" s="1"/>
  <c r="AL20" i="4"/>
  <c r="AJ20" i="4"/>
  <c r="AP20" i="4" s="1"/>
  <c r="AE20" i="4"/>
  <c r="AA20" i="4"/>
  <c r="AG20" i="4" s="1"/>
  <c r="V20" i="4"/>
  <c r="T20" i="4"/>
  <c r="R20" i="4"/>
  <c r="X20" i="4" s="1"/>
  <c r="I20" i="4"/>
  <c r="O20" i="4" s="1"/>
  <c r="CA19" i="4"/>
  <c r="BX19" i="4"/>
  <c r="BT19" i="4"/>
  <c r="BZ19" i="4" s="1"/>
  <c r="BO19" i="4"/>
  <c r="BM19" i="4"/>
  <c r="BK19" i="4"/>
  <c r="BQ19" i="4" s="1"/>
  <c r="BB19" i="4"/>
  <c r="BH19" i="4" s="1"/>
  <c r="AU19" i="4"/>
  <c r="AS19" i="4"/>
  <c r="AY19" i="4" s="1"/>
  <c r="AN19" i="4"/>
  <c r="AJ19" i="4"/>
  <c r="AP19" i="4" s="1"/>
  <c r="AE19" i="4"/>
  <c r="AC19" i="4"/>
  <c r="AA19" i="4"/>
  <c r="AG19" i="4" s="1"/>
  <c r="R19" i="4"/>
  <c r="X19" i="4" s="1"/>
  <c r="K19" i="4"/>
  <c r="I19" i="4"/>
  <c r="O19" i="4" s="1"/>
  <c r="CA18" i="4"/>
  <c r="BX18" i="4"/>
  <c r="BV18" i="4"/>
  <c r="BT18" i="4"/>
  <c r="BZ18" i="4" s="1"/>
  <c r="BK18" i="4"/>
  <c r="BQ18" i="4" s="1"/>
  <c r="BD18" i="4"/>
  <c r="BB18" i="4"/>
  <c r="BH18" i="4" s="1"/>
  <c r="AW18" i="4"/>
  <c r="AS18" i="4"/>
  <c r="AY18" i="4" s="1"/>
  <c r="AN18" i="4"/>
  <c r="AL18" i="4"/>
  <c r="AJ18" i="4"/>
  <c r="AP18" i="4" s="1"/>
  <c r="AA18" i="4"/>
  <c r="AG18" i="4" s="1"/>
  <c r="T18" i="4"/>
  <c r="R18" i="4"/>
  <c r="X18" i="4" s="1"/>
  <c r="M18" i="4"/>
  <c r="I18" i="4"/>
  <c r="O18" i="4" s="1"/>
  <c r="CA17" i="4"/>
  <c r="BT17" i="4"/>
  <c r="BZ17" i="4" s="1"/>
  <c r="BM17" i="4"/>
  <c r="BK17" i="4"/>
  <c r="BQ17" i="4" s="1"/>
  <c r="BH17" i="4"/>
  <c r="BD17" i="4"/>
  <c r="BB17" i="4"/>
  <c r="BF17" i="4" s="1"/>
  <c r="AY17" i="4"/>
  <c r="AU17" i="4"/>
  <c r="AS17" i="4"/>
  <c r="AW17" i="4" s="1"/>
  <c r="AP17" i="4"/>
  <c r="AL17" i="4"/>
  <c r="AJ17" i="4"/>
  <c r="AN17" i="4" s="1"/>
  <c r="AG17" i="4"/>
  <c r="AC17" i="4"/>
  <c r="AA17" i="4"/>
  <c r="AE17" i="4" s="1"/>
  <c r="X17" i="4"/>
  <c r="T17" i="4"/>
  <c r="R17" i="4"/>
  <c r="V17" i="4" s="1"/>
  <c r="O17" i="4"/>
  <c r="K17" i="4"/>
  <c r="I17" i="4"/>
  <c r="M17" i="4" s="1"/>
  <c r="CB16" i="4"/>
  <c r="CA16" i="4"/>
  <c r="BZ16" i="4"/>
  <c r="BV16" i="4"/>
  <c r="BT16" i="4"/>
  <c r="BX16" i="4" s="1"/>
  <c r="BQ16" i="4"/>
  <c r="BM16" i="4"/>
  <c r="BK16" i="4"/>
  <c r="BO16" i="4" s="1"/>
  <c r="BH16" i="4"/>
  <c r="BD16" i="4"/>
  <c r="BB16" i="4"/>
  <c r="BF16" i="4" s="1"/>
  <c r="AY16" i="4"/>
  <c r="AU16" i="4"/>
  <c r="AS16" i="4"/>
  <c r="AW16" i="4" s="1"/>
  <c r="AP16" i="4"/>
  <c r="AL16" i="4"/>
  <c r="AJ16" i="4"/>
  <c r="AN16" i="4" s="1"/>
  <c r="AG16" i="4"/>
  <c r="AC16" i="4"/>
  <c r="AA16" i="4"/>
  <c r="AE16" i="4" s="1"/>
  <c r="X16" i="4"/>
  <c r="T16" i="4"/>
  <c r="R16" i="4"/>
  <c r="V16" i="4" s="1"/>
  <c r="O16" i="4"/>
  <c r="K16" i="4"/>
  <c r="I16" i="4"/>
  <c r="M16" i="4" s="1"/>
  <c r="CB15" i="4"/>
  <c r="CA15" i="4"/>
  <c r="BZ15" i="4"/>
  <c r="BV15" i="4"/>
  <c r="BT15" i="4"/>
  <c r="BX15" i="4" s="1"/>
  <c r="BQ15" i="4"/>
  <c r="BM15" i="4"/>
  <c r="BK15" i="4"/>
  <c r="BO15" i="4" s="1"/>
  <c r="BH15" i="4"/>
  <c r="BD15" i="4"/>
  <c r="BB15" i="4"/>
  <c r="BF15" i="4" s="1"/>
  <c r="AY15" i="4"/>
  <c r="AU15" i="4"/>
  <c r="AS15" i="4"/>
  <c r="AW15" i="4" s="1"/>
  <c r="AP15" i="4"/>
  <c r="AL15" i="4"/>
  <c r="AJ15" i="4"/>
  <c r="AN15" i="4" s="1"/>
  <c r="AG15" i="4"/>
  <c r="AC15" i="4"/>
  <c r="AA15" i="4"/>
  <c r="AE15" i="4" s="1"/>
  <c r="X15" i="4"/>
  <c r="T15" i="4"/>
  <c r="R15" i="4"/>
  <c r="V15" i="4" s="1"/>
  <c r="O15" i="4"/>
  <c r="K15" i="4"/>
  <c r="I15" i="4"/>
  <c r="M15" i="4" s="1"/>
  <c r="CB14" i="4"/>
  <c r="CA14" i="4"/>
  <c r="BZ14" i="4"/>
  <c r="BV14" i="4"/>
  <c r="BT14" i="4"/>
  <c r="BX14" i="4" s="1"/>
  <c r="BQ14" i="4"/>
  <c r="BM14" i="4"/>
  <c r="BK14" i="4"/>
  <c r="BO14" i="4" s="1"/>
  <c r="BH14" i="4"/>
  <c r="BD14" i="4"/>
  <c r="BB14" i="4"/>
  <c r="BF14" i="4" s="1"/>
  <c r="AY14" i="4"/>
  <c r="AU14" i="4"/>
  <c r="AS14" i="4"/>
  <c r="AW14" i="4" s="1"/>
  <c r="AP14" i="4"/>
  <c r="AL14" i="4"/>
  <c r="AJ14" i="4"/>
  <c r="AN14" i="4" s="1"/>
  <c r="AG14" i="4"/>
  <c r="AC14" i="4"/>
  <c r="AA14" i="4"/>
  <c r="AE14" i="4" s="1"/>
  <c r="X14" i="4"/>
  <c r="T14" i="4"/>
  <c r="R14" i="4"/>
  <c r="V14" i="4" s="1"/>
  <c r="O14" i="4"/>
  <c r="K14" i="4"/>
  <c r="I14" i="4"/>
  <c r="M14" i="4" s="1"/>
  <c r="CB13" i="4"/>
  <c r="CA13" i="4"/>
  <c r="BZ13" i="4"/>
  <c r="BV13" i="4"/>
  <c r="BT13" i="4"/>
  <c r="BX13" i="4" s="1"/>
  <c r="BQ13" i="4"/>
  <c r="BM13" i="4"/>
  <c r="BK13" i="4"/>
  <c r="BO13" i="4" s="1"/>
  <c r="BH13" i="4"/>
  <c r="BD13" i="4"/>
  <c r="BB13" i="4"/>
  <c r="BF13" i="4" s="1"/>
  <c r="AY13" i="4"/>
  <c r="AU13" i="4"/>
  <c r="AS13" i="4"/>
  <c r="AW13" i="4" s="1"/>
  <c r="AP13" i="4"/>
  <c r="AL13" i="4"/>
  <c r="AJ13" i="4"/>
  <c r="AN13" i="4" s="1"/>
  <c r="AG13" i="4"/>
  <c r="AC13" i="4"/>
  <c r="AA13" i="4"/>
  <c r="AE13" i="4" s="1"/>
  <c r="X13" i="4"/>
  <c r="T13" i="4"/>
  <c r="R13" i="4"/>
  <c r="V13" i="4" s="1"/>
  <c r="O13" i="4"/>
  <c r="K13" i="4"/>
  <c r="I13" i="4"/>
  <c r="M13" i="4" s="1"/>
  <c r="CB12" i="4"/>
  <c r="CA12" i="4"/>
  <c r="BZ12" i="4"/>
  <c r="BV12" i="4"/>
  <c r="BT12" i="4"/>
  <c r="BX12" i="4" s="1"/>
  <c r="BQ12" i="4"/>
  <c r="BM12" i="4"/>
  <c r="BK12" i="4"/>
  <c r="BO12" i="4" s="1"/>
  <c r="BH12" i="4"/>
  <c r="BD12" i="4"/>
  <c r="BB12" i="4"/>
  <c r="BF12" i="4" s="1"/>
  <c r="AY12" i="4"/>
  <c r="AU12" i="4"/>
  <c r="AS12" i="4"/>
  <c r="AW12" i="4" s="1"/>
  <c r="AP12" i="4"/>
  <c r="AL12" i="4"/>
  <c r="AJ12" i="4"/>
  <c r="AN12" i="4" s="1"/>
  <c r="AG12" i="4"/>
  <c r="AC12" i="4"/>
  <c r="AA12" i="4"/>
  <c r="AE12" i="4" s="1"/>
  <c r="X12" i="4"/>
  <c r="T12" i="4"/>
  <c r="R12" i="4"/>
  <c r="V12" i="4" s="1"/>
  <c r="O12" i="4"/>
  <c r="K12" i="4"/>
  <c r="I12" i="4"/>
  <c r="M12" i="4" s="1"/>
  <c r="CB11" i="4"/>
  <c r="CA11" i="4"/>
  <c r="BZ11" i="4"/>
  <c r="BV11" i="4"/>
  <c r="BT11" i="4"/>
  <c r="BX11" i="4" s="1"/>
  <c r="BQ11" i="4"/>
  <c r="BM11" i="4"/>
  <c r="BK11" i="4"/>
  <c r="BO11" i="4" s="1"/>
  <c r="BH11" i="4"/>
  <c r="BD11" i="4"/>
  <c r="BB11" i="4"/>
  <c r="BF11" i="4" s="1"/>
  <c r="AY11" i="4"/>
  <c r="AU11" i="4"/>
  <c r="AS11" i="4"/>
  <c r="AW11" i="4" s="1"/>
  <c r="AP11" i="4"/>
  <c r="AL11" i="4"/>
  <c r="AJ11" i="4"/>
  <c r="AN11" i="4" s="1"/>
  <c r="AG11" i="4"/>
  <c r="AC11" i="4"/>
  <c r="AA11" i="4"/>
  <c r="AE11" i="4" s="1"/>
  <c r="X11" i="4"/>
  <c r="T11" i="4"/>
  <c r="R11" i="4"/>
  <c r="V11" i="4" s="1"/>
  <c r="O11" i="4"/>
  <c r="K11" i="4"/>
  <c r="I11" i="4"/>
  <c r="M11" i="4" s="1"/>
  <c r="CB10" i="4"/>
  <c r="CA10" i="4"/>
  <c r="BZ10" i="4"/>
  <c r="BV10" i="4"/>
  <c r="BT10" i="4"/>
  <c r="BX10" i="4" s="1"/>
  <c r="BQ10" i="4"/>
  <c r="BM10" i="4"/>
  <c r="BK10" i="4"/>
  <c r="BO10" i="4" s="1"/>
  <c r="BH10" i="4"/>
  <c r="BD10" i="4"/>
  <c r="BB10" i="4"/>
  <c r="BF10" i="4" s="1"/>
  <c r="AY10" i="4"/>
  <c r="AU10" i="4"/>
  <c r="AS10" i="4"/>
  <c r="AW10" i="4" s="1"/>
  <c r="AP10" i="4"/>
  <c r="AL10" i="4"/>
  <c r="AJ10" i="4"/>
  <c r="AN10" i="4" s="1"/>
  <c r="AG10" i="4"/>
  <c r="AC10" i="4"/>
  <c r="AA10" i="4"/>
  <c r="AE10" i="4" s="1"/>
  <c r="X10" i="4"/>
  <c r="T10" i="4"/>
  <c r="R10" i="4"/>
  <c r="V10" i="4" s="1"/>
  <c r="O10" i="4"/>
  <c r="K10" i="4"/>
  <c r="I10" i="4"/>
  <c r="M10" i="4" s="1"/>
  <c r="CB9" i="4"/>
  <c r="CA9" i="4"/>
  <c r="BZ9" i="4"/>
  <c r="BV9" i="4"/>
  <c r="BT9" i="4"/>
  <c r="BX9" i="4" s="1"/>
  <c r="BQ9" i="4"/>
  <c r="BM9" i="4"/>
  <c r="BK9" i="4"/>
  <c r="BO9" i="4" s="1"/>
  <c r="BH9" i="4"/>
  <c r="BD9" i="4"/>
  <c r="BB9" i="4"/>
  <c r="BF9" i="4" s="1"/>
  <c r="AY9" i="4"/>
  <c r="AU9" i="4"/>
  <c r="AS9" i="4"/>
  <c r="AW9" i="4" s="1"/>
  <c r="AP9" i="4"/>
  <c r="AL9" i="4"/>
  <c r="AJ9" i="4"/>
  <c r="AN9" i="4" s="1"/>
  <c r="AG9" i="4"/>
  <c r="AC9" i="4"/>
  <c r="AA9" i="4"/>
  <c r="AE9" i="4" s="1"/>
  <c r="X9" i="4"/>
  <c r="T9" i="4"/>
  <c r="R9" i="4"/>
  <c r="V9" i="4" s="1"/>
  <c r="O9" i="4"/>
  <c r="K9" i="4"/>
  <c r="I9" i="4"/>
  <c r="M9" i="4" s="1"/>
  <c r="CB8" i="4"/>
  <c r="CA8" i="4"/>
  <c r="BZ8" i="4"/>
  <c r="CC8" i="4" s="1"/>
  <c r="CD8" i="4" s="1"/>
  <c r="BV8" i="4"/>
  <c r="BT8" i="4"/>
  <c r="BX8" i="4" s="1"/>
  <c r="BQ8" i="4"/>
  <c r="BM8" i="4"/>
  <c r="BK8" i="4"/>
  <c r="BO8" i="4" s="1"/>
  <c r="BH8" i="4"/>
  <c r="BD8" i="4"/>
  <c r="BB8" i="4"/>
  <c r="BF8" i="4" s="1"/>
  <c r="AY8" i="4"/>
  <c r="AU8" i="4"/>
  <c r="AS8" i="4"/>
  <c r="AW8" i="4" s="1"/>
  <c r="AP8" i="4"/>
  <c r="AL8" i="4"/>
  <c r="AJ8" i="4"/>
  <c r="AN8" i="4" s="1"/>
  <c r="AG8" i="4"/>
  <c r="AC8" i="4"/>
  <c r="AA8" i="4"/>
  <c r="AE8" i="4" s="1"/>
  <c r="X8" i="4"/>
  <c r="T8" i="4"/>
  <c r="R8" i="4"/>
  <c r="V8" i="4" s="1"/>
  <c r="O8" i="4"/>
  <c r="K8" i="4"/>
  <c r="I8" i="4"/>
  <c r="M8" i="4" s="1"/>
  <c r="CB7" i="4"/>
  <c r="CA7" i="4"/>
  <c r="BZ7" i="4"/>
  <c r="BV7" i="4"/>
  <c r="BT7" i="4"/>
  <c r="BX7" i="4" s="1"/>
  <c r="BQ7" i="4"/>
  <c r="BM7" i="4"/>
  <c r="BK7" i="4"/>
  <c r="BO7" i="4" s="1"/>
  <c r="BH7" i="4"/>
  <c r="BD7" i="4"/>
  <c r="BB7" i="4"/>
  <c r="BF7" i="4" s="1"/>
  <c r="AY7" i="4"/>
  <c r="AU7" i="4"/>
  <c r="AS7" i="4"/>
  <c r="AW7" i="4" s="1"/>
  <c r="AP7" i="4"/>
  <c r="AL7" i="4"/>
  <c r="AJ7" i="4"/>
  <c r="AN7" i="4" s="1"/>
  <c r="AG7" i="4"/>
  <c r="AC7" i="4"/>
  <c r="AA7" i="4"/>
  <c r="AE7" i="4" s="1"/>
  <c r="X7" i="4"/>
  <c r="T7" i="4"/>
  <c r="R7" i="4"/>
  <c r="V7" i="4" s="1"/>
  <c r="O7" i="4"/>
  <c r="K7" i="4"/>
  <c r="I7" i="4"/>
  <c r="M7" i="4" s="1"/>
  <c r="CB6" i="4"/>
  <c r="CA6" i="4"/>
  <c r="BZ6" i="4"/>
  <c r="CC6" i="4" s="1"/>
  <c r="CD6" i="4" s="1"/>
  <c r="BV6" i="4"/>
  <c r="BT6" i="4"/>
  <c r="BX6" i="4" s="1"/>
  <c r="BQ6" i="4"/>
  <c r="BM6" i="4"/>
  <c r="BK6" i="4"/>
  <c r="BO6" i="4" s="1"/>
  <c r="BH6" i="4"/>
  <c r="BD6" i="4"/>
  <c r="BB6" i="4"/>
  <c r="BF6" i="4" s="1"/>
  <c r="AY6" i="4"/>
  <c r="AU6" i="4"/>
  <c r="AS6" i="4"/>
  <c r="AW6" i="4" s="1"/>
  <c r="AP6" i="4"/>
  <c r="AL6" i="4"/>
  <c r="AJ6" i="4"/>
  <c r="AN6" i="4" s="1"/>
  <c r="AG6" i="4"/>
  <c r="AC6" i="4"/>
  <c r="AA6" i="4"/>
  <c r="AE6" i="4" s="1"/>
  <c r="X6" i="4"/>
  <c r="T6" i="4"/>
  <c r="R6" i="4"/>
  <c r="V6" i="4" s="1"/>
  <c r="O6" i="4"/>
  <c r="K6" i="4"/>
  <c r="I6" i="4"/>
  <c r="M6" i="4" s="1"/>
  <c r="CB5" i="4"/>
  <c r="CA5" i="4"/>
  <c r="BZ5" i="4"/>
  <c r="BV5" i="4"/>
  <c r="BT5" i="4"/>
  <c r="BX5" i="4" s="1"/>
  <c r="BQ5" i="4"/>
  <c r="BM5" i="4"/>
  <c r="BK5" i="4"/>
  <c r="BO5" i="4" s="1"/>
  <c r="BH5" i="4"/>
  <c r="BD5" i="4"/>
  <c r="BB5" i="4"/>
  <c r="BF5" i="4" s="1"/>
  <c r="AY5" i="4"/>
  <c r="AU5" i="4"/>
  <c r="AS5" i="4"/>
  <c r="AW5" i="4" s="1"/>
  <c r="AP5" i="4"/>
  <c r="AL5" i="4"/>
  <c r="AJ5" i="4"/>
  <c r="AN5" i="4" s="1"/>
  <c r="AG5" i="4"/>
  <c r="AC5" i="4"/>
  <c r="AA5" i="4"/>
  <c r="AE5" i="4" s="1"/>
  <c r="X5" i="4"/>
  <c r="T5" i="4"/>
  <c r="R5" i="4"/>
  <c r="V5" i="4" s="1"/>
  <c r="O5" i="4"/>
  <c r="K5" i="4"/>
  <c r="I5" i="4"/>
  <c r="M5" i="4" s="1"/>
  <c r="CB4" i="4"/>
  <c r="CA4" i="4"/>
  <c r="BZ4" i="4"/>
  <c r="BV4" i="4"/>
  <c r="BT4" i="4"/>
  <c r="BT26" i="4" s="1"/>
  <c r="BQ4" i="4"/>
  <c r="BM4" i="4"/>
  <c r="BK4" i="4"/>
  <c r="BK26" i="4" s="1"/>
  <c r="BH4" i="4"/>
  <c r="BD4" i="4"/>
  <c r="BB4" i="4"/>
  <c r="BB26" i="4" s="1"/>
  <c r="AY4" i="4"/>
  <c r="AU4" i="4"/>
  <c r="AS4" i="4"/>
  <c r="AS26" i="4" s="1"/>
  <c r="AP4" i="4"/>
  <c r="AL4" i="4"/>
  <c r="AJ4" i="4"/>
  <c r="AJ26" i="4" s="1"/>
  <c r="AG4" i="4"/>
  <c r="AC4" i="4"/>
  <c r="AA4" i="4"/>
  <c r="AA26" i="4" s="1"/>
  <c r="X4" i="4"/>
  <c r="T4" i="4"/>
  <c r="R4" i="4"/>
  <c r="R26" i="4" s="1"/>
  <c r="O4" i="4"/>
  <c r="K4" i="4"/>
  <c r="I4" i="4"/>
  <c r="I26" i="4" s="1"/>
  <c r="CB26" i="4" s="1"/>
  <c r="V15" i="1" l="1"/>
  <c r="BF15" i="1"/>
  <c r="M18" i="1"/>
  <c r="AE18" i="1"/>
  <c r="AW18" i="1"/>
  <c r="BO18" i="1"/>
  <c r="M19" i="1"/>
  <c r="AE19" i="1"/>
  <c r="AW19" i="1"/>
  <c r="BO19" i="1"/>
  <c r="M21" i="1"/>
  <c r="AE21" i="1"/>
  <c r="AW21" i="1"/>
  <c r="BO21" i="1"/>
  <c r="F18" i="2"/>
  <c r="F20" i="2"/>
  <c r="F22" i="2"/>
  <c r="F24" i="2"/>
  <c r="F26" i="2"/>
  <c r="W26" i="2" s="1"/>
  <c r="F28" i="2"/>
  <c r="F30" i="2"/>
  <c r="F34" i="2"/>
  <c r="I18" i="2"/>
  <c r="O18" i="2" s="1"/>
  <c r="I20" i="2"/>
  <c r="O20" i="2" s="1"/>
  <c r="I22" i="2"/>
  <c r="O22" i="2" s="1"/>
  <c r="I24" i="2"/>
  <c r="O24" i="2" s="1"/>
  <c r="I26" i="2"/>
  <c r="O26" i="2" s="1"/>
  <c r="I28" i="2"/>
  <c r="O28" i="2" s="1"/>
  <c r="AE15" i="1"/>
  <c r="BO15" i="1"/>
  <c r="AU17" i="1"/>
  <c r="BA17" i="1" s="1"/>
  <c r="V18" i="1"/>
  <c r="AN18" i="1"/>
  <c r="BF18" i="1"/>
  <c r="BX18" i="1"/>
  <c r="V19" i="1"/>
  <c r="AN19" i="1"/>
  <c r="BF19" i="1"/>
  <c r="BX19" i="1"/>
  <c r="V21" i="1"/>
  <c r="AN21" i="1"/>
  <c r="BF21" i="1"/>
  <c r="BX21" i="1"/>
  <c r="F19" i="2"/>
  <c r="F21" i="2"/>
  <c r="F23" i="2"/>
  <c r="F25" i="2"/>
  <c r="F27" i="2"/>
  <c r="F29" i="2"/>
  <c r="AG15" i="1"/>
  <c r="BQ15" i="1"/>
  <c r="I19" i="2"/>
  <c r="O19" i="2" s="1"/>
  <c r="I21" i="2"/>
  <c r="O21" i="2" s="1"/>
  <c r="I23" i="2"/>
  <c r="O23" i="2" s="1"/>
  <c r="I25" i="2"/>
  <c r="O25" i="2" s="1"/>
  <c r="I27" i="2"/>
  <c r="O27" i="2" s="1"/>
  <c r="K17" i="1"/>
  <c r="Q17" i="1" s="1"/>
  <c r="I35" i="2"/>
  <c r="O35" i="2" s="1"/>
  <c r="I33" i="2"/>
  <c r="O33" i="2" s="1"/>
  <c r="I31" i="2"/>
  <c r="O31" i="2" s="1"/>
  <c r="I37" i="2"/>
  <c r="O37" i="2" s="1"/>
  <c r="I30" i="2"/>
  <c r="O30" i="2" s="1"/>
  <c r="I32" i="2"/>
  <c r="O32" i="2" s="1"/>
  <c r="I34" i="2"/>
  <c r="O34" i="2" s="1"/>
  <c r="I36" i="2"/>
  <c r="O36" i="2" s="1"/>
  <c r="I38" i="2"/>
  <c r="O38" i="2" s="1"/>
  <c r="W27" i="2"/>
  <c r="W16" i="2"/>
  <c r="W29" i="2"/>
  <c r="W36" i="2"/>
  <c r="W38" i="2"/>
  <c r="W59" i="2"/>
  <c r="W28" i="2"/>
  <c r="W37" i="2"/>
  <c r="W17" i="2"/>
  <c r="BV16" i="1"/>
  <c r="BZ16" i="1" s="1"/>
  <c r="T16" i="1"/>
  <c r="Z16" i="1" s="1"/>
  <c r="BM16" i="1"/>
  <c r="BS16" i="1" s="1"/>
  <c r="AL16" i="1"/>
  <c r="BD16" i="1"/>
  <c r="BJ16" i="1" s="1"/>
  <c r="AC16" i="1"/>
  <c r="AI16" i="1" s="1"/>
  <c r="M15" i="1"/>
  <c r="X15" i="1"/>
  <c r="AW15" i="1"/>
  <c r="BH15" i="1"/>
  <c r="T17" i="1"/>
  <c r="Z17" i="1" s="1"/>
  <c r="BD17" i="1"/>
  <c r="BJ17" i="1" s="1"/>
  <c r="O18" i="1"/>
  <c r="X18" i="1"/>
  <c r="AG18" i="1"/>
  <c r="AP18" i="1"/>
  <c r="AY18" i="1"/>
  <c r="BH18" i="1"/>
  <c r="BQ18" i="1"/>
  <c r="BZ18" i="1"/>
  <c r="O19" i="1"/>
  <c r="X19" i="1"/>
  <c r="AG19" i="1"/>
  <c r="AP19" i="1"/>
  <c r="AY19" i="1"/>
  <c r="BH19" i="1"/>
  <c r="BQ19" i="1"/>
  <c r="BZ19" i="1"/>
  <c r="O21" i="1"/>
  <c r="X21" i="1"/>
  <c r="AG21" i="1"/>
  <c r="AP21" i="1"/>
  <c r="AY21" i="1"/>
  <c r="BH21" i="1"/>
  <c r="BQ21" i="1"/>
  <c r="BZ21" i="1"/>
  <c r="M24" i="1"/>
  <c r="V24" i="1"/>
  <c r="AE24" i="1"/>
  <c r="AN24" i="1"/>
  <c r="AW24" i="1"/>
  <c r="BF24" i="1"/>
  <c r="BO24" i="1"/>
  <c r="BX24" i="1"/>
  <c r="M25" i="1"/>
  <c r="V25" i="1"/>
  <c r="AE25" i="1"/>
  <c r="AN25" i="1"/>
  <c r="AW25" i="1"/>
  <c r="BF25" i="1"/>
  <c r="BO25" i="1"/>
  <c r="BX25" i="1"/>
  <c r="M26" i="1"/>
  <c r="V26" i="1"/>
  <c r="AE26" i="1"/>
  <c r="AN26" i="1"/>
  <c r="AW26" i="1"/>
  <c r="BF26" i="1"/>
  <c r="BO26" i="1"/>
  <c r="BX26" i="1"/>
  <c r="M27" i="1"/>
  <c r="V27" i="1"/>
  <c r="AE27" i="1"/>
  <c r="AN27" i="1"/>
  <c r="AW27" i="1"/>
  <c r="BF27" i="1"/>
  <c r="BO27" i="1"/>
  <c r="BX27" i="1"/>
  <c r="O15" i="1"/>
  <c r="AN15" i="1"/>
  <c r="AY15" i="1"/>
  <c r="BX15" i="1"/>
  <c r="AC17" i="1"/>
  <c r="AI17" i="1" s="1"/>
  <c r="BM17" i="1"/>
  <c r="BS17" i="1" s="1"/>
  <c r="O24" i="1"/>
  <c r="X24" i="1"/>
  <c r="AG24" i="1"/>
  <c r="AP24" i="1"/>
  <c r="AY24" i="1"/>
  <c r="BH24" i="1"/>
  <c r="BQ24" i="1"/>
  <c r="BZ24" i="1"/>
  <c r="O25" i="1"/>
  <c r="X25" i="1"/>
  <c r="AG25" i="1"/>
  <c r="AP25" i="1"/>
  <c r="AY25" i="1"/>
  <c r="BH25" i="1"/>
  <c r="BQ25" i="1"/>
  <c r="BZ25" i="1"/>
  <c r="O26" i="1"/>
  <c r="X26" i="1"/>
  <c r="AG26" i="1"/>
  <c r="AP26" i="1"/>
  <c r="AY26" i="1"/>
  <c r="BH26" i="1"/>
  <c r="BQ26" i="1"/>
  <c r="BZ26" i="1"/>
  <c r="O27" i="1"/>
  <c r="X27" i="1"/>
  <c r="AG27" i="1"/>
  <c r="AP27" i="1"/>
  <c r="AY27" i="1"/>
  <c r="BH27" i="1"/>
  <c r="BQ27" i="1"/>
  <c r="BZ27" i="1"/>
  <c r="CB17" i="1"/>
  <c r="BZ17" i="1"/>
  <c r="BX17" i="1"/>
  <c r="M17" i="1"/>
  <c r="AL17" i="1"/>
  <c r="BO17" i="1"/>
  <c r="CB16" i="1"/>
  <c r="BX16" i="1"/>
  <c r="AE16" i="1"/>
  <c r="BO16" i="1"/>
  <c r="K16" i="1"/>
  <c r="V16" i="1"/>
  <c r="AG16" i="1"/>
  <c r="AU16" i="1"/>
  <c r="BH16" i="1"/>
  <c r="Q5" i="1"/>
  <c r="Z5" i="1"/>
  <c r="AI5" i="1"/>
  <c r="AR5" i="1"/>
  <c r="BA5" i="1"/>
  <c r="BJ5" i="1"/>
  <c r="BS5" i="1"/>
  <c r="CB5" i="1"/>
  <c r="Q6" i="1"/>
  <c r="Z6" i="1"/>
  <c r="AI6" i="1"/>
  <c r="AR6" i="1"/>
  <c r="BA6" i="1"/>
  <c r="BJ6" i="1"/>
  <c r="BS6" i="1"/>
  <c r="CB6" i="1"/>
  <c r="Q7" i="1"/>
  <c r="Z7" i="1"/>
  <c r="AI7" i="1"/>
  <c r="AR7" i="1"/>
  <c r="BA7" i="1"/>
  <c r="BJ7" i="1"/>
  <c r="BS7" i="1"/>
  <c r="CB7" i="1"/>
  <c r="Q8" i="1"/>
  <c r="Z8" i="1"/>
  <c r="AI8" i="1"/>
  <c r="AR8" i="1"/>
  <c r="BA8" i="1"/>
  <c r="BJ8" i="1"/>
  <c r="BS8" i="1"/>
  <c r="CB8" i="1"/>
  <c r="Q9" i="1"/>
  <c r="Z9" i="1"/>
  <c r="AI9" i="1"/>
  <c r="AR9" i="1"/>
  <c r="BA9" i="1"/>
  <c r="BJ9" i="1"/>
  <c r="BS9" i="1"/>
  <c r="CB9" i="1"/>
  <c r="Q10" i="1"/>
  <c r="Z10" i="1"/>
  <c r="AI10" i="1"/>
  <c r="AR10" i="1"/>
  <c r="BA10" i="1"/>
  <c r="BJ10" i="1"/>
  <c r="BS10" i="1"/>
  <c r="CB10" i="1"/>
  <c r="Q11" i="1"/>
  <c r="Z11" i="1"/>
  <c r="AI11" i="1"/>
  <c r="AR11" i="1"/>
  <c r="BA11" i="1"/>
  <c r="BJ11" i="1"/>
  <c r="BS11" i="1"/>
  <c r="CB11" i="1"/>
  <c r="Q12" i="1"/>
  <c r="Z12" i="1"/>
  <c r="AI12" i="1"/>
  <c r="AR12" i="1"/>
  <c r="BA12" i="1"/>
  <c r="BJ12" i="1"/>
  <c r="BS12" i="1"/>
  <c r="M5" i="1"/>
  <c r="V5" i="1"/>
  <c r="AE5" i="1"/>
  <c r="AN5" i="1"/>
  <c r="AW5" i="1"/>
  <c r="BF5" i="1"/>
  <c r="BO5" i="1"/>
  <c r="BX5" i="1"/>
  <c r="M6" i="1"/>
  <c r="V6" i="1"/>
  <c r="AE6" i="1"/>
  <c r="AN6" i="1"/>
  <c r="AW6" i="1"/>
  <c r="BF6" i="1"/>
  <c r="BO6" i="1"/>
  <c r="BX6" i="1"/>
  <c r="M7" i="1"/>
  <c r="V7" i="1"/>
  <c r="AE7" i="1"/>
  <c r="AN7" i="1"/>
  <c r="AW7" i="1"/>
  <c r="BF7" i="1"/>
  <c r="BO7" i="1"/>
  <c r="BX7" i="1"/>
  <c r="M8" i="1"/>
  <c r="V8" i="1"/>
  <c r="AE8" i="1"/>
  <c r="AN8" i="1"/>
  <c r="AW8" i="1"/>
  <c r="BF8" i="1"/>
  <c r="BO8" i="1"/>
  <c r="BX8" i="1"/>
  <c r="M9" i="1"/>
  <c r="V9" i="1"/>
  <c r="AE9" i="1"/>
  <c r="AN9" i="1"/>
  <c r="AW9" i="1"/>
  <c r="BF9" i="1"/>
  <c r="BO9" i="1"/>
  <c r="BX9" i="1"/>
  <c r="M10" i="1"/>
  <c r="V10" i="1"/>
  <c r="AE10" i="1"/>
  <c r="AN10" i="1"/>
  <c r="AW10" i="1"/>
  <c r="BF10" i="1"/>
  <c r="BO10" i="1"/>
  <c r="BX10" i="1"/>
  <c r="M11" i="1"/>
  <c r="V11" i="1"/>
  <c r="AE11" i="1"/>
  <c r="AN11" i="1"/>
  <c r="AW11" i="1"/>
  <c r="BF11" i="1"/>
  <c r="BO11" i="1"/>
  <c r="BX11" i="1"/>
  <c r="M12" i="1"/>
  <c r="V12" i="1"/>
  <c r="AE12" i="1"/>
  <c r="AN12" i="1"/>
  <c r="AW12" i="1"/>
  <c r="BF12" i="1"/>
  <c r="BO12" i="1"/>
  <c r="BX12" i="1"/>
  <c r="BZ12" i="1"/>
  <c r="CC5" i="4"/>
  <c r="CD5" i="4" s="1"/>
  <c r="CC7" i="4"/>
  <c r="CD7" i="4" s="1"/>
  <c r="CC9" i="4"/>
  <c r="CD9" i="4" s="1"/>
  <c r="CC11" i="4"/>
  <c r="CC13" i="4"/>
  <c r="CD13" i="4" s="1"/>
  <c r="CC15" i="4"/>
  <c r="CD15" i="4" s="1"/>
  <c r="CC10" i="4"/>
  <c r="CD10" i="4" s="1"/>
  <c r="CD11" i="4"/>
  <c r="CC12" i="4"/>
  <c r="CD12" i="4" s="1"/>
  <c r="CC14" i="4"/>
  <c r="CD14" i="4" s="1"/>
  <c r="CC16" i="4"/>
  <c r="CD16" i="4" s="1"/>
  <c r="BX17" i="4"/>
  <c r="CC17" i="4" s="1"/>
  <c r="AE18" i="4"/>
  <c r="BO18" i="4"/>
  <c r="CC18" i="4" s="1"/>
  <c r="V19" i="4"/>
  <c r="BF19" i="4"/>
  <c r="CB19" i="4"/>
  <c r="M20" i="4"/>
  <c r="AW20" i="4"/>
  <c r="AN21" i="4"/>
  <c r="M4" i="4"/>
  <c r="V4" i="4"/>
  <c r="AE4" i="4"/>
  <c r="AN4" i="4"/>
  <c r="AW4" i="4"/>
  <c r="BF4" i="4"/>
  <c r="BO4" i="4"/>
  <c r="BX4" i="4"/>
  <c r="BO17" i="4"/>
  <c r="K18" i="4"/>
  <c r="K26" i="4" s="1"/>
  <c r="V18" i="4"/>
  <c r="AU18" i="4"/>
  <c r="BF18" i="4"/>
  <c r="CB18" i="4"/>
  <c r="CD18" i="4" s="1"/>
  <c r="M19" i="4"/>
  <c r="AL19" i="4"/>
  <c r="AW19" i="4"/>
  <c r="BV19" i="4"/>
  <c r="CC19" i="4" s="1"/>
  <c r="CD19" i="4" s="1"/>
  <c r="AC20" i="4"/>
  <c r="AN20" i="4"/>
  <c r="BM20" i="4"/>
  <c r="BX20" i="4"/>
  <c r="CB21" i="4"/>
  <c r="O21" i="4"/>
  <c r="T21" i="4"/>
  <c r="AE21" i="4"/>
  <c r="AU21" i="4"/>
  <c r="AY21" i="4"/>
  <c r="BM21" i="4"/>
  <c r="BQ21" i="4"/>
  <c r="BQ26" i="4" s="1"/>
  <c r="T22" i="4"/>
  <c r="X22" i="4"/>
  <c r="X26" i="4" s="1"/>
  <c r="AL22" i="4"/>
  <c r="AP22" i="4"/>
  <c r="BD22" i="4"/>
  <c r="BH22" i="4"/>
  <c r="BV22" i="4"/>
  <c r="BZ22" i="4"/>
  <c r="CB23" i="4"/>
  <c r="K23" i="4"/>
  <c r="O23" i="4"/>
  <c r="AC23" i="4"/>
  <c r="AG23" i="4"/>
  <c r="AU23" i="4"/>
  <c r="AY23" i="4"/>
  <c r="AY26" i="4" s="1"/>
  <c r="BM23" i="4"/>
  <c r="BQ23" i="4"/>
  <c r="O26" i="4"/>
  <c r="CB17" i="4"/>
  <c r="BV17" i="4"/>
  <c r="BV26" i="4" s="1"/>
  <c r="AC18" i="4"/>
  <c r="AC26" i="4" s="1"/>
  <c r="BM18" i="4"/>
  <c r="BM26" i="4" s="1"/>
  <c r="T19" i="4"/>
  <c r="T26" i="4" s="1"/>
  <c r="BD19" i="4"/>
  <c r="K20" i="4"/>
  <c r="AU20" i="4"/>
  <c r="AU26" i="4" s="1"/>
  <c r="CB20" i="4"/>
  <c r="AL21" i="4"/>
  <c r="AL26" i="4" s="1"/>
  <c r="BD21" i="4"/>
  <c r="BD26" i="4" s="1"/>
  <c r="BH21" i="4"/>
  <c r="BV21" i="4"/>
  <c r="BZ21" i="4"/>
  <c r="BZ26" i="4" s="1"/>
  <c r="CB22" i="4"/>
  <c r="K22" i="4"/>
  <c r="O22" i="4"/>
  <c r="AC22" i="4"/>
  <c r="AG22" i="4"/>
  <c r="AG26" i="4" s="1"/>
  <c r="AU22" i="4"/>
  <c r="AY22" i="4"/>
  <c r="BM22" i="4"/>
  <c r="BQ22" i="4"/>
  <c r="T23" i="4"/>
  <c r="X23" i="4"/>
  <c r="AL23" i="4"/>
  <c r="AP23" i="4"/>
  <c r="AP26" i="4" s="1"/>
  <c r="BD23" i="4"/>
  <c r="BH23" i="4"/>
  <c r="BH26" i="4" s="1"/>
  <c r="M24" i="4"/>
  <c r="V24" i="4"/>
  <c r="AE24" i="4"/>
  <c r="AN24" i="4"/>
  <c r="AW24" i="4"/>
  <c r="BF24" i="4"/>
  <c r="BO24" i="4"/>
  <c r="BX24" i="4"/>
  <c r="M25" i="4"/>
  <c r="V25" i="4"/>
  <c r="AE25" i="4"/>
  <c r="AN25" i="4"/>
  <c r="AW25" i="4"/>
  <c r="BF25" i="4"/>
  <c r="BO25" i="4"/>
  <c r="BX25" i="4"/>
  <c r="BZ23" i="4"/>
  <c r="O24" i="4"/>
  <c r="X24" i="4"/>
  <c r="AG24" i="4"/>
  <c r="AP24" i="4"/>
  <c r="AY24" i="4"/>
  <c r="BH24" i="4"/>
  <c r="BQ24" i="4"/>
  <c r="BZ24" i="4"/>
  <c r="O25" i="4"/>
  <c r="X25" i="4"/>
  <c r="AG25" i="4"/>
  <c r="AP25" i="4"/>
  <c r="AY25" i="4"/>
  <c r="BH25" i="4"/>
  <c r="BQ25" i="4"/>
  <c r="BZ25" i="4"/>
  <c r="K24" i="4"/>
  <c r="K25" i="4"/>
  <c r="X16" i="1" l="1"/>
  <c r="BF17" i="1"/>
  <c r="AW17" i="1"/>
  <c r="BQ16" i="1"/>
  <c r="O17" i="1"/>
  <c r="AY17" i="1"/>
  <c r="V17" i="1"/>
  <c r="BQ17" i="1"/>
  <c r="X17" i="1"/>
  <c r="AG17" i="1"/>
  <c r="AR16" i="1"/>
  <c r="AN16" i="1"/>
  <c r="AP16" i="1"/>
  <c r="BF16" i="1"/>
  <c r="AE17" i="1"/>
  <c r="BH17" i="1"/>
  <c r="AR17" i="1"/>
  <c r="AP17" i="1"/>
  <c r="AN17" i="1"/>
  <c r="Q16" i="1"/>
  <c r="O16" i="1"/>
  <c r="M16" i="1"/>
  <c r="BA16" i="1"/>
  <c r="AY16" i="1"/>
  <c r="AW16" i="1"/>
  <c r="CD17" i="4"/>
  <c r="CC25" i="4"/>
  <c r="CD25" i="4" s="1"/>
  <c r="CC24" i="4"/>
  <c r="CD24" i="4" s="1"/>
  <c r="CC23" i="4"/>
  <c r="CD23" i="4" s="1"/>
  <c r="CC22" i="4"/>
  <c r="CD22" i="4" s="1"/>
  <c r="BX26" i="4"/>
  <c r="CC26" i="4" s="1"/>
  <c r="CD26" i="4" s="1"/>
  <c r="AN26" i="4"/>
  <c r="CC20" i="4"/>
  <c r="CD20" i="4" s="1"/>
  <c r="BO26" i="4"/>
  <c r="AE26" i="4"/>
  <c r="CC21" i="4"/>
  <c r="CD21" i="4" s="1"/>
  <c r="BF26" i="4"/>
  <c r="V26" i="4"/>
  <c r="AW26" i="4"/>
  <c r="M26" i="4"/>
  <c r="CC4" i="4"/>
  <c r="CD4" i="4" s="1"/>
  <c r="W7" i="2" l="1"/>
  <c r="W8" i="2"/>
  <c r="W10" i="2"/>
  <c r="W52" i="2"/>
  <c r="W54" i="2"/>
  <c r="W6" i="2"/>
  <c r="H41" i="2"/>
  <c r="N41" i="2" s="1"/>
  <c r="F61" i="2"/>
  <c r="H42" i="2" l="1"/>
  <c r="N42" i="2" s="1"/>
  <c r="H44" i="2"/>
  <c r="F22" i="1"/>
  <c r="CC22" i="1" s="1"/>
  <c r="H47" i="2"/>
  <c r="N47" i="2" s="1"/>
  <c r="H39" i="2"/>
  <c r="N39" i="2" s="1"/>
  <c r="D21" i="1"/>
  <c r="H46" i="2"/>
  <c r="H45" i="2"/>
  <c r="H43" i="2"/>
  <c r="N43" i="2" s="1"/>
  <c r="H40" i="2"/>
  <c r="N40" i="2" s="1"/>
  <c r="F20" i="1"/>
  <c r="I43" i="2" l="1"/>
  <c r="O43" i="2" s="1"/>
  <c r="I44" i="2"/>
  <c r="O44" i="2" s="1"/>
  <c r="I42" i="2"/>
  <c r="O42" i="2" s="1"/>
  <c r="N44" i="2"/>
  <c r="W44" i="2"/>
  <c r="W42" i="2"/>
  <c r="W45" i="2"/>
  <c r="N45" i="2"/>
  <c r="W46" i="2"/>
  <c r="N46" i="2"/>
  <c r="F40" i="2"/>
  <c r="W40" i="2" s="1"/>
  <c r="F41" i="2"/>
  <c r="W41" i="2" s="1"/>
  <c r="F39" i="2"/>
  <c r="W39" i="2" s="1"/>
  <c r="W47" i="2"/>
  <c r="I46" i="2"/>
  <c r="O46" i="2" s="1"/>
  <c r="I47" i="2"/>
  <c r="O47" i="2" s="1"/>
  <c r="I45" i="2"/>
  <c r="O45" i="2" s="1"/>
  <c r="W43" i="2"/>
  <c r="CD20" i="1"/>
  <c r="CC20" i="1"/>
  <c r="CD22" i="1"/>
  <c r="CE22" i="1" l="1"/>
  <c r="CF22" i="1" s="1"/>
  <c r="CE20" i="1" l="1"/>
  <c r="CF20" i="1" s="1"/>
  <c r="H14" i="2"/>
  <c r="N14" i="2" s="1"/>
  <c r="H12" i="2"/>
  <c r="N12" i="2" s="1"/>
  <c r="H15" i="2"/>
  <c r="N15" i="2" s="1"/>
  <c r="H13" i="2"/>
  <c r="N13" i="2" s="1"/>
  <c r="CC18" i="1"/>
  <c r="W14" i="2" l="1"/>
  <c r="W12" i="2"/>
  <c r="W15" i="2"/>
  <c r="W13" i="2"/>
  <c r="CD18" i="1" l="1"/>
  <c r="CE18" i="1" l="1"/>
  <c r="CF18" i="1" s="1"/>
  <c r="H58" i="2" l="1"/>
  <c r="N58" i="2" s="1"/>
  <c r="H57" i="2"/>
  <c r="N57" i="2" s="1"/>
  <c r="H35" i="2"/>
  <c r="N35" i="2" s="1"/>
  <c r="H32" i="2"/>
  <c r="N32" i="2" s="1"/>
  <c r="H34" i="2"/>
  <c r="N34" i="2" s="1"/>
  <c r="H31" i="2"/>
  <c r="N31" i="2" s="1"/>
  <c r="H33" i="2"/>
  <c r="N33" i="2" s="1"/>
  <c r="H30" i="2"/>
  <c r="N30" i="2" s="1"/>
  <c r="H25" i="2"/>
  <c r="N25" i="2" s="1"/>
  <c r="H24" i="2"/>
  <c r="N24" i="2" s="1"/>
  <c r="H21" i="2"/>
  <c r="N21" i="2" s="1"/>
  <c r="H20" i="2"/>
  <c r="N20" i="2" s="1"/>
  <c r="H23" i="2"/>
  <c r="N23" i="2" s="1"/>
  <c r="H19" i="2"/>
  <c r="N19" i="2" s="1"/>
  <c r="H22" i="2"/>
  <c r="N22" i="2" s="1"/>
  <c r="H18" i="2"/>
  <c r="N18" i="2" s="1"/>
  <c r="H60" i="2"/>
  <c r="N60" i="2" s="1"/>
  <c r="F60" i="2"/>
  <c r="H5" i="2"/>
  <c r="N5" i="2" s="1"/>
  <c r="H4" i="2"/>
  <c r="N4" i="2" s="1"/>
  <c r="F5" i="2"/>
  <c r="F4" i="2"/>
  <c r="H61" i="2"/>
  <c r="F49" i="2"/>
  <c r="W49" i="2" s="1"/>
  <c r="H50" i="2"/>
  <c r="H55" i="2"/>
  <c r="H48" i="2"/>
  <c r="H11" i="2"/>
  <c r="N11" i="2" s="1"/>
  <c r="W48" i="2" l="1"/>
  <c r="N48" i="2"/>
  <c r="W61" i="2"/>
  <c r="N61" i="2"/>
  <c r="W55" i="2"/>
  <c r="N55" i="2"/>
  <c r="W50" i="2"/>
  <c r="N50" i="2"/>
  <c r="W4" i="2"/>
  <c r="W22" i="2"/>
  <c r="W23" i="2"/>
  <c r="W25" i="2"/>
  <c r="W58" i="2"/>
  <c r="W24" i="2"/>
  <c r="W30" i="2"/>
  <c r="W57" i="2"/>
  <c r="W60" i="2"/>
  <c r="W31" i="2"/>
  <c r="W5" i="2"/>
  <c r="W18" i="2"/>
  <c r="W19" i="2"/>
  <c r="W21" i="2"/>
  <c r="W34" i="2"/>
  <c r="W20" i="2"/>
  <c r="W33" i="2"/>
  <c r="W32" i="2"/>
  <c r="W35" i="2"/>
  <c r="I54" i="2"/>
  <c r="O54" i="2" s="1"/>
  <c r="W11" i="2"/>
  <c r="I52" i="2"/>
  <c r="O52" i="2" s="1"/>
  <c r="CC33" i="1" l="1"/>
  <c r="CE38" i="1"/>
  <c r="CC38" i="1"/>
  <c r="CD38" i="1"/>
  <c r="CE33" i="1"/>
  <c r="K33" i="1"/>
  <c r="CD33" i="1" s="1"/>
  <c r="BT29" i="1"/>
  <c r="BK29" i="1"/>
  <c r="BB29" i="1"/>
  <c r="AS29" i="1"/>
  <c r="AJ29" i="1"/>
  <c r="AA29" i="1"/>
  <c r="R29" i="1"/>
  <c r="G29" i="1"/>
  <c r="CC28" i="1"/>
  <c r="CC26" i="1"/>
  <c r="CC24" i="1"/>
  <c r="CC15" i="1"/>
  <c r="F13" i="1"/>
  <c r="BD13" i="1" s="1"/>
  <c r="I48" i="2"/>
  <c r="O48" i="2" s="1"/>
  <c r="I11" i="2"/>
  <c r="O11" i="2" s="1"/>
  <c r="CC8" i="1"/>
  <c r="CC7" i="1"/>
  <c r="F4" i="1"/>
  <c r="CC4" i="1" s="1"/>
  <c r="I4" i="2" l="1"/>
  <c r="O4" i="2" s="1"/>
  <c r="CC25" i="1"/>
  <c r="I60" i="2"/>
  <c r="O60" i="2" s="1"/>
  <c r="I5" i="2"/>
  <c r="O5" i="2" s="1"/>
  <c r="CC5" i="1"/>
  <c r="I50" i="2"/>
  <c r="O50" i="2" s="1"/>
  <c r="CD7" i="1"/>
  <c r="BM4" i="1"/>
  <c r="BO4" i="1" s="1"/>
  <c r="CC10" i="1"/>
  <c r="I49" i="2"/>
  <c r="O49" i="2" s="1"/>
  <c r="I61" i="2"/>
  <c r="O61" i="2" s="1"/>
  <c r="AL13" i="1"/>
  <c r="AP13" i="1" s="1"/>
  <c r="CF38" i="1"/>
  <c r="I55" i="2"/>
  <c r="O55" i="2" s="1"/>
  <c r="AC4" i="1"/>
  <c r="CC11" i="1"/>
  <c r="AC13" i="1"/>
  <c r="AG13" i="1" s="1"/>
  <c r="BV13" i="1"/>
  <c r="CF33" i="1"/>
  <c r="BM13" i="1"/>
  <c r="BQ13" i="1" s="1"/>
  <c r="BJ13" i="1"/>
  <c r="BH13" i="1"/>
  <c r="CC19" i="1"/>
  <c r="CC6" i="1"/>
  <c r="K13" i="1"/>
  <c r="Q13" i="1" s="1"/>
  <c r="AU13" i="1"/>
  <c r="CC13" i="1"/>
  <c r="T13" i="1"/>
  <c r="CC12" i="1"/>
  <c r="K4" i="1"/>
  <c r="AU4" i="1"/>
  <c r="AE4" i="1"/>
  <c r="BV4" i="1"/>
  <c r="BD4" i="1"/>
  <c r="AL4" i="1"/>
  <c r="T4" i="1"/>
  <c r="CC9" i="1"/>
  <c r="CD6" i="1"/>
  <c r="CC21" i="1"/>
  <c r="BF13" i="1"/>
  <c r="CC44" i="1"/>
  <c r="CC42" i="1"/>
  <c r="CC43" i="1"/>
  <c r="CC47" i="1"/>
  <c r="CC16" i="1"/>
  <c r="CC40" i="1"/>
  <c r="CC49" i="1"/>
  <c r="CC27" i="1"/>
  <c r="CD28" i="1"/>
  <c r="BS13" i="1" l="1"/>
  <c r="BO13" i="1"/>
  <c r="AR13" i="1"/>
  <c r="BS4" i="1"/>
  <c r="BQ4" i="1"/>
  <c r="AN13" i="1"/>
  <c r="AE13" i="1"/>
  <c r="AI13" i="1"/>
  <c r="CD25" i="1"/>
  <c r="BZ13" i="1"/>
  <c r="AI4" i="1"/>
  <c r="CE28" i="1"/>
  <c r="CF28" i="1" s="1"/>
  <c r="BX13" i="1"/>
  <c r="AG4" i="1"/>
  <c r="CB13" i="1"/>
  <c r="CD19" i="1"/>
  <c r="X13" i="1"/>
  <c r="Z13" i="1"/>
  <c r="O13" i="1"/>
  <c r="CD13" i="1"/>
  <c r="M13" i="1"/>
  <c r="V13" i="1"/>
  <c r="AY13" i="1"/>
  <c r="AW13" i="1"/>
  <c r="CD11" i="1"/>
  <c r="BA13" i="1"/>
  <c r="CD44" i="1"/>
  <c r="CD49" i="1"/>
  <c r="CD26" i="1"/>
  <c r="AR4" i="1"/>
  <c r="AN4" i="1"/>
  <c r="AP4" i="1"/>
  <c r="AW4" i="1"/>
  <c r="AY4" i="1"/>
  <c r="BA4" i="1"/>
  <c r="CC41" i="1"/>
  <c r="CD27" i="1"/>
  <c r="CD10" i="1"/>
  <c r="CD5" i="1"/>
  <c r="Z4" i="1"/>
  <c r="V4" i="1"/>
  <c r="X4" i="1"/>
  <c r="CC39" i="1"/>
  <c r="CD24" i="1"/>
  <c r="CD15" i="1"/>
  <c r="CD16" i="1"/>
  <c r="CC46" i="1"/>
  <c r="CC48" i="1"/>
  <c r="CD21" i="1"/>
  <c r="CB4" i="1"/>
  <c r="BX4" i="1"/>
  <c r="BZ4" i="1"/>
  <c r="CD12" i="1"/>
  <c r="CD8" i="1"/>
  <c r="CD9" i="1"/>
  <c r="CC45" i="1"/>
  <c r="CD42" i="1"/>
  <c r="CD40" i="1"/>
  <c r="CD47" i="1"/>
  <c r="CD43" i="1"/>
  <c r="BJ4" i="1"/>
  <c r="BF4" i="1"/>
  <c r="BH4" i="1"/>
  <c r="CD4" i="1"/>
  <c r="M4" i="1"/>
  <c r="O4" i="1"/>
  <c r="Q4" i="1"/>
  <c r="CC17" i="1"/>
  <c r="CE7" i="1"/>
  <c r="CF7" i="1" s="1"/>
  <c r="CE25" i="1" l="1"/>
  <c r="CF25" i="1" s="1"/>
  <c r="H56" i="2"/>
  <c r="N56" i="2" s="1"/>
  <c r="H53" i="2"/>
  <c r="K1" i="2"/>
  <c r="H3" i="2"/>
  <c r="W3" i="2" s="1"/>
  <c r="H62" i="2"/>
  <c r="H51" i="2"/>
  <c r="CE6" i="1"/>
  <c r="CF6" i="1" s="1"/>
  <c r="CE19" i="1"/>
  <c r="CF19" i="1" s="1"/>
  <c r="CE13" i="1"/>
  <c r="CF13" i="1" s="1"/>
  <c r="CE11" i="1"/>
  <c r="CF11" i="1" s="1"/>
  <c r="CE26" i="1"/>
  <c r="CF26" i="1" s="1"/>
  <c r="CE8" i="1"/>
  <c r="CF8" i="1" s="1"/>
  <c r="CE4" i="1"/>
  <c r="CD46" i="1"/>
  <c r="CD39" i="1"/>
  <c r="CE10" i="1"/>
  <c r="CF10" i="1" s="1"/>
  <c r="CE44" i="1"/>
  <c r="CF44" i="1" s="1"/>
  <c r="CE43" i="1"/>
  <c r="CF43" i="1" s="1"/>
  <c r="CE12" i="1"/>
  <c r="CF12" i="1" s="1"/>
  <c r="CE15" i="1"/>
  <c r="CF15" i="1" s="1"/>
  <c r="CE47" i="1"/>
  <c r="CF47" i="1" s="1"/>
  <c r="CE40" i="1"/>
  <c r="CF40" i="1" s="1"/>
  <c r="CE42" i="1"/>
  <c r="CF42" i="1" s="1"/>
  <c r="CE9" i="1"/>
  <c r="CF9" i="1" s="1"/>
  <c r="CE21" i="1"/>
  <c r="CF21" i="1" s="1"/>
  <c r="CE24" i="1"/>
  <c r="CF24" i="1" s="1"/>
  <c r="CE49" i="1"/>
  <c r="CF49" i="1" s="1"/>
  <c r="F29" i="1"/>
  <c r="CD17" i="1"/>
  <c r="CD45" i="1"/>
  <c r="CD48" i="1"/>
  <c r="CD41" i="1"/>
  <c r="CE5" i="1"/>
  <c r="CF5" i="1" s="1"/>
  <c r="CF4" i="1"/>
  <c r="CE16" i="1"/>
  <c r="CF16" i="1" s="1"/>
  <c r="CE27" i="1"/>
  <c r="CF27" i="1" s="1"/>
  <c r="F34" i="1" l="1"/>
  <c r="F31" i="1"/>
  <c r="P1" i="2"/>
  <c r="K34" i="1"/>
  <c r="W62" i="2"/>
  <c r="N62" i="2"/>
  <c r="W53" i="2"/>
  <c r="N53" i="2"/>
  <c r="W51" i="2"/>
  <c r="N51" i="2"/>
  <c r="I56" i="2"/>
  <c r="O56" i="2" s="1"/>
  <c r="W56" i="2"/>
  <c r="I51" i="2"/>
  <c r="O51" i="2" s="1"/>
  <c r="N3" i="2"/>
  <c r="I62" i="2"/>
  <c r="O62" i="2" s="1"/>
  <c r="I3" i="2"/>
  <c r="O3" i="2" s="1"/>
  <c r="I53" i="2"/>
  <c r="O53" i="2" s="1"/>
  <c r="I1" i="2"/>
  <c r="CC29" i="1"/>
  <c r="CE48" i="1"/>
  <c r="CF48" i="1" s="1"/>
  <c r="CE17" i="1"/>
  <c r="CF17" i="1" s="1"/>
  <c r="BD29" i="1"/>
  <c r="K29" i="1"/>
  <c r="CE39" i="1"/>
  <c r="CF39" i="1" s="1"/>
  <c r="CE45" i="1"/>
  <c r="CF45" i="1" s="1"/>
  <c r="CE41" i="1"/>
  <c r="CF41" i="1" s="1"/>
  <c r="BV29" i="1"/>
  <c r="AU29" i="1"/>
  <c r="BM29" i="1"/>
  <c r="AC29" i="1"/>
  <c r="T29" i="1"/>
  <c r="AL29" i="1"/>
  <c r="CE46" i="1"/>
  <c r="CF46" i="1" s="1"/>
  <c r="H1" i="2" l="1"/>
  <c r="O1" i="2"/>
  <c r="BA29" i="1"/>
  <c r="AE29" i="1"/>
  <c r="CD29" i="1"/>
  <c r="X29" i="1"/>
  <c r="BX29" i="1"/>
  <c r="BS29" i="1"/>
  <c r="CB29" i="1"/>
  <c r="AI29" i="1"/>
  <c r="Q29" i="1"/>
  <c r="AG29" i="1"/>
  <c r="BH29" i="1"/>
  <c r="BJ29" i="1"/>
  <c r="BO29" i="1"/>
  <c r="AY29" i="1"/>
  <c r="AN29" i="1"/>
  <c r="Z29" i="1"/>
  <c r="M29" i="1"/>
  <c r="AP29" i="1"/>
  <c r="AR29" i="1"/>
  <c r="V29" i="1"/>
  <c r="BQ29" i="1"/>
  <c r="AW29" i="1"/>
  <c r="O29" i="1"/>
  <c r="BF29" i="1"/>
  <c r="BZ29" i="1"/>
  <c r="CE29" i="1" l="1"/>
  <c r="CD34" i="1" s="1"/>
  <c r="CC34" i="1"/>
</calcChain>
</file>

<file path=xl/sharedStrings.xml><?xml version="1.0" encoding="utf-8"?>
<sst xmlns="http://schemas.openxmlformats.org/spreadsheetml/2006/main" count="1261" uniqueCount="198">
  <si>
    <t>Total</t>
  </si>
  <si>
    <t>308 Engineering</t>
  </si>
  <si>
    <t>310 Land and Land Rights</t>
  </si>
  <si>
    <t>311 Structure and Imporvements</t>
  </si>
  <si>
    <t>312 Boiler Plant Equipment</t>
  </si>
  <si>
    <t>314 Turbogenerator Units</t>
  </si>
  <si>
    <t>315 Accesory Electric Equipment</t>
  </si>
  <si>
    <t>316 Miscellaneous Power Plant Equipment</t>
  </si>
  <si>
    <t>343 Prime Movers</t>
  </si>
  <si>
    <t>Unit 3</t>
  </si>
  <si>
    <t>Tasks</t>
  </si>
  <si>
    <t>Units</t>
  </si>
  <si>
    <t>Quantity</t>
  </si>
  <si>
    <t>Unit Cost</t>
  </si>
  <si>
    <t>Cost</t>
  </si>
  <si>
    <t>%</t>
  </si>
  <si>
    <t xml:space="preserve"> wenada
Total</t>
  </si>
  <si>
    <t>FERC 
Totals</t>
  </si>
  <si>
    <t>Unit Totals</t>
  </si>
  <si>
    <t>check</t>
  </si>
  <si>
    <t>Engineering, Design and Survey Work</t>
  </si>
  <si>
    <t>ls</t>
  </si>
  <si>
    <t>Perform environmental survey of above grade structures</t>
  </si>
  <si>
    <t>Storm Water Prevention Plan</t>
  </si>
  <si>
    <t>General</t>
  </si>
  <si>
    <t>Mob./Demob.</t>
  </si>
  <si>
    <t>Pavement Repairs</t>
  </si>
  <si>
    <t>sf</t>
  </si>
  <si>
    <t>Utility Disconnects</t>
  </si>
  <si>
    <t>Install Electrical for Decommisioning Work</t>
  </si>
  <si>
    <t>nt</t>
  </si>
  <si>
    <t>lbs</t>
  </si>
  <si>
    <t>CU Sales</t>
  </si>
  <si>
    <t>Transport &amp;  Dispose of Combustibles</t>
  </si>
  <si>
    <t>Demo FE</t>
  </si>
  <si>
    <t>Fe Sales</t>
  </si>
  <si>
    <t>Ancillary Buildings</t>
  </si>
  <si>
    <t xml:space="preserve">Demo </t>
  </si>
  <si>
    <t>Sales</t>
  </si>
  <si>
    <t>WBS</t>
  </si>
  <si>
    <t>COEL</t>
  </si>
  <si>
    <t>PLTCODE</t>
  </si>
  <si>
    <t>QTY</t>
  </si>
  <si>
    <t>UM</t>
  </si>
  <si>
    <t>RATE</t>
  </si>
  <si>
    <t>VALUE</t>
  </si>
  <si>
    <t>COMMENT</t>
  </si>
  <si>
    <t>MATERIALS</t>
  </si>
  <si>
    <t>CLASSIFICATION</t>
  </si>
  <si>
    <t>BUCKET</t>
  </si>
  <si>
    <t>3040000</t>
  </si>
  <si>
    <t/>
  </si>
  <si>
    <t>CONTINGENCY</t>
  </si>
  <si>
    <t>SCS</t>
  </si>
  <si>
    <t>C</t>
  </si>
  <si>
    <t>CLR</t>
  </si>
  <si>
    <t>NON</t>
  </si>
  <si>
    <t>3070041</t>
  </si>
  <si>
    <t>MY</t>
  </si>
  <si>
    <t>POWER GENERATION SUPERVISION</t>
  </si>
  <si>
    <t>3070201</t>
  </si>
  <si>
    <t>TEMPORARY CONSTRUCTION SERVICES</t>
  </si>
  <si>
    <t>3070201MO</t>
  </si>
  <si>
    <t>LT</t>
  </si>
  <si>
    <t>CONTRACTOR MOBILIZATION</t>
  </si>
  <si>
    <t>BDG</t>
  </si>
  <si>
    <t>3070221</t>
  </si>
  <si>
    <t>SECURITY SERVICES</t>
  </si>
  <si>
    <t>307UND</t>
  </si>
  <si>
    <t>MH</t>
  </si>
  <si>
    <t>SCS ENGINEERING</t>
  </si>
  <si>
    <t>3080241SW</t>
  </si>
  <si>
    <t>APC ENGINEERING</t>
  </si>
  <si>
    <t>GPC ENGINEERING</t>
  </si>
  <si>
    <t>3080268</t>
  </si>
  <si>
    <t>PERMITS</t>
  </si>
  <si>
    <t>3080268EA</t>
  </si>
  <si>
    <t>3080361</t>
  </si>
  <si>
    <t>WRAP-UP AND ALL-RISK INSURANCE</t>
  </si>
  <si>
    <t>3090481</t>
  </si>
  <si>
    <t>ADMINISTRATIVE &amp; GENERAL OVERHEAD</t>
  </si>
  <si>
    <t>MARKUP</t>
  </si>
  <si>
    <t>3110061</t>
  </si>
  <si>
    <t>CLD</t>
  </si>
  <si>
    <t>311UND</t>
  </si>
  <si>
    <t>ANCILLARY BUILDINGS - Demo</t>
  </si>
  <si>
    <t>ANICILLARY BUILDINGS - Demo</t>
  </si>
  <si>
    <t>CMS</t>
  </si>
  <si>
    <t>ANCILLARY BUILDINGS - FE SALES</t>
  </si>
  <si>
    <t>STEEL</t>
  </si>
  <si>
    <t>Main Power Block - DEMO</t>
  </si>
  <si>
    <t>COPPER</t>
  </si>
  <si>
    <t>TRANSFORMER</t>
  </si>
  <si>
    <t>Unit &amp; Service Transformers - Demo</t>
  </si>
  <si>
    <t>Unit &amp; Service Transformers - FE Sales</t>
  </si>
  <si>
    <t>341UND</t>
  </si>
  <si>
    <t>CTs - DEMO</t>
  </si>
  <si>
    <t>CTs - FE Sales</t>
  </si>
  <si>
    <t>343UND</t>
  </si>
  <si>
    <t>CTs - CU Sales</t>
  </si>
  <si>
    <t>344UND</t>
  </si>
  <si>
    <t>345UND</t>
  </si>
  <si>
    <t>CTs Transformers - CU Sales</t>
  </si>
  <si>
    <t>CCATDESC</t>
  </si>
  <si>
    <t>REMOVAL</t>
  </si>
  <si>
    <t>Unit &amp; Service Transformers- CU Sales</t>
  </si>
  <si>
    <t>CTs Transformers - Demo</t>
  </si>
  <si>
    <t>CTs Transformers - FE Sales</t>
  </si>
  <si>
    <t>SALVAGE</t>
  </si>
  <si>
    <t>DISPOSAL</t>
  </si>
  <si>
    <t>309</t>
  </si>
  <si>
    <t>311</t>
  </si>
  <si>
    <t>308</t>
  </si>
  <si>
    <t>304</t>
  </si>
  <si>
    <t>307</t>
  </si>
  <si>
    <t>343</t>
  </si>
  <si>
    <t>345</t>
  </si>
  <si>
    <t>341</t>
  </si>
  <si>
    <t>344</t>
  </si>
  <si>
    <t>FERC</t>
  </si>
  <si>
    <t>UNIT</t>
  </si>
  <si>
    <t>2% of FERCs 310 and above less "Install Electrical for Decommisioning Work".</t>
  </si>
  <si>
    <t>Install Electrical for Decommissioning Work</t>
  </si>
  <si>
    <t>OWNER</t>
  </si>
  <si>
    <t>GULF</t>
  </si>
  <si>
    <t>OWNRSHP_PCT</t>
  </si>
  <si>
    <t xml:space="preserve">Unit 1 </t>
  </si>
  <si>
    <t>Unit 2</t>
  </si>
  <si>
    <t>Unit 1</t>
  </si>
  <si>
    <t>3 - 5 MW Cogens</t>
  </si>
  <si>
    <t>Unit &amp; Service Transformers</t>
  </si>
  <si>
    <t xml:space="preserve">Unit </t>
  </si>
  <si>
    <t>Price</t>
  </si>
  <si>
    <t>* FE is based on the Aug. 7, 2015 Metal Prices Birmingham P&amp;S 5' &amp; under = $245 / GT</t>
  </si>
  <si>
    <t>* AL is based on Aug. 18, 2015 LME Cash Official = $0.69/lb</t>
  </si>
  <si>
    <t>* CU is baesd on Aug. 18, 2015 LME Cash Official =  $2.27/lb</t>
  </si>
  <si>
    <t>* SS is based on Aug. 17, 2015 LME 304 (18-8) Scrap Solids Processor = $0.50 / lb</t>
  </si>
  <si>
    <t>*305 SS - is based on Aug. 17, 2014 LME 304 (18-8) Scrap Solids Processor = $0.50 / lb</t>
  </si>
  <si>
    <t>* Transformers is based on Aug. 18, 2015 LME Cash official for CU = $2.27</t>
  </si>
  <si>
    <t>*Ti is based on Aug. 13, 2015 Secondary Market Tin Bearing &gt;85%  = $0.55 / lb</t>
  </si>
  <si>
    <t>* Ad Brass is based of Aug. 14, 2015 Secondary Market Yellow Brass = $1.66</t>
  </si>
  <si>
    <t>* 90-10 CU-NI is based on Aug. 18, 2015 Secondary Market Cupro-Nickel Scrap 90-10 = $2.07</t>
  </si>
  <si>
    <t>*304 SS - is based on Aug. 17, 2015 LME 304 (18-8) Scrap Solids Processor = $0.50 / lb</t>
  </si>
  <si>
    <t>1CT</t>
  </si>
  <si>
    <t>2CT</t>
  </si>
  <si>
    <t>3CT</t>
  </si>
  <si>
    <t>1MSCT</t>
  </si>
  <si>
    <t>2MSCT</t>
  </si>
  <si>
    <t>3MSCT</t>
  </si>
  <si>
    <t>1LDCT</t>
  </si>
  <si>
    <t>2LDCT</t>
  </si>
  <si>
    <t>3LDCT</t>
  </si>
  <si>
    <t>1LRCT</t>
  </si>
  <si>
    <t>2LRCT</t>
  </si>
  <si>
    <t>3LRCT</t>
  </si>
  <si>
    <t>SORT</t>
  </si>
  <si>
    <t>PEA RIDGE-NON</t>
  </si>
  <si>
    <t>ADJ Unit</t>
  </si>
  <si>
    <t>Change</t>
  </si>
  <si>
    <t>Historical Links</t>
  </si>
  <si>
    <t>http://www.metalprices.com/historical/database/ferrous-scrap-price-index/fe-spi-5-plate-structural-birmingham</t>
  </si>
  <si>
    <t>LME</t>
  </si>
  <si>
    <t>http://www.metalprices.com/historical/database/aluminum/lme-aluminum-cash-official</t>
  </si>
  <si>
    <t>http://www.metalprices.com/historical/database/copper/lme-copper-cash-official</t>
  </si>
  <si>
    <t>http://www.metalprices.com/historical/database/stainless-steel/stainless-steel-304-s-p</t>
  </si>
  <si>
    <t>http://www.metalprices.com/metal/titanium/titanium-scrap-ferro-ti-quality-turnings-non-tin-bearing-gt-85-ti</t>
  </si>
  <si>
    <t>http://www.metalprices.com/historical/database/brass/brass-yellow-brass</t>
  </si>
  <si>
    <t>http://www.metalprices.com/metal/cupro-nickel/cupro-nickel-c706</t>
  </si>
  <si>
    <t>* FE is based on the 06NOV15, 2015 Metal Prices Birmingham P&amp;S 5' &amp; under = $168 / GT</t>
  </si>
  <si>
    <t>* AL is based on 06NOV15, 2015 LME Cash Official = $0.67/lb</t>
  </si>
  <si>
    <t>* CU is based on 06NOV15, LME Cash Official =  $2.29/lb</t>
  </si>
  <si>
    <t>* SS is based on 06NOV15, LME 304 (18-8) Scrap Solids Processor = $0.44 / lb</t>
  </si>
  <si>
    <t>*305 SS - is based on 06NOV15, LME 304 (18-8) Scrap Solids Processor = $0.44 / lb</t>
  </si>
  <si>
    <t>* Transformers is based on 06NOV15, LME Cash Official =  $2.29/lb</t>
  </si>
  <si>
    <t>*Ti is based on 06NOV15, Secondary Market Tin Bearing &gt;85%  = $0.375 / lb</t>
  </si>
  <si>
    <t>* Ad Brass is based of 06NOV15, Secondary Market Yellow Brass = $1.61</t>
  </si>
  <si>
    <t>* 90-10 CU-NI is based on 06NOV15, Secondary Market Cupro-Nickel Scrap 90-10 = $1.99</t>
  </si>
  <si>
    <t>*304 SS - is based on 06NOV15, LME 304 (18-8) Scrap Solids Processor = $0.44 / lb</t>
  </si>
  <si>
    <t>06NOV15 Scrap Values</t>
  </si>
  <si>
    <t>August '15 Scrap values</t>
  </si>
  <si>
    <t>31DEC16 Scrap Values</t>
  </si>
  <si>
    <t>2015 Costs</t>
  </si>
  <si>
    <t>Note: 2016 Salvage Values were escalated from 2015 based on % from Power Advocate.</t>
  </si>
  <si>
    <t>* FE is based on the 31DEC15, 2015 Metal Prices Birmingham P&amp;S 5' &amp; under = $151.79 / GT and Escalated to 31DEC2016.</t>
  </si>
  <si>
    <t>* AL is based on 31DEC15, 2015 LME Cash Official = $0.68/lb and Escalated to 31DEC2016.</t>
  </si>
  <si>
    <t>* CU is based on 31DEC15, LME Cash Official =  $2.14/lb and Escalated to 31DEC2016.</t>
  </si>
  <si>
    <t>* SS is based on 31DEC15, LME 304 (18-8) Scrap Solids Processor = $0.38 / lb and Escalated to 31DEC2016.</t>
  </si>
  <si>
    <t>*305 SS - is based on 31DEC15, LME 304 (18-8) Scrap Solids Processor = $0.38 / lb and Escalated to 31DEC2016.</t>
  </si>
  <si>
    <t>* Transformers is based on 31DEC15, LME Cash Official =  $2.29/lb</t>
  </si>
  <si>
    <t>*Ti is based on 31DEC15, Secondary Market Tin Bearing &gt;85%  = $0..25/ lb and Escalated to 31DEC2016.</t>
  </si>
  <si>
    <t>* Ad Brass is based of 31DEC15, Secondary Market Yellow Brass = $1.51 and Escalated to 31DEC2016.</t>
  </si>
  <si>
    <t>* 90-10 CU-NI is based on 31DEC15, Secondary Market Cupro-Nickel Scrap 90-10 = $1.87 and Escalated to 31DEC2016.</t>
  </si>
  <si>
    <t>*304 SS - is based on 31DEC15, LME 304 (18-8) Scrap Solids Processor = $0.38 / lb and Escalated to 31DEC2016.</t>
  </si>
  <si>
    <t>Labor Escalation (4Q15 to 4Q16)</t>
  </si>
  <si>
    <t>NOTES2016</t>
  </si>
  <si>
    <t>cRATE2016</t>
  </si>
  <si>
    <t>cVALUE2016</t>
  </si>
  <si>
    <t>Scrap Market Values (MetalPrices.com) as projected to 31DEC16.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</si>
</sst>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#,##0;[Red]\-#,##0"/>
    <numFmt numFmtId="166" formatCode="&quot;$&quot;#,##0;[Red]\-&quot;$&quot;#,##0"/>
    <numFmt numFmtId="167" formatCode="&quot;$&quot;#,##0;[Red]&quot;$&quot;#,##0"/>
    <numFmt numFmtId="168" formatCode="#,##0;[Red]#,##0"/>
    <numFmt numFmtId="169" formatCode="_(* #,##0_);_(* \(#,##0\);_(* &quot;-&quot;??_);_(@_)"/>
    <numFmt numFmtId="170" formatCode="_(&quot;$&quot;* #,##0.0000_);_(&quot;$&quot;* \(#,##0.0000\);_(&quot;$&quot;* &quot;-&quot;??_);_(@_)"/>
    <numFmt numFmtId="171" formatCode="0.000%"/>
    <numFmt numFmtId="172" formatCode="#,##0.0000_);[Red]\(#,##0.0000\)"/>
    <numFmt numFmtId="173" formatCode="#,##0.00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0"/>
      <name val="MS Sans Serif"/>
      <family val="2"/>
    </font>
    <font>
      <sz val="10"/>
      <name val="Times New Roman"/>
      <family val="1"/>
    </font>
    <font>
      <b/>
      <sz val="8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u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rgb="FFFF0000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C0C0C0"/>
        <bgColor rgb="FFC0C0C0"/>
      </patternFill>
    </fill>
    <fill>
      <patternFill patternType="solid">
        <fgColor rgb="FFFFFF00"/>
        <bgColor rgb="FFC0C0C0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2" tint="-0.749992370372631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</borders>
  <cellStyleXfs count="55">
    <xf numFmtId="0" fontId="0" fillId="0" borderId="0"/>
    <xf numFmtId="165" fontId="4" fillId="0" borderId="9">
      <alignment horizontal="right" vertical="top" wrapText="1"/>
    </xf>
    <xf numFmtId="165" fontId="4" fillId="4" borderId="9">
      <alignment horizontal="right" vertical="top" wrapText="1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4" fillId="5" borderId="9">
      <alignment horizontal="right" vertical="top" wrapText="1"/>
    </xf>
    <xf numFmtId="166" fontId="4" fillId="0" borderId="9">
      <alignment horizontal="right" vertical="top" wrapText="1"/>
    </xf>
    <xf numFmtId="166" fontId="4" fillId="0" borderId="7">
      <alignment vertical="top"/>
      <protection locked="0"/>
    </xf>
    <xf numFmtId="44" fontId="1" fillId="0" borderId="0" applyFont="0" applyFill="0" applyBorder="0" applyAlignment="0" applyProtection="0"/>
    <xf numFmtId="8" fontId="6" fillId="0" borderId="0" applyFont="0" applyFill="0" applyBorder="0" applyAlignment="0" applyProtection="0"/>
    <xf numFmtId="44" fontId="5" fillId="0" borderId="0" applyFont="0" applyFill="0" applyBorder="0" applyAlignment="0" applyProtection="0"/>
    <xf numFmtId="165" fontId="4" fillId="0" borderId="7">
      <alignment vertical="top"/>
      <protection locked="0"/>
    </xf>
    <xf numFmtId="165" fontId="4" fillId="6" borderId="7">
      <alignment vertical="top"/>
      <protection locked="0"/>
    </xf>
    <xf numFmtId="165" fontId="4" fillId="0" borderId="9">
      <alignment vertical="top"/>
    </xf>
    <xf numFmtId="165" fontId="4" fillId="7" borderId="9">
      <alignment vertical="top"/>
    </xf>
    <xf numFmtId="165" fontId="4" fillId="0" borderId="9">
      <alignment vertical="top"/>
    </xf>
    <xf numFmtId="165" fontId="4" fillId="0" borderId="7">
      <alignment vertical="top" wrapText="1"/>
      <protection locked="0"/>
    </xf>
    <xf numFmtId="0" fontId="1" fillId="0" borderId="0"/>
    <xf numFmtId="0" fontId="1" fillId="0" borderId="0"/>
    <xf numFmtId="0" fontId="7" fillId="0" borderId="0"/>
    <xf numFmtId="0" fontId="5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165" fontId="8" fillId="0" borderId="0">
      <alignment vertical="top"/>
    </xf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167" fontId="8" fillId="8" borderId="10">
      <alignment horizontal="right"/>
      <protection locked="0"/>
    </xf>
    <xf numFmtId="168" fontId="4" fillId="9" borderId="9">
      <alignment horizontal="right" vertical="top" wrapText="1"/>
    </xf>
    <xf numFmtId="168" fontId="4" fillId="0" borderId="9">
      <alignment horizontal="right" vertical="top" wrapText="1"/>
    </xf>
    <xf numFmtId="165" fontId="4" fillId="0" borderId="7">
      <alignment vertical="top"/>
      <protection locked="0"/>
    </xf>
    <xf numFmtId="166" fontId="4" fillId="10" borderId="9">
      <alignment horizontal="right" vertical="top" wrapText="1"/>
    </xf>
    <xf numFmtId="166" fontId="4" fillId="0" borderId="9">
      <alignment horizontal="right" vertical="top" wrapText="1"/>
    </xf>
    <xf numFmtId="166" fontId="4" fillId="0" borderId="7">
      <alignment vertical="top"/>
      <protection locked="0"/>
    </xf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1" fillId="0" borderId="0"/>
    <xf numFmtId="9" fontId="1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198">
    <xf numFmtId="0" fontId="0" fillId="0" borderId="0" xfId="0"/>
    <xf numFmtId="0" fontId="2" fillId="0" borderId="0" xfId="0" applyFont="1" applyProtection="1">
      <protection locked="0"/>
    </xf>
    <xf numFmtId="0" fontId="0" fillId="0" borderId="0" xfId="0" applyFont="1" applyProtection="1">
      <protection locked="0"/>
    </xf>
    <xf numFmtId="0" fontId="2" fillId="2" borderId="0" xfId="0" applyFont="1" applyFill="1" applyBorder="1" applyAlignment="1"/>
    <xf numFmtId="0" fontId="2" fillId="2" borderId="2" xfId="0" applyFont="1" applyFill="1" applyBorder="1" applyAlignment="1">
      <alignment horizontal="center"/>
    </xf>
    <xf numFmtId="6" fontId="0" fillId="0" borderId="0" xfId="0" applyNumberFormat="1" applyAlignment="1">
      <alignment horizontal="right"/>
    </xf>
    <xf numFmtId="0" fontId="0" fillId="0" borderId="0" xfId="0" applyFont="1" applyAlignment="1" applyProtection="1">
      <alignment horizontal="right"/>
      <protection locked="0"/>
    </xf>
    <xf numFmtId="0" fontId="2" fillId="0" borderId="0" xfId="0" applyFont="1" applyAlignment="1" applyProtection="1">
      <alignment wrapText="1"/>
      <protection locked="0"/>
    </xf>
    <xf numFmtId="0" fontId="0" fillId="0" borderId="0" xfId="0" applyFont="1" applyAlignment="1" applyProtection="1">
      <alignment wrapText="1"/>
      <protection locked="0"/>
    </xf>
    <xf numFmtId="0" fontId="0" fillId="2" borderId="0" xfId="0" applyFill="1" applyBorder="1" applyAlignment="1">
      <alignment wrapText="1"/>
    </xf>
    <xf numFmtId="0" fontId="2" fillId="0" borderId="4" xfId="0" quotePrefix="1" applyFont="1" applyBorder="1" applyAlignment="1" applyProtection="1">
      <alignment horizontal="center" wrapText="1"/>
      <protection locked="0"/>
    </xf>
    <xf numFmtId="0" fontId="0" fillId="0" borderId="5" xfId="0" applyBorder="1" applyAlignment="1" applyProtection="1">
      <alignment horizontal="center" wrapText="1"/>
      <protection locked="0"/>
    </xf>
    <xf numFmtId="0" fontId="2" fillId="2" borderId="5" xfId="0" applyFont="1" applyFill="1" applyBorder="1" applyAlignment="1" applyProtection="1">
      <alignment horizontal="center" wrapText="1"/>
      <protection locked="0"/>
    </xf>
    <xf numFmtId="6" fontId="0" fillId="0" borderId="0" xfId="0" applyNumberFormat="1" applyFont="1" applyAlignment="1" applyProtection="1">
      <alignment horizontal="right" wrapText="1"/>
      <protection locked="0"/>
    </xf>
    <xf numFmtId="0" fontId="0" fillId="0" borderId="0" xfId="0" applyFont="1" applyAlignment="1" applyProtection="1">
      <alignment horizontal="right" wrapText="1"/>
      <protection locked="0"/>
    </xf>
    <xf numFmtId="0" fontId="2" fillId="0" borderId="0" xfId="0" applyFont="1" applyAlignment="1" applyProtection="1">
      <alignment horizontal="center" wrapText="1"/>
      <protection locked="0"/>
    </xf>
    <xf numFmtId="0" fontId="2" fillId="0" borderId="7" xfId="0" applyFont="1" applyBorder="1" applyAlignment="1" applyProtection="1">
      <alignment horizontal="center" wrapText="1"/>
      <protection locked="0"/>
    </xf>
    <xf numFmtId="3" fontId="2" fillId="0" borderId="7" xfId="0" applyNumberFormat="1" applyFont="1" applyBorder="1" applyAlignment="1" applyProtection="1">
      <alignment horizontal="center" wrapText="1"/>
      <protection locked="0"/>
    </xf>
    <xf numFmtId="164" fontId="2" fillId="0" borderId="7" xfId="0" applyNumberFormat="1" applyFont="1" applyBorder="1" applyAlignment="1" applyProtection="1">
      <alignment horizontal="center" wrapText="1"/>
      <protection locked="0"/>
    </xf>
    <xf numFmtId="6" fontId="2" fillId="0" borderId="7" xfId="0" applyNumberFormat="1" applyFont="1" applyBorder="1" applyAlignment="1" applyProtection="1">
      <alignment horizontal="center" wrapText="1"/>
      <protection locked="0"/>
    </xf>
    <xf numFmtId="6" fontId="2" fillId="2" borderId="3" xfId="0" applyNumberFormat="1" applyFont="1" applyFill="1" applyBorder="1" applyAlignment="1" applyProtection="1">
      <alignment horizontal="center" wrapText="1"/>
      <protection locked="0"/>
    </xf>
    <xf numFmtId="9" fontId="2" fillId="0" borderId="3" xfId="0" applyNumberFormat="1" applyFont="1" applyFill="1" applyBorder="1" applyAlignment="1" applyProtection="1">
      <alignment horizontal="center" wrapText="1"/>
      <protection locked="0"/>
    </xf>
    <xf numFmtId="0" fontId="2" fillId="0" borderId="0" xfId="0" applyFont="1" applyBorder="1" applyAlignment="1" applyProtection="1">
      <alignment horizontal="center" wrapText="1"/>
      <protection locked="0"/>
    </xf>
    <xf numFmtId="9" fontId="2" fillId="0" borderId="3" xfId="0" applyNumberFormat="1" applyFont="1" applyBorder="1" applyAlignment="1" applyProtection="1">
      <alignment horizontal="center" wrapText="1"/>
      <protection locked="0"/>
    </xf>
    <xf numFmtId="0" fontId="2" fillId="0" borderId="8" xfId="0" applyFont="1" applyBorder="1" applyAlignment="1" applyProtection="1">
      <alignment horizontal="center" wrapText="1"/>
      <protection locked="0"/>
    </xf>
    <xf numFmtId="0" fontId="2" fillId="0" borderId="3" xfId="0" applyFont="1" applyBorder="1" applyAlignment="1" applyProtection="1">
      <alignment horizontal="center" wrapText="1"/>
      <protection locked="0"/>
    </xf>
    <xf numFmtId="0" fontId="2" fillId="2" borderId="0" xfId="0" applyFont="1" applyFill="1" applyBorder="1" applyAlignment="1" applyProtection="1">
      <alignment horizontal="center" wrapText="1"/>
      <protection locked="0"/>
    </xf>
    <xf numFmtId="6" fontId="2" fillId="0" borderId="0" xfId="0" applyNumberFormat="1" applyFont="1" applyAlignment="1" applyProtection="1">
      <alignment horizontal="center" wrapText="1"/>
      <protection locked="0"/>
    </xf>
    <xf numFmtId="0" fontId="2" fillId="0" borderId="0" xfId="0" applyFont="1" applyAlignment="1" applyProtection="1">
      <alignment horizontal="right" wrapText="1"/>
      <protection locked="0"/>
    </xf>
    <xf numFmtId="0" fontId="2" fillId="0" borderId="0" xfId="0" applyFont="1" applyAlignment="1" applyProtection="1">
      <alignment horizontal="left"/>
      <protection locked="0"/>
    </xf>
    <xf numFmtId="0" fontId="2" fillId="0" borderId="9" xfId="0" applyFont="1" applyBorder="1" applyAlignment="1" applyProtection="1">
      <alignment horizontal="center" wrapText="1"/>
      <protection locked="0"/>
    </xf>
    <xf numFmtId="3" fontId="0" fillId="0" borderId="9" xfId="0" applyNumberFormat="1" applyFont="1" applyBorder="1" applyAlignment="1" applyProtection="1">
      <alignment horizontal="right" wrapText="1"/>
      <protection locked="0"/>
    </xf>
    <xf numFmtId="164" fontId="0" fillId="0" borderId="9" xfId="0" applyNumberFormat="1" applyFont="1" applyBorder="1" applyAlignment="1" applyProtection="1">
      <alignment horizontal="center" wrapText="1"/>
      <protection locked="0"/>
    </xf>
    <xf numFmtId="6" fontId="0" fillId="0" borderId="9" xfId="0" applyNumberFormat="1" applyFont="1" applyBorder="1" applyProtection="1">
      <protection locked="0"/>
    </xf>
    <xf numFmtId="6" fontId="0" fillId="2" borderId="3" xfId="0" applyNumberFormat="1" applyFont="1" applyFill="1" applyBorder="1" applyAlignment="1" applyProtection="1">
      <alignment horizontal="right" wrapText="1"/>
      <protection locked="0"/>
    </xf>
    <xf numFmtId="9" fontId="0" fillId="0" borderId="3" xfId="0" applyNumberFormat="1" applyFont="1" applyBorder="1" applyAlignment="1" applyProtection="1">
      <alignment horizontal="center" wrapText="1"/>
      <protection locked="0"/>
    </xf>
    <xf numFmtId="6" fontId="0" fillId="0" borderId="9" xfId="0" applyNumberFormat="1" applyFont="1" applyBorder="1" applyAlignment="1" applyProtection="1">
      <alignment horizontal="center"/>
      <protection locked="0"/>
    </xf>
    <xf numFmtId="9" fontId="0" fillId="0" borderId="3" xfId="0" applyNumberFormat="1" applyFont="1" applyBorder="1" applyAlignment="1" applyProtection="1">
      <alignment horizontal="center" wrapText="1"/>
    </xf>
    <xf numFmtId="6" fontId="0" fillId="0" borderId="9" xfId="0" applyNumberFormat="1" applyFont="1" applyBorder="1" applyAlignment="1" applyProtection="1">
      <alignment horizontal="right"/>
      <protection locked="0"/>
    </xf>
    <xf numFmtId="6" fontId="0" fillId="2" borderId="3" xfId="0" applyNumberFormat="1" applyFont="1" applyFill="1" applyBorder="1" applyAlignment="1" applyProtection="1">
      <alignment horizontal="right"/>
      <protection locked="0"/>
    </xf>
    <xf numFmtId="6" fontId="2" fillId="0" borderId="0" xfId="0" applyNumberFormat="1" applyFont="1" applyAlignment="1" applyProtection="1">
      <alignment horizontal="right" wrapText="1"/>
      <protection locked="0"/>
    </xf>
    <xf numFmtId="0" fontId="0" fillId="0" borderId="9" xfId="0" applyBorder="1" applyAlignment="1" applyProtection="1">
      <alignment horizontal="center"/>
      <protection locked="0"/>
    </xf>
    <xf numFmtId="3" fontId="0" fillId="0" borderId="9" xfId="0" applyNumberFormat="1" applyFont="1" applyBorder="1" applyProtection="1">
      <protection locked="0"/>
    </xf>
    <xf numFmtId="0" fontId="0" fillId="0" borderId="0" xfId="0" applyProtection="1">
      <protection locked="0"/>
    </xf>
    <xf numFmtId="0" fontId="0" fillId="0" borderId="9" xfId="0" applyFont="1" applyBorder="1" applyAlignment="1" applyProtection="1">
      <alignment horizontal="center"/>
      <protection locked="0"/>
    </xf>
    <xf numFmtId="0" fontId="0" fillId="0" borderId="0" xfId="0" applyAlignment="1" applyProtection="1">
      <alignment horizontal="left"/>
      <protection locked="0"/>
    </xf>
    <xf numFmtId="8" fontId="0" fillId="0" borderId="9" xfId="0" applyNumberFormat="1" applyFont="1" applyBorder="1" applyProtection="1">
      <protection locked="0"/>
    </xf>
    <xf numFmtId="164" fontId="0" fillId="0" borderId="9" xfId="0" applyNumberFormat="1" applyFont="1" applyBorder="1" applyProtection="1">
      <protection locked="0"/>
    </xf>
    <xf numFmtId="0" fontId="0" fillId="0" borderId="0" xfId="0" applyFont="1" applyAlignment="1" applyProtection="1">
      <alignment horizontal="left"/>
      <protection locked="0"/>
    </xf>
    <xf numFmtId="9" fontId="0" fillId="0" borderId="3" xfId="0" applyNumberFormat="1" applyBorder="1" applyAlignment="1" applyProtection="1">
      <alignment horizontal="center" wrapText="1"/>
    </xf>
    <xf numFmtId="3" fontId="0" fillId="0" borderId="9" xfId="0" applyNumberFormat="1" applyFont="1" applyFill="1" applyBorder="1" applyProtection="1">
      <protection locked="0"/>
    </xf>
    <xf numFmtId="0" fontId="0" fillId="0" borderId="0" xfId="0" applyBorder="1" applyAlignment="1" applyProtection="1">
      <alignment horizontal="center"/>
      <protection locked="0"/>
    </xf>
    <xf numFmtId="6" fontId="0" fillId="2" borderId="0" xfId="0" applyNumberFormat="1" applyFont="1" applyFill="1" applyBorder="1" applyAlignment="1" applyProtection="1">
      <alignment horizontal="right"/>
      <protection locked="0"/>
    </xf>
    <xf numFmtId="9" fontId="0" fillId="0" borderId="0" xfId="0" applyNumberFormat="1" applyFont="1" applyBorder="1" applyAlignment="1" applyProtection="1">
      <alignment horizontal="center" wrapText="1"/>
      <protection locked="0"/>
    </xf>
    <xf numFmtId="9" fontId="0" fillId="0" borderId="0" xfId="0" applyNumberFormat="1" applyFont="1" applyBorder="1" applyAlignment="1" applyProtection="1">
      <alignment horizontal="center" wrapText="1"/>
    </xf>
    <xf numFmtId="0" fontId="2" fillId="3" borderId="0" xfId="0" applyFont="1" applyFill="1" applyProtection="1">
      <protection locked="0"/>
    </xf>
    <xf numFmtId="0" fontId="0" fillId="3" borderId="0" xfId="0" applyFont="1" applyFill="1" applyAlignment="1" applyProtection="1">
      <alignment horizontal="center"/>
      <protection locked="0"/>
    </xf>
    <xf numFmtId="3" fontId="0" fillId="3" borderId="9" xfId="0" applyNumberFormat="1" applyFont="1" applyFill="1" applyBorder="1" applyAlignment="1" applyProtection="1">
      <alignment horizontal="right" wrapText="1"/>
      <protection locked="0"/>
    </xf>
    <xf numFmtId="164" fontId="0" fillId="3" borderId="9" xfId="0" applyNumberFormat="1" applyFont="1" applyFill="1" applyBorder="1" applyAlignment="1" applyProtection="1">
      <alignment horizontal="center" wrapText="1"/>
      <protection locked="0"/>
    </xf>
    <xf numFmtId="6" fontId="2" fillId="3" borderId="9" xfId="0" applyNumberFormat="1" applyFont="1" applyFill="1" applyBorder="1" applyProtection="1">
      <protection locked="0"/>
    </xf>
    <xf numFmtId="0" fontId="0" fillId="0" borderId="0" xfId="0" applyFont="1" applyAlignment="1" applyProtection="1">
      <alignment horizontal="center"/>
      <protection locked="0"/>
    </xf>
    <xf numFmtId="3" fontId="0" fillId="0" borderId="0" xfId="0" applyNumberFormat="1" applyFont="1" applyProtection="1">
      <protection locked="0"/>
    </xf>
    <xf numFmtId="164" fontId="0" fillId="0" borderId="0" xfId="0" applyNumberFormat="1" applyFont="1" applyProtection="1">
      <protection locked="0"/>
    </xf>
    <xf numFmtId="6" fontId="0" fillId="0" borderId="0" xfId="0" applyNumberFormat="1" applyFont="1" applyProtection="1">
      <protection locked="0"/>
    </xf>
    <xf numFmtId="6" fontId="0" fillId="2" borderId="0" xfId="0" applyNumberFormat="1" applyFont="1" applyFill="1" applyAlignment="1" applyProtection="1">
      <alignment horizontal="right"/>
      <protection locked="0"/>
    </xf>
    <xf numFmtId="9" fontId="0" fillId="0" borderId="0" xfId="0" applyNumberFormat="1" applyFont="1" applyFill="1" applyProtection="1">
      <protection locked="0"/>
    </xf>
    <xf numFmtId="9" fontId="0" fillId="0" borderId="0" xfId="0" applyNumberFormat="1" applyFont="1" applyAlignment="1" applyProtection="1">
      <alignment horizontal="center"/>
      <protection locked="0"/>
    </xf>
    <xf numFmtId="0" fontId="0" fillId="2" borderId="0" xfId="0" applyFont="1" applyFill="1" applyProtection="1">
      <protection locked="0"/>
    </xf>
    <xf numFmtId="3" fontId="0" fillId="0" borderId="0" xfId="0" applyNumberFormat="1" applyFont="1" applyBorder="1" applyProtection="1">
      <protection locked="0"/>
    </xf>
    <xf numFmtId="6" fontId="0" fillId="0" borderId="0" xfId="0" applyNumberFormat="1" applyFont="1" applyBorder="1" applyProtection="1">
      <protection locked="0"/>
    </xf>
    <xf numFmtId="6" fontId="0" fillId="0" borderId="0" xfId="0" applyNumberFormat="1" applyFont="1" applyBorder="1" applyAlignment="1" applyProtection="1">
      <alignment horizontal="center"/>
      <protection locked="0"/>
    </xf>
    <xf numFmtId="6" fontId="0" fillId="0" borderId="0" xfId="0" applyNumberFormat="1" applyFont="1" applyBorder="1" applyAlignment="1" applyProtection="1">
      <alignment horizontal="right"/>
      <protection locked="0"/>
    </xf>
    <xf numFmtId="0" fontId="3" fillId="0" borderId="0" xfId="0" applyFont="1"/>
    <xf numFmtId="0" fontId="0" fillId="0" borderId="0" xfId="0"/>
    <xf numFmtId="0" fontId="0" fillId="0" borderId="0" xfId="0"/>
    <xf numFmtId="8" fontId="0" fillId="0" borderId="0" xfId="0" applyNumberFormat="1"/>
    <xf numFmtId="44" fontId="0" fillId="0" borderId="0" xfId="50" applyFont="1"/>
    <xf numFmtId="6" fontId="0" fillId="0" borderId="0" xfId="0" applyNumberFormat="1"/>
    <xf numFmtId="0" fontId="9" fillId="11" borderId="7" xfId="0" applyFont="1" applyFill="1" applyBorder="1" applyAlignment="1" applyProtection="1">
      <alignment horizontal="center" vertical="center"/>
    </xf>
    <xf numFmtId="0" fontId="9" fillId="12" borderId="7" xfId="0" applyFont="1" applyFill="1" applyBorder="1" applyAlignment="1" applyProtection="1">
      <alignment horizontal="center" vertical="center"/>
    </xf>
    <xf numFmtId="0" fontId="9" fillId="11" borderId="0" xfId="0" applyFont="1" applyFill="1" applyBorder="1" applyAlignment="1" applyProtection="1">
      <alignment horizontal="center" vertical="center"/>
    </xf>
    <xf numFmtId="0" fontId="0" fillId="0" borderId="0" xfId="0" applyAlignment="1"/>
    <xf numFmtId="0" fontId="0" fillId="0" borderId="0" xfId="0" applyFill="1" applyBorder="1" applyAlignment="1"/>
    <xf numFmtId="0" fontId="10" fillId="0" borderId="11" xfId="0" applyFont="1" applyFill="1" applyBorder="1" applyAlignment="1" applyProtection="1">
      <alignment vertical="center"/>
    </xf>
    <xf numFmtId="0" fontId="10" fillId="3" borderId="11" xfId="0" applyFont="1" applyFill="1" applyBorder="1" applyAlignment="1" applyProtection="1">
      <alignment horizontal="center" vertical="center"/>
    </xf>
    <xf numFmtId="0" fontId="10" fillId="0" borderId="11" xfId="0" applyFont="1" applyFill="1" applyBorder="1" applyAlignment="1" applyProtection="1">
      <alignment horizontal="right" vertical="center"/>
    </xf>
    <xf numFmtId="44" fontId="10" fillId="0" borderId="11" xfId="0" applyNumberFormat="1" applyFont="1" applyFill="1" applyBorder="1" applyAlignment="1" applyProtection="1">
      <alignment horizontal="right" vertical="center"/>
    </xf>
    <xf numFmtId="169" fontId="10" fillId="0" borderId="11" xfId="49" applyNumberFormat="1" applyFont="1" applyFill="1" applyBorder="1" applyAlignment="1" applyProtection="1">
      <alignment horizontal="right" vertical="center"/>
    </xf>
    <xf numFmtId="6" fontId="0" fillId="13" borderId="9" xfId="0" applyNumberFormat="1" applyFont="1" applyFill="1" applyBorder="1" applyProtection="1">
      <protection locked="0"/>
    </xf>
    <xf numFmtId="0" fontId="9" fillId="12" borderId="0" xfId="0" applyFont="1" applyFill="1" applyBorder="1" applyAlignment="1" applyProtection="1">
      <alignment horizontal="center" vertical="center"/>
    </xf>
    <xf numFmtId="0" fontId="10" fillId="3" borderId="0" xfId="0" applyFont="1" applyFill="1" applyBorder="1" applyAlignment="1" applyProtection="1">
      <alignment horizontal="center" vertical="center"/>
    </xf>
    <xf numFmtId="0" fontId="0" fillId="0" borderId="0" xfId="0"/>
    <xf numFmtId="0" fontId="10" fillId="0" borderId="0" xfId="0" applyFont="1" applyFill="1" applyBorder="1" applyAlignment="1" applyProtection="1">
      <alignment vertical="center"/>
    </xf>
    <xf numFmtId="0" fontId="0" fillId="14" borderId="0" xfId="0" applyFill="1" applyAlignment="1" applyProtection="1">
      <alignment horizontal="left"/>
      <protection locked="0"/>
    </xf>
    <xf numFmtId="0" fontId="0" fillId="14" borderId="9" xfId="0" applyFill="1" applyBorder="1" applyAlignment="1" applyProtection="1">
      <alignment horizontal="center"/>
      <protection locked="0"/>
    </xf>
    <xf numFmtId="3" fontId="0" fillId="14" borderId="9" xfId="0" applyNumberFormat="1" applyFont="1" applyFill="1" applyBorder="1" applyProtection="1">
      <protection locked="0"/>
    </xf>
    <xf numFmtId="6" fontId="0" fillId="0" borderId="9" xfId="0" applyNumberFormat="1" applyFont="1" applyFill="1" applyBorder="1" applyProtection="1">
      <protection locked="0"/>
    </xf>
    <xf numFmtId="0" fontId="10" fillId="14" borderId="11" xfId="0" applyFont="1" applyFill="1" applyBorder="1" applyAlignment="1" applyProtection="1">
      <alignment horizontal="right" vertical="center"/>
    </xf>
    <xf numFmtId="44" fontId="10" fillId="14" borderId="11" xfId="0" applyNumberFormat="1" applyFont="1" applyFill="1" applyBorder="1" applyAlignment="1" applyProtection="1">
      <alignment horizontal="right" vertical="center"/>
    </xf>
    <xf numFmtId="0" fontId="10" fillId="15" borderId="11" xfId="0" applyFont="1" applyFill="1" applyBorder="1" applyAlignment="1" applyProtection="1">
      <alignment vertical="center"/>
    </xf>
    <xf numFmtId="0" fontId="12" fillId="14" borderId="11" xfId="0" applyFont="1" applyFill="1" applyBorder="1" applyAlignment="1" applyProtection="1">
      <alignment vertical="center"/>
    </xf>
    <xf numFmtId="49" fontId="10" fillId="14" borderId="11" xfId="0" applyNumberFormat="1" applyFont="1" applyFill="1" applyBorder="1" applyAlignment="1" applyProtection="1">
      <alignment vertical="center"/>
    </xf>
    <xf numFmtId="0" fontId="0" fillId="0" borderId="0" xfId="0" applyAlignment="1">
      <alignment horizontal="center"/>
    </xf>
    <xf numFmtId="0" fontId="2" fillId="0" borderId="0" xfId="0" applyFont="1" applyBorder="1" applyAlignment="1" applyProtection="1">
      <alignment horizontal="center"/>
      <protection locked="0"/>
    </xf>
    <xf numFmtId="0" fontId="0" fillId="0" borderId="0" xfId="0"/>
    <xf numFmtId="3" fontId="0" fillId="0" borderId="9" xfId="0" applyNumberFormat="1" applyFill="1" applyBorder="1" applyProtection="1">
      <protection locked="0"/>
    </xf>
    <xf numFmtId="9" fontId="0" fillId="0" borderId="0" xfId="0" applyNumberFormat="1" applyBorder="1" applyAlignment="1" applyProtection="1">
      <alignment horizontal="center" wrapText="1"/>
    </xf>
    <xf numFmtId="6" fontId="2" fillId="0" borderId="0" xfId="0" applyNumberFormat="1" applyFont="1" applyBorder="1" applyAlignment="1" applyProtection="1">
      <alignment horizontal="center"/>
      <protection locked="0"/>
    </xf>
    <xf numFmtId="16" fontId="0" fillId="0" borderId="0" xfId="0" applyNumberFormat="1" applyFont="1" applyBorder="1" applyAlignment="1" applyProtection="1">
      <alignment horizontal="center" wrapText="1"/>
    </xf>
    <xf numFmtId="6" fontId="0" fillId="0" borderId="0" xfId="0" applyNumberFormat="1" applyBorder="1" applyAlignment="1" applyProtection="1">
      <alignment horizontal="center"/>
      <protection locked="0"/>
    </xf>
    <xf numFmtId="9" fontId="0" fillId="0" borderId="0" xfId="0" applyNumberFormat="1" applyBorder="1" applyAlignment="1" applyProtection="1">
      <alignment horizontal="center"/>
      <protection locked="0"/>
    </xf>
    <xf numFmtId="0" fontId="0" fillId="0" borderId="0" xfId="0" applyFont="1" applyBorder="1" applyAlignment="1" applyProtection="1">
      <alignment horizontal="center"/>
      <protection locked="0"/>
    </xf>
    <xf numFmtId="0" fontId="0" fillId="0" borderId="0" xfId="0" applyFont="1" applyBorder="1" applyAlignment="1" applyProtection="1">
      <alignment horizontal="right"/>
      <protection locked="0"/>
    </xf>
    <xf numFmtId="8" fontId="0" fillId="0" borderId="0" xfId="0" applyNumberFormat="1" applyFont="1" applyBorder="1" applyProtection="1">
      <protection locked="0"/>
    </xf>
    <xf numFmtId="9" fontId="0" fillId="0" borderId="0" xfId="0" applyNumberFormat="1" applyFont="1" applyBorder="1" applyAlignment="1" applyProtection="1">
      <alignment horizontal="center"/>
      <protection locked="0"/>
    </xf>
    <xf numFmtId="0" fontId="0" fillId="0" borderId="0" xfId="0" applyFont="1" applyBorder="1" applyProtection="1">
      <protection locked="0"/>
    </xf>
    <xf numFmtId="169" fontId="10" fillId="0" borderId="0" xfId="49" applyNumberFormat="1" applyFont="1" applyFill="1" applyBorder="1" applyAlignment="1" applyProtection="1">
      <alignment horizontal="right" vertical="center"/>
    </xf>
    <xf numFmtId="3" fontId="10" fillId="0" borderId="11" xfId="0" applyNumberFormat="1" applyFont="1" applyFill="1" applyBorder="1" applyAlignment="1" applyProtection="1">
      <alignment horizontal="right" vertical="center"/>
    </xf>
    <xf numFmtId="0" fontId="2" fillId="0" borderId="0" xfId="0" applyFont="1" applyAlignment="1">
      <alignment horizontal="center"/>
    </xf>
    <xf numFmtId="6" fontId="0" fillId="0" borderId="0" xfId="0" applyNumberFormat="1" applyAlignment="1">
      <alignment horizontal="center"/>
    </xf>
    <xf numFmtId="0" fontId="10" fillId="0" borderId="0" xfId="0" applyFont="1" applyFill="1" applyBorder="1" applyAlignment="1" applyProtection="1">
      <alignment horizontal="center" vertical="center"/>
    </xf>
    <xf numFmtId="8" fontId="0" fillId="13" borderId="9" xfId="0" applyNumberFormat="1" applyFont="1" applyFill="1" applyBorder="1" applyProtection="1">
      <protection locked="0"/>
    </xf>
    <xf numFmtId="6" fontId="0" fillId="13" borderId="0" xfId="0" applyNumberFormat="1" applyFont="1" applyFill="1" applyBorder="1" applyProtection="1">
      <protection locked="0"/>
    </xf>
    <xf numFmtId="8" fontId="0" fillId="13" borderId="0" xfId="0" applyNumberFormat="1" applyFont="1" applyFill="1" applyBorder="1" applyProtection="1">
      <protection locked="0"/>
    </xf>
    <xf numFmtId="0" fontId="2" fillId="0" borderId="0" xfId="0" applyFont="1" applyBorder="1" applyAlignment="1" applyProtection="1">
      <alignment horizontal="center"/>
      <protection locked="0"/>
    </xf>
    <xf numFmtId="0" fontId="0" fillId="0" borderId="0" xfId="0"/>
    <xf numFmtId="15" fontId="2" fillId="0" borderId="0" xfId="0" applyNumberFormat="1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13" fillId="0" borderId="0" xfId="0" applyFont="1" applyAlignment="1" applyProtection="1">
      <alignment horizontal="left"/>
      <protection locked="0"/>
    </xf>
    <xf numFmtId="44" fontId="0" fillId="0" borderId="0" xfId="50" applyFont="1" applyProtection="1">
      <protection locked="0"/>
    </xf>
    <xf numFmtId="10" fontId="0" fillId="0" borderId="0" xfId="53" applyNumberFormat="1" applyFont="1" applyAlignment="1" applyProtection="1">
      <alignment horizontal="right"/>
      <protection locked="0"/>
    </xf>
    <xf numFmtId="0" fontId="0" fillId="16" borderId="0" xfId="0" applyFont="1" applyFill="1" applyAlignment="1" applyProtection="1">
      <alignment horizontal="right"/>
      <protection locked="0"/>
    </xf>
    <xf numFmtId="8" fontId="0" fillId="0" borderId="0" xfId="0" applyNumberFormat="1" applyFont="1" applyProtection="1">
      <protection locked="0"/>
    </xf>
    <xf numFmtId="170" fontId="0" fillId="0" borderId="0" xfId="50" applyNumberFormat="1" applyFont="1" applyAlignment="1" applyProtection="1">
      <alignment horizontal="right"/>
      <protection locked="0"/>
    </xf>
    <xf numFmtId="0" fontId="14" fillId="0" borderId="0" xfId="54" applyAlignment="1" applyProtection="1">
      <alignment horizontal="left"/>
      <protection locked="0"/>
    </xf>
    <xf numFmtId="44" fontId="0" fillId="0" borderId="0" xfId="50" applyFont="1" applyAlignment="1" applyProtection="1">
      <alignment horizontal="right"/>
      <protection locked="0"/>
    </xf>
    <xf numFmtId="0" fontId="2" fillId="0" borderId="0" xfId="0" applyFont="1" applyFill="1" applyProtection="1">
      <protection locked="0"/>
    </xf>
    <xf numFmtId="0" fontId="0" fillId="0" borderId="0" xfId="0" applyFont="1" applyFill="1" applyAlignment="1" applyProtection="1">
      <alignment horizontal="center"/>
      <protection locked="0"/>
    </xf>
    <xf numFmtId="3" fontId="0" fillId="0" borderId="0" xfId="0" applyNumberFormat="1" applyFont="1" applyFill="1" applyBorder="1" applyAlignment="1" applyProtection="1">
      <alignment horizontal="right" wrapText="1"/>
      <protection locked="0"/>
    </xf>
    <xf numFmtId="164" fontId="0" fillId="0" borderId="0" xfId="0" applyNumberFormat="1" applyFont="1" applyFill="1" applyBorder="1" applyAlignment="1" applyProtection="1">
      <alignment horizontal="center" wrapText="1"/>
      <protection locked="0"/>
    </xf>
    <xf numFmtId="6" fontId="2" fillId="0" borderId="0" xfId="0" applyNumberFormat="1" applyFont="1" applyFill="1" applyBorder="1" applyProtection="1">
      <protection locked="0"/>
    </xf>
    <xf numFmtId="6" fontId="2" fillId="0" borderId="9" xfId="0" applyNumberFormat="1" applyFont="1" applyFill="1" applyBorder="1" applyProtection="1">
      <protection locked="0"/>
    </xf>
    <xf numFmtId="6" fontId="2" fillId="0" borderId="0" xfId="0" applyNumberFormat="1" applyFont="1" applyFill="1" applyAlignment="1" applyProtection="1">
      <alignment horizontal="right" wrapText="1"/>
      <protection locked="0"/>
    </xf>
    <xf numFmtId="0" fontId="2" fillId="0" borderId="0" xfId="0" applyFont="1" applyFill="1" applyAlignment="1" applyProtection="1">
      <alignment horizontal="center" wrapText="1"/>
      <protection locked="0"/>
    </xf>
    <xf numFmtId="0" fontId="0" fillId="0" borderId="0" xfId="0" applyFont="1" applyFill="1" applyProtection="1">
      <protection locked="0"/>
    </xf>
    <xf numFmtId="6" fontId="0" fillId="0" borderId="0" xfId="0" applyNumberFormat="1" applyFont="1" applyFill="1" applyBorder="1" applyProtection="1">
      <protection locked="0"/>
    </xf>
    <xf numFmtId="0" fontId="2" fillId="0" borderId="0" xfId="0" applyFont="1" applyBorder="1" applyAlignment="1" applyProtection="1">
      <alignment horizontal="center"/>
      <protection locked="0"/>
    </xf>
    <xf numFmtId="0" fontId="2" fillId="0" borderId="0" xfId="0" applyFont="1" applyFill="1" applyBorder="1" applyAlignment="1"/>
    <xf numFmtId="0" fontId="0" fillId="0" borderId="0" xfId="0" applyFill="1" applyBorder="1" applyAlignment="1">
      <alignment wrapText="1"/>
    </xf>
    <xf numFmtId="6" fontId="2" fillId="0" borderId="3" xfId="0" applyNumberFormat="1" applyFont="1" applyFill="1" applyBorder="1" applyAlignment="1" applyProtection="1">
      <alignment horizontal="center" wrapText="1"/>
      <protection locked="0"/>
    </xf>
    <xf numFmtId="6" fontId="0" fillId="0" borderId="3" xfId="0" applyNumberFormat="1" applyFont="1" applyFill="1" applyBorder="1" applyAlignment="1" applyProtection="1">
      <alignment horizontal="right" wrapText="1"/>
      <protection locked="0"/>
    </xf>
    <xf numFmtId="6" fontId="0" fillId="0" borderId="0" xfId="0" applyNumberFormat="1" applyFont="1" applyFill="1" applyBorder="1" applyAlignment="1" applyProtection="1">
      <alignment horizontal="right"/>
      <protection locked="0"/>
    </xf>
    <xf numFmtId="6" fontId="0" fillId="0" borderId="0" xfId="0" applyNumberFormat="1" applyFont="1" applyFill="1" applyAlignment="1" applyProtection="1">
      <alignment horizontal="right"/>
      <protection locked="0"/>
    </xf>
    <xf numFmtId="8" fontId="0" fillId="0" borderId="3" xfId="0" applyNumberFormat="1" applyFont="1" applyFill="1" applyBorder="1" applyAlignment="1" applyProtection="1">
      <alignment horizontal="right"/>
      <protection locked="0"/>
    </xf>
    <xf numFmtId="0" fontId="15" fillId="0" borderId="12" xfId="0" applyFont="1" applyBorder="1" applyProtection="1">
      <protection locked="0"/>
    </xf>
    <xf numFmtId="0" fontId="0" fillId="0" borderId="13" xfId="0" applyFont="1" applyBorder="1" applyAlignment="1" applyProtection="1">
      <alignment horizontal="center"/>
      <protection locked="0"/>
    </xf>
    <xf numFmtId="3" fontId="0" fillId="0" borderId="13" xfId="0" applyNumberFormat="1" applyFont="1" applyBorder="1" applyProtection="1">
      <protection locked="0"/>
    </xf>
    <xf numFmtId="164" fontId="0" fillId="0" borderId="13" xfId="0" applyNumberFormat="1" applyFont="1" applyBorder="1" applyProtection="1">
      <protection locked="0"/>
    </xf>
    <xf numFmtId="15" fontId="2" fillId="0" borderId="13" xfId="0" applyNumberFormat="1" applyFont="1" applyBorder="1" applyAlignment="1" applyProtection="1">
      <alignment horizontal="center"/>
      <protection locked="0"/>
    </xf>
    <xf numFmtId="6" fontId="0" fillId="2" borderId="13" xfId="0" applyNumberFormat="1" applyFont="1" applyFill="1" applyBorder="1" applyAlignment="1" applyProtection="1">
      <alignment horizontal="right"/>
      <protection locked="0"/>
    </xf>
    <xf numFmtId="6" fontId="0" fillId="0" borderId="13" xfId="0" applyNumberFormat="1" applyFont="1" applyFill="1" applyBorder="1" applyAlignment="1" applyProtection="1">
      <alignment horizontal="right"/>
      <protection locked="0"/>
    </xf>
    <xf numFmtId="9" fontId="0" fillId="0" borderId="13" xfId="0" applyNumberFormat="1" applyFont="1" applyFill="1" applyBorder="1" applyProtection="1">
      <protection locked="0"/>
    </xf>
    <xf numFmtId="15" fontId="2" fillId="0" borderId="14" xfId="0" applyNumberFormat="1" applyFont="1" applyBorder="1" applyAlignment="1" applyProtection="1">
      <alignment horizontal="center"/>
      <protection locked="0"/>
    </xf>
    <xf numFmtId="0" fontId="0" fillId="0" borderId="15" xfId="0" applyBorder="1" applyAlignment="1" applyProtection="1">
      <alignment horizontal="left"/>
      <protection locked="0"/>
    </xf>
    <xf numFmtId="9" fontId="0" fillId="0" borderId="0" xfId="0" applyNumberFormat="1" applyFont="1" applyFill="1" applyBorder="1" applyProtection="1">
      <protection locked="0"/>
    </xf>
    <xf numFmtId="0" fontId="2" fillId="0" borderId="16" xfId="0" applyFont="1" applyBorder="1" applyAlignment="1" applyProtection="1">
      <alignment horizontal="center"/>
      <protection locked="0"/>
    </xf>
    <xf numFmtId="0" fontId="0" fillId="0" borderId="15" xfId="0" applyFont="1" applyBorder="1" applyProtection="1">
      <protection locked="0"/>
    </xf>
    <xf numFmtId="164" fontId="0" fillId="0" borderId="0" xfId="0" applyNumberFormat="1" applyFont="1" applyBorder="1" applyProtection="1">
      <protection locked="0"/>
    </xf>
    <xf numFmtId="0" fontId="3" fillId="0" borderId="15" xfId="0" applyFont="1" applyBorder="1"/>
    <xf numFmtId="44" fontId="0" fillId="0" borderId="0" xfId="11" applyFont="1" applyBorder="1" applyProtection="1">
      <protection locked="0"/>
    </xf>
    <xf numFmtId="8" fontId="0" fillId="13" borderId="16" xfId="0" applyNumberFormat="1" applyFont="1" applyFill="1" applyBorder="1" applyProtection="1">
      <protection locked="0"/>
    </xf>
    <xf numFmtId="0" fontId="5" fillId="0" borderId="15" xfId="0" applyFont="1" applyBorder="1" applyProtection="1">
      <protection locked="0"/>
    </xf>
    <xf numFmtId="0" fontId="0" fillId="0" borderId="15" xfId="0" applyBorder="1" applyProtection="1">
      <protection locked="0"/>
    </xf>
    <xf numFmtId="0" fontId="0" fillId="0" borderId="16" xfId="0" applyFont="1" applyBorder="1" applyAlignment="1" applyProtection="1">
      <alignment horizontal="center"/>
      <protection locked="0"/>
    </xf>
    <xf numFmtId="0" fontId="0" fillId="0" borderId="17" xfId="0" applyFont="1" applyBorder="1" applyProtection="1">
      <protection locked="0"/>
    </xf>
    <xf numFmtId="0" fontId="0" fillId="0" borderId="18" xfId="0" applyFont="1" applyBorder="1" applyAlignment="1" applyProtection="1">
      <alignment horizontal="center"/>
      <protection locked="0"/>
    </xf>
    <xf numFmtId="171" fontId="0" fillId="0" borderId="18" xfId="53" applyNumberFormat="1" applyFont="1" applyBorder="1" applyProtection="1">
      <protection locked="0"/>
    </xf>
    <xf numFmtId="164" fontId="0" fillId="0" borderId="18" xfId="0" applyNumberFormat="1" applyFont="1" applyBorder="1" applyProtection="1">
      <protection locked="0"/>
    </xf>
    <xf numFmtId="6" fontId="0" fillId="2" borderId="18" xfId="0" applyNumberFormat="1" applyFont="1" applyFill="1" applyBorder="1" applyAlignment="1" applyProtection="1">
      <alignment horizontal="right"/>
      <protection locked="0"/>
    </xf>
    <xf numFmtId="6" fontId="0" fillId="0" borderId="18" xfId="0" applyNumberFormat="1" applyFont="1" applyFill="1" applyBorder="1" applyAlignment="1" applyProtection="1">
      <alignment horizontal="right"/>
      <protection locked="0"/>
    </xf>
    <xf numFmtId="9" fontId="0" fillId="0" borderId="18" xfId="0" applyNumberFormat="1" applyFont="1" applyFill="1" applyBorder="1" applyProtection="1">
      <protection locked="0"/>
    </xf>
    <xf numFmtId="172" fontId="0" fillId="0" borderId="19" xfId="0" applyNumberFormat="1" applyFont="1" applyBorder="1" applyProtection="1">
      <protection locked="0"/>
    </xf>
    <xf numFmtId="8" fontId="0" fillId="15" borderId="9" xfId="0" applyNumberFormat="1" applyFont="1" applyFill="1" applyBorder="1" applyProtection="1">
      <protection locked="0"/>
    </xf>
    <xf numFmtId="173" fontId="0" fillId="0" borderId="0" xfId="0" applyNumberFormat="1" applyAlignment="1"/>
    <xf numFmtId="173" fontId="10" fillId="0" borderId="11" xfId="0" applyNumberFormat="1" applyFont="1" applyFill="1" applyBorder="1" applyAlignment="1" applyProtection="1">
      <alignment horizontal="right" vertical="center"/>
    </xf>
    <xf numFmtId="44" fontId="10" fillId="13" borderId="11" xfId="0" applyNumberFormat="1" applyFont="1" applyFill="1" applyBorder="1" applyAlignment="1" applyProtection="1">
      <alignment horizontal="right" vertical="center"/>
    </xf>
    <xf numFmtId="44" fontId="0" fillId="0" borderId="11" xfId="0" applyNumberFormat="1" applyBorder="1" applyAlignment="1"/>
    <xf numFmtId="44" fontId="10" fillId="0" borderId="0" xfId="0" applyNumberFormat="1" applyFont="1" applyFill="1" applyBorder="1" applyAlignment="1" applyProtection="1">
      <alignment horizontal="right" vertical="center"/>
    </xf>
    <xf numFmtId="44" fontId="10" fillId="13" borderId="0" xfId="0" applyNumberFormat="1" applyFont="1" applyFill="1" applyBorder="1" applyAlignment="1" applyProtection="1">
      <alignment horizontal="right" vertical="center"/>
    </xf>
    <xf numFmtId="8" fontId="10" fillId="0" borderId="11" xfId="0" applyNumberFormat="1" applyFont="1" applyFill="1" applyBorder="1" applyAlignment="1" applyProtection="1">
      <alignment horizontal="right" vertical="center"/>
    </xf>
    <xf numFmtId="0" fontId="2" fillId="0" borderId="4" xfId="0" applyFont="1" applyBorder="1" applyAlignment="1" applyProtection="1">
      <alignment horizontal="center" wrapText="1"/>
      <protection locked="0"/>
    </xf>
    <xf numFmtId="0" fontId="2" fillId="0" borderId="6" xfId="0" applyFont="1" applyBorder="1" applyAlignment="1" applyProtection="1">
      <alignment horizontal="center" wrapText="1"/>
      <protection locked="0"/>
    </xf>
    <xf numFmtId="9" fontId="2" fillId="0" borderId="1" xfId="0" applyNumberFormat="1" applyFont="1" applyFill="1" applyBorder="1" applyAlignment="1" applyProtection="1">
      <alignment horizontal="center"/>
      <protection locked="0"/>
    </xf>
    <xf numFmtId="0" fontId="0" fillId="0" borderId="2" xfId="0" applyBorder="1"/>
    <xf numFmtId="0" fontId="0" fillId="0" borderId="3" xfId="0" applyFont="1" applyBorder="1" applyAlignment="1" applyProtection="1">
      <alignment horizontal="center" wrapText="1"/>
      <protection locked="0"/>
    </xf>
    <xf numFmtId="0" fontId="0" fillId="0" borderId="0" xfId="0" applyAlignment="1">
      <alignment wrapText="1"/>
    </xf>
    <xf numFmtId="0" fontId="2" fillId="0" borderId="0" xfId="0" applyFont="1" applyBorder="1" applyAlignment="1" applyProtection="1">
      <alignment horizontal="center"/>
      <protection locked="0"/>
    </xf>
    <xf numFmtId="0" fontId="0" fillId="0" borderId="0" xfId="0"/>
  </cellXfs>
  <cellStyles count="55">
    <cellStyle name="Analysis-" xfId="1"/>
    <cellStyle name="Analysis_" xfId="2"/>
    <cellStyle name="Comma" xfId="49" builtinId="3"/>
    <cellStyle name="Comma 2" xfId="3"/>
    <cellStyle name="Comma 2 2" xfId="4"/>
    <cellStyle name="Comma 3" xfId="5"/>
    <cellStyle name="Cost_Display" xfId="6"/>
    <cellStyle name="Cost-Display" xfId="7"/>
    <cellStyle name="Cost-Entry" xfId="8"/>
    <cellStyle name="Currency" xfId="50" builtinId="4"/>
    <cellStyle name="Currency 2" xfId="9"/>
    <cellStyle name="Currency 2 2" xfId="10"/>
    <cellStyle name="Currency 3" xfId="11"/>
    <cellStyle name="Days-" xfId="12"/>
    <cellStyle name="Days_" xfId="13"/>
    <cellStyle name="Days-Display" xfId="14"/>
    <cellStyle name="Hyperlink" xfId="54" builtinId="8"/>
    <cellStyle name="Info_Display" xfId="15"/>
    <cellStyle name="Info-Display" xfId="16"/>
    <cellStyle name="Info-Entry" xfId="17"/>
    <cellStyle name="Normal" xfId="0" builtinId="0"/>
    <cellStyle name="Normal 10" xfId="18"/>
    <cellStyle name="Normal 11" xfId="19"/>
    <cellStyle name="Normal 12" xfId="51"/>
    <cellStyle name="Normal 13" xfId="52"/>
    <cellStyle name="Normal 2" xfId="20"/>
    <cellStyle name="Normal 2 2" xfId="21"/>
    <cellStyle name="Normal 2 3" xfId="22"/>
    <cellStyle name="Normal 3" xfId="23"/>
    <cellStyle name="Normal 3 2" xfId="24"/>
    <cellStyle name="Normal 3 2 2" xfId="25"/>
    <cellStyle name="Normal 3 3" xfId="26"/>
    <cellStyle name="Normal 3 4" xfId="27"/>
    <cellStyle name="Normal 3 5" xfId="28"/>
    <cellStyle name="Normal 4" xfId="29"/>
    <cellStyle name="Normal 4 2" xfId="30"/>
    <cellStyle name="Normal 4 2 2" xfId="31"/>
    <cellStyle name="Normal 4 3" xfId="32"/>
    <cellStyle name="Normal 4 4" xfId="33"/>
    <cellStyle name="Normal 4 5" xfId="34"/>
    <cellStyle name="Normal 5" xfId="35"/>
    <cellStyle name="Normal 6" xfId="36"/>
    <cellStyle name="Normal 6 2" xfId="37"/>
    <cellStyle name="Normal 7" xfId="38"/>
    <cellStyle name="Normal 7 2" xfId="39"/>
    <cellStyle name="Normal 8" xfId="40"/>
    <cellStyle name="Normal 9" xfId="41"/>
    <cellStyle name="Percent" xfId="53" builtinId="5"/>
    <cellStyle name="Price" xfId="42"/>
    <cellStyle name="Quant_Display" xfId="43"/>
    <cellStyle name="Quant-Display" xfId="44"/>
    <cellStyle name="Quant-Entry" xfId="45"/>
    <cellStyle name="Revenue_Display" xfId="46"/>
    <cellStyle name="Revenue-Display" xfId="47"/>
    <cellStyle name="Revenue-Entry" xfId="4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://www.metalprices.com/metal/cupro-nickel/cupro-nickel-c706" TargetMode="External"/><Relationship Id="rId3" Type="http://schemas.openxmlformats.org/officeDocument/2006/relationships/hyperlink" Target="http://www.metalprices.com/historical/database/copper/lme-copper-cash-official" TargetMode="External"/><Relationship Id="rId7" Type="http://schemas.openxmlformats.org/officeDocument/2006/relationships/hyperlink" Target="http://www.metalprices.com/historical/database/stainless-steel/stainless-steel-304-s-p" TargetMode="External"/><Relationship Id="rId2" Type="http://schemas.openxmlformats.org/officeDocument/2006/relationships/hyperlink" Target="http://www.metalprices.com/historical/database/aluminum/lme-aluminum-cash-official" TargetMode="External"/><Relationship Id="rId1" Type="http://schemas.openxmlformats.org/officeDocument/2006/relationships/hyperlink" Target="http://www.metalprices.com/historical/database/ferrous-scrap-price-index/fe-spi-5-plate-structural-birmingham" TargetMode="External"/><Relationship Id="rId6" Type="http://schemas.openxmlformats.org/officeDocument/2006/relationships/hyperlink" Target="http://www.metalprices.com/historical/database/brass/brass-yellow-brass" TargetMode="External"/><Relationship Id="rId5" Type="http://schemas.openxmlformats.org/officeDocument/2006/relationships/hyperlink" Target="http://www.metalprices.com/historical/database/stainless-steel/stainless-steel-304-s-p" TargetMode="External"/><Relationship Id="rId4" Type="http://schemas.openxmlformats.org/officeDocument/2006/relationships/hyperlink" Target="http://www.metalprices.com/historical/database/stainless-steel/stainless-steel-304-s-p" TargetMode="External"/><Relationship Id="rId9" Type="http://schemas.openxmlformats.org/officeDocument/2006/relationships/hyperlink" Target="http://www.metalprices.com/metal/titanium/titanium-scrap-ferro-ti-quality-turnings-non-tin-bearing-gt-85-ti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F52"/>
  <sheetViews>
    <sheetView showZeros="0" zoomScale="85" zoomScaleNormal="85" zoomScaleSheetLayoutView="100" workbookViewId="0">
      <pane xSplit="7" ySplit="3" topLeftCell="H4" activePane="bottomRight" state="frozen"/>
      <selection pane="topRight" activeCell="H1" sqref="H1"/>
      <selection pane="bottomLeft" activeCell="A4" sqref="A4"/>
      <selection pane="bottomRight" activeCell="E25" sqref="E25"/>
    </sheetView>
  </sheetViews>
  <sheetFormatPr defaultRowHeight="15" x14ac:dyDescent="0.25"/>
  <cols>
    <col min="1" max="1" width="2.42578125" style="1" customWidth="1"/>
    <col min="2" max="2" width="51.7109375" style="2" customWidth="1"/>
    <col min="3" max="3" width="4.85546875" style="60" bestFit="1" customWidth="1"/>
    <col min="4" max="4" width="10.140625" style="61" bestFit="1" customWidth="1"/>
    <col min="5" max="5" width="11.85546875" style="62" bestFit="1" customWidth="1"/>
    <col min="6" max="6" width="12.5703125" style="63" bestFit="1" customWidth="1"/>
    <col min="7" max="7" width="1.85546875" style="64" customWidth="1"/>
    <col min="8" max="8" width="12.140625" style="152" customWidth="1"/>
    <col min="9" max="9" width="1.85546875" style="64" customWidth="1"/>
    <col min="10" max="10" width="5.5703125" style="65" bestFit="1" customWidth="1"/>
    <col min="11" max="11" width="9.7109375" style="60" bestFit="1" customWidth="1"/>
    <col min="12" max="12" width="5.5703125" style="66" bestFit="1" customWidth="1"/>
    <col min="13" max="13" width="10" style="6" customWidth="1"/>
    <col min="14" max="14" width="4.5703125" style="6" bestFit="1" customWidth="1"/>
    <col min="15" max="15" width="9.28515625" style="2" customWidth="1"/>
    <col min="16" max="16" width="4.5703125" style="6" bestFit="1" customWidth="1"/>
    <col min="17" max="17" width="9.28515625" style="6" bestFit="1" customWidth="1"/>
    <col min="18" max="18" width="2" style="64" customWidth="1"/>
    <col min="19" max="19" width="5.7109375" style="65" bestFit="1" customWidth="1"/>
    <col min="20" max="20" width="10.85546875" style="6" bestFit="1" customWidth="1"/>
    <col min="21" max="21" width="5.5703125" style="66" bestFit="1" customWidth="1"/>
    <col min="22" max="22" width="10.85546875" style="6" bestFit="1" customWidth="1"/>
    <col min="23" max="23" width="5.5703125" style="6" bestFit="1" customWidth="1"/>
    <col min="24" max="24" width="10.85546875" style="2" bestFit="1" customWidth="1"/>
    <col min="25" max="25" width="5.5703125" style="6" bestFit="1" customWidth="1"/>
    <col min="26" max="26" width="10.85546875" style="6" bestFit="1" customWidth="1"/>
    <col min="27" max="27" width="1.42578125" style="67" customWidth="1"/>
    <col min="28" max="28" width="5.5703125" style="65" bestFit="1" customWidth="1"/>
    <col min="29" max="29" width="12.5703125" style="6" bestFit="1" customWidth="1"/>
    <col min="30" max="30" width="5.5703125" style="66" bestFit="1" customWidth="1"/>
    <col min="31" max="31" width="11.5703125" style="6" bestFit="1" customWidth="1"/>
    <col min="32" max="32" width="5.5703125" style="6" bestFit="1" customWidth="1"/>
    <col min="33" max="33" width="11.5703125" style="2" bestFit="1" customWidth="1"/>
    <col min="34" max="34" width="5.5703125" style="6" bestFit="1" customWidth="1"/>
    <col min="35" max="35" width="11.5703125" style="6" customWidth="1"/>
    <col min="36" max="36" width="1.28515625" style="67" customWidth="1"/>
    <col min="37" max="37" width="5.5703125" style="65" bestFit="1" customWidth="1"/>
    <col min="38" max="38" width="11.5703125" style="6" customWidth="1"/>
    <col min="39" max="39" width="5.7109375" style="66" bestFit="1" customWidth="1"/>
    <col min="40" max="40" width="11.5703125" style="6" bestFit="1" customWidth="1"/>
    <col min="41" max="41" width="5.7109375" style="6" bestFit="1" customWidth="1"/>
    <col min="42" max="42" width="11.5703125" style="2" bestFit="1" customWidth="1"/>
    <col min="43" max="43" width="5.7109375" style="6" bestFit="1" customWidth="1"/>
    <col min="44" max="44" width="11.5703125" style="6" customWidth="1"/>
    <col min="45" max="45" width="1.7109375" style="67" customWidth="1"/>
    <col min="46" max="46" width="5.5703125" style="65" bestFit="1" customWidth="1"/>
    <col min="47" max="47" width="11.5703125" style="6" customWidth="1"/>
    <col min="48" max="48" width="5.5703125" style="66" bestFit="1" customWidth="1"/>
    <col min="49" max="49" width="11.5703125" style="6" bestFit="1" customWidth="1"/>
    <col min="50" max="50" width="5.5703125" style="6" bestFit="1" customWidth="1"/>
    <col min="51" max="51" width="11.5703125" style="2" bestFit="1" customWidth="1"/>
    <col min="52" max="52" width="5.5703125" style="6" bestFit="1" customWidth="1"/>
    <col min="53" max="53" width="11.5703125" style="6" customWidth="1"/>
    <col min="54" max="54" width="1.28515625" style="67" customWidth="1"/>
    <col min="55" max="55" width="5.7109375" style="65" bestFit="1" customWidth="1"/>
    <col min="56" max="56" width="11.5703125" style="6" customWidth="1"/>
    <col min="57" max="57" width="5.5703125" style="66" bestFit="1" customWidth="1"/>
    <col min="58" max="58" width="11.5703125" style="6" bestFit="1" customWidth="1"/>
    <col min="59" max="59" width="5.5703125" style="6" bestFit="1" customWidth="1"/>
    <col min="60" max="60" width="11.5703125" style="2" bestFit="1" customWidth="1"/>
    <col min="61" max="61" width="5.5703125" style="6" bestFit="1" customWidth="1"/>
    <col min="62" max="62" width="11.5703125" style="6" customWidth="1"/>
    <col min="63" max="63" width="2.42578125" style="67" customWidth="1"/>
    <col min="64" max="64" width="4.7109375" style="65" bestFit="1" customWidth="1"/>
    <col min="65" max="65" width="11.85546875" style="6" bestFit="1" customWidth="1"/>
    <col min="66" max="66" width="5.5703125" style="66" bestFit="1" customWidth="1"/>
    <col min="67" max="67" width="8.28515625" style="6" bestFit="1" customWidth="1"/>
    <col min="68" max="68" width="6.5703125" style="6" bestFit="1" customWidth="1"/>
    <col min="69" max="69" width="8.28515625" style="2" bestFit="1" customWidth="1"/>
    <col min="70" max="70" width="5.5703125" style="6" bestFit="1" customWidth="1"/>
    <col min="71" max="71" width="8.28515625" style="6" bestFit="1" customWidth="1"/>
    <col min="72" max="72" width="1.85546875" style="67" customWidth="1"/>
    <col min="73" max="73" width="5.5703125" style="65" bestFit="1" customWidth="1"/>
    <col min="74" max="74" width="11.5703125" style="6" customWidth="1"/>
    <col min="75" max="75" width="5.5703125" style="66" bestFit="1" customWidth="1"/>
    <col min="76" max="76" width="11.5703125" style="6" bestFit="1" customWidth="1"/>
    <col min="77" max="77" width="5.5703125" style="6" bestFit="1" customWidth="1"/>
    <col min="78" max="78" width="11.5703125" style="2" bestFit="1" customWidth="1"/>
    <col min="79" max="79" width="5.5703125" style="6" bestFit="1" customWidth="1"/>
    <col min="80" max="80" width="11.5703125" style="6" customWidth="1"/>
    <col min="81" max="81" width="36.42578125" style="5" bestFit="1" customWidth="1"/>
    <col min="82" max="83" width="36.42578125" style="6" bestFit="1" customWidth="1"/>
    <col min="84" max="16384" width="9.140625" style="2"/>
  </cols>
  <sheetData>
    <row r="1" spans="1:84" x14ac:dyDescent="0.25">
      <c r="C1" s="196" t="s">
        <v>0</v>
      </c>
      <c r="D1" s="197"/>
      <c r="E1" s="197"/>
      <c r="F1" s="197"/>
      <c r="G1" s="3"/>
      <c r="H1" s="147"/>
      <c r="I1" s="3"/>
      <c r="J1" s="192" t="s">
        <v>1</v>
      </c>
      <c r="K1" s="193"/>
      <c r="L1" s="193"/>
      <c r="M1" s="193"/>
      <c r="N1" s="193"/>
      <c r="O1" s="193"/>
      <c r="P1" s="193"/>
      <c r="Q1" s="193"/>
      <c r="R1" s="3"/>
      <c r="S1" s="192" t="s">
        <v>2</v>
      </c>
      <c r="T1" s="193"/>
      <c r="U1" s="193"/>
      <c r="V1" s="193"/>
      <c r="W1" s="193"/>
      <c r="X1" s="193"/>
      <c r="Y1" s="193"/>
      <c r="Z1" s="193"/>
      <c r="AA1" s="4"/>
      <c r="AB1" s="192" t="s">
        <v>3</v>
      </c>
      <c r="AC1" s="193"/>
      <c r="AD1" s="193"/>
      <c r="AE1" s="193"/>
      <c r="AF1" s="193"/>
      <c r="AG1" s="193"/>
      <c r="AH1" s="193"/>
      <c r="AI1" s="193"/>
      <c r="AJ1" s="4"/>
      <c r="AK1" s="192" t="s">
        <v>4</v>
      </c>
      <c r="AL1" s="193"/>
      <c r="AM1" s="193"/>
      <c r="AN1" s="193"/>
      <c r="AO1" s="193"/>
      <c r="AP1" s="193"/>
      <c r="AQ1" s="193"/>
      <c r="AR1" s="193"/>
      <c r="AS1" s="4"/>
      <c r="AT1" s="192" t="s">
        <v>5</v>
      </c>
      <c r="AU1" s="193"/>
      <c r="AV1" s="193"/>
      <c r="AW1" s="193"/>
      <c r="AX1" s="193"/>
      <c r="AY1" s="193"/>
      <c r="AZ1" s="193"/>
      <c r="BA1" s="193"/>
      <c r="BB1" s="4"/>
      <c r="BC1" s="192" t="s">
        <v>6</v>
      </c>
      <c r="BD1" s="193"/>
      <c r="BE1" s="193"/>
      <c r="BF1" s="193"/>
      <c r="BG1" s="193"/>
      <c r="BH1" s="193"/>
      <c r="BI1" s="193"/>
      <c r="BJ1" s="193"/>
      <c r="BK1" s="4"/>
      <c r="BL1" s="192" t="s">
        <v>7</v>
      </c>
      <c r="BM1" s="193"/>
      <c r="BN1" s="193"/>
      <c r="BO1" s="193"/>
      <c r="BP1" s="193"/>
      <c r="BQ1" s="193"/>
      <c r="BR1" s="193"/>
      <c r="BS1" s="193"/>
      <c r="BT1" s="4"/>
      <c r="BU1" s="192" t="s">
        <v>8</v>
      </c>
      <c r="BV1" s="193"/>
      <c r="BW1" s="193"/>
      <c r="BX1" s="193"/>
      <c r="BY1" s="193"/>
      <c r="BZ1" s="193"/>
      <c r="CA1" s="193"/>
      <c r="CB1" s="193"/>
    </row>
    <row r="2" spans="1:84" s="8" customFormat="1" ht="57.75" customHeight="1" x14ac:dyDescent="0.25">
      <c r="A2" s="7"/>
      <c r="C2" s="194"/>
      <c r="D2" s="195"/>
      <c r="E2" s="195"/>
      <c r="F2" s="195"/>
      <c r="G2" s="9"/>
      <c r="H2" s="148"/>
      <c r="I2" s="9"/>
      <c r="J2" s="10"/>
      <c r="K2" s="11"/>
      <c r="L2" s="190" t="s">
        <v>126</v>
      </c>
      <c r="M2" s="191"/>
      <c r="N2" s="190" t="s">
        <v>127</v>
      </c>
      <c r="O2" s="191"/>
      <c r="P2" s="190" t="s">
        <v>9</v>
      </c>
      <c r="Q2" s="191"/>
      <c r="R2" s="9"/>
      <c r="S2" s="10"/>
      <c r="T2" s="11"/>
      <c r="U2" s="190" t="s">
        <v>126</v>
      </c>
      <c r="V2" s="191"/>
      <c r="W2" s="190" t="s">
        <v>127</v>
      </c>
      <c r="X2" s="191"/>
      <c r="Y2" s="190" t="s">
        <v>9</v>
      </c>
      <c r="Z2" s="191"/>
      <c r="AA2" s="12"/>
      <c r="AB2" s="10"/>
      <c r="AC2" s="11"/>
      <c r="AD2" s="190" t="s">
        <v>126</v>
      </c>
      <c r="AE2" s="191"/>
      <c r="AF2" s="190" t="s">
        <v>127</v>
      </c>
      <c r="AG2" s="191"/>
      <c r="AH2" s="190" t="s">
        <v>9</v>
      </c>
      <c r="AI2" s="191"/>
      <c r="AJ2" s="12"/>
      <c r="AK2" s="10"/>
      <c r="AL2" s="11"/>
      <c r="AM2" s="190" t="s">
        <v>126</v>
      </c>
      <c r="AN2" s="191"/>
      <c r="AO2" s="190" t="s">
        <v>127</v>
      </c>
      <c r="AP2" s="191"/>
      <c r="AQ2" s="190" t="s">
        <v>9</v>
      </c>
      <c r="AR2" s="191"/>
      <c r="AS2" s="12"/>
      <c r="AT2" s="10"/>
      <c r="AU2" s="11"/>
      <c r="AV2" s="190" t="s">
        <v>126</v>
      </c>
      <c r="AW2" s="191"/>
      <c r="AX2" s="190" t="s">
        <v>127</v>
      </c>
      <c r="AY2" s="191"/>
      <c r="AZ2" s="190" t="s">
        <v>9</v>
      </c>
      <c r="BA2" s="191"/>
      <c r="BB2" s="12"/>
      <c r="BC2" s="10"/>
      <c r="BD2" s="11"/>
      <c r="BE2" s="190" t="s">
        <v>126</v>
      </c>
      <c r="BF2" s="191"/>
      <c r="BG2" s="190" t="s">
        <v>127</v>
      </c>
      <c r="BH2" s="191"/>
      <c r="BI2" s="190" t="s">
        <v>9</v>
      </c>
      <c r="BJ2" s="191"/>
      <c r="BK2" s="12"/>
      <c r="BL2" s="10"/>
      <c r="BM2" s="11"/>
      <c r="BN2" s="190" t="s">
        <v>126</v>
      </c>
      <c r="BO2" s="191"/>
      <c r="BP2" s="190" t="s">
        <v>127</v>
      </c>
      <c r="BQ2" s="191"/>
      <c r="BR2" s="190" t="s">
        <v>9</v>
      </c>
      <c r="BS2" s="191"/>
      <c r="BT2" s="12"/>
      <c r="BU2" s="10"/>
      <c r="BV2" s="11"/>
      <c r="BW2" s="190" t="s">
        <v>126</v>
      </c>
      <c r="BX2" s="191"/>
      <c r="BY2" s="190" t="s">
        <v>127</v>
      </c>
      <c r="BZ2" s="191"/>
      <c r="CA2" s="190" t="s">
        <v>9</v>
      </c>
      <c r="CB2" s="191"/>
      <c r="CC2" s="13"/>
      <c r="CD2" s="14"/>
      <c r="CE2" s="14"/>
    </row>
    <row r="3" spans="1:84" s="15" customFormat="1" ht="30" x14ac:dyDescent="0.25">
      <c r="B3" s="15" t="s">
        <v>10</v>
      </c>
      <c r="C3" s="16" t="s">
        <v>11</v>
      </c>
      <c r="D3" s="17" t="s">
        <v>12</v>
      </c>
      <c r="E3" s="18" t="s">
        <v>13</v>
      </c>
      <c r="F3" s="19" t="s">
        <v>14</v>
      </c>
      <c r="G3" s="20"/>
      <c r="H3" s="149" t="s">
        <v>181</v>
      </c>
      <c r="I3" s="20"/>
      <c r="J3" s="21" t="s">
        <v>15</v>
      </c>
      <c r="K3" s="22" t="s">
        <v>0</v>
      </c>
      <c r="L3" s="23" t="s">
        <v>15</v>
      </c>
      <c r="M3" s="24" t="s">
        <v>14</v>
      </c>
      <c r="N3" s="25" t="s">
        <v>15</v>
      </c>
      <c r="O3" s="24" t="s">
        <v>14</v>
      </c>
      <c r="P3" s="25" t="s">
        <v>15</v>
      </c>
      <c r="Q3" s="24" t="s">
        <v>14</v>
      </c>
      <c r="R3" s="20"/>
      <c r="S3" s="21" t="s">
        <v>15</v>
      </c>
      <c r="T3" s="22" t="s">
        <v>0</v>
      </c>
      <c r="U3" s="23" t="s">
        <v>15</v>
      </c>
      <c r="V3" s="24" t="s">
        <v>14</v>
      </c>
      <c r="W3" s="25" t="s">
        <v>15</v>
      </c>
      <c r="X3" s="24" t="s">
        <v>14</v>
      </c>
      <c r="Y3" s="25" t="s">
        <v>15</v>
      </c>
      <c r="Z3" s="24" t="s">
        <v>14</v>
      </c>
      <c r="AA3" s="26"/>
      <c r="AB3" s="21" t="s">
        <v>15</v>
      </c>
      <c r="AC3" s="22" t="s">
        <v>0</v>
      </c>
      <c r="AD3" s="23" t="s">
        <v>15</v>
      </c>
      <c r="AE3" s="24" t="s">
        <v>14</v>
      </c>
      <c r="AF3" s="25" t="s">
        <v>15</v>
      </c>
      <c r="AG3" s="24" t="s">
        <v>14</v>
      </c>
      <c r="AH3" s="25" t="s">
        <v>15</v>
      </c>
      <c r="AI3" s="24" t="s">
        <v>14</v>
      </c>
      <c r="AJ3" s="26"/>
      <c r="AK3" s="21" t="s">
        <v>15</v>
      </c>
      <c r="AL3" s="22" t="s">
        <v>0</v>
      </c>
      <c r="AM3" s="23" t="s">
        <v>15</v>
      </c>
      <c r="AN3" s="24" t="s">
        <v>14</v>
      </c>
      <c r="AO3" s="25" t="s">
        <v>15</v>
      </c>
      <c r="AP3" s="24" t="s">
        <v>14</v>
      </c>
      <c r="AQ3" s="25" t="s">
        <v>15</v>
      </c>
      <c r="AR3" s="24" t="s">
        <v>14</v>
      </c>
      <c r="AS3" s="26"/>
      <c r="AT3" s="21" t="s">
        <v>15</v>
      </c>
      <c r="AU3" s="22" t="s">
        <v>0</v>
      </c>
      <c r="AV3" s="23" t="s">
        <v>15</v>
      </c>
      <c r="AW3" s="24" t="s">
        <v>14</v>
      </c>
      <c r="AX3" s="25" t="s">
        <v>15</v>
      </c>
      <c r="AY3" s="24" t="s">
        <v>14</v>
      </c>
      <c r="AZ3" s="25" t="s">
        <v>15</v>
      </c>
      <c r="BA3" s="24" t="s">
        <v>14</v>
      </c>
      <c r="BB3" s="26"/>
      <c r="BC3" s="21" t="s">
        <v>15</v>
      </c>
      <c r="BD3" s="22" t="s">
        <v>0</v>
      </c>
      <c r="BE3" s="23" t="s">
        <v>15</v>
      </c>
      <c r="BF3" s="24" t="s">
        <v>14</v>
      </c>
      <c r="BG3" s="25" t="s">
        <v>15</v>
      </c>
      <c r="BH3" s="24" t="s">
        <v>14</v>
      </c>
      <c r="BI3" s="25" t="s">
        <v>15</v>
      </c>
      <c r="BJ3" s="24" t="s">
        <v>14</v>
      </c>
      <c r="BK3" s="26"/>
      <c r="BL3" s="21" t="s">
        <v>15</v>
      </c>
      <c r="BM3" s="22" t="s">
        <v>0</v>
      </c>
      <c r="BN3" s="23" t="s">
        <v>15</v>
      </c>
      <c r="BO3" s="24" t="s">
        <v>14</v>
      </c>
      <c r="BP3" s="25" t="s">
        <v>15</v>
      </c>
      <c r="BQ3" s="24" t="s">
        <v>14</v>
      </c>
      <c r="BR3" s="25" t="s">
        <v>15</v>
      </c>
      <c r="BS3" s="24" t="s">
        <v>14</v>
      </c>
      <c r="BT3" s="26"/>
      <c r="BU3" s="21" t="s">
        <v>15</v>
      </c>
      <c r="BV3" s="22" t="s">
        <v>0</v>
      </c>
      <c r="BW3" s="23" t="s">
        <v>15</v>
      </c>
      <c r="BX3" s="24" t="s">
        <v>14</v>
      </c>
      <c r="BY3" s="25" t="s">
        <v>15</v>
      </c>
      <c r="BZ3" s="24" t="s">
        <v>14</v>
      </c>
      <c r="CA3" s="25" t="s">
        <v>15</v>
      </c>
      <c r="CB3" s="24" t="s">
        <v>14</v>
      </c>
      <c r="CC3" s="27" t="s">
        <v>16</v>
      </c>
      <c r="CD3" s="28" t="s">
        <v>17</v>
      </c>
      <c r="CE3" s="28" t="s">
        <v>18</v>
      </c>
      <c r="CF3" s="15" t="s">
        <v>19</v>
      </c>
    </row>
    <row r="4" spans="1:84" s="15" customFormat="1" x14ac:dyDescent="0.25">
      <c r="A4" s="29" t="s">
        <v>20</v>
      </c>
      <c r="C4" s="30"/>
      <c r="D4" s="31"/>
      <c r="E4" s="32"/>
      <c r="F4" s="33">
        <f t="shared" ref="F4:F13" si="0">D4*E4</f>
        <v>0</v>
      </c>
      <c r="G4" s="34"/>
      <c r="H4" s="150"/>
      <c r="I4" s="34"/>
      <c r="J4" s="35"/>
      <c r="K4" s="36">
        <f>J4*$F4</f>
        <v>0</v>
      </c>
      <c r="L4" s="37"/>
      <c r="M4" s="38">
        <f>L4*K4</f>
        <v>0</v>
      </c>
      <c r="N4" s="37"/>
      <c r="O4" s="38">
        <f>N4*K4</f>
        <v>0</v>
      </c>
      <c r="P4" s="37"/>
      <c r="Q4" s="38">
        <f>P4*K4</f>
        <v>0</v>
      </c>
      <c r="R4" s="34"/>
      <c r="S4" s="35"/>
      <c r="T4" s="36">
        <f>S4*$F4</f>
        <v>0</v>
      </c>
      <c r="U4" s="37"/>
      <c r="V4" s="38">
        <f>U4*T4</f>
        <v>0</v>
      </c>
      <c r="W4" s="37"/>
      <c r="X4" s="38">
        <f>W4*T4</f>
        <v>0</v>
      </c>
      <c r="Y4" s="37"/>
      <c r="Z4" s="38">
        <f>Y4*T4</f>
        <v>0</v>
      </c>
      <c r="AA4" s="39"/>
      <c r="AB4" s="35"/>
      <c r="AC4" s="36">
        <f>AB4*$F4</f>
        <v>0</v>
      </c>
      <c r="AD4" s="37"/>
      <c r="AE4" s="38">
        <f>AD4*AC4</f>
        <v>0</v>
      </c>
      <c r="AF4" s="37"/>
      <c r="AG4" s="38">
        <f>AF4*AC4</f>
        <v>0</v>
      </c>
      <c r="AH4" s="37"/>
      <c r="AI4" s="38">
        <f>AH4*AC4</f>
        <v>0</v>
      </c>
      <c r="AJ4" s="39"/>
      <c r="AK4" s="35"/>
      <c r="AL4" s="36">
        <f>AK4*$F4</f>
        <v>0</v>
      </c>
      <c r="AM4" s="37"/>
      <c r="AN4" s="38">
        <f>AM4*AL4</f>
        <v>0</v>
      </c>
      <c r="AO4" s="37"/>
      <c r="AP4" s="38">
        <f>AO4*AL4</f>
        <v>0</v>
      </c>
      <c r="AQ4" s="37"/>
      <c r="AR4" s="38">
        <f>AQ4*AL4</f>
        <v>0</v>
      </c>
      <c r="AS4" s="39"/>
      <c r="AT4" s="35"/>
      <c r="AU4" s="36">
        <f>AT4*$F4</f>
        <v>0</v>
      </c>
      <c r="AV4" s="37"/>
      <c r="AW4" s="38">
        <f>AV4*AU4</f>
        <v>0</v>
      </c>
      <c r="AX4" s="37"/>
      <c r="AY4" s="38">
        <f>AX4*AU4</f>
        <v>0</v>
      </c>
      <c r="AZ4" s="37"/>
      <c r="BA4" s="38">
        <f>AZ4*AU4</f>
        <v>0</v>
      </c>
      <c r="BB4" s="39"/>
      <c r="BC4" s="35"/>
      <c r="BD4" s="36">
        <f>BC4*$F4</f>
        <v>0</v>
      </c>
      <c r="BE4" s="37"/>
      <c r="BF4" s="38">
        <f>BE4*BD4</f>
        <v>0</v>
      </c>
      <c r="BG4" s="37"/>
      <c r="BH4" s="38">
        <f>BG4*BD4</f>
        <v>0</v>
      </c>
      <c r="BI4" s="37"/>
      <c r="BJ4" s="38">
        <f>BI4*BD4</f>
        <v>0</v>
      </c>
      <c r="BK4" s="39"/>
      <c r="BL4" s="35"/>
      <c r="BM4" s="36">
        <f>BL4*$F4</f>
        <v>0</v>
      </c>
      <c r="BN4" s="37"/>
      <c r="BO4" s="38">
        <f>BN4*BM4</f>
        <v>0</v>
      </c>
      <c r="BP4" s="37"/>
      <c r="BQ4" s="38">
        <f>BP4*BM4</f>
        <v>0</v>
      </c>
      <c r="BR4" s="37"/>
      <c r="BS4" s="38">
        <f>BR4*BM4</f>
        <v>0</v>
      </c>
      <c r="BT4" s="39"/>
      <c r="BU4" s="35"/>
      <c r="BV4" s="36">
        <f>BU4*$F4</f>
        <v>0</v>
      </c>
      <c r="BW4" s="37"/>
      <c r="BX4" s="38">
        <f>BW4*BV4</f>
        <v>0</v>
      </c>
      <c r="BY4" s="37"/>
      <c r="BZ4" s="38">
        <f>BY4*BV4</f>
        <v>0</v>
      </c>
      <c r="CA4" s="37"/>
      <c r="CB4" s="38">
        <f>CA4*BV4</f>
        <v>0</v>
      </c>
      <c r="CC4" s="40">
        <f t="shared" ref="CC4:CC13" si="1">F4</f>
        <v>0</v>
      </c>
      <c r="CD4" s="40">
        <f t="shared" ref="CD4:CD13" si="2">K4+T4+AC4+AL4+AU4+BD4+BM4+BV4</f>
        <v>0</v>
      </c>
      <c r="CE4" s="40" t="e">
        <f>M4+O4+Q4+#REF!+#REF!+V4+X4+Z4+#REF!+#REF!+AE4+AG4+AI4+#REF!+#REF!+AN4+AP4+AR4+#REF!+#REF!+AW4+AY4+BA4+#REF!+#REF!+BF4+BH4+BJ4+#REF!+#REF!+BO4+BQ4+BS4+#REF!+#REF!+BX4+BZ4+CB4+#REF!+#REF!</f>
        <v>#REF!</v>
      </c>
      <c r="CF4" s="15" t="e">
        <f>IF(AND(CC4=CD4,CD4=CE4,CC4=CE4),0,1)</f>
        <v>#REF!</v>
      </c>
    </row>
    <row r="5" spans="1:84" s="15" customFormat="1" x14ac:dyDescent="0.25">
      <c r="B5" s="2" t="s">
        <v>22</v>
      </c>
      <c r="C5" s="41" t="s">
        <v>21</v>
      </c>
      <c r="D5" s="42">
        <v>1</v>
      </c>
      <c r="E5" s="33">
        <v>25000</v>
      </c>
      <c r="F5" s="88">
        <v>25000</v>
      </c>
      <c r="G5" s="39"/>
      <c r="H5" s="153">
        <v>25000</v>
      </c>
      <c r="I5" s="39"/>
      <c r="J5" s="35">
        <v>1</v>
      </c>
      <c r="K5" s="36">
        <f t="shared" ref="K5:K12" si="3">J5*$F5</f>
        <v>25000</v>
      </c>
      <c r="L5" s="37">
        <v>0.34</v>
      </c>
      <c r="M5" s="38">
        <f t="shared" ref="M5:M12" si="4">L5*K5</f>
        <v>8500</v>
      </c>
      <c r="N5" s="37">
        <v>0.33</v>
      </c>
      <c r="O5" s="38">
        <f t="shared" ref="O5:O12" si="5">N5*K5</f>
        <v>8250</v>
      </c>
      <c r="P5" s="37">
        <v>0.33</v>
      </c>
      <c r="Q5" s="38">
        <f t="shared" ref="Q5:Q12" si="6">P5*K5</f>
        <v>8250</v>
      </c>
      <c r="R5" s="39"/>
      <c r="S5" s="35"/>
      <c r="T5" s="36">
        <f t="shared" ref="T5:T12" si="7">S5*$F5</f>
        <v>0</v>
      </c>
      <c r="U5" s="37"/>
      <c r="V5" s="38">
        <f t="shared" ref="V5:V12" si="8">U5*T5</f>
        <v>0</v>
      </c>
      <c r="W5" s="37"/>
      <c r="X5" s="38">
        <f t="shared" ref="X5:X12" si="9">W5*T5</f>
        <v>0</v>
      </c>
      <c r="Y5" s="37"/>
      <c r="Z5" s="38">
        <f t="shared" ref="Z5:Z12" si="10">Y5*T5</f>
        <v>0</v>
      </c>
      <c r="AA5" s="39"/>
      <c r="AB5" s="35"/>
      <c r="AC5" s="36">
        <f t="shared" ref="AC5:AC12" si="11">AB5*$F5</f>
        <v>0</v>
      </c>
      <c r="AD5" s="37"/>
      <c r="AE5" s="38">
        <f t="shared" ref="AE5:AE12" si="12">AD5*AC5</f>
        <v>0</v>
      </c>
      <c r="AF5" s="37"/>
      <c r="AG5" s="38">
        <f t="shared" ref="AG5:AG12" si="13">AF5*AC5</f>
        <v>0</v>
      </c>
      <c r="AH5" s="37"/>
      <c r="AI5" s="38">
        <f t="shared" ref="AI5:AI12" si="14">AH5*AC5</f>
        <v>0</v>
      </c>
      <c r="AJ5" s="39"/>
      <c r="AK5" s="35"/>
      <c r="AL5" s="36">
        <f t="shared" ref="AL5:AL12" si="15">AK5*$F5</f>
        <v>0</v>
      </c>
      <c r="AM5" s="37"/>
      <c r="AN5" s="38">
        <f t="shared" ref="AN5:AN12" si="16">AM5*AL5</f>
        <v>0</v>
      </c>
      <c r="AO5" s="37"/>
      <c r="AP5" s="38">
        <f t="shared" ref="AP5:AP12" si="17">AO5*AL5</f>
        <v>0</v>
      </c>
      <c r="AQ5" s="37"/>
      <c r="AR5" s="38">
        <f t="shared" ref="AR5:AR12" si="18">AQ5*AL5</f>
        <v>0</v>
      </c>
      <c r="AS5" s="39"/>
      <c r="AT5" s="35"/>
      <c r="AU5" s="36">
        <f t="shared" ref="AU5:AU12" si="19">AT5*$F5</f>
        <v>0</v>
      </c>
      <c r="AV5" s="37"/>
      <c r="AW5" s="38">
        <f t="shared" ref="AW5:AW12" si="20">AV5*AU5</f>
        <v>0</v>
      </c>
      <c r="AX5" s="37"/>
      <c r="AY5" s="38">
        <f t="shared" ref="AY5:AY12" si="21">AX5*AU5</f>
        <v>0</v>
      </c>
      <c r="AZ5" s="37"/>
      <c r="BA5" s="38">
        <f t="shared" ref="BA5:BA12" si="22">AZ5*AU5</f>
        <v>0</v>
      </c>
      <c r="BB5" s="39"/>
      <c r="BC5" s="35"/>
      <c r="BD5" s="36">
        <f t="shared" ref="BD5:BD12" si="23">BC5*$F5</f>
        <v>0</v>
      </c>
      <c r="BE5" s="37"/>
      <c r="BF5" s="38">
        <f t="shared" ref="BF5:BF12" si="24">BE5*BD5</f>
        <v>0</v>
      </c>
      <c r="BG5" s="37"/>
      <c r="BH5" s="38">
        <f t="shared" ref="BH5:BH12" si="25">BG5*BD5</f>
        <v>0</v>
      </c>
      <c r="BI5" s="37"/>
      <c r="BJ5" s="38">
        <f t="shared" ref="BJ5:BJ12" si="26">BI5*BD5</f>
        <v>0</v>
      </c>
      <c r="BK5" s="39"/>
      <c r="BL5" s="35"/>
      <c r="BM5" s="36">
        <f t="shared" ref="BM5:BM12" si="27">BL5*$F5</f>
        <v>0</v>
      </c>
      <c r="BN5" s="37"/>
      <c r="BO5" s="38">
        <f t="shared" ref="BO5:BO12" si="28">BN5*BM5</f>
        <v>0</v>
      </c>
      <c r="BP5" s="37"/>
      <c r="BQ5" s="38">
        <f t="shared" ref="BQ5:BQ12" si="29">BP5*BM5</f>
        <v>0</v>
      </c>
      <c r="BR5" s="37"/>
      <c r="BS5" s="38">
        <f t="shared" ref="BS5:BS12" si="30">BR5*BM5</f>
        <v>0</v>
      </c>
      <c r="BT5" s="39"/>
      <c r="BU5" s="35"/>
      <c r="BV5" s="36">
        <f t="shared" ref="BV5:BV12" si="31">BU5*$F5</f>
        <v>0</v>
      </c>
      <c r="BW5" s="37"/>
      <c r="BX5" s="38">
        <f t="shared" ref="BX5:BX12" si="32">BW5*BV5</f>
        <v>0</v>
      </c>
      <c r="BY5" s="37"/>
      <c r="BZ5" s="38">
        <f t="shared" ref="BZ5:BZ12" si="33">BY5*BV5</f>
        <v>0</v>
      </c>
      <c r="CA5" s="37"/>
      <c r="CB5" s="38">
        <f t="shared" ref="CB5:CB12" si="34">CA5*BV5</f>
        <v>0</v>
      </c>
      <c r="CC5" s="40">
        <f t="shared" si="1"/>
        <v>25000</v>
      </c>
      <c r="CD5" s="40">
        <f t="shared" si="2"/>
        <v>25000</v>
      </c>
      <c r="CE5" s="40" t="e">
        <f>M5+O5+Q5+#REF!+#REF!+V5+X5+Z5+#REF!+#REF!+AE5+AG5+AI5+#REF!+#REF!+AN5+AP5+AR5+#REF!+#REF!+AW5+AY5+BA5+#REF!+#REF!+BF5+BH5+BJ5+#REF!+#REF!+BO5+BQ5+BS5+#REF!+#REF!+BX5+BZ5+CB5+#REF!+#REF!</f>
        <v>#REF!</v>
      </c>
      <c r="CF5" s="15" t="e">
        <f t="shared" ref="CF5:CF40" si="35">IF(AND(CC5=CD5,CD5=CE5,CC5=CE5),0,1)</f>
        <v>#REF!</v>
      </c>
    </row>
    <row r="6" spans="1:84" s="15" customFormat="1" x14ac:dyDescent="0.25">
      <c r="B6" s="43" t="s">
        <v>23</v>
      </c>
      <c r="C6" s="41" t="s">
        <v>21</v>
      </c>
      <c r="D6" s="42">
        <v>1</v>
      </c>
      <c r="E6" s="33">
        <v>25000</v>
      </c>
      <c r="F6" s="88">
        <v>25000</v>
      </c>
      <c r="G6" s="39"/>
      <c r="H6" s="153">
        <v>25000</v>
      </c>
      <c r="I6" s="39"/>
      <c r="J6" s="35">
        <v>1</v>
      </c>
      <c r="K6" s="36">
        <f t="shared" si="3"/>
        <v>25000</v>
      </c>
      <c r="L6" s="37">
        <v>0.34</v>
      </c>
      <c r="M6" s="38">
        <f t="shared" si="4"/>
        <v>8500</v>
      </c>
      <c r="N6" s="37">
        <v>0.33</v>
      </c>
      <c r="O6" s="38">
        <f t="shared" si="5"/>
        <v>8250</v>
      </c>
      <c r="P6" s="37">
        <v>0.33</v>
      </c>
      <c r="Q6" s="38">
        <f t="shared" si="6"/>
        <v>8250</v>
      </c>
      <c r="R6" s="39"/>
      <c r="S6" s="35"/>
      <c r="T6" s="36">
        <f t="shared" si="7"/>
        <v>0</v>
      </c>
      <c r="U6" s="37"/>
      <c r="V6" s="38">
        <f t="shared" si="8"/>
        <v>0</v>
      </c>
      <c r="W6" s="37"/>
      <c r="X6" s="38">
        <f t="shared" si="9"/>
        <v>0</v>
      </c>
      <c r="Y6" s="37"/>
      <c r="Z6" s="38">
        <f t="shared" si="10"/>
        <v>0</v>
      </c>
      <c r="AA6" s="39"/>
      <c r="AB6" s="35"/>
      <c r="AC6" s="36">
        <f t="shared" si="11"/>
        <v>0</v>
      </c>
      <c r="AD6" s="37"/>
      <c r="AE6" s="38">
        <f t="shared" si="12"/>
        <v>0</v>
      </c>
      <c r="AF6" s="37"/>
      <c r="AG6" s="38">
        <f t="shared" si="13"/>
        <v>0</v>
      </c>
      <c r="AH6" s="37"/>
      <c r="AI6" s="38">
        <f t="shared" si="14"/>
        <v>0</v>
      </c>
      <c r="AJ6" s="39"/>
      <c r="AK6" s="35"/>
      <c r="AL6" s="36">
        <f t="shared" si="15"/>
        <v>0</v>
      </c>
      <c r="AM6" s="37"/>
      <c r="AN6" s="38">
        <f t="shared" si="16"/>
        <v>0</v>
      </c>
      <c r="AO6" s="37"/>
      <c r="AP6" s="38">
        <f t="shared" si="17"/>
        <v>0</v>
      </c>
      <c r="AQ6" s="37"/>
      <c r="AR6" s="38">
        <f t="shared" si="18"/>
        <v>0</v>
      </c>
      <c r="AS6" s="39"/>
      <c r="AT6" s="35"/>
      <c r="AU6" s="36">
        <f t="shared" si="19"/>
        <v>0</v>
      </c>
      <c r="AV6" s="37"/>
      <c r="AW6" s="38">
        <f t="shared" si="20"/>
        <v>0</v>
      </c>
      <c r="AX6" s="37"/>
      <c r="AY6" s="38">
        <f t="shared" si="21"/>
        <v>0</v>
      </c>
      <c r="AZ6" s="37"/>
      <c r="BA6" s="38">
        <f t="shared" si="22"/>
        <v>0</v>
      </c>
      <c r="BB6" s="39"/>
      <c r="BC6" s="35"/>
      <c r="BD6" s="36">
        <f t="shared" si="23"/>
        <v>0</v>
      </c>
      <c r="BE6" s="37"/>
      <c r="BF6" s="38">
        <f t="shared" si="24"/>
        <v>0</v>
      </c>
      <c r="BG6" s="37"/>
      <c r="BH6" s="38">
        <f t="shared" si="25"/>
        <v>0</v>
      </c>
      <c r="BI6" s="37"/>
      <c r="BJ6" s="38">
        <f t="shared" si="26"/>
        <v>0</v>
      </c>
      <c r="BK6" s="39"/>
      <c r="BL6" s="35"/>
      <c r="BM6" s="36">
        <f t="shared" si="27"/>
        <v>0</v>
      </c>
      <c r="BN6" s="37"/>
      <c r="BO6" s="38">
        <f t="shared" si="28"/>
        <v>0</v>
      </c>
      <c r="BP6" s="37"/>
      <c r="BQ6" s="38">
        <f t="shared" si="29"/>
        <v>0</v>
      </c>
      <c r="BR6" s="37"/>
      <c r="BS6" s="38">
        <f t="shared" si="30"/>
        <v>0</v>
      </c>
      <c r="BT6" s="39"/>
      <c r="BU6" s="35"/>
      <c r="BV6" s="36">
        <f t="shared" si="31"/>
        <v>0</v>
      </c>
      <c r="BW6" s="37"/>
      <c r="BX6" s="38">
        <f t="shared" si="32"/>
        <v>0</v>
      </c>
      <c r="BY6" s="37"/>
      <c r="BZ6" s="38">
        <f t="shared" si="33"/>
        <v>0</v>
      </c>
      <c r="CA6" s="37"/>
      <c r="CB6" s="38">
        <f t="shared" si="34"/>
        <v>0</v>
      </c>
      <c r="CC6" s="40">
        <f t="shared" si="1"/>
        <v>25000</v>
      </c>
      <c r="CD6" s="40">
        <f t="shared" si="2"/>
        <v>25000</v>
      </c>
      <c r="CE6" s="40" t="e">
        <f>M6+O6+Q6+#REF!+#REF!+V6+X6+Z6+#REF!+#REF!+AE6+AG6+AI6+#REF!+#REF!+AN6+AP6+AR6+#REF!+#REF!+AW6+AY6+BA6+#REF!+#REF!+BF6+BH6+BJ6+#REF!+#REF!+BO6+BQ6+BS6+#REF!+#REF!+BX6+BZ6+CB6+#REF!+#REF!</f>
        <v>#REF!</v>
      </c>
      <c r="CF6" s="15" t="e">
        <f t="shared" si="35"/>
        <v>#REF!</v>
      </c>
    </row>
    <row r="7" spans="1:84" s="15" customFormat="1" x14ac:dyDescent="0.25">
      <c r="B7" s="2"/>
      <c r="C7" s="44"/>
      <c r="D7" s="42"/>
      <c r="E7" s="33"/>
      <c r="F7" s="33"/>
      <c r="G7" s="39"/>
      <c r="H7" s="153">
        <v>0</v>
      </c>
      <c r="I7" s="39"/>
      <c r="J7" s="35"/>
      <c r="K7" s="36">
        <f t="shared" si="3"/>
        <v>0</v>
      </c>
      <c r="L7" s="37"/>
      <c r="M7" s="38">
        <f t="shared" si="4"/>
        <v>0</v>
      </c>
      <c r="N7" s="37"/>
      <c r="O7" s="38">
        <f t="shared" si="5"/>
        <v>0</v>
      </c>
      <c r="P7" s="37"/>
      <c r="Q7" s="38">
        <f t="shared" si="6"/>
        <v>0</v>
      </c>
      <c r="R7" s="39"/>
      <c r="S7" s="35"/>
      <c r="T7" s="36">
        <f t="shared" si="7"/>
        <v>0</v>
      </c>
      <c r="U7" s="37"/>
      <c r="V7" s="38">
        <f t="shared" si="8"/>
        <v>0</v>
      </c>
      <c r="W7" s="37"/>
      <c r="X7" s="38">
        <f t="shared" si="9"/>
        <v>0</v>
      </c>
      <c r="Y7" s="37"/>
      <c r="Z7" s="38">
        <f t="shared" si="10"/>
        <v>0</v>
      </c>
      <c r="AA7" s="39"/>
      <c r="AB7" s="35"/>
      <c r="AC7" s="36">
        <f t="shared" si="11"/>
        <v>0</v>
      </c>
      <c r="AD7" s="37"/>
      <c r="AE7" s="38">
        <f t="shared" si="12"/>
        <v>0</v>
      </c>
      <c r="AF7" s="37"/>
      <c r="AG7" s="38">
        <f t="shared" si="13"/>
        <v>0</v>
      </c>
      <c r="AH7" s="37"/>
      <c r="AI7" s="38">
        <f t="shared" si="14"/>
        <v>0</v>
      </c>
      <c r="AJ7" s="39"/>
      <c r="AK7" s="35"/>
      <c r="AL7" s="36">
        <f t="shared" si="15"/>
        <v>0</v>
      </c>
      <c r="AM7" s="37"/>
      <c r="AN7" s="38">
        <f t="shared" si="16"/>
        <v>0</v>
      </c>
      <c r="AO7" s="37"/>
      <c r="AP7" s="38">
        <f t="shared" si="17"/>
        <v>0</v>
      </c>
      <c r="AQ7" s="37"/>
      <c r="AR7" s="38">
        <f t="shared" si="18"/>
        <v>0</v>
      </c>
      <c r="AS7" s="39"/>
      <c r="AT7" s="35"/>
      <c r="AU7" s="36">
        <f t="shared" si="19"/>
        <v>0</v>
      </c>
      <c r="AV7" s="37"/>
      <c r="AW7" s="38">
        <f t="shared" si="20"/>
        <v>0</v>
      </c>
      <c r="AX7" s="37"/>
      <c r="AY7" s="38">
        <f t="shared" si="21"/>
        <v>0</v>
      </c>
      <c r="AZ7" s="37"/>
      <c r="BA7" s="38">
        <f t="shared" si="22"/>
        <v>0</v>
      </c>
      <c r="BB7" s="39"/>
      <c r="BC7" s="35"/>
      <c r="BD7" s="36">
        <f t="shared" si="23"/>
        <v>0</v>
      </c>
      <c r="BE7" s="37"/>
      <c r="BF7" s="38">
        <f t="shared" si="24"/>
        <v>0</v>
      </c>
      <c r="BG7" s="37"/>
      <c r="BH7" s="38">
        <f t="shared" si="25"/>
        <v>0</v>
      </c>
      <c r="BI7" s="37"/>
      <c r="BJ7" s="38">
        <f t="shared" si="26"/>
        <v>0</v>
      </c>
      <c r="BK7" s="39"/>
      <c r="BL7" s="35"/>
      <c r="BM7" s="36">
        <f t="shared" si="27"/>
        <v>0</v>
      </c>
      <c r="BN7" s="37"/>
      <c r="BO7" s="38">
        <f t="shared" si="28"/>
        <v>0</v>
      </c>
      <c r="BP7" s="37"/>
      <c r="BQ7" s="38">
        <f t="shared" si="29"/>
        <v>0</v>
      </c>
      <c r="BR7" s="37"/>
      <c r="BS7" s="38">
        <f t="shared" si="30"/>
        <v>0</v>
      </c>
      <c r="BT7" s="39"/>
      <c r="BU7" s="35"/>
      <c r="BV7" s="36">
        <f t="shared" si="31"/>
        <v>0</v>
      </c>
      <c r="BW7" s="37"/>
      <c r="BX7" s="38">
        <f t="shared" si="32"/>
        <v>0</v>
      </c>
      <c r="BY7" s="37"/>
      <c r="BZ7" s="38">
        <f t="shared" si="33"/>
        <v>0</v>
      </c>
      <c r="CA7" s="37"/>
      <c r="CB7" s="38">
        <f t="shared" si="34"/>
        <v>0</v>
      </c>
      <c r="CC7" s="40">
        <f t="shared" si="1"/>
        <v>0</v>
      </c>
      <c r="CD7" s="40">
        <f t="shared" si="2"/>
        <v>0</v>
      </c>
      <c r="CE7" s="40" t="e">
        <f>M7+O7+Q7+#REF!+#REF!+V7+X7+Z7+#REF!+#REF!+AE7+AG7+AI7+#REF!+#REF!+AN7+AP7+AR7+#REF!+#REF!+AW7+AY7+BA7+#REF!+#REF!+BF7+BH7+BJ7+#REF!+#REF!+BO7+BQ7+BS7+#REF!+#REF!+BX7+BZ7+CB7+#REF!+#REF!</f>
        <v>#REF!</v>
      </c>
      <c r="CF7" s="15" t="e">
        <f t="shared" si="35"/>
        <v>#REF!</v>
      </c>
    </row>
    <row r="8" spans="1:84" x14ac:dyDescent="0.25">
      <c r="A8" s="1" t="s">
        <v>24</v>
      </c>
      <c r="C8" s="44"/>
      <c r="D8" s="50"/>
      <c r="E8" s="33"/>
      <c r="F8" s="33">
        <v>0</v>
      </c>
      <c r="G8" s="39"/>
      <c r="H8" s="153">
        <v>0</v>
      </c>
      <c r="I8" s="39"/>
      <c r="J8" s="35"/>
      <c r="K8" s="36">
        <f t="shared" si="3"/>
        <v>0</v>
      </c>
      <c r="L8" s="37"/>
      <c r="M8" s="38">
        <f t="shared" si="4"/>
        <v>0</v>
      </c>
      <c r="N8" s="37"/>
      <c r="O8" s="38">
        <f t="shared" si="5"/>
        <v>0</v>
      </c>
      <c r="P8" s="37"/>
      <c r="Q8" s="38">
        <f t="shared" si="6"/>
        <v>0</v>
      </c>
      <c r="R8" s="39"/>
      <c r="S8" s="35"/>
      <c r="T8" s="36">
        <f t="shared" si="7"/>
        <v>0</v>
      </c>
      <c r="U8" s="37"/>
      <c r="V8" s="38">
        <f t="shared" si="8"/>
        <v>0</v>
      </c>
      <c r="W8" s="37"/>
      <c r="X8" s="38">
        <f t="shared" si="9"/>
        <v>0</v>
      </c>
      <c r="Y8" s="37"/>
      <c r="Z8" s="38">
        <f t="shared" si="10"/>
        <v>0</v>
      </c>
      <c r="AA8" s="39"/>
      <c r="AB8" s="35"/>
      <c r="AC8" s="36">
        <f t="shared" si="11"/>
        <v>0</v>
      </c>
      <c r="AD8" s="37"/>
      <c r="AE8" s="38">
        <f t="shared" si="12"/>
        <v>0</v>
      </c>
      <c r="AF8" s="37"/>
      <c r="AG8" s="38">
        <f t="shared" si="13"/>
        <v>0</v>
      </c>
      <c r="AH8" s="37"/>
      <c r="AI8" s="38">
        <f t="shared" si="14"/>
        <v>0</v>
      </c>
      <c r="AJ8" s="39"/>
      <c r="AK8" s="35"/>
      <c r="AL8" s="36">
        <f t="shared" si="15"/>
        <v>0</v>
      </c>
      <c r="AM8" s="37"/>
      <c r="AN8" s="38">
        <f t="shared" si="16"/>
        <v>0</v>
      </c>
      <c r="AO8" s="37"/>
      <c r="AP8" s="38">
        <f t="shared" si="17"/>
        <v>0</v>
      </c>
      <c r="AQ8" s="37"/>
      <c r="AR8" s="38">
        <f t="shared" si="18"/>
        <v>0</v>
      </c>
      <c r="AS8" s="39"/>
      <c r="AT8" s="35"/>
      <c r="AU8" s="36">
        <f t="shared" si="19"/>
        <v>0</v>
      </c>
      <c r="AV8" s="37"/>
      <c r="AW8" s="38">
        <f t="shared" si="20"/>
        <v>0</v>
      </c>
      <c r="AX8" s="37"/>
      <c r="AY8" s="38">
        <f t="shared" si="21"/>
        <v>0</v>
      </c>
      <c r="AZ8" s="37"/>
      <c r="BA8" s="38">
        <f t="shared" si="22"/>
        <v>0</v>
      </c>
      <c r="BB8" s="39"/>
      <c r="BC8" s="35"/>
      <c r="BD8" s="36">
        <f t="shared" si="23"/>
        <v>0</v>
      </c>
      <c r="BE8" s="37"/>
      <c r="BF8" s="38">
        <f t="shared" si="24"/>
        <v>0</v>
      </c>
      <c r="BG8" s="37"/>
      <c r="BH8" s="38">
        <f t="shared" si="25"/>
        <v>0</v>
      </c>
      <c r="BI8" s="37"/>
      <c r="BJ8" s="38">
        <f t="shared" si="26"/>
        <v>0</v>
      </c>
      <c r="BK8" s="39"/>
      <c r="BL8" s="35"/>
      <c r="BM8" s="36">
        <f t="shared" si="27"/>
        <v>0</v>
      </c>
      <c r="BN8" s="37"/>
      <c r="BO8" s="38">
        <f t="shared" si="28"/>
        <v>0</v>
      </c>
      <c r="BP8" s="37"/>
      <c r="BQ8" s="38">
        <f t="shared" si="29"/>
        <v>0</v>
      </c>
      <c r="BR8" s="37"/>
      <c r="BS8" s="38">
        <f t="shared" si="30"/>
        <v>0</v>
      </c>
      <c r="BT8" s="39"/>
      <c r="BU8" s="35"/>
      <c r="BV8" s="36">
        <f t="shared" si="31"/>
        <v>0</v>
      </c>
      <c r="BW8" s="37"/>
      <c r="BX8" s="38">
        <f t="shared" si="32"/>
        <v>0</v>
      </c>
      <c r="BY8" s="37"/>
      <c r="BZ8" s="38">
        <f t="shared" si="33"/>
        <v>0</v>
      </c>
      <c r="CA8" s="37"/>
      <c r="CB8" s="38">
        <f t="shared" si="34"/>
        <v>0</v>
      </c>
      <c r="CC8" s="40">
        <f t="shared" si="1"/>
        <v>0</v>
      </c>
      <c r="CD8" s="40">
        <f t="shared" si="2"/>
        <v>0</v>
      </c>
      <c r="CE8" s="40" t="e">
        <f>M8+O8+Q8+#REF!+#REF!+V8+X8+Z8+#REF!+#REF!+AE8+AG8+AI8+#REF!+#REF!+AN8+AP8+AR8+#REF!+#REF!+AW8+AY8+BA8+#REF!+#REF!+BF8+BH8+BJ8+#REF!+#REF!+BO8+BQ8+BS8+#REF!+#REF!+BX8+BZ8+CB8+#REF!+#REF!</f>
        <v>#REF!</v>
      </c>
      <c r="CF8" s="15" t="e">
        <f t="shared" si="35"/>
        <v>#REF!</v>
      </c>
    </row>
    <row r="9" spans="1:84" x14ac:dyDescent="0.25">
      <c r="A9" s="2"/>
      <c r="B9" s="2" t="s">
        <v>25</v>
      </c>
      <c r="C9" s="41" t="s">
        <v>21</v>
      </c>
      <c r="D9" s="50">
        <v>1</v>
      </c>
      <c r="E9" s="33">
        <v>50000</v>
      </c>
      <c r="F9" s="88">
        <v>50000</v>
      </c>
      <c r="G9" s="39"/>
      <c r="H9" s="153">
        <v>50000</v>
      </c>
      <c r="I9" s="39"/>
      <c r="J9" s="35">
        <v>0.125</v>
      </c>
      <c r="K9" s="36">
        <f t="shared" si="3"/>
        <v>6250</v>
      </c>
      <c r="L9" s="49">
        <v>0.34</v>
      </c>
      <c r="M9" s="38">
        <f t="shared" si="4"/>
        <v>2125</v>
      </c>
      <c r="N9" s="37">
        <v>0.33</v>
      </c>
      <c r="O9" s="38">
        <f t="shared" si="5"/>
        <v>2062.5</v>
      </c>
      <c r="P9" s="37">
        <v>0.33</v>
      </c>
      <c r="Q9" s="38">
        <f t="shared" si="6"/>
        <v>2062.5</v>
      </c>
      <c r="R9" s="39"/>
      <c r="S9" s="35">
        <v>0.125</v>
      </c>
      <c r="T9" s="36">
        <f t="shared" si="7"/>
        <v>6250</v>
      </c>
      <c r="U9" s="37">
        <v>0.34</v>
      </c>
      <c r="V9" s="38">
        <f t="shared" si="8"/>
        <v>2125</v>
      </c>
      <c r="W9" s="37">
        <v>0.33</v>
      </c>
      <c r="X9" s="38">
        <f t="shared" si="9"/>
        <v>2062.5</v>
      </c>
      <c r="Y9" s="37">
        <v>0.33</v>
      </c>
      <c r="Z9" s="38">
        <f t="shared" si="10"/>
        <v>2062.5</v>
      </c>
      <c r="AA9" s="39"/>
      <c r="AB9" s="35">
        <v>0.125</v>
      </c>
      <c r="AC9" s="36">
        <f t="shared" si="11"/>
        <v>6250</v>
      </c>
      <c r="AD9" s="37">
        <v>0.34</v>
      </c>
      <c r="AE9" s="38">
        <f t="shared" si="12"/>
        <v>2125</v>
      </c>
      <c r="AF9" s="37">
        <v>0.33</v>
      </c>
      <c r="AG9" s="38">
        <f t="shared" si="13"/>
        <v>2062.5</v>
      </c>
      <c r="AH9" s="37">
        <v>0.33</v>
      </c>
      <c r="AI9" s="38">
        <f t="shared" si="14"/>
        <v>2062.5</v>
      </c>
      <c r="AJ9" s="39"/>
      <c r="AK9" s="35">
        <v>0.125</v>
      </c>
      <c r="AL9" s="36">
        <f t="shared" si="15"/>
        <v>6250</v>
      </c>
      <c r="AM9" s="37">
        <v>0.34</v>
      </c>
      <c r="AN9" s="38">
        <f t="shared" si="16"/>
        <v>2125</v>
      </c>
      <c r="AO9" s="37">
        <v>0.33</v>
      </c>
      <c r="AP9" s="38">
        <f t="shared" si="17"/>
        <v>2062.5</v>
      </c>
      <c r="AQ9" s="37">
        <v>0.33</v>
      </c>
      <c r="AR9" s="38">
        <f t="shared" si="18"/>
        <v>2062.5</v>
      </c>
      <c r="AS9" s="39"/>
      <c r="AT9" s="35">
        <v>0.125</v>
      </c>
      <c r="AU9" s="36">
        <f t="shared" si="19"/>
        <v>6250</v>
      </c>
      <c r="AV9" s="37">
        <v>0.34</v>
      </c>
      <c r="AW9" s="38">
        <f t="shared" si="20"/>
        <v>2125</v>
      </c>
      <c r="AX9" s="37">
        <v>0.33</v>
      </c>
      <c r="AY9" s="38">
        <f t="shared" si="21"/>
        <v>2062.5</v>
      </c>
      <c r="AZ9" s="37">
        <v>0.33</v>
      </c>
      <c r="BA9" s="38">
        <f t="shared" si="22"/>
        <v>2062.5</v>
      </c>
      <c r="BB9" s="39"/>
      <c r="BC9" s="35">
        <v>0.125</v>
      </c>
      <c r="BD9" s="36">
        <f t="shared" si="23"/>
        <v>6250</v>
      </c>
      <c r="BE9" s="37">
        <v>0.34</v>
      </c>
      <c r="BF9" s="38">
        <f t="shared" si="24"/>
        <v>2125</v>
      </c>
      <c r="BG9" s="37">
        <v>0.33</v>
      </c>
      <c r="BH9" s="38">
        <f t="shared" si="25"/>
        <v>2062.5</v>
      </c>
      <c r="BI9" s="37">
        <v>0.33</v>
      </c>
      <c r="BJ9" s="38">
        <f t="shared" si="26"/>
        <v>2062.5</v>
      </c>
      <c r="BK9" s="39"/>
      <c r="BL9" s="35">
        <v>0.125</v>
      </c>
      <c r="BM9" s="36">
        <f t="shared" si="27"/>
        <v>6250</v>
      </c>
      <c r="BN9" s="37">
        <v>0.34</v>
      </c>
      <c r="BO9" s="38">
        <f t="shared" si="28"/>
        <v>2125</v>
      </c>
      <c r="BP9" s="37">
        <v>0.33</v>
      </c>
      <c r="BQ9" s="38">
        <f t="shared" si="29"/>
        <v>2062.5</v>
      </c>
      <c r="BR9" s="37">
        <v>0.33</v>
      </c>
      <c r="BS9" s="38">
        <f t="shared" si="30"/>
        <v>2062.5</v>
      </c>
      <c r="BT9" s="39"/>
      <c r="BU9" s="35">
        <v>0.125</v>
      </c>
      <c r="BV9" s="36">
        <f t="shared" si="31"/>
        <v>6250</v>
      </c>
      <c r="BW9" s="37">
        <v>0.34</v>
      </c>
      <c r="BX9" s="38">
        <f t="shared" si="32"/>
        <v>2125</v>
      </c>
      <c r="BY9" s="37">
        <v>0.33</v>
      </c>
      <c r="BZ9" s="38">
        <f t="shared" si="33"/>
        <v>2062.5</v>
      </c>
      <c r="CA9" s="37">
        <v>0.33</v>
      </c>
      <c r="CB9" s="38">
        <f t="shared" si="34"/>
        <v>2062.5</v>
      </c>
      <c r="CC9" s="40">
        <f t="shared" si="1"/>
        <v>50000</v>
      </c>
      <c r="CD9" s="40">
        <f t="shared" si="2"/>
        <v>50000</v>
      </c>
      <c r="CE9" s="40" t="e">
        <f>M9+O9+Q9+#REF!+#REF!+V9+X9+Z9+#REF!+#REF!+AE9+AG9+AI9+#REF!+#REF!+AN9+AP9+AR9+#REF!+#REF!+AW9+AY9+BA9+#REF!+#REF!+BF9+BH9+BJ9+#REF!+#REF!+BO9+BQ9+BS9+#REF!+#REF!+BX9+BZ9+CB9+#REF!+#REF!</f>
        <v>#REF!</v>
      </c>
      <c r="CF9" s="15" t="e">
        <f t="shared" si="35"/>
        <v>#REF!</v>
      </c>
    </row>
    <row r="10" spans="1:84" x14ac:dyDescent="0.25">
      <c r="B10" s="45" t="s">
        <v>26</v>
      </c>
      <c r="C10" s="41" t="s">
        <v>27</v>
      </c>
      <c r="D10" s="50">
        <v>10000</v>
      </c>
      <c r="E10" s="182">
        <f>H10*$K$51</f>
        <v>4.5918000000000001</v>
      </c>
      <c r="F10" s="88">
        <v>45000</v>
      </c>
      <c r="G10" s="39"/>
      <c r="H10" s="153">
        <v>4.5</v>
      </c>
      <c r="I10" s="39"/>
      <c r="J10" s="35"/>
      <c r="K10" s="36">
        <f t="shared" si="3"/>
        <v>0</v>
      </c>
      <c r="L10" s="37"/>
      <c r="M10" s="38">
        <f t="shared" si="4"/>
        <v>0</v>
      </c>
      <c r="N10" s="37"/>
      <c r="O10" s="38">
        <f t="shared" si="5"/>
        <v>0</v>
      </c>
      <c r="P10" s="37"/>
      <c r="Q10" s="38">
        <f t="shared" si="6"/>
        <v>0</v>
      </c>
      <c r="R10" s="39"/>
      <c r="S10" s="35">
        <v>1</v>
      </c>
      <c r="T10" s="36">
        <f t="shared" si="7"/>
        <v>45000</v>
      </c>
      <c r="U10" s="37">
        <v>0.34</v>
      </c>
      <c r="V10" s="38">
        <f t="shared" si="8"/>
        <v>15300.000000000002</v>
      </c>
      <c r="W10" s="37">
        <v>0.33</v>
      </c>
      <c r="X10" s="38">
        <f t="shared" si="9"/>
        <v>14850</v>
      </c>
      <c r="Y10" s="37">
        <v>0.33</v>
      </c>
      <c r="Z10" s="38">
        <f t="shared" si="10"/>
        <v>14850</v>
      </c>
      <c r="AA10" s="39"/>
      <c r="AB10" s="35"/>
      <c r="AC10" s="36">
        <f t="shared" si="11"/>
        <v>0</v>
      </c>
      <c r="AD10" s="37"/>
      <c r="AE10" s="38">
        <f t="shared" si="12"/>
        <v>0</v>
      </c>
      <c r="AF10" s="37"/>
      <c r="AG10" s="38">
        <f t="shared" si="13"/>
        <v>0</v>
      </c>
      <c r="AH10" s="37"/>
      <c r="AI10" s="38">
        <f t="shared" si="14"/>
        <v>0</v>
      </c>
      <c r="AJ10" s="39"/>
      <c r="AK10" s="35"/>
      <c r="AL10" s="36">
        <f t="shared" si="15"/>
        <v>0</v>
      </c>
      <c r="AM10" s="37"/>
      <c r="AN10" s="38">
        <f t="shared" si="16"/>
        <v>0</v>
      </c>
      <c r="AO10" s="37"/>
      <c r="AP10" s="38">
        <f t="shared" si="17"/>
        <v>0</v>
      </c>
      <c r="AQ10" s="37"/>
      <c r="AR10" s="38">
        <f t="shared" si="18"/>
        <v>0</v>
      </c>
      <c r="AS10" s="39"/>
      <c r="AT10" s="35"/>
      <c r="AU10" s="36">
        <f t="shared" si="19"/>
        <v>0</v>
      </c>
      <c r="AV10" s="37"/>
      <c r="AW10" s="38">
        <f t="shared" si="20"/>
        <v>0</v>
      </c>
      <c r="AX10" s="37"/>
      <c r="AY10" s="38">
        <f t="shared" si="21"/>
        <v>0</v>
      </c>
      <c r="AZ10" s="37"/>
      <c r="BA10" s="38">
        <f t="shared" si="22"/>
        <v>0</v>
      </c>
      <c r="BB10" s="39"/>
      <c r="BC10" s="35"/>
      <c r="BD10" s="36">
        <f t="shared" si="23"/>
        <v>0</v>
      </c>
      <c r="BE10" s="37"/>
      <c r="BF10" s="38">
        <f t="shared" si="24"/>
        <v>0</v>
      </c>
      <c r="BG10" s="37"/>
      <c r="BH10" s="38">
        <f t="shared" si="25"/>
        <v>0</v>
      </c>
      <c r="BI10" s="37"/>
      <c r="BJ10" s="38">
        <f t="shared" si="26"/>
        <v>0</v>
      </c>
      <c r="BK10" s="39"/>
      <c r="BL10" s="35"/>
      <c r="BM10" s="36">
        <f t="shared" si="27"/>
        <v>0</v>
      </c>
      <c r="BN10" s="37"/>
      <c r="BO10" s="38">
        <f t="shared" si="28"/>
        <v>0</v>
      </c>
      <c r="BP10" s="37"/>
      <c r="BQ10" s="38">
        <f t="shared" si="29"/>
        <v>0</v>
      </c>
      <c r="BR10" s="37"/>
      <c r="BS10" s="38">
        <f t="shared" si="30"/>
        <v>0</v>
      </c>
      <c r="BT10" s="39"/>
      <c r="BU10" s="35"/>
      <c r="BV10" s="36">
        <f t="shared" si="31"/>
        <v>0</v>
      </c>
      <c r="BW10" s="37"/>
      <c r="BX10" s="38">
        <f t="shared" si="32"/>
        <v>0</v>
      </c>
      <c r="BY10" s="37"/>
      <c r="BZ10" s="38">
        <f t="shared" si="33"/>
        <v>0</v>
      </c>
      <c r="CA10" s="37"/>
      <c r="CB10" s="38">
        <f t="shared" si="34"/>
        <v>0</v>
      </c>
      <c r="CC10" s="40">
        <f t="shared" si="1"/>
        <v>45000</v>
      </c>
      <c r="CD10" s="40">
        <f t="shared" si="2"/>
        <v>45000</v>
      </c>
      <c r="CE10" s="40" t="e">
        <f>M10+O10+Q10+#REF!+#REF!+V10+X10+Z10+#REF!+#REF!+AE10+AG10+AI10+#REF!+#REF!+AN10+AP10+AR10+#REF!+#REF!+AW10+AY10+BA10+#REF!+#REF!+BF10+BH10+BJ10+#REF!+#REF!+BO10+BQ10+BS10+#REF!+#REF!+BX10+BZ10+CB10+#REF!+#REF!</f>
        <v>#REF!</v>
      </c>
      <c r="CF10" s="15" t="e">
        <f t="shared" si="35"/>
        <v>#REF!</v>
      </c>
    </row>
    <row r="11" spans="1:84" x14ac:dyDescent="0.25">
      <c r="B11" s="45" t="s">
        <v>28</v>
      </c>
      <c r="C11" s="41" t="s">
        <v>21</v>
      </c>
      <c r="D11" s="50">
        <v>1</v>
      </c>
      <c r="E11" s="33">
        <v>25000</v>
      </c>
      <c r="F11" s="88">
        <v>25000</v>
      </c>
      <c r="G11" s="39"/>
      <c r="H11" s="153">
        <v>25000</v>
      </c>
      <c r="I11" s="39"/>
      <c r="J11" s="35">
        <v>0.125</v>
      </c>
      <c r="K11" s="36">
        <f t="shared" si="3"/>
        <v>3125</v>
      </c>
      <c r="L11" s="37">
        <v>0.34</v>
      </c>
      <c r="M11" s="38">
        <f t="shared" si="4"/>
        <v>1062.5</v>
      </c>
      <c r="N11" s="37">
        <v>0.33</v>
      </c>
      <c r="O11" s="38">
        <f t="shared" si="5"/>
        <v>1031.25</v>
      </c>
      <c r="P11" s="37">
        <v>0.33</v>
      </c>
      <c r="Q11" s="38">
        <f t="shared" si="6"/>
        <v>1031.25</v>
      </c>
      <c r="R11" s="39"/>
      <c r="S11" s="35">
        <v>0.125</v>
      </c>
      <c r="T11" s="36">
        <f t="shared" si="7"/>
        <v>3125</v>
      </c>
      <c r="U11" s="37">
        <v>0.34</v>
      </c>
      <c r="V11" s="38">
        <f t="shared" si="8"/>
        <v>1062.5</v>
      </c>
      <c r="W11" s="37">
        <v>0.33</v>
      </c>
      <c r="X11" s="38">
        <f t="shared" si="9"/>
        <v>1031.25</v>
      </c>
      <c r="Y11" s="37">
        <v>0.33</v>
      </c>
      <c r="Z11" s="38">
        <f t="shared" si="10"/>
        <v>1031.25</v>
      </c>
      <c r="AA11" s="39"/>
      <c r="AB11" s="35">
        <v>0.125</v>
      </c>
      <c r="AC11" s="36">
        <f t="shared" si="11"/>
        <v>3125</v>
      </c>
      <c r="AD11" s="37">
        <v>0.34</v>
      </c>
      <c r="AE11" s="38">
        <f t="shared" si="12"/>
        <v>1062.5</v>
      </c>
      <c r="AF11" s="37">
        <v>0.33</v>
      </c>
      <c r="AG11" s="38">
        <f t="shared" si="13"/>
        <v>1031.25</v>
      </c>
      <c r="AH11" s="37">
        <v>0.33</v>
      </c>
      <c r="AI11" s="38">
        <f t="shared" si="14"/>
        <v>1031.25</v>
      </c>
      <c r="AJ11" s="39"/>
      <c r="AK11" s="35">
        <v>0.125</v>
      </c>
      <c r="AL11" s="36">
        <f t="shared" si="15"/>
        <v>3125</v>
      </c>
      <c r="AM11" s="37">
        <v>0.34</v>
      </c>
      <c r="AN11" s="38">
        <f t="shared" si="16"/>
        <v>1062.5</v>
      </c>
      <c r="AO11" s="37">
        <v>0.33</v>
      </c>
      <c r="AP11" s="38">
        <f t="shared" si="17"/>
        <v>1031.25</v>
      </c>
      <c r="AQ11" s="37">
        <v>0.33</v>
      </c>
      <c r="AR11" s="38">
        <f t="shared" si="18"/>
        <v>1031.25</v>
      </c>
      <c r="AS11" s="39"/>
      <c r="AT11" s="35">
        <v>0.125</v>
      </c>
      <c r="AU11" s="36">
        <f t="shared" si="19"/>
        <v>3125</v>
      </c>
      <c r="AV11" s="37">
        <v>0.34</v>
      </c>
      <c r="AW11" s="38">
        <f t="shared" si="20"/>
        <v>1062.5</v>
      </c>
      <c r="AX11" s="37">
        <v>0.33</v>
      </c>
      <c r="AY11" s="38">
        <f t="shared" si="21"/>
        <v>1031.25</v>
      </c>
      <c r="AZ11" s="37">
        <v>0.33</v>
      </c>
      <c r="BA11" s="38">
        <f t="shared" si="22"/>
        <v>1031.25</v>
      </c>
      <c r="BB11" s="39"/>
      <c r="BC11" s="35">
        <v>0.125</v>
      </c>
      <c r="BD11" s="36">
        <f t="shared" si="23"/>
        <v>3125</v>
      </c>
      <c r="BE11" s="37">
        <v>0.34</v>
      </c>
      <c r="BF11" s="38">
        <f t="shared" si="24"/>
        <v>1062.5</v>
      </c>
      <c r="BG11" s="37">
        <v>0.33</v>
      </c>
      <c r="BH11" s="38">
        <f t="shared" si="25"/>
        <v>1031.25</v>
      </c>
      <c r="BI11" s="37">
        <v>0.33</v>
      </c>
      <c r="BJ11" s="38">
        <f t="shared" si="26"/>
        <v>1031.25</v>
      </c>
      <c r="BK11" s="39"/>
      <c r="BL11" s="35">
        <v>0.125</v>
      </c>
      <c r="BM11" s="36">
        <f t="shared" si="27"/>
        <v>3125</v>
      </c>
      <c r="BN11" s="37">
        <v>0.34</v>
      </c>
      <c r="BO11" s="38">
        <f t="shared" si="28"/>
        <v>1062.5</v>
      </c>
      <c r="BP11" s="37">
        <v>0.33</v>
      </c>
      <c r="BQ11" s="38">
        <f t="shared" si="29"/>
        <v>1031.25</v>
      </c>
      <c r="BR11" s="37">
        <v>0.33</v>
      </c>
      <c r="BS11" s="38">
        <f t="shared" si="30"/>
        <v>1031.25</v>
      </c>
      <c r="BT11" s="39"/>
      <c r="BU11" s="35">
        <v>0.125</v>
      </c>
      <c r="BV11" s="36">
        <f t="shared" si="31"/>
        <v>3125</v>
      </c>
      <c r="BW11" s="37">
        <v>0.34</v>
      </c>
      <c r="BX11" s="38">
        <f t="shared" si="32"/>
        <v>1062.5</v>
      </c>
      <c r="BY11" s="37">
        <v>0.33</v>
      </c>
      <c r="BZ11" s="38">
        <f t="shared" si="33"/>
        <v>1031.25</v>
      </c>
      <c r="CA11" s="37">
        <v>0.33</v>
      </c>
      <c r="CB11" s="38">
        <f t="shared" si="34"/>
        <v>1031.25</v>
      </c>
      <c r="CC11" s="40">
        <f t="shared" si="1"/>
        <v>25000</v>
      </c>
      <c r="CD11" s="40">
        <f t="shared" si="2"/>
        <v>25000</v>
      </c>
      <c r="CE11" s="40" t="e">
        <f>M11+O11+Q11+#REF!+#REF!+V11+X11+Z11+#REF!+#REF!+AE11+AG11+AI11+#REF!+#REF!+AN11+AP11+AR11+#REF!+#REF!+AW11+AY11+BA11+#REF!+#REF!+BF11+BH11+BJ11+#REF!+#REF!+BO11+BQ11+BS11+#REF!+#REF!+BX11+BZ11+CB11+#REF!+#REF!</f>
        <v>#REF!</v>
      </c>
      <c r="CF11" s="15" t="e">
        <f t="shared" si="35"/>
        <v>#REF!</v>
      </c>
    </row>
    <row r="12" spans="1:84" x14ac:dyDescent="0.25">
      <c r="B12" s="45" t="s">
        <v>29</v>
      </c>
      <c r="C12" s="41" t="s">
        <v>21</v>
      </c>
      <c r="D12" s="50">
        <v>1</v>
      </c>
      <c r="E12" s="33">
        <v>10000</v>
      </c>
      <c r="F12" s="88">
        <v>10000</v>
      </c>
      <c r="G12" s="39"/>
      <c r="H12" s="153">
        <v>10000</v>
      </c>
      <c r="I12" s="39"/>
      <c r="J12" s="35"/>
      <c r="K12" s="36">
        <f t="shared" si="3"/>
        <v>0</v>
      </c>
      <c r="L12" s="37"/>
      <c r="M12" s="38">
        <f t="shared" si="4"/>
        <v>0</v>
      </c>
      <c r="N12" s="37"/>
      <c r="O12" s="38">
        <f t="shared" si="5"/>
        <v>0</v>
      </c>
      <c r="P12" s="37"/>
      <c r="Q12" s="38">
        <f t="shared" si="6"/>
        <v>0</v>
      </c>
      <c r="R12" s="39"/>
      <c r="S12" s="35"/>
      <c r="T12" s="36">
        <f t="shared" si="7"/>
        <v>0</v>
      </c>
      <c r="U12" s="37"/>
      <c r="V12" s="38">
        <f t="shared" si="8"/>
        <v>0</v>
      </c>
      <c r="W12" s="37"/>
      <c r="X12" s="38">
        <f t="shared" si="9"/>
        <v>0</v>
      </c>
      <c r="Y12" s="37"/>
      <c r="Z12" s="38">
        <f t="shared" si="10"/>
        <v>0</v>
      </c>
      <c r="AA12" s="39"/>
      <c r="AB12" s="35"/>
      <c r="AC12" s="36">
        <f t="shared" si="11"/>
        <v>0</v>
      </c>
      <c r="AD12" s="37"/>
      <c r="AE12" s="38">
        <f t="shared" si="12"/>
        <v>0</v>
      </c>
      <c r="AF12" s="37"/>
      <c r="AG12" s="38">
        <f t="shared" si="13"/>
        <v>0</v>
      </c>
      <c r="AH12" s="37"/>
      <c r="AI12" s="38">
        <f t="shared" si="14"/>
        <v>0</v>
      </c>
      <c r="AJ12" s="39"/>
      <c r="AK12" s="35"/>
      <c r="AL12" s="36">
        <f t="shared" si="15"/>
        <v>0</v>
      </c>
      <c r="AM12" s="37"/>
      <c r="AN12" s="38">
        <f t="shared" si="16"/>
        <v>0</v>
      </c>
      <c r="AO12" s="37"/>
      <c r="AP12" s="38">
        <f t="shared" si="17"/>
        <v>0</v>
      </c>
      <c r="AQ12" s="37"/>
      <c r="AR12" s="38">
        <f t="shared" si="18"/>
        <v>0</v>
      </c>
      <c r="AS12" s="39"/>
      <c r="AT12" s="35"/>
      <c r="AU12" s="36">
        <f t="shared" si="19"/>
        <v>0</v>
      </c>
      <c r="AV12" s="37"/>
      <c r="AW12" s="38">
        <f t="shared" si="20"/>
        <v>0</v>
      </c>
      <c r="AX12" s="37"/>
      <c r="AY12" s="38">
        <f t="shared" si="21"/>
        <v>0</v>
      </c>
      <c r="AZ12" s="37"/>
      <c r="BA12" s="38">
        <f t="shared" si="22"/>
        <v>0</v>
      </c>
      <c r="BB12" s="39"/>
      <c r="BC12" s="35">
        <v>1</v>
      </c>
      <c r="BD12" s="36">
        <f t="shared" si="23"/>
        <v>10000</v>
      </c>
      <c r="BE12" s="37">
        <v>0.34</v>
      </c>
      <c r="BF12" s="38">
        <f t="shared" si="24"/>
        <v>3400.0000000000005</v>
      </c>
      <c r="BG12" s="37">
        <v>0.33</v>
      </c>
      <c r="BH12" s="38">
        <f t="shared" si="25"/>
        <v>3300</v>
      </c>
      <c r="BI12" s="37">
        <v>0.33</v>
      </c>
      <c r="BJ12" s="38">
        <f t="shared" si="26"/>
        <v>3300</v>
      </c>
      <c r="BK12" s="39"/>
      <c r="BL12" s="35"/>
      <c r="BM12" s="36">
        <f t="shared" si="27"/>
        <v>0</v>
      </c>
      <c r="BN12" s="37"/>
      <c r="BO12" s="38">
        <f t="shared" si="28"/>
        <v>0</v>
      </c>
      <c r="BP12" s="37"/>
      <c r="BQ12" s="38">
        <f t="shared" si="29"/>
        <v>0</v>
      </c>
      <c r="BR12" s="37"/>
      <c r="BS12" s="38">
        <f t="shared" si="30"/>
        <v>0</v>
      </c>
      <c r="BT12" s="39"/>
      <c r="BU12" s="35"/>
      <c r="BV12" s="36">
        <f t="shared" si="31"/>
        <v>0</v>
      </c>
      <c r="BW12" s="37"/>
      <c r="BX12" s="38">
        <f t="shared" si="32"/>
        <v>0</v>
      </c>
      <c r="BY12" s="37"/>
      <c r="BZ12" s="38">
        <f t="shared" si="33"/>
        <v>0</v>
      </c>
      <c r="CA12" s="37"/>
      <c r="CB12" s="38">
        <f t="shared" si="34"/>
        <v>0</v>
      </c>
      <c r="CC12" s="40">
        <f t="shared" si="1"/>
        <v>10000</v>
      </c>
      <c r="CD12" s="40">
        <f t="shared" si="2"/>
        <v>10000</v>
      </c>
      <c r="CE12" s="40" t="e">
        <f>M12+O12+Q12+#REF!+#REF!+V12+X12+Z12+#REF!+#REF!+AE12+AG12+AI12+#REF!+#REF!+AN12+AP12+AR12+#REF!+#REF!+AW12+AY12+BA12+#REF!+#REF!+BF12+BH12+BJ12+#REF!+#REF!+BO12+BQ12+BS12+#REF!+#REF!+BX12+BZ12+CB12+#REF!+#REF!</f>
        <v>#REF!</v>
      </c>
      <c r="CF12" s="15" t="e">
        <f t="shared" si="35"/>
        <v>#REF!</v>
      </c>
    </row>
    <row r="13" spans="1:84" x14ac:dyDescent="0.25">
      <c r="B13" s="43"/>
      <c r="C13" s="41"/>
      <c r="D13" s="42"/>
      <c r="E13" s="47"/>
      <c r="F13" s="96">
        <f t="shared" si="0"/>
        <v>0</v>
      </c>
      <c r="G13" s="39"/>
      <c r="H13" s="153">
        <v>0</v>
      </c>
      <c r="I13" s="39"/>
      <c r="J13" s="35"/>
      <c r="K13" s="36">
        <f t="shared" ref="K13" si="36">J13*$F13</f>
        <v>0</v>
      </c>
      <c r="L13" s="37"/>
      <c r="M13" s="38">
        <f t="shared" ref="M13" si="37">L13*K13</f>
        <v>0</v>
      </c>
      <c r="N13" s="37"/>
      <c r="O13" s="38">
        <f t="shared" ref="O13" si="38">N13*K13</f>
        <v>0</v>
      </c>
      <c r="P13" s="37"/>
      <c r="Q13" s="38">
        <f t="shared" ref="Q13" si="39">P13*K13</f>
        <v>0</v>
      </c>
      <c r="R13" s="39"/>
      <c r="S13" s="35"/>
      <c r="T13" s="36">
        <f t="shared" ref="T13" si="40">S13*$F13</f>
        <v>0</v>
      </c>
      <c r="U13" s="37"/>
      <c r="V13" s="38">
        <f t="shared" ref="V13" si="41">U13*T13</f>
        <v>0</v>
      </c>
      <c r="W13" s="37"/>
      <c r="X13" s="38">
        <f t="shared" ref="X13" si="42">W13*T13</f>
        <v>0</v>
      </c>
      <c r="Y13" s="37"/>
      <c r="Z13" s="38">
        <f t="shared" ref="Z13" si="43">Y13*T13</f>
        <v>0</v>
      </c>
      <c r="AA13" s="39"/>
      <c r="AB13" s="35"/>
      <c r="AC13" s="36">
        <f t="shared" ref="AC13" si="44">AB13*$F13</f>
        <v>0</v>
      </c>
      <c r="AD13" s="37"/>
      <c r="AE13" s="38">
        <f t="shared" ref="AE13" si="45">AD13*AC13</f>
        <v>0</v>
      </c>
      <c r="AF13" s="37"/>
      <c r="AG13" s="38">
        <f t="shared" ref="AG13" si="46">AF13*AC13</f>
        <v>0</v>
      </c>
      <c r="AH13" s="37"/>
      <c r="AI13" s="38">
        <f t="shared" ref="AI13" si="47">AH13*AC13</f>
        <v>0</v>
      </c>
      <c r="AJ13" s="39"/>
      <c r="AK13" s="35"/>
      <c r="AL13" s="36">
        <f t="shared" ref="AL13" si="48">AK13*$F13</f>
        <v>0</v>
      </c>
      <c r="AM13" s="37"/>
      <c r="AN13" s="38">
        <f t="shared" ref="AN13" si="49">AM13*AL13</f>
        <v>0</v>
      </c>
      <c r="AO13" s="37"/>
      <c r="AP13" s="38">
        <f t="shared" ref="AP13" si="50">AO13*AL13</f>
        <v>0</v>
      </c>
      <c r="AQ13" s="37"/>
      <c r="AR13" s="38">
        <f t="shared" ref="AR13" si="51">AQ13*AL13</f>
        <v>0</v>
      </c>
      <c r="AS13" s="39"/>
      <c r="AT13" s="35"/>
      <c r="AU13" s="36">
        <f t="shared" ref="AU13" si="52">AT13*$F13</f>
        <v>0</v>
      </c>
      <c r="AV13" s="37"/>
      <c r="AW13" s="38">
        <f t="shared" ref="AW13" si="53">AV13*AU13</f>
        <v>0</v>
      </c>
      <c r="AX13" s="37"/>
      <c r="AY13" s="38">
        <f t="shared" ref="AY13" si="54">AX13*AU13</f>
        <v>0</v>
      </c>
      <c r="AZ13" s="37"/>
      <c r="BA13" s="38">
        <f t="shared" ref="BA13" si="55">AZ13*AU13</f>
        <v>0</v>
      </c>
      <c r="BB13" s="39"/>
      <c r="BC13" s="35"/>
      <c r="BD13" s="36">
        <f t="shared" ref="BD13" si="56">BC13*$F13</f>
        <v>0</v>
      </c>
      <c r="BE13" s="37"/>
      <c r="BF13" s="38">
        <f t="shared" ref="BF13" si="57">BE13*BD13</f>
        <v>0</v>
      </c>
      <c r="BG13" s="37"/>
      <c r="BH13" s="38">
        <f t="shared" ref="BH13" si="58">BG13*BD13</f>
        <v>0</v>
      </c>
      <c r="BI13" s="37"/>
      <c r="BJ13" s="38">
        <f t="shared" ref="BJ13" si="59">BI13*BD13</f>
        <v>0</v>
      </c>
      <c r="BK13" s="39"/>
      <c r="BL13" s="35"/>
      <c r="BM13" s="36">
        <f t="shared" ref="BM13" si="60">BL13*$F13</f>
        <v>0</v>
      </c>
      <c r="BN13" s="37"/>
      <c r="BO13" s="38">
        <f t="shared" ref="BO13" si="61">BN13*BM13</f>
        <v>0</v>
      </c>
      <c r="BP13" s="37"/>
      <c r="BQ13" s="38">
        <f t="shared" ref="BQ13" si="62">BP13*BM13</f>
        <v>0</v>
      </c>
      <c r="BR13" s="37"/>
      <c r="BS13" s="38">
        <f t="shared" ref="BS13" si="63">BR13*BM13</f>
        <v>0</v>
      </c>
      <c r="BT13" s="39"/>
      <c r="BU13" s="35"/>
      <c r="BV13" s="36">
        <f t="shared" ref="BV13" si="64">BU13*$F13</f>
        <v>0</v>
      </c>
      <c r="BW13" s="37"/>
      <c r="BX13" s="38">
        <f t="shared" ref="BX13" si="65">BW13*BV13</f>
        <v>0</v>
      </c>
      <c r="BY13" s="37"/>
      <c r="BZ13" s="38">
        <f t="shared" ref="BZ13" si="66">BY13*BV13</f>
        <v>0</v>
      </c>
      <c r="CA13" s="37"/>
      <c r="CB13" s="38">
        <f t="shared" ref="CB13" si="67">CA13*BV13</f>
        <v>0</v>
      </c>
      <c r="CC13" s="40">
        <f t="shared" si="1"/>
        <v>0</v>
      </c>
      <c r="CD13" s="40">
        <f t="shared" si="2"/>
        <v>0</v>
      </c>
      <c r="CE13" s="40" t="e">
        <f>M13+O13+Q13+#REF!+#REF!+V13+X13+Z13+#REF!+#REF!+AE13+AG13+AI13+#REF!+#REF!+AN13+AP13+AR13+#REF!+#REF!+AW13+AY13+BA13+#REF!+#REF!+BF13+BH13+BJ13+#REF!+#REF!+BO13+BQ13+BS13+#REF!+#REF!+BX13+BZ13+CB13+#REF!+#REF!</f>
        <v>#REF!</v>
      </c>
      <c r="CF13" s="15" t="e">
        <f t="shared" si="35"/>
        <v>#REF!</v>
      </c>
    </row>
    <row r="14" spans="1:84" x14ac:dyDescent="0.25">
      <c r="B14" s="45"/>
      <c r="C14" s="41"/>
      <c r="D14" s="42"/>
      <c r="E14" s="33"/>
      <c r="F14" s="96"/>
      <c r="G14" s="39"/>
      <c r="H14" s="153">
        <v>0</v>
      </c>
      <c r="I14" s="39"/>
      <c r="J14" s="35"/>
      <c r="K14" s="36"/>
      <c r="L14" s="37"/>
      <c r="M14" s="38"/>
      <c r="N14" s="37"/>
      <c r="O14" s="38"/>
      <c r="P14" s="37"/>
      <c r="Q14" s="38"/>
      <c r="R14" s="39"/>
      <c r="S14" s="35"/>
      <c r="T14" s="36"/>
      <c r="U14" s="37"/>
      <c r="V14" s="38"/>
      <c r="W14" s="37"/>
      <c r="X14" s="38"/>
      <c r="Y14" s="37"/>
      <c r="Z14" s="38"/>
      <c r="AA14" s="39"/>
      <c r="AB14" s="35"/>
      <c r="AC14" s="36"/>
      <c r="AD14" s="37"/>
      <c r="AE14" s="38"/>
      <c r="AF14" s="37"/>
      <c r="AG14" s="38"/>
      <c r="AH14" s="37"/>
      <c r="AI14" s="38"/>
      <c r="AJ14" s="39"/>
      <c r="AK14" s="35"/>
      <c r="AL14" s="36"/>
      <c r="AM14" s="37"/>
      <c r="AN14" s="38"/>
      <c r="AO14" s="37"/>
      <c r="AP14" s="38"/>
      <c r="AQ14" s="37"/>
      <c r="AR14" s="38"/>
      <c r="AS14" s="39"/>
      <c r="AT14" s="35"/>
      <c r="AU14" s="36"/>
      <c r="AV14" s="37"/>
      <c r="AW14" s="38"/>
      <c r="AX14" s="37"/>
      <c r="AY14" s="38"/>
      <c r="AZ14" s="37"/>
      <c r="BA14" s="38"/>
      <c r="BB14" s="39"/>
      <c r="BC14" s="35"/>
      <c r="BD14" s="36"/>
      <c r="BE14" s="37"/>
      <c r="BF14" s="38"/>
      <c r="BG14" s="37"/>
      <c r="BH14" s="38"/>
      <c r="BI14" s="37"/>
      <c r="BJ14" s="38"/>
      <c r="BK14" s="39"/>
      <c r="BL14" s="35"/>
      <c r="BM14" s="36"/>
      <c r="BN14" s="37"/>
      <c r="BO14" s="38"/>
      <c r="BP14" s="37"/>
      <c r="BQ14" s="38"/>
      <c r="BR14" s="37"/>
      <c r="BS14" s="38"/>
      <c r="BT14" s="39"/>
      <c r="BU14" s="35"/>
      <c r="BV14" s="36"/>
      <c r="BW14" s="37"/>
      <c r="BX14" s="38"/>
      <c r="BY14" s="37"/>
      <c r="BZ14" s="38"/>
      <c r="CA14" s="37"/>
      <c r="CB14" s="38"/>
      <c r="CC14" s="40"/>
      <c r="CD14" s="40"/>
      <c r="CE14" s="40"/>
      <c r="CF14" s="15"/>
    </row>
    <row r="15" spans="1:84" x14ac:dyDescent="0.25">
      <c r="A15" s="1" t="s">
        <v>129</v>
      </c>
      <c r="C15" s="44"/>
      <c r="D15" s="50"/>
      <c r="E15" s="47"/>
      <c r="F15" s="33">
        <v>0</v>
      </c>
      <c r="G15" s="39"/>
      <c r="H15" s="153">
        <v>0</v>
      </c>
      <c r="I15" s="39"/>
      <c r="J15" s="35"/>
      <c r="K15" s="36">
        <f t="shared" ref="K15:K19" si="68">J15*$F15</f>
        <v>0</v>
      </c>
      <c r="L15" s="37"/>
      <c r="M15" s="38">
        <f t="shared" ref="M15:M19" si="69">L15*K15</f>
        <v>0</v>
      </c>
      <c r="N15" s="37"/>
      <c r="O15" s="38">
        <f t="shared" ref="O15:O19" si="70">N15*K15</f>
        <v>0</v>
      </c>
      <c r="P15" s="37"/>
      <c r="Q15" s="38">
        <f t="shared" ref="Q15:Q19" si="71">P15*K15</f>
        <v>0</v>
      </c>
      <c r="R15" s="39"/>
      <c r="S15" s="35"/>
      <c r="T15" s="36">
        <f t="shared" ref="T15:T19" si="72">S15*$F15</f>
        <v>0</v>
      </c>
      <c r="U15" s="37"/>
      <c r="V15" s="38">
        <f t="shared" ref="V15:V19" si="73">U15*T15</f>
        <v>0</v>
      </c>
      <c r="W15" s="37"/>
      <c r="X15" s="38">
        <f t="shared" ref="X15:X19" si="74">W15*T15</f>
        <v>0</v>
      </c>
      <c r="Y15" s="37"/>
      <c r="Z15" s="38">
        <f t="shared" ref="Z15:Z19" si="75">Y15*T15</f>
        <v>0</v>
      </c>
      <c r="AA15" s="39"/>
      <c r="AB15" s="35"/>
      <c r="AC15" s="36">
        <f t="shared" ref="AC15:AC19" si="76">AB15*$F15</f>
        <v>0</v>
      </c>
      <c r="AD15" s="37"/>
      <c r="AE15" s="38">
        <f t="shared" ref="AE15:AE19" si="77">AD15*AC15</f>
        <v>0</v>
      </c>
      <c r="AF15" s="37"/>
      <c r="AG15" s="38">
        <f t="shared" ref="AG15:AG19" si="78">AF15*AC15</f>
        <v>0</v>
      </c>
      <c r="AH15" s="37"/>
      <c r="AI15" s="38">
        <f t="shared" ref="AI15:AI19" si="79">AH15*AC15</f>
        <v>0</v>
      </c>
      <c r="AJ15" s="39"/>
      <c r="AK15" s="35"/>
      <c r="AL15" s="36">
        <f t="shared" ref="AL15:AL19" si="80">AK15*$F15</f>
        <v>0</v>
      </c>
      <c r="AM15" s="37"/>
      <c r="AN15" s="38">
        <f t="shared" ref="AN15:AN19" si="81">AM15*AL15</f>
        <v>0</v>
      </c>
      <c r="AO15" s="37"/>
      <c r="AP15" s="38">
        <f t="shared" ref="AP15:AP19" si="82">AO15*AL15</f>
        <v>0</v>
      </c>
      <c r="AQ15" s="37"/>
      <c r="AR15" s="38">
        <f t="shared" ref="AR15:AR19" si="83">AQ15*AL15</f>
        <v>0</v>
      </c>
      <c r="AS15" s="39"/>
      <c r="AT15" s="35"/>
      <c r="AU15" s="36">
        <f t="shared" ref="AU15:AU19" si="84">AT15*$F15</f>
        <v>0</v>
      </c>
      <c r="AV15" s="37"/>
      <c r="AW15" s="38">
        <f t="shared" ref="AW15:AW19" si="85">AV15*AU15</f>
        <v>0</v>
      </c>
      <c r="AX15" s="37"/>
      <c r="AY15" s="38">
        <f t="shared" ref="AY15:AY19" si="86">AX15*AU15</f>
        <v>0</v>
      </c>
      <c r="AZ15" s="37"/>
      <c r="BA15" s="38">
        <f t="shared" ref="BA15:BA19" si="87">AZ15*AU15</f>
        <v>0</v>
      </c>
      <c r="BB15" s="39"/>
      <c r="BC15" s="35"/>
      <c r="BD15" s="36">
        <f t="shared" ref="BD15:BD19" si="88">BC15*$F15</f>
        <v>0</v>
      </c>
      <c r="BE15" s="37"/>
      <c r="BF15" s="38">
        <f t="shared" ref="BF15:BF19" si="89">BE15*BD15</f>
        <v>0</v>
      </c>
      <c r="BG15" s="37"/>
      <c r="BH15" s="38">
        <f t="shared" ref="BH15:BH19" si="90">BG15*BD15</f>
        <v>0</v>
      </c>
      <c r="BI15" s="37"/>
      <c r="BJ15" s="38">
        <f t="shared" ref="BJ15:BJ19" si="91">BI15*BD15</f>
        <v>0</v>
      </c>
      <c r="BK15" s="39"/>
      <c r="BL15" s="35"/>
      <c r="BM15" s="36">
        <f t="shared" ref="BM15:BM19" si="92">BL15*$F15</f>
        <v>0</v>
      </c>
      <c r="BN15" s="37"/>
      <c r="BO15" s="38">
        <f t="shared" ref="BO15:BO19" si="93">BN15*BM15</f>
        <v>0</v>
      </c>
      <c r="BP15" s="37"/>
      <c r="BQ15" s="38">
        <f t="shared" ref="BQ15:BQ19" si="94">BP15*BM15</f>
        <v>0</v>
      </c>
      <c r="BR15" s="37"/>
      <c r="BS15" s="38">
        <f t="shared" ref="BS15:BS19" si="95">BR15*BM15</f>
        <v>0</v>
      </c>
      <c r="BT15" s="39"/>
      <c r="BU15" s="35"/>
      <c r="BV15" s="36">
        <f t="shared" ref="BV15:BV19" si="96">BU15*$F15</f>
        <v>0</v>
      </c>
      <c r="BW15" s="37"/>
      <c r="BX15" s="38">
        <f t="shared" ref="BX15:BX19" si="97">BW15*BV15</f>
        <v>0</v>
      </c>
      <c r="BY15" s="37"/>
      <c r="BZ15" s="38">
        <f t="shared" ref="BZ15:BZ19" si="98">BY15*BV15</f>
        <v>0</v>
      </c>
      <c r="CA15" s="37"/>
      <c r="CB15" s="38">
        <f t="shared" ref="CB15:CB19" si="99">CA15*BV15</f>
        <v>0</v>
      </c>
      <c r="CC15" s="40">
        <f t="shared" ref="CC15:CC22" si="100">F15</f>
        <v>0</v>
      </c>
      <c r="CD15" s="40">
        <f t="shared" ref="CD15:CD22" si="101">K15+T15+AC15+AL15+AU15+BD15+BM15+BV15</f>
        <v>0</v>
      </c>
      <c r="CE15" s="40" t="e">
        <f>M15+O15+Q15+#REF!+#REF!+V15+X15+Z15+#REF!+#REF!+AE15+AG15+AI15+#REF!+#REF!+AN15+AP15+AR15+#REF!+#REF!+AW15+AY15+BA15+#REF!+#REF!+BF15+BH15+BJ15+#REF!+#REF!+BO15+BQ15+BS15+#REF!+#REF!+BX15+BZ15+CB15+#REF!+#REF!</f>
        <v>#REF!</v>
      </c>
      <c r="CF15" s="15" t="e">
        <f t="shared" ref="CF15:CF28" si="102">IF(AND(CC15=CD15,CD15=CE15,CC15=CE15),0,1)</f>
        <v>#REF!</v>
      </c>
    </row>
    <row r="16" spans="1:84" x14ac:dyDescent="0.25">
      <c r="B16" s="43" t="s">
        <v>34</v>
      </c>
      <c r="C16" s="41" t="s">
        <v>30</v>
      </c>
      <c r="D16" s="50">
        <f>300-D20</f>
        <v>270</v>
      </c>
      <c r="E16" s="182">
        <f>H16*$K$51</f>
        <v>459.18</v>
      </c>
      <c r="F16" s="88">
        <f>D16*E16</f>
        <v>123978.6</v>
      </c>
      <c r="G16" s="39"/>
      <c r="H16" s="153">
        <v>450</v>
      </c>
      <c r="I16" s="39"/>
      <c r="J16" s="35"/>
      <c r="K16" s="36">
        <f t="shared" si="68"/>
        <v>0</v>
      </c>
      <c r="L16" s="37"/>
      <c r="M16" s="38">
        <f t="shared" si="69"/>
        <v>0</v>
      </c>
      <c r="N16" s="37"/>
      <c r="O16" s="38">
        <f t="shared" si="70"/>
        <v>0</v>
      </c>
      <c r="P16" s="37"/>
      <c r="Q16" s="38">
        <f t="shared" si="71"/>
        <v>0</v>
      </c>
      <c r="R16" s="39"/>
      <c r="S16" s="35"/>
      <c r="T16" s="36">
        <f t="shared" si="72"/>
        <v>0</v>
      </c>
      <c r="U16" s="37"/>
      <c r="V16" s="38">
        <f t="shared" si="73"/>
        <v>0</v>
      </c>
      <c r="W16" s="37"/>
      <c r="X16" s="38">
        <f t="shared" si="74"/>
        <v>0</v>
      </c>
      <c r="Y16" s="37"/>
      <c r="Z16" s="38">
        <f t="shared" si="75"/>
        <v>0</v>
      </c>
      <c r="AA16" s="39"/>
      <c r="AB16" s="35"/>
      <c r="AC16" s="36">
        <f t="shared" si="76"/>
        <v>0</v>
      </c>
      <c r="AD16" s="37"/>
      <c r="AE16" s="38">
        <f t="shared" si="77"/>
        <v>0</v>
      </c>
      <c r="AF16" s="37"/>
      <c r="AG16" s="38">
        <f t="shared" si="78"/>
        <v>0</v>
      </c>
      <c r="AH16" s="37"/>
      <c r="AI16" s="38">
        <f t="shared" si="79"/>
        <v>0</v>
      </c>
      <c r="AJ16" s="39"/>
      <c r="AK16" s="35">
        <v>0.95</v>
      </c>
      <c r="AL16" s="36">
        <f t="shared" si="80"/>
        <v>117779.67</v>
      </c>
      <c r="AM16" s="37">
        <v>0.34</v>
      </c>
      <c r="AN16" s="38">
        <f t="shared" si="81"/>
        <v>40045.087800000001</v>
      </c>
      <c r="AO16" s="37">
        <v>0.33</v>
      </c>
      <c r="AP16" s="38">
        <f t="shared" si="82"/>
        <v>38867.291100000002</v>
      </c>
      <c r="AQ16" s="37">
        <v>0.33</v>
      </c>
      <c r="AR16" s="38">
        <f t="shared" si="83"/>
        <v>38867.291100000002</v>
      </c>
      <c r="AS16" s="39"/>
      <c r="AT16" s="35"/>
      <c r="AU16" s="36">
        <f t="shared" si="84"/>
        <v>0</v>
      </c>
      <c r="AV16" s="37"/>
      <c r="AW16" s="38">
        <f t="shared" si="85"/>
        <v>0</v>
      </c>
      <c r="AX16" s="37"/>
      <c r="AY16" s="38">
        <f t="shared" si="86"/>
        <v>0</v>
      </c>
      <c r="AZ16" s="37"/>
      <c r="BA16" s="38">
        <f t="shared" si="87"/>
        <v>0</v>
      </c>
      <c r="BB16" s="39"/>
      <c r="BC16" s="35">
        <v>0.05</v>
      </c>
      <c r="BD16" s="36">
        <f t="shared" si="88"/>
        <v>6198.93</v>
      </c>
      <c r="BE16" s="37">
        <v>0.34</v>
      </c>
      <c r="BF16" s="38">
        <f t="shared" si="89"/>
        <v>2107.6362000000004</v>
      </c>
      <c r="BG16" s="37">
        <v>0.33</v>
      </c>
      <c r="BH16" s="38">
        <f t="shared" si="90"/>
        <v>2045.6469000000002</v>
      </c>
      <c r="BI16" s="37">
        <v>0.33</v>
      </c>
      <c r="BJ16" s="38">
        <f t="shared" si="91"/>
        <v>2045.6469000000002</v>
      </c>
      <c r="BK16" s="39"/>
      <c r="BL16" s="35"/>
      <c r="BM16" s="36">
        <f t="shared" si="92"/>
        <v>0</v>
      </c>
      <c r="BN16" s="37"/>
      <c r="BO16" s="38">
        <f t="shared" si="93"/>
        <v>0</v>
      </c>
      <c r="BP16" s="37"/>
      <c r="BQ16" s="38">
        <f t="shared" si="94"/>
        <v>0</v>
      </c>
      <c r="BR16" s="37"/>
      <c r="BS16" s="38">
        <f t="shared" si="95"/>
        <v>0</v>
      </c>
      <c r="BT16" s="39"/>
      <c r="BU16" s="35"/>
      <c r="BV16" s="36">
        <f t="shared" si="96"/>
        <v>0</v>
      </c>
      <c r="BW16" s="37"/>
      <c r="BX16" s="38">
        <f t="shared" si="97"/>
        <v>0</v>
      </c>
      <c r="BY16" s="37"/>
      <c r="BZ16" s="38">
        <f t="shared" si="98"/>
        <v>0</v>
      </c>
      <c r="CA16" s="37"/>
      <c r="CB16" s="38">
        <f t="shared" si="99"/>
        <v>0</v>
      </c>
      <c r="CC16" s="40">
        <f t="shared" si="100"/>
        <v>123978.6</v>
      </c>
      <c r="CD16" s="40">
        <f t="shared" si="101"/>
        <v>123978.6</v>
      </c>
      <c r="CE16" s="40" t="e">
        <f>M16+O16+Q16+#REF!+#REF!+V16+X16+Z16+#REF!+#REF!+AE16+AG16+AI16+#REF!+#REF!+AN16+AP16+AR16+#REF!+#REF!+AW16+AY16+BA16+#REF!+#REF!+BF16+BH16+BJ16+#REF!+#REF!+BO16+BQ16+BS16+#REF!+#REF!+BX16+BZ16+CB16+#REF!+#REF!</f>
        <v>#REF!</v>
      </c>
      <c r="CF16" s="15" t="e">
        <f t="shared" si="102"/>
        <v>#REF!</v>
      </c>
    </row>
    <row r="17" spans="1:84" x14ac:dyDescent="0.25">
      <c r="B17" s="43" t="s">
        <v>35</v>
      </c>
      <c r="C17" s="41" t="s">
        <v>30</v>
      </c>
      <c r="D17" s="50">
        <f>300-D22</f>
        <v>270</v>
      </c>
      <c r="E17" s="33">
        <f>$K$40</f>
        <v>-108.3695731319762</v>
      </c>
      <c r="F17" s="121">
        <f>D17*E17</f>
        <v>-29259.784745633573</v>
      </c>
      <c r="G17" s="39"/>
      <c r="H17" s="153">
        <v>-123.79</v>
      </c>
      <c r="I17" s="39"/>
      <c r="J17" s="35"/>
      <c r="K17" s="36">
        <f t="shared" si="68"/>
        <v>0</v>
      </c>
      <c r="L17" s="37"/>
      <c r="M17" s="38">
        <f t="shared" si="69"/>
        <v>0</v>
      </c>
      <c r="N17" s="37"/>
      <c r="O17" s="38">
        <f t="shared" si="70"/>
        <v>0</v>
      </c>
      <c r="P17" s="37"/>
      <c r="Q17" s="38">
        <f t="shared" si="71"/>
        <v>0</v>
      </c>
      <c r="R17" s="39"/>
      <c r="S17" s="35"/>
      <c r="T17" s="36">
        <f t="shared" si="72"/>
        <v>0</v>
      </c>
      <c r="U17" s="37"/>
      <c r="V17" s="38">
        <f t="shared" si="73"/>
        <v>0</v>
      </c>
      <c r="W17" s="37"/>
      <c r="X17" s="38">
        <f t="shared" si="74"/>
        <v>0</v>
      </c>
      <c r="Y17" s="37"/>
      <c r="Z17" s="38">
        <f t="shared" si="75"/>
        <v>0</v>
      </c>
      <c r="AA17" s="39"/>
      <c r="AB17" s="35"/>
      <c r="AC17" s="36">
        <f t="shared" si="76"/>
        <v>0</v>
      </c>
      <c r="AD17" s="37"/>
      <c r="AE17" s="38">
        <f t="shared" si="77"/>
        <v>0</v>
      </c>
      <c r="AF17" s="37"/>
      <c r="AG17" s="38">
        <f t="shared" si="78"/>
        <v>0</v>
      </c>
      <c r="AH17" s="37"/>
      <c r="AI17" s="38">
        <f t="shared" si="79"/>
        <v>0</v>
      </c>
      <c r="AJ17" s="39"/>
      <c r="AK17" s="35">
        <v>0.95</v>
      </c>
      <c r="AL17" s="36">
        <f t="shared" si="80"/>
        <v>-27796.795508351894</v>
      </c>
      <c r="AM17" s="37">
        <v>0.34</v>
      </c>
      <c r="AN17" s="38">
        <f t="shared" si="81"/>
        <v>-9450.9104728396451</v>
      </c>
      <c r="AO17" s="37">
        <v>0.33</v>
      </c>
      <c r="AP17" s="38">
        <f t="shared" si="82"/>
        <v>-9172.9425177561261</v>
      </c>
      <c r="AQ17" s="37">
        <v>0.33</v>
      </c>
      <c r="AR17" s="38">
        <f t="shared" si="83"/>
        <v>-9172.9425177561261</v>
      </c>
      <c r="AS17" s="39"/>
      <c r="AT17" s="35"/>
      <c r="AU17" s="36">
        <f t="shared" si="84"/>
        <v>0</v>
      </c>
      <c r="AV17" s="37"/>
      <c r="AW17" s="38">
        <f t="shared" si="85"/>
        <v>0</v>
      </c>
      <c r="AX17" s="37"/>
      <c r="AY17" s="38">
        <f t="shared" si="86"/>
        <v>0</v>
      </c>
      <c r="AZ17" s="37"/>
      <c r="BA17" s="38">
        <f t="shared" si="87"/>
        <v>0</v>
      </c>
      <c r="BB17" s="39"/>
      <c r="BC17" s="35">
        <v>0.05</v>
      </c>
      <c r="BD17" s="36">
        <f t="shared" si="88"/>
        <v>-1462.9892372816787</v>
      </c>
      <c r="BE17" s="37">
        <v>0.34</v>
      </c>
      <c r="BF17" s="38">
        <f t="shared" si="89"/>
        <v>-497.41634067577081</v>
      </c>
      <c r="BG17" s="37">
        <v>0.33</v>
      </c>
      <c r="BH17" s="38">
        <f t="shared" si="90"/>
        <v>-482.786448302954</v>
      </c>
      <c r="BI17" s="37">
        <v>0.33</v>
      </c>
      <c r="BJ17" s="38">
        <f t="shared" si="91"/>
        <v>-482.786448302954</v>
      </c>
      <c r="BK17" s="39"/>
      <c r="BL17" s="35"/>
      <c r="BM17" s="36">
        <f t="shared" si="92"/>
        <v>0</v>
      </c>
      <c r="BN17" s="37"/>
      <c r="BO17" s="38">
        <f t="shared" si="93"/>
        <v>0</v>
      </c>
      <c r="BP17" s="37"/>
      <c r="BQ17" s="38">
        <f t="shared" si="94"/>
        <v>0</v>
      </c>
      <c r="BR17" s="37"/>
      <c r="BS17" s="38">
        <f t="shared" si="95"/>
        <v>0</v>
      </c>
      <c r="BT17" s="39"/>
      <c r="BU17" s="35"/>
      <c r="BV17" s="36">
        <f t="shared" si="96"/>
        <v>0</v>
      </c>
      <c r="BW17" s="37"/>
      <c r="BX17" s="38">
        <f t="shared" si="97"/>
        <v>0</v>
      </c>
      <c r="BY17" s="37"/>
      <c r="BZ17" s="38">
        <f t="shared" si="98"/>
        <v>0</v>
      </c>
      <c r="CA17" s="37"/>
      <c r="CB17" s="38">
        <f t="shared" si="99"/>
        <v>0</v>
      </c>
      <c r="CC17" s="40">
        <f t="shared" si="100"/>
        <v>-29259.784745633573</v>
      </c>
      <c r="CD17" s="40">
        <f t="shared" si="101"/>
        <v>-29259.784745633573</v>
      </c>
      <c r="CE17" s="40" t="e">
        <f>M17+O17+Q17+#REF!+#REF!+V17+X17+Z17+#REF!+#REF!+AE17+AG17+AI17+#REF!+#REF!+AN17+AP17+AR17+#REF!+#REF!+AW17+AY17+BA17+#REF!+#REF!+BF17+BH17+BJ17+#REF!+#REF!+BO17+BQ17+BS17+#REF!+#REF!+BX17+BZ17+CB17+#REF!+#REF!</f>
        <v>#REF!</v>
      </c>
      <c r="CF17" s="15" t="e">
        <f t="shared" si="102"/>
        <v>#REF!</v>
      </c>
    </row>
    <row r="18" spans="1:84" x14ac:dyDescent="0.25">
      <c r="B18" s="45" t="s">
        <v>32</v>
      </c>
      <c r="C18" s="51" t="s">
        <v>31</v>
      </c>
      <c r="D18" s="105">
        <v>25500</v>
      </c>
      <c r="E18" s="46">
        <f>$K$42</f>
        <v>-0.31414430979039298</v>
      </c>
      <c r="F18" s="88">
        <v>-9439.7076923076947</v>
      </c>
      <c r="G18" s="52"/>
      <c r="H18" s="153">
        <v>-0.37</v>
      </c>
      <c r="I18" s="52"/>
      <c r="J18" s="35"/>
      <c r="K18" s="36">
        <f t="shared" si="68"/>
        <v>0</v>
      </c>
      <c r="L18" s="37"/>
      <c r="M18" s="38">
        <f t="shared" si="69"/>
        <v>0</v>
      </c>
      <c r="N18" s="37"/>
      <c r="O18" s="38">
        <f t="shared" si="70"/>
        <v>0</v>
      </c>
      <c r="P18" s="37"/>
      <c r="Q18" s="38">
        <f t="shared" si="71"/>
        <v>0</v>
      </c>
      <c r="R18" s="52"/>
      <c r="S18" s="53"/>
      <c r="T18" s="36">
        <f t="shared" si="72"/>
        <v>0</v>
      </c>
      <c r="U18" s="54"/>
      <c r="V18" s="38">
        <f t="shared" si="73"/>
        <v>0</v>
      </c>
      <c r="W18" s="54"/>
      <c r="X18" s="38">
        <f t="shared" si="74"/>
        <v>0</v>
      </c>
      <c r="Y18" s="54"/>
      <c r="Z18" s="38">
        <f t="shared" si="75"/>
        <v>0</v>
      </c>
      <c r="AA18" s="52"/>
      <c r="AB18" s="53"/>
      <c r="AC18" s="36">
        <f t="shared" si="76"/>
        <v>0</v>
      </c>
      <c r="AD18" s="54"/>
      <c r="AE18" s="38">
        <f t="shared" si="77"/>
        <v>0</v>
      </c>
      <c r="AF18" s="54"/>
      <c r="AG18" s="38">
        <f t="shared" si="78"/>
        <v>0</v>
      </c>
      <c r="AH18" s="54"/>
      <c r="AI18" s="38">
        <f t="shared" si="79"/>
        <v>0</v>
      </c>
      <c r="AJ18" s="52"/>
      <c r="AK18" s="53">
        <v>0.2</v>
      </c>
      <c r="AL18" s="36">
        <f t="shared" si="80"/>
        <v>-1887.941538461539</v>
      </c>
      <c r="AM18" s="54">
        <v>0.34</v>
      </c>
      <c r="AN18" s="38">
        <f t="shared" si="81"/>
        <v>-641.90012307692336</v>
      </c>
      <c r="AO18" s="54">
        <v>0.33</v>
      </c>
      <c r="AP18" s="38">
        <f t="shared" si="82"/>
        <v>-623.02070769230795</v>
      </c>
      <c r="AQ18" s="54">
        <v>0.33</v>
      </c>
      <c r="AR18" s="38">
        <f t="shared" si="83"/>
        <v>-623.02070769230795</v>
      </c>
      <c r="AS18" s="52"/>
      <c r="AT18" s="53"/>
      <c r="AU18" s="36">
        <f t="shared" si="84"/>
        <v>0</v>
      </c>
      <c r="AV18" s="54"/>
      <c r="AW18" s="38">
        <f t="shared" si="85"/>
        <v>0</v>
      </c>
      <c r="AX18" s="54"/>
      <c r="AY18" s="38">
        <f t="shared" si="86"/>
        <v>0</v>
      </c>
      <c r="AZ18" s="54"/>
      <c r="BA18" s="38">
        <f t="shared" si="87"/>
        <v>0</v>
      </c>
      <c r="BB18" s="52"/>
      <c r="BC18" s="53">
        <v>0.8</v>
      </c>
      <c r="BD18" s="36">
        <f t="shared" si="88"/>
        <v>-7551.7661538461562</v>
      </c>
      <c r="BE18" s="54">
        <v>0.34</v>
      </c>
      <c r="BF18" s="38">
        <f t="shared" si="89"/>
        <v>-2567.6004923076935</v>
      </c>
      <c r="BG18" s="54">
        <v>0.33</v>
      </c>
      <c r="BH18" s="38">
        <f t="shared" si="90"/>
        <v>-2492.0828307692318</v>
      </c>
      <c r="BI18" s="54">
        <v>0.33</v>
      </c>
      <c r="BJ18" s="38">
        <f t="shared" si="91"/>
        <v>-2492.0828307692318</v>
      </c>
      <c r="BK18" s="52"/>
      <c r="BL18" s="53"/>
      <c r="BM18" s="36">
        <f t="shared" si="92"/>
        <v>0</v>
      </c>
      <c r="BN18" s="54"/>
      <c r="BO18" s="38">
        <f t="shared" si="93"/>
        <v>0</v>
      </c>
      <c r="BP18" s="54"/>
      <c r="BQ18" s="38">
        <f t="shared" si="94"/>
        <v>0</v>
      </c>
      <c r="BR18" s="54"/>
      <c r="BS18" s="38">
        <f t="shared" si="95"/>
        <v>0</v>
      </c>
      <c r="BT18" s="52"/>
      <c r="BU18" s="53"/>
      <c r="BV18" s="36">
        <f t="shared" si="96"/>
        <v>0</v>
      </c>
      <c r="BW18" s="54"/>
      <c r="BX18" s="38">
        <f t="shared" si="97"/>
        <v>0</v>
      </c>
      <c r="BY18" s="54"/>
      <c r="BZ18" s="38">
        <f t="shared" si="98"/>
        <v>0</v>
      </c>
      <c r="CA18" s="54"/>
      <c r="CB18" s="38">
        <f t="shared" si="99"/>
        <v>0</v>
      </c>
      <c r="CC18" s="40">
        <f t="shared" si="100"/>
        <v>-9439.7076923076947</v>
      </c>
      <c r="CD18" s="40">
        <f t="shared" si="101"/>
        <v>-9439.7076923076947</v>
      </c>
      <c r="CE18" s="40" t="e">
        <f>M18+O18+Q18+#REF!+#REF!+V18+X18+Z18+#REF!+#REF!+AE18+AG18+AI18+#REF!+#REF!+AN18+AP18+AR18+#REF!+#REF!+AW18+AY18+BA18+#REF!+#REF!+BF18+BH18+BJ18+#REF!+#REF!+BO18+BQ18+BS18+#REF!+#REF!+BX18+BZ18+CB18+#REF!+#REF!</f>
        <v>#REF!</v>
      </c>
      <c r="CF18" s="15" t="e">
        <f t="shared" ref="CF18" si="103">IF(AND(CC18=CD18,CD18=CE18,CC18=CE18),0,1)</f>
        <v>#REF!</v>
      </c>
    </row>
    <row r="19" spans="1:84" x14ac:dyDescent="0.25">
      <c r="B19" s="48" t="s">
        <v>33</v>
      </c>
      <c r="C19" s="51" t="s">
        <v>30</v>
      </c>
      <c r="D19" s="50">
        <v>15</v>
      </c>
      <c r="E19" s="182">
        <f>H19*$K$51</f>
        <v>102.03999999999999</v>
      </c>
      <c r="F19" s="88">
        <v>1500</v>
      </c>
      <c r="G19" s="52"/>
      <c r="H19" s="153">
        <v>100</v>
      </c>
      <c r="I19" s="52"/>
      <c r="J19" s="35"/>
      <c r="K19" s="36">
        <f t="shared" si="68"/>
        <v>0</v>
      </c>
      <c r="L19" s="37"/>
      <c r="M19" s="38">
        <f t="shared" si="69"/>
        <v>0</v>
      </c>
      <c r="N19" s="37"/>
      <c r="O19" s="38">
        <f t="shared" si="70"/>
        <v>0</v>
      </c>
      <c r="P19" s="37"/>
      <c r="Q19" s="38">
        <f t="shared" si="71"/>
        <v>0</v>
      </c>
      <c r="R19" s="52"/>
      <c r="S19" s="53">
        <v>0.14285714285714288</v>
      </c>
      <c r="T19" s="36">
        <f t="shared" si="72"/>
        <v>214.28571428571431</v>
      </c>
      <c r="U19" s="54">
        <v>0.34</v>
      </c>
      <c r="V19" s="38">
        <f t="shared" si="73"/>
        <v>72.857142857142875</v>
      </c>
      <c r="W19" s="54">
        <v>0.33</v>
      </c>
      <c r="X19" s="38">
        <f t="shared" si="74"/>
        <v>70.714285714285722</v>
      </c>
      <c r="Y19" s="54">
        <v>0.33</v>
      </c>
      <c r="Z19" s="38">
        <f t="shared" si="75"/>
        <v>70.714285714285722</v>
      </c>
      <c r="AA19" s="52"/>
      <c r="AB19" s="53">
        <v>0.14285714285714288</v>
      </c>
      <c r="AC19" s="36">
        <f t="shared" si="76"/>
        <v>214.28571428571431</v>
      </c>
      <c r="AD19" s="54">
        <v>0.34</v>
      </c>
      <c r="AE19" s="38">
        <f t="shared" si="77"/>
        <v>72.857142857142875</v>
      </c>
      <c r="AF19" s="54">
        <v>0.33</v>
      </c>
      <c r="AG19" s="38">
        <f t="shared" si="78"/>
        <v>70.714285714285722</v>
      </c>
      <c r="AH19" s="54">
        <v>0.33</v>
      </c>
      <c r="AI19" s="38">
        <f t="shared" si="79"/>
        <v>70.714285714285722</v>
      </c>
      <c r="AJ19" s="52"/>
      <c r="AK19" s="53">
        <v>0.14285714285714288</v>
      </c>
      <c r="AL19" s="36">
        <f t="shared" si="80"/>
        <v>214.28571428571431</v>
      </c>
      <c r="AM19" s="54">
        <v>0.34</v>
      </c>
      <c r="AN19" s="38">
        <f t="shared" si="81"/>
        <v>72.857142857142875</v>
      </c>
      <c r="AO19" s="54">
        <v>0.33</v>
      </c>
      <c r="AP19" s="38">
        <f t="shared" si="82"/>
        <v>70.714285714285722</v>
      </c>
      <c r="AQ19" s="54">
        <v>0.33</v>
      </c>
      <c r="AR19" s="38">
        <f t="shared" si="83"/>
        <v>70.714285714285722</v>
      </c>
      <c r="AS19" s="52"/>
      <c r="AT19" s="53">
        <v>0.14285714285714288</v>
      </c>
      <c r="AU19" s="36">
        <f t="shared" si="84"/>
        <v>214.28571428571431</v>
      </c>
      <c r="AV19" s="54">
        <v>0.34</v>
      </c>
      <c r="AW19" s="38">
        <f t="shared" si="85"/>
        <v>72.857142857142875</v>
      </c>
      <c r="AX19" s="54">
        <v>0.33</v>
      </c>
      <c r="AY19" s="38">
        <f t="shared" si="86"/>
        <v>70.714285714285722</v>
      </c>
      <c r="AZ19" s="54">
        <v>0.33</v>
      </c>
      <c r="BA19" s="38">
        <f t="shared" si="87"/>
        <v>70.714285714285722</v>
      </c>
      <c r="BB19" s="52"/>
      <c r="BC19" s="53">
        <v>0.14285714285714288</v>
      </c>
      <c r="BD19" s="36">
        <f t="shared" si="88"/>
        <v>214.28571428571431</v>
      </c>
      <c r="BE19" s="54">
        <v>0.34</v>
      </c>
      <c r="BF19" s="38">
        <f t="shared" si="89"/>
        <v>72.857142857142875</v>
      </c>
      <c r="BG19" s="54">
        <v>0.33</v>
      </c>
      <c r="BH19" s="38">
        <f t="shared" si="90"/>
        <v>70.714285714285722</v>
      </c>
      <c r="BI19" s="54">
        <v>0.33</v>
      </c>
      <c r="BJ19" s="38">
        <f t="shared" si="91"/>
        <v>70.714285714285722</v>
      </c>
      <c r="BK19" s="52"/>
      <c r="BL19" s="53">
        <v>0.14285714285714288</v>
      </c>
      <c r="BM19" s="36">
        <f t="shared" si="92"/>
        <v>214.28571428571431</v>
      </c>
      <c r="BN19" s="54">
        <v>0.34</v>
      </c>
      <c r="BO19" s="38">
        <f t="shared" si="93"/>
        <v>72.857142857142875</v>
      </c>
      <c r="BP19" s="54">
        <v>0.33</v>
      </c>
      <c r="BQ19" s="38">
        <f t="shared" si="94"/>
        <v>70.714285714285722</v>
      </c>
      <c r="BR19" s="54">
        <v>0.33</v>
      </c>
      <c r="BS19" s="38">
        <f t="shared" si="95"/>
        <v>70.714285714285722</v>
      </c>
      <c r="BT19" s="52"/>
      <c r="BU19" s="53">
        <v>0.14285714285714288</v>
      </c>
      <c r="BV19" s="36">
        <f t="shared" si="96"/>
        <v>214.28571428571431</v>
      </c>
      <c r="BW19" s="54">
        <v>0.34</v>
      </c>
      <c r="BX19" s="38">
        <f t="shared" si="97"/>
        <v>72.857142857142875</v>
      </c>
      <c r="BY19" s="54">
        <v>0.33</v>
      </c>
      <c r="BZ19" s="38">
        <f t="shared" si="98"/>
        <v>70.714285714285722</v>
      </c>
      <c r="CA19" s="54">
        <v>0.33</v>
      </c>
      <c r="CB19" s="38">
        <f t="shared" si="99"/>
        <v>70.714285714285722</v>
      </c>
      <c r="CC19" s="40">
        <f t="shared" si="100"/>
        <v>1500</v>
      </c>
      <c r="CD19" s="40">
        <f t="shared" si="101"/>
        <v>1500</v>
      </c>
      <c r="CE19" s="40" t="e">
        <f>M19+O19+Q19+#REF!+#REF!+V19+X19+Z19+#REF!+#REF!+AE19+AG19+AI19+#REF!+#REF!+AN19+AP19+AR19+#REF!+#REF!+AW19+AY19+BA19+#REF!+#REF!+BF19+BH19+BJ19+#REF!+#REF!+BO19+BQ19+BS19+#REF!+#REF!+BX19+BZ19+CB19+#REF!+#REF!</f>
        <v>#REF!</v>
      </c>
      <c r="CF19" s="15" t="e">
        <f t="shared" si="102"/>
        <v>#REF!</v>
      </c>
    </row>
    <row r="20" spans="1:84" x14ac:dyDescent="0.25">
      <c r="B20" s="93" t="s">
        <v>93</v>
      </c>
      <c r="C20" s="94" t="s">
        <v>30</v>
      </c>
      <c r="D20" s="95">
        <v>30</v>
      </c>
      <c r="E20" s="182">
        <f>H20*$K$51</f>
        <v>459.18</v>
      </c>
      <c r="F20" s="88">
        <f>D20*E20</f>
        <v>13775.4</v>
      </c>
      <c r="G20" s="52"/>
      <c r="H20" s="153">
        <v>450</v>
      </c>
      <c r="I20" s="52"/>
      <c r="J20" s="35"/>
      <c r="K20" s="36"/>
      <c r="L20" s="37"/>
      <c r="M20" s="38"/>
      <c r="N20" s="37"/>
      <c r="O20" s="38"/>
      <c r="P20" s="37"/>
      <c r="Q20" s="38"/>
      <c r="R20" s="52"/>
      <c r="S20" s="53"/>
      <c r="T20" s="36"/>
      <c r="U20" s="54"/>
      <c r="V20" s="38"/>
      <c r="W20" s="54"/>
      <c r="X20" s="38"/>
      <c r="Y20" s="54"/>
      <c r="Z20" s="38"/>
      <c r="AA20" s="52"/>
      <c r="AB20" s="53"/>
      <c r="AC20" s="36"/>
      <c r="AD20" s="54"/>
      <c r="AE20" s="38"/>
      <c r="AF20" s="54"/>
      <c r="AG20" s="38"/>
      <c r="AH20" s="54"/>
      <c r="AI20" s="38"/>
      <c r="AJ20" s="52"/>
      <c r="AK20" s="53"/>
      <c r="AL20" s="36"/>
      <c r="AM20" s="54"/>
      <c r="AN20" s="38"/>
      <c r="AO20" s="54"/>
      <c r="AP20" s="38"/>
      <c r="AQ20" s="54"/>
      <c r="AR20" s="38"/>
      <c r="AS20" s="52"/>
      <c r="AT20" s="53"/>
      <c r="AU20" s="36"/>
      <c r="AV20" s="54"/>
      <c r="AW20" s="38"/>
      <c r="AX20" s="54"/>
      <c r="AY20" s="38"/>
      <c r="AZ20" s="54"/>
      <c r="BA20" s="38"/>
      <c r="BB20" s="52"/>
      <c r="BC20" s="53"/>
      <c r="BD20" s="36"/>
      <c r="BE20" s="54"/>
      <c r="BF20" s="38"/>
      <c r="BG20" s="54"/>
      <c r="BH20" s="38"/>
      <c r="BI20" s="54"/>
      <c r="BJ20" s="38"/>
      <c r="BK20" s="52"/>
      <c r="BL20" s="53"/>
      <c r="BM20" s="36"/>
      <c r="BN20" s="54"/>
      <c r="BO20" s="38"/>
      <c r="BP20" s="54"/>
      <c r="BQ20" s="38"/>
      <c r="BR20" s="54"/>
      <c r="BS20" s="38"/>
      <c r="BT20" s="52"/>
      <c r="BU20" s="53"/>
      <c r="BV20" s="36"/>
      <c r="BW20" s="54"/>
      <c r="BX20" s="38"/>
      <c r="BY20" s="54"/>
      <c r="BZ20" s="38"/>
      <c r="CA20" s="54"/>
      <c r="CB20" s="38"/>
      <c r="CC20" s="40">
        <f t="shared" si="100"/>
        <v>13775.4</v>
      </c>
      <c r="CD20" s="40">
        <f t="shared" si="101"/>
        <v>0</v>
      </c>
      <c r="CE20" s="40" t="e">
        <f>M20+O20+Q20+#REF!+#REF!+V20+X20+Z20+#REF!+#REF!+AE20+AG20+AI20+#REF!+#REF!+AN20+AP20+AR20+#REF!+#REF!+AW20+AY20+BA20+#REF!+#REF!+BF20+BH20+BJ20+#REF!+#REF!+BO20+BQ20+BS20+#REF!+#REF!+BX20+BZ20+CB20+#REF!+#REF!</f>
        <v>#REF!</v>
      </c>
      <c r="CF20" s="15" t="e">
        <f t="shared" ref="CF20" si="104">IF(AND(CC20=CD20,CD20=CE20,CC20=CE20),0,1)</f>
        <v>#REF!</v>
      </c>
    </row>
    <row r="21" spans="1:84" x14ac:dyDescent="0.25">
      <c r="B21" s="93" t="s">
        <v>105</v>
      </c>
      <c r="C21" s="94" t="s">
        <v>31</v>
      </c>
      <c r="D21" s="95">
        <f>F21/E21</f>
        <v>63028.357932732208</v>
      </c>
      <c r="E21" s="46">
        <f>$K$42</f>
        <v>-0.31414430979039298</v>
      </c>
      <c r="F21" s="88">
        <v>-19800</v>
      </c>
      <c r="G21" s="52"/>
      <c r="H21" s="153">
        <v>-0.37</v>
      </c>
      <c r="I21" s="52"/>
      <c r="J21" s="35"/>
      <c r="K21" s="36">
        <f t="shared" ref="K21" si="105">J21*$F21</f>
        <v>0</v>
      </c>
      <c r="L21" s="37"/>
      <c r="M21" s="38">
        <f t="shared" ref="M21" si="106">L21*K21</f>
        <v>0</v>
      </c>
      <c r="N21" s="37"/>
      <c r="O21" s="38">
        <f t="shared" ref="O21" si="107">N21*K21</f>
        <v>0</v>
      </c>
      <c r="P21" s="37"/>
      <c r="Q21" s="38">
        <f t="shared" ref="Q21" si="108">P21*K21</f>
        <v>0</v>
      </c>
      <c r="R21" s="52"/>
      <c r="S21" s="53"/>
      <c r="T21" s="36">
        <f t="shared" ref="T21" si="109">S21*$F21</f>
        <v>0</v>
      </c>
      <c r="U21" s="54"/>
      <c r="V21" s="38">
        <f t="shared" ref="V21" si="110">U21*T21</f>
        <v>0</v>
      </c>
      <c r="W21" s="54"/>
      <c r="X21" s="38">
        <f t="shared" ref="X21" si="111">W21*T21</f>
        <v>0</v>
      </c>
      <c r="Y21" s="54"/>
      <c r="Z21" s="38">
        <f t="shared" ref="Z21" si="112">Y21*T21</f>
        <v>0</v>
      </c>
      <c r="AA21" s="52"/>
      <c r="AB21" s="53"/>
      <c r="AC21" s="36">
        <f t="shared" ref="AC21" si="113">AB21*$F21</f>
        <v>0</v>
      </c>
      <c r="AD21" s="54"/>
      <c r="AE21" s="38">
        <f t="shared" ref="AE21" si="114">AD21*AC21</f>
        <v>0</v>
      </c>
      <c r="AF21" s="54"/>
      <c r="AG21" s="38">
        <f t="shared" ref="AG21" si="115">AF21*AC21</f>
        <v>0</v>
      </c>
      <c r="AH21" s="54"/>
      <c r="AI21" s="38">
        <f t="shared" ref="AI21" si="116">AH21*AC21</f>
        <v>0</v>
      </c>
      <c r="AJ21" s="52"/>
      <c r="AK21" s="53"/>
      <c r="AL21" s="36">
        <f t="shared" ref="AL21" si="117">AK21*$F21</f>
        <v>0</v>
      </c>
      <c r="AM21" s="54"/>
      <c r="AN21" s="38">
        <f t="shared" ref="AN21" si="118">AM21*AL21</f>
        <v>0</v>
      </c>
      <c r="AO21" s="54"/>
      <c r="AP21" s="38">
        <f t="shared" ref="AP21" si="119">AO21*AL21</f>
        <v>0</v>
      </c>
      <c r="AQ21" s="54"/>
      <c r="AR21" s="38">
        <f t="shared" ref="AR21" si="120">AQ21*AL21</f>
        <v>0</v>
      </c>
      <c r="AS21" s="52"/>
      <c r="AT21" s="53"/>
      <c r="AU21" s="36">
        <f t="shared" ref="AU21" si="121">AT21*$F21</f>
        <v>0</v>
      </c>
      <c r="AV21" s="54"/>
      <c r="AW21" s="38">
        <f t="shared" ref="AW21" si="122">AV21*AU21</f>
        <v>0</v>
      </c>
      <c r="AX21" s="54"/>
      <c r="AY21" s="38">
        <f t="shared" ref="AY21" si="123">AX21*AU21</f>
        <v>0</v>
      </c>
      <c r="AZ21" s="54"/>
      <c r="BA21" s="38">
        <f t="shared" ref="BA21" si="124">AZ21*AU21</f>
        <v>0</v>
      </c>
      <c r="BB21" s="52"/>
      <c r="BC21" s="53">
        <v>1</v>
      </c>
      <c r="BD21" s="36">
        <f t="shared" ref="BD21" si="125">BC21*$F21</f>
        <v>-19800</v>
      </c>
      <c r="BE21" s="54">
        <v>0.34</v>
      </c>
      <c r="BF21" s="38">
        <f t="shared" ref="BF21" si="126">BE21*BD21</f>
        <v>-6732.0000000000009</v>
      </c>
      <c r="BG21" s="54">
        <v>0.33</v>
      </c>
      <c r="BH21" s="38">
        <f t="shared" ref="BH21" si="127">BG21*BD21</f>
        <v>-6534</v>
      </c>
      <c r="BI21" s="54">
        <v>0.33</v>
      </c>
      <c r="BJ21" s="38">
        <f t="shared" ref="BJ21" si="128">BI21*BD21</f>
        <v>-6534</v>
      </c>
      <c r="BK21" s="52"/>
      <c r="BL21" s="53"/>
      <c r="BM21" s="36">
        <f t="shared" ref="BM21" si="129">BL21*$F21</f>
        <v>0</v>
      </c>
      <c r="BN21" s="54"/>
      <c r="BO21" s="38">
        <f t="shared" ref="BO21" si="130">BN21*BM21</f>
        <v>0</v>
      </c>
      <c r="BP21" s="54"/>
      <c r="BQ21" s="38">
        <f t="shared" ref="BQ21" si="131">BP21*BM21</f>
        <v>0</v>
      </c>
      <c r="BR21" s="54"/>
      <c r="BS21" s="38">
        <f t="shared" ref="BS21" si="132">BR21*BM21</f>
        <v>0</v>
      </c>
      <c r="BT21" s="52"/>
      <c r="BU21" s="53"/>
      <c r="BV21" s="36">
        <f t="shared" ref="BV21" si="133">BU21*$F21</f>
        <v>0</v>
      </c>
      <c r="BW21" s="54"/>
      <c r="BX21" s="38">
        <f t="shared" ref="BX21" si="134">BW21*BV21</f>
        <v>0</v>
      </c>
      <c r="BY21" s="54"/>
      <c r="BZ21" s="38">
        <f t="shared" ref="BZ21" si="135">BY21*BV21</f>
        <v>0</v>
      </c>
      <c r="CA21" s="54"/>
      <c r="CB21" s="38">
        <f t="shared" ref="CB21" si="136">CA21*BV21</f>
        <v>0</v>
      </c>
      <c r="CC21" s="40">
        <f t="shared" si="100"/>
        <v>-19800</v>
      </c>
      <c r="CD21" s="40">
        <f t="shared" si="101"/>
        <v>-19800</v>
      </c>
      <c r="CE21" s="40" t="e">
        <f>M21+O21+Q21+#REF!+#REF!+V21+X21+Z21+#REF!+#REF!+AE21+AG21+AI21+#REF!+#REF!+AN21+AP21+AR21+#REF!+#REF!+AW21+AY21+BA21+#REF!+#REF!+BF21+BH21+BJ21+#REF!+#REF!+BO21+BQ21+BS21+#REF!+#REF!+BX21+BZ21+CB21+#REF!+#REF!</f>
        <v>#REF!</v>
      </c>
      <c r="CF21" s="15" t="e">
        <f t="shared" si="102"/>
        <v>#REF!</v>
      </c>
    </row>
    <row r="22" spans="1:84" x14ac:dyDescent="0.25">
      <c r="B22" s="93" t="s">
        <v>94</v>
      </c>
      <c r="C22" s="94" t="s">
        <v>30</v>
      </c>
      <c r="D22" s="95">
        <v>30</v>
      </c>
      <c r="E22" s="33">
        <f>$K$40</f>
        <v>-108.3695731319762</v>
      </c>
      <c r="F22" s="88">
        <f>D22*E22</f>
        <v>-3251.0871939592857</v>
      </c>
      <c r="G22" s="52"/>
      <c r="H22" s="153">
        <v>-123.79</v>
      </c>
      <c r="I22" s="52"/>
      <c r="J22" s="35"/>
      <c r="K22" s="36"/>
      <c r="L22" s="37"/>
      <c r="M22" s="38"/>
      <c r="N22" s="37"/>
      <c r="O22" s="38"/>
      <c r="P22" s="37"/>
      <c r="Q22" s="38"/>
      <c r="R22" s="52"/>
      <c r="S22" s="53"/>
      <c r="T22" s="36"/>
      <c r="U22" s="54"/>
      <c r="V22" s="38"/>
      <c r="W22" s="54"/>
      <c r="X22" s="38"/>
      <c r="Y22" s="54"/>
      <c r="Z22" s="38"/>
      <c r="AA22" s="52"/>
      <c r="AB22" s="53"/>
      <c r="AC22" s="36"/>
      <c r="AD22" s="54"/>
      <c r="AE22" s="38"/>
      <c r="AF22" s="54"/>
      <c r="AG22" s="38"/>
      <c r="AH22" s="54"/>
      <c r="AI22" s="38"/>
      <c r="AJ22" s="52"/>
      <c r="AK22" s="53"/>
      <c r="AL22" s="36"/>
      <c r="AM22" s="54"/>
      <c r="AN22" s="38"/>
      <c r="AO22" s="54"/>
      <c r="AP22" s="38"/>
      <c r="AQ22" s="54"/>
      <c r="AR22" s="38"/>
      <c r="AS22" s="52"/>
      <c r="AT22" s="53"/>
      <c r="AU22" s="36"/>
      <c r="AV22" s="54"/>
      <c r="AW22" s="38"/>
      <c r="AX22" s="54"/>
      <c r="AY22" s="38"/>
      <c r="AZ22" s="54"/>
      <c r="BA22" s="38"/>
      <c r="BB22" s="52"/>
      <c r="BC22" s="53"/>
      <c r="BD22" s="36"/>
      <c r="BE22" s="54"/>
      <c r="BF22" s="38"/>
      <c r="BG22" s="54"/>
      <c r="BH22" s="38"/>
      <c r="BI22" s="54"/>
      <c r="BJ22" s="38"/>
      <c r="BK22" s="52"/>
      <c r="BL22" s="53"/>
      <c r="BM22" s="36"/>
      <c r="BN22" s="54"/>
      <c r="BO22" s="38"/>
      <c r="BP22" s="54"/>
      <c r="BQ22" s="38"/>
      <c r="BR22" s="54"/>
      <c r="BS22" s="38"/>
      <c r="BT22" s="52"/>
      <c r="BU22" s="53"/>
      <c r="BV22" s="36"/>
      <c r="BW22" s="54"/>
      <c r="BX22" s="38"/>
      <c r="BY22" s="54"/>
      <c r="BZ22" s="38"/>
      <c r="CA22" s="54"/>
      <c r="CB22" s="38"/>
      <c r="CC22" s="40">
        <f t="shared" si="100"/>
        <v>-3251.0871939592857</v>
      </c>
      <c r="CD22" s="40">
        <f t="shared" si="101"/>
        <v>0</v>
      </c>
      <c r="CE22" s="40" t="e">
        <f>M22+O22+Q22+#REF!+#REF!+V22+X22+Z22+#REF!+#REF!+AE22+AG22+AI22+#REF!+#REF!+AN22+AP22+AR22+#REF!+#REF!+AW22+AY22+BA22+#REF!+#REF!+BF22+BH22+BJ22+#REF!+#REF!+BO22+BQ22+BS22+#REF!+#REF!+BX22+BZ22+CB22+#REF!+#REF!</f>
        <v>#REF!</v>
      </c>
      <c r="CF22" s="15" t="e">
        <f t="shared" ref="CF22" si="137">IF(AND(CC22=CD22,CD22=CE22,CC22=CE22),0,1)</f>
        <v>#REF!</v>
      </c>
    </row>
    <row r="23" spans="1:84" x14ac:dyDescent="0.25">
      <c r="B23" s="43"/>
      <c r="C23" s="51"/>
      <c r="D23" s="42"/>
      <c r="E23" s="33"/>
      <c r="F23" s="96"/>
      <c r="G23" s="52"/>
      <c r="H23" s="153">
        <v>0</v>
      </c>
      <c r="I23" s="52"/>
      <c r="J23" s="35"/>
      <c r="K23" s="36"/>
      <c r="L23" s="37"/>
      <c r="M23" s="38"/>
      <c r="N23" s="37"/>
      <c r="O23" s="38"/>
      <c r="P23" s="37"/>
      <c r="Q23" s="38"/>
      <c r="R23" s="52"/>
      <c r="S23" s="53"/>
      <c r="T23" s="36"/>
      <c r="U23" s="54"/>
      <c r="V23" s="38"/>
      <c r="W23" s="54"/>
      <c r="X23" s="38"/>
      <c r="Y23" s="54"/>
      <c r="Z23" s="38"/>
      <c r="AA23" s="52"/>
      <c r="AB23" s="53"/>
      <c r="AC23" s="36"/>
      <c r="AD23" s="54"/>
      <c r="AE23" s="38"/>
      <c r="AF23" s="54"/>
      <c r="AG23" s="38"/>
      <c r="AH23" s="54"/>
      <c r="AI23" s="38"/>
      <c r="AJ23" s="52"/>
      <c r="AK23" s="53"/>
      <c r="AL23" s="36"/>
      <c r="AM23" s="54"/>
      <c r="AN23" s="38"/>
      <c r="AO23" s="54"/>
      <c r="AP23" s="38"/>
      <c r="AQ23" s="54"/>
      <c r="AR23" s="38"/>
      <c r="AS23" s="52"/>
      <c r="AT23" s="53"/>
      <c r="AU23" s="36"/>
      <c r="AV23" s="54"/>
      <c r="AW23" s="38"/>
      <c r="AX23" s="54"/>
      <c r="AY23" s="38"/>
      <c r="AZ23" s="54"/>
      <c r="BA23" s="38"/>
      <c r="BB23" s="52"/>
      <c r="BC23" s="53"/>
      <c r="BD23" s="36"/>
      <c r="BE23" s="54"/>
      <c r="BF23" s="38"/>
      <c r="BG23" s="54"/>
      <c r="BH23" s="38"/>
      <c r="BI23" s="54"/>
      <c r="BJ23" s="38"/>
      <c r="BK23" s="52"/>
      <c r="BL23" s="53"/>
      <c r="BM23" s="36"/>
      <c r="BN23" s="54"/>
      <c r="BO23" s="38"/>
      <c r="BP23" s="54"/>
      <c r="BQ23" s="38"/>
      <c r="BR23" s="54"/>
      <c r="BS23" s="38"/>
      <c r="BT23" s="52"/>
      <c r="BU23" s="53"/>
      <c r="BV23" s="36"/>
      <c r="BW23" s="54"/>
      <c r="BX23" s="38"/>
      <c r="BY23" s="54"/>
      <c r="BZ23" s="38"/>
      <c r="CA23" s="54"/>
      <c r="CB23" s="38"/>
      <c r="CC23" s="40"/>
      <c r="CD23" s="40"/>
      <c r="CE23" s="40"/>
      <c r="CF23" s="15"/>
    </row>
    <row r="24" spans="1:84" x14ac:dyDescent="0.25">
      <c r="A24" s="1" t="s">
        <v>36</v>
      </c>
      <c r="B24" s="43"/>
      <c r="C24" s="51"/>
      <c r="D24" s="50"/>
      <c r="E24" s="33"/>
      <c r="F24" s="33">
        <v>0</v>
      </c>
      <c r="G24" s="52"/>
      <c r="H24" s="153">
        <v>0</v>
      </c>
      <c r="I24" s="52"/>
      <c r="J24" s="35"/>
      <c r="K24" s="36">
        <f t="shared" ref="K24:K27" si="138">J24*$F24</f>
        <v>0</v>
      </c>
      <c r="L24" s="37"/>
      <c r="M24" s="38">
        <f t="shared" ref="M24:M27" si="139">L24*K24</f>
        <v>0</v>
      </c>
      <c r="N24" s="37"/>
      <c r="O24" s="38">
        <f t="shared" ref="O24:O27" si="140">N24*K24</f>
        <v>0</v>
      </c>
      <c r="P24" s="37"/>
      <c r="Q24" s="38">
        <f t="shared" ref="Q24:Q27" si="141">P24*K24</f>
        <v>0</v>
      </c>
      <c r="R24" s="52"/>
      <c r="S24" s="53"/>
      <c r="T24" s="36">
        <f t="shared" ref="T24:T27" si="142">S24*$F24</f>
        <v>0</v>
      </c>
      <c r="U24" s="54"/>
      <c r="V24" s="38">
        <f t="shared" ref="V24:V27" si="143">U24*T24</f>
        <v>0</v>
      </c>
      <c r="W24" s="54"/>
      <c r="X24" s="38">
        <f t="shared" ref="X24:X27" si="144">W24*T24</f>
        <v>0</v>
      </c>
      <c r="Y24" s="54"/>
      <c r="Z24" s="38">
        <f t="shared" ref="Z24:Z27" si="145">Y24*T24</f>
        <v>0</v>
      </c>
      <c r="AA24" s="52"/>
      <c r="AB24" s="53"/>
      <c r="AC24" s="36">
        <f t="shared" ref="AC24:AC27" si="146">AB24*$F24</f>
        <v>0</v>
      </c>
      <c r="AD24" s="54"/>
      <c r="AE24" s="38">
        <f t="shared" ref="AE24:AE27" si="147">AD24*AC24</f>
        <v>0</v>
      </c>
      <c r="AF24" s="54"/>
      <c r="AG24" s="38">
        <f t="shared" ref="AG24:AG27" si="148">AF24*AC24</f>
        <v>0</v>
      </c>
      <c r="AH24" s="54"/>
      <c r="AI24" s="38">
        <f t="shared" ref="AI24:AI27" si="149">AH24*AC24</f>
        <v>0</v>
      </c>
      <c r="AJ24" s="52"/>
      <c r="AK24" s="53"/>
      <c r="AL24" s="36">
        <f t="shared" ref="AL24:AL27" si="150">AK24*$F24</f>
        <v>0</v>
      </c>
      <c r="AM24" s="54"/>
      <c r="AN24" s="38">
        <f t="shared" ref="AN24:AN27" si="151">AM24*AL24</f>
        <v>0</v>
      </c>
      <c r="AO24" s="54"/>
      <c r="AP24" s="38">
        <f t="shared" ref="AP24:AP27" si="152">AO24*AL24</f>
        <v>0</v>
      </c>
      <c r="AQ24" s="54"/>
      <c r="AR24" s="38">
        <f t="shared" ref="AR24:AR27" si="153">AQ24*AL24</f>
        <v>0</v>
      </c>
      <c r="AS24" s="52"/>
      <c r="AT24" s="53"/>
      <c r="AU24" s="36">
        <f t="shared" ref="AU24:AU27" si="154">AT24*$F24</f>
        <v>0</v>
      </c>
      <c r="AV24" s="54"/>
      <c r="AW24" s="38">
        <f t="shared" ref="AW24:AW27" si="155">AV24*AU24</f>
        <v>0</v>
      </c>
      <c r="AX24" s="54"/>
      <c r="AY24" s="38">
        <f t="shared" ref="AY24:AY27" si="156">AX24*AU24</f>
        <v>0</v>
      </c>
      <c r="AZ24" s="54"/>
      <c r="BA24" s="38">
        <f t="shared" ref="BA24:BA27" si="157">AZ24*AU24</f>
        <v>0</v>
      </c>
      <c r="BB24" s="52"/>
      <c r="BC24" s="53"/>
      <c r="BD24" s="36">
        <f t="shared" ref="BD24:BD27" si="158">BC24*$F24</f>
        <v>0</v>
      </c>
      <c r="BE24" s="54"/>
      <c r="BF24" s="38">
        <f t="shared" ref="BF24:BF27" si="159">BE24*BD24</f>
        <v>0</v>
      </c>
      <c r="BG24" s="54"/>
      <c r="BH24" s="38">
        <f t="shared" ref="BH24:BH27" si="160">BG24*BD24</f>
        <v>0</v>
      </c>
      <c r="BI24" s="54"/>
      <c r="BJ24" s="38">
        <f t="shared" ref="BJ24:BJ27" si="161">BI24*BD24</f>
        <v>0</v>
      </c>
      <c r="BK24" s="52"/>
      <c r="BL24" s="53"/>
      <c r="BM24" s="36">
        <f t="shared" ref="BM24:BM27" si="162">BL24*$F24</f>
        <v>0</v>
      </c>
      <c r="BN24" s="54"/>
      <c r="BO24" s="38">
        <f t="shared" ref="BO24:BO27" si="163">BN24*BM24</f>
        <v>0</v>
      </c>
      <c r="BP24" s="54"/>
      <c r="BQ24" s="38">
        <f t="shared" ref="BQ24:BQ27" si="164">BP24*BM24</f>
        <v>0</v>
      </c>
      <c r="BR24" s="54"/>
      <c r="BS24" s="38">
        <f t="shared" ref="BS24:BS27" si="165">BR24*BM24</f>
        <v>0</v>
      </c>
      <c r="BT24" s="52"/>
      <c r="BU24" s="53"/>
      <c r="BV24" s="36">
        <f t="shared" ref="BV24:BV27" si="166">BU24*$F24</f>
        <v>0</v>
      </c>
      <c r="BW24" s="54"/>
      <c r="BX24" s="38">
        <f t="shared" ref="BX24:BX27" si="167">BW24*BV24</f>
        <v>0</v>
      </c>
      <c r="BY24" s="54"/>
      <c r="BZ24" s="38">
        <f t="shared" ref="BZ24:BZ27" si="168">BY24*BV24</f>
        <v>0</v>
      </c>
      <c r="CA24" s="54"/>
      <c r="CB24" s="38">
        <f t="shared" ref="CB24:CB27" si="169">CA24*BV24</f>
        <v>0</v>
      </c>
      <c r="CC24" s="40">
        <f t="shared" ref="CC24:CC33" si="170">F24</f>
        <v>0</v>
      </c>
      <c r="CD24" s="40">
        <f t="shared" ref="CD24:CD33" si="171">K24+T24+AC24+AL24+AU24+BD24+BM24+BV24</f>
        <v>0</v>
      </c>
      <c r="CE24" s="40" t="e">
        <f>M24+O24+Q24+#REF!+#REF!+V24+X24+Z24+#REF!+#REF!+AE24+AG24+AI24+#REF!+#REF!+AN24+AP24+AR24+#REF!+#REF!+AW24+AY24+BA24+#REF!+#REF!+BF24+BH24+BJ24+#REF!+#REF!+BO24+BQ24+BS24+#REF!+#REF!+BX24+BZ24+CB24+#REF!+#REF!</f>
        <v>#REF!</v>
      </c>
      <c r="CF24" s="15" t="e">
        <f t="shared" si="102"/>
        <v>#REF!</v>
      </c>
    </row>
    <row r="25" spans="1:84" x14ac:dyDescent="0.25">
      <c r="B25" s="43" t="s">
        <v>37</v>
      </c>
      <c r="C25" s="51" t="s">
        <v>30</v>
      </c>
      <c r="D25" s="50">
        <v>10</v>
      </c>
      <c r="E25" s="182">
        <f>H25*$K$51</f>
        <v>244.89599999999999</v>
      </c>
      <c r="F25" s="88">
        <v>2400</v>
      </c>
      <c r="G25" s="52"/>
      <c r="H25" s="153">
        <v>240</v>
      </c>
      <c r="I25" s="52"/>
      <c r="J25" s="35"/>
      <c r="K25" s="36">
        <f t="shared" si="138"/>
        <v>0</v>
      </c>
      <c r="L25" s="37"/>
      <c r="M25" s="38">
        <f t="shared" si="139"/>
        <v>0</v>
      </c>
      <c r="N25" s="37"/>
      <c r="O25" s="38">
        <f t="shared" si="140"/>
        <v>0</v>
      </c>
      <c r="P25" s="37"/>
      <c r="Q25" s="38">
        <f t="shared" si="141"/>
        <v>0</v>
      </c>
      <c r="R25" s="52"/>
      <c r="S25" s="53"/>
      <c r="T25" s="36">
        <f t="shared" si="142"/>
        <v>0</v>
      </c>
      <c r="U25" s="54"/>
      <c r="V25" s="38">
        <f t="shared" si="143"/>
        <v>0</v>
      </c>
      <c r="W25" s="54"/>
      <c r="X25" s="38">
        <f t="shared" si="144"/>
        <v>0</v>
      </c>
      <c r="Y25" s="54"/>
      <c r="Z25" s="38">
        <f t="shared" si="145"/>
        <v>0</v>
      </c>
      <c r="AA25" s="52"/>
      <c r="AB25" s="53">
        <v>0.6</v>
      </c>
      <c r="AC25" s="36">
        <f t="shared" si="146"/>
        <v>1440</v>
      </c>
      <c r="AD25" s="54">
        <v>0.34</v>
      </c>
      <c r="AE25" s="38">
        <f t="shared" si="147"/>
        <v>489.6</v>
      </c>
      <c r="AF25" s="54">
        <v>0.33</v>
      </c>
      <c r="AG25" s="38">
        <f t="shared" si="148"/>
        <v>475.20000000000005</v>
      </c>
      <c r="AH25" s="54">
        <v>0.33</v>
      </c>
      <c r="AI25" s="38">
        <f t="shared" si="149"/>
        <v>475.20000000000005</v>
      </c>
      <c r="AJ25" s="52"/>
      <c r="AK25" s="53">
        <v>0.2</v>
      </c>
      <c r="AL25" s="36">
        <f t="shared" si="150"/>
        <v>480</v>
      </c>
      <c r="AM25" s="54">
        <v>0.34</v>
      </c>
      <c r="AN25" s="38">
        <f t="shared" si="151"/>
        <v>163.20000000000002</v>
      </c>
      <c r="AO25" s="54">
        <v>0.33</v>
      </c>
      <c r="AP25" s="38">
        <f t="shared" si="152"/>
        <v>158.4</v>
      </c>
      <c r="AQ25" s="54">
        <v>0.33</v>
      </c>
      <c r="AR25" s="38">
        <f t="shared" si="153"/>
        <v>158.4</v>
      </c>
      <c r="AS25" s="52"/>
      <c r="AT25" s="53">
        <v>0.15</v>
      </c>
      <c r="AU25" s="36">
        <f t="shared" si="154"/>
        <v>360</v>
      </c>
      <c r="AV25" s="54">
        <v>0.34</v>
      </c>
      <c r="AW25" s="38">
        <f t="shared" si="155"/>
        <v>122.4</v>
      </c>
      <c r="AX25" s="54">
        <v>0.33</v>
      </c>
      <c r="AY25" s="38">
        <f t="shared" si="156"/>
        <v>118.80000000000001</v>
      </c>
      <c r="AZ25" s="54">
        <v>0.33</v>
      </c>
      <c r="BA25" s="38">
        <f t="shared" si="157"/>
        <v>118.80000000000001</v>
      </c>
      <c r="BB25" s="52"/>
      <c r="BC25" s="53">
        <v>0.05</v>
      </c>
      <c r="BD25" s="36">
        <f t="shared" si="158"/>
        <v>120</v>
      </c>
      <c r="BE25" s="54">
        <v>0.34</v>
      </c>
      <c r="BF25" s="38">
        <f t="shared" si="159"/>
        <v>40.800000000000004</v>
      </c>
      <c r="BG25" s="54">
        <v>0.33</v>
      </c>
      <c r="BH25" s="38">
        <f t="shared" si="160"/>
        <v>39.6</v>
      </c>
      <c r="BI25" s="54">
        <v>0.33</v>
      </c>
      <c r="BJ25" s="38">
        <f t="shared" si="161"/>
        <v>39.6</v>
      </c>
      <c r="BK25" s="52"/>
      <c r="BL25" s="53"/>
      <c r="BM25" s="36">
        <f t="shared" si="162"/>
        <v>0</v>
      </c>
      <c r="BN25" s="54"/>
      <c r="BO25" s="38">
        <f t="shared" si="163"/>
        <v>0</v>
      </c>
      <c r="BP25" s="54"/>
      <c r="BQ25" s="38">
        <f t="shared" si="164"/>
        <v>0</v>
      </c>
      <c r="BR25" s="54"/>
      <c r="BS25" s="38">
        <f t="shared" si="165"/>
        <v>0</v>
      </c>
      <c r="BT25" s="52"/>
      <c r="BU25" s="53"/>
      <c r="BV25" s="36">
        <f t="shared" si="166"/>
        <v>0</v>
      </c>
      <c r="BW25" s="54"/>
      <c r="BX25" s="38">
        <f t="shared" si="167"/>
        <v>0</v>
      </c>
      <c r="BY25" s="54"/>
      <c r="BZ25" s="38">
        <f t="shared" si="168"/>
        <v>0</v>
      </c>
      <c r="CA25" s="54"/>
      <c r="CB25" s="38">
        <f t="shared" si="169"/>
        <v>0</v>
      </c>
      <c r="CC25" s="40">
        <f t="shared" si="170"/>
        <v>2400</v>
      </c>
      <c r="CD25" s="40">
        <f t="shared" si="171"/>
        <v>2400</v>
      </c>
      <c r="CE25" s="40" t="e">
        <f>M25+O25+Q25+#REF!+#REF!+V25+X25+Z25+#REF!+#REF!+AE25+AG25+AI25+#REF!+#REF!+AN25+AP25+AR25+#REF!+#REF!+AW25+AY25+BA25+#REF!+#REF!+BF25+BH25+BJ25+#REF!+#REF!+BO25+BQ25+BS25+#REF!+#REF!+BX25+BZ25+CB25+#REF!+#REF!</f>
        <v>#REF!</v>
      </c>
      <c r="CF25" s="15" t="e">
        <f t="shared" si="102"/>
        <v>#REF!</v>
      </c>
    </row>
    <row r="26" spans="1:84" x14ac:dyDescent="0.25">
      <c r="B26" s="43" t="s">
        <v>38</v>
      </c>
      <c r="C26" s="51" t="s">
        <v>30</v>
      </c>
      <c r="D26" s="50">
        <v>10</v>
      </c>
      <c r="E26" s="33">
        <f>$K$40</f>
        <v>-108.3695731319762</v>
      </c>
      <c r="F26" s="88">
        <v>-1805.2631578947367</v>
      </c>
      <c r="G26" s="52"/>
      <c r="H26" s="153">
        <v>-123.79</v>
      </c>
      <c r="I26" s="52"/>
      <c r="J26" s="35"/>
      <c r="K26" s="36">
        <f t="shared" si="138"/>
        <v>0</v>
      </c>
      <c r="L26" s="37"/>
      <c r="M26" s="38">
        <f t="shared" si="139"/>
        <v>0</v>
      </c>
      <c r="N26" s="37"/>
      <c r="O26" s="38">
        <f t="shared" si="140"/>
        <v>0</v>
      </c>
      <c r="P26" s="37"/>
      <c r="Q26" s="38">
        <f t="shared" si="141"/>
        <v>0</v>
      </c>
      <c r="R26" s="52"/>
      <c r="S26" s="53"/>
      <c r="T26" s="36">
        <f t="shared" si="142"/>
        <v>0</v>
      </c>
      <c r="U26" s="54"/>
      <c r="V26" s="38">
        <f t="shared" si="143"/>
        <v>0</v>
      </c>
      <c r="W26" s="54"/>
      <c r="X26" s="38">
        <f t="shared" si="144"/>
        <v>0</v>
      </c>
      <c r="Y26" s="54"/>
      <c r="Z26" s="38">
        <f t="shared" si="145"/>
        <v>0</v>
      </c>
      <c r="AA26" s="52"/>
      <c r="AB26" s="53">
        <v>0.6</v>
      </c>
      <c r="AC26" s="36">
        <f t="shared" si="146"/>
        <v>-1083.1578947368419</v>
      </c>
      <c r="AD26" s="54">
        <v>0.34</v>
      </c>
      <c r="AE26" s="38">
        <f t="shared" si="147"/>
        <v>-368.27368421052626</v>
      </c>
      <c r="AF26" s="54">
        <v>0.33</v>
      </c>
      <c r="AG26" s="38">
        <f t="shared" si="148"/>
        <v>-357.44210526315783</v>
      </c>
      <c r="AH26" s="54">
        <v>0.33</v>
      </c>
      <c r="AI26" s="38">
        <f t="shared" si="149"/>
        <v>-357.44210526315783</v>
      </c>
      <c r="AJ26" s="52"/>
      <c r="AK26" s="53">
        <v>0.25</v>
      </c>
      <c r="AL26" s="36">
        <f t="shared" si="150"/>
        <v>-451.31578947368416</v>
      </c>
      <c r="AM26" s="54">
        <v>0.34</v>
      </c>
      <c r="AN26" s="38">
        <f t="shared" si="151"/>
        <v>-153.44736842105263</v>
      </c>
      <c r="AO26" s="54">
        <v>0.33</v>
      </c>
      <c r="AP26" s="38">
        <f t="shared" si="152"/>
        <v>-148.93421052631578</v>
      </c>
      <c r="AQ26" s="54">
        <v>0.33</v>
      </c>
      <c r="AR26" s="38">
        <f t="shared" si="153"/>
        <v>-148.93421052631578</v>
      </c>
      <c r="AS26" s="52"/>
      <c r="AT26" s="53">
        <v>0.15</v>
      </c>
      <c r="AU26" s="36">
        <f t="shared" si="154"/>
        <v>-270.78947368421046</v>
      </c>
      <c r="AV26" s="54">
        <v>0.34</v>
      </c>
      <c r="AW26" s="38">
        <f t="shared" si="155"/>
        <v>-92.068421052631564</v>
      </c>
      <c r="AX26" s="54">
        <v>0.33</v>
      </c>
      <c r="AY26" s="38">
        <f t="shared" si="156"/>
        <v>-89.360526315789457</v>
      </c>
      <c r="AZ26" s="54">
        <v>0.33</v>
      </c>
      <c r="BA26" s="38">
        <f t="shared" si="157"/>
        <v>-89.360526315789457</v>
      </c>
      <c r="BB26" s="52"/>
      <c r="BC26" s="53"/>
      <c r="BD26" s="36">
        <f t="shared" si="158"/>
        <v>0</v>
      </c>
      <c r="BE26" s="54"/>
      <c r="BF26" s="38">
        <f t="shared" si="159"/>
        <v>0</v>
      </c>
      <c r="BG26" s="54"/>
      <c r="BH26" s="38">
        <f t="shared" si="160"/>
        <v>0</v>
      </c>
      <c r="BI26" s="54"/>
      <c r="BJ26" s="38">
        <f t="shared" si="161"/>
        <v>0</v>
      </c>
      <c r="BK26" s="52"/>
      <c r="BL26" s="53"/>
      <c r="BM26" s="36">
        <f t="shared" si="162"/>
        <v>0</v>
      </c>
      <c r="BN26" s="54"/>
      <c r="BO26" s="38">
        <f t="shared" si="163"/>
        <v>0</v>
      </c>
      <c r="BP26" s="54"/>
      <c r="BQ26" s="38">
        <f t="shared" si="164"/>
        <v>0</v>
      </c>
      <c r="BR26" s="54"/>
      <c r="BS26" s="38">
        <f t="shared" si="165"/>
        <v>0</v>
      </c>
      <c r="BT26" s="52"/>
      <c r="BU26" s="53"/>
      <c r="BV26" s="36">
        <f t="shared" si="166"/>
        <v>0</v>
      </c>
      <c r="BW26" s="54"/>
      <c r="BX26" s="38">
        <f t="shared" si="167"/>
        <v>0</v>
      </c>
      <c r="BY26" s="54"/>
      <c r="BZ26" s="38">
        <f t="shared" si="168"/>
        <v>0</v>
      </c>
      <c r="CA26" s="54"/>
      <c r="CB26" s="38">
        <f t="shared" si="169"/>
        <v>0</v>
      </c>
      <c r="CC26" s="40">
        <f t="shared" si="170"/>
        <v>-1805.2631578947367</v>
      </c>
      <c r="CD26" s="40">
        <f t="shared" si="171"/>
        <v>-1805.2631578947364</v>
      </c>
      <c r="CE26" s="40" t="e">
        <f>M26+O26+Q26+#REF!+#REF!+V26+X26+Z26+#REF!+#REF!+AE26+AG26+AI26+#REF!+#REF!+AN26+AP26+AR26+#REF!+#REF!+AW26+AY26+BA26+#REF!+#REF!+BF26+BH26+BJ26+#REF!+#REF!+BO26+BQ26+BS26+#REF!+#REF!+BX26+BZ26+CB26+#REF!+#REF!</f>
        <v>#REF!</v>
      </c>
      <c r="CF26" s="15" t="e">
        <f t="shared" si="102"/>
        <v>#REF!</v>
      </c>
    </row>
    <row r="27" spans="1:84" x14ac:dyDescent="0.25">
      <c r="B27" s="48" t="s">
        <v>33</v>
      </c>
      <c r="C27" s="51" t="s">
        <v>30</v>
      </c>
      <c r="D27" s="50">
        <v>35</v>
      </c>
      <c r="E27" s="182">
        <f>H27*$K$51</f>
        <v>102.03999999999999</v>
      </c>
      <c r="F27" s="88">
        <v>3500</v>
      </c>
      <c r="G27" s="52"/>
      <c r="H27" s="153">
        <v>100</v>
      </c>
      <c r="I27" s="52"/>
      <c r="J27" s="35"/>
      <c r="K27" s="36">
        <f t="shared" si="138"/>
        <v>0</v>
      </c>
      <c r="L27" s="37"/>
      <c r="M27" s="38">
        <f t="shared" si="139"/>
        <v>0</v>
      </c>
      <c r="N27" s="37"/>
      <c r="O27" s="38">
        <f t="shared" si="140"/>
        <v>0</v>
      </c>
      <c r="P27" s="37"/>
      <c r="Q27" s="38">
        <f t="shared" si="141"/>
        <v>0</v>
      </c>
      <c r="R27" s="52"/>
      <c r="S27" s="53">
        <v>0.14285714285714288</v>
      </c>
      <c r="T27" s="36">
        <f t="shared" si="142"/>
        <v>500.00000000000006</v>
      </c>
      <c r="U27" s="54">
        <v>0.34</v>
      </c>
      <c r="V27" s="38">
        <f t="shared" si="143"/>
        <v>170.00000000000003</v>
      </c>
      <c r="W27" s="54">
        <v>0.33</v>
      </c>
      <c r="X27" s="38">
        <f t="shared" si="144"/>
        <v>165.00000000000003</v>
      </c>
      <c r="Y27" s="54">
        <v>0.33</v>
      </c>
      <c r="Z27" s="38">
        <f t="shared" si="145"/>
        <v>165.00000000000003</v>
      </c>
      <c r="AA27" s="52"/>
      <c r="AB27" s="53">
        <v>0.14285714285714288</v>
      </c>
      <c r="AC27" s="36">
        <f t="shared" si="146"/>
        <v>500.00000000000006</v>
      </c>
      <c r="AD27" s="54">
        <v>0.34</v>
      </c>
      <c r="AE27" s="38">
        <f t="shared" si="147"/>
        <v>170.00000000000003</v>
      </c>
      <c r="AF27" s="54">
        <v>0.33</v>
      </c>
      <c r="AG27" s="38">
        <f t="shared" si="148"/>
        <v>165.00000000000003</v>
      </c>
      <c r="AH27" s="54">
        <v>0.33</v>
      </c>
      <c r="AI27" s="38">
        <f t="shared" si="149"/>
        <v>165.00000000000003</v>
      </c>
      <c r="AJ27" s="52"/>
      <c r="AK27" s="53">
        <v>0.14285714285714288</v>
      </c>
      <c r="AL27" s="36">
        <f t="shared" si="150"/>
        <v>500.00000000000006</v>
      </c>
      <c r="AM27" s="54">
        <v>0.34</v>
      </c>
      <c r="AN27" s="38">
        <f t="shared" si="151"/>
        <v>170.00000000000003</v>
      </c>
      <c r="AO27" s="54">
        <v>0.33</v>
      </c>
      <c r="AP27" s="38">
        <f t="shared" si="152"/>
        <v>165.00000000000003</v>
      </c>
      <c r="AQ27" s="54">
        <v>0.33</v>
      </c>
      <c r="AR27" s="38">
        <f t="shared" si="153"/>
        <v>165.00000000000003</v>
      </c>
      <c r="AS27" s="52"/>
      <c r="AT27" s="53">
        <v>0.14285714285714288</v>
      </c>
      <c r="AU27" s="36">
        <f t="shared" si="154"/>
        <v>500.00000000000006</v>
      </c>
      <c r="AV27" s="54">
        <v>0.34</v>
      </c>
      <c r="AW27" s="38">
        <f t="shared" si="155"/>
        <v>170.00000000000003</v>
      </c>
      <c r="AX27" s="54">
        <v>0.33</v>
      </c>
      <c r="AY27" s="38">
        <f t="shared" si="156"/>
        <v>165.00000000000003</v>
      </c>
      <c r="AZ27" s="54">
        <v>0.33</v>
      </c>
      <c r="BA27" s="38">
        <f t="shared" si="157"/>
        <v>165.00000000000003</v>
      </c>
      <c r="BB27" s="52"/>
      <c r="BC27" s="53">
        <v>0.14285714285714288</v>
      </c>
      <c r="BD27" s="36">
        <f t="shared" si="158"/>
        <v>500.00000000000006</v>
      </c>
      <c r="BE27" s="54">
        <v>0.34</v>
      </c>
      <c r="BF27" s="38">
        <f t="shared" si="159"/>
        <v>170.00000000000003</v>
      </c>
      <c r="BG27" s="54">
        <v>0.33</v>
      </c>
      <c r="BH27" s="38">
        <f t="shared" si="160"/>
        <v>165.00000000000003</v>
      </c>
      <c r="BI27" s="54">
        <v>0.33</v>
      </c>
      <c r="BJ27" s="38">
        <f t="shared" si="161"/>
        <v>165.00000000000003</v>
      </c>
      <c r="BK27" s="52"/>
      <c r="BL27" s="53">
        <v>0.14285714285714288</v>
      </c>
      <c r="BM27" s="36">
        <f t="shared" si="162"/>
        <v>500.00000000000006</v>
      </c>
      <c r="BN27" s="54">
        <v>0.34</v>
      </c>
      <c r="BO27" s="38">
        <f t="shared" si="163"/>
        <v>170.00000000000003</v>
      </c>
      <c r="BP27" s="54">
        <v>0.33</v>
      </c>
      <c r="BQ27" s="38">
        <f t="shared" si="164"/>
        <v>165.00000000000003</v>
      </c>
      <c r="BR27" s="54">
        <v>0.33</v>
      </c>
      <c r="BS27" s="38">
        <f t="shared" si="165"/>
        <v>165.00000000000003</v>
      </c>
      <c r="BT27" s="52"/>
      <c r="BU27" s="53">
        <v>0.14285714285714288</v>
      </c>
      <c r="BV27" s="36">
        <f t="shared" si="166"/>
        <v>500.00000000000006</v>
      </c>
      <c r="BW27" s="54">
        <v>0.34</v>
      </c>
      <c r="BX27" s="38">
        <f t="shared" si="167"/>
        <v>170.00000000000003</v>
      </c>
      <c r="BY27" s="54">
        <v>0.33</v>
      </c>
      <c r="BZ27" s="38">
        <f t="shared" si="168"/>
        <v>165.00000000000003</v>
      </c>
      <c r="CA27" s="54">
        <v>0.33</v>
      </c>
      <c r="CB27" s="38">
        <f t="shared" si="169"/>
        <v>165.00000000000003</v>
      </c>
      <c r="CC27" s="40">
        <f t="shared" si="170"/>
        <v>3500</v>
      </c>
      <c r="CD27" s="40">
        <f t="shared" si="171"/>
        <v>3500.0000000000005</v>
      </c>
      <c r="CE27" s="40" t="e">
        <f>M27+O27+Q27+#REF!+#REF!+V27+X27+Z27+#REF!+#REF!+AE27+AG27+AI27+#REF!+#REF!+AN27+AP27+AR27+#REF!+#REF!+AW27+AY27+BA27+#REF!+#REF!+BF27+BH27+BJ27+#REF!+#REF!+BO27+BQ27+BS27+#REF!+#REF!+BX27+BZ27+CB27+#REF!+#REF!</f>
        <v>#REF!</v>
      </c>
      <c r="CF27" s="15" t="e">
        <f t="shared" si="102"/>
        <v>#REF!</v>
      </c>
    </row>
    <row r="28" spans="1:84" x14ac:dyDescent="0.25">
      <c r="B28" s="43"/>
      <c r="C28" s="51"/>
      <c r="D28" s="42"/>
      <c r="E28" s="33"/>
      <c r="F28" s="33"/>
      <c r="G28" s="52"/>
      <c r="H28" s="151"/>
      <c r="I28" s="52"/>
      <c r="J28" s="35"/>
      <c r="K28" s="36"/>
      <c r="L28" s="37"/>
      <c r="M28" s="38"/>
      <c r="N28" s="37"/>
      <c r="O28" s="38"/>
      <c r="P28" s="37"/>
      <c r="Q28" s="38"/>
      <c r="R28" s="52"/>
      <c r="S28" s="53"/>
      <c r="T28" s="36"/>
      <c r="U28" s="54"/>
      <c r="V28" s="38"/>
      <c r="W28" s="54"/>
      <c r="X28" s="38"/>
      <c r="Y28" s="54"/>
      <c r="Z28" s="38"/>
      <c r="AA28" s="52"/>
      <c r="AB28" s="53"/>
      <c r="AC28" s="36"/>
      <c r="AD28" s="54"/>
      <c r="AE28" s="38"/>
      <c r="AF28" s="54"/>
      <c r="AG28" s="38"/>
      <c r="AH28" s="54"/>
      <c r="AI28" s="38"/>
      <c r="AJ28" s="52"/>
      <c r="AK28" s="53"/>
      <c r="AL28" s="36"/>
      <c r="AM28" s="54"/>
      <c r="AN28" s="38"/>
      <c r="AO28" s="54"/>
      <c r="AP28" s="38"/>
      <c r="AQ28" s="54"/>
      <c r="AR28" s="38"/>
      <c r="AS28" s="52"/>
      <c r="AT28" s="53"/>
      <c r="AU28" s="36"/>
      <c r="AV28" s="54"/>
      <c r="AW28" s="38"/>
      <c r="AX28" s="54"/>
      <c r="AY28" s="38"/>
      <c r="AZ28" s="54"/>
      <c r="BA28" s="38"/>
      <c r="BB28" s="52"/>
      <c r="BC28" s="53"/>
      <c r="BD28" s="36"/>
      <c r="BE28" s="54"/>
      <c r="BF28" s="38"/>
      <c r="BG28" s="54"/>
      <c r="BH28" s="38"/>
      <c r="BI28" s="54"/>
      <c r="BJ28" s="38"/>
      <c r="BK28" s="52"/>
      <c r="BL28" s="53"/>
      <c r="BM28" s="36"/>
      <c r="BN28" s="54"/>
      <c r="BO28" s="38"/>
      <c r="BP28" s="54"/>
      <c r="BQ28" s="38"/>
      <c r="BR28" s="54"/>
      <c r="BS28" s="38"/>
      <c r="BT28" s="52"/>
      <c r="BU28" s="53"/>
      <c r="BV28" s="36"/>
      <c r="BW28" s="54"/>
      <c r="BX28" s="38"/>
      <c r="BY28" s="54"/>
      <c r="BZ28" s="38"/>
      <c r="CA28" s="54"/>
      <c r="CB28" s="38"/>
      <c r="CC28" s="40">
        <f t="shared" si="170"/>
        <v>0</v>
      </c>
      <c r="CD28" s="40">
        <f t="shared" si="171"/>
        <v>0</v>
      </c>
      <c r="CE28" s="40" t="e">
        <f>M28+O28+Q28+#REF!+#REF!+V28+X28+Z28+#REF!+#REF!+AE28+AG28+AI28+#REF!+#REF!+AN28+AP28+AR28+#REF!+#REF!+AW28+AY28+BA28+#REF!+#REF!+BF28+BH28+BJ28+#REF!+#REF!+BO28+BQ28+BS28+#REF!+#REF!+BX28+BZ28+CB28+#REF!+#REF!</f>
        <v>#REF!</v>
      </c>
      <c r="CF28" s="15" t="e">
        <f t="shared" si="102"/>
        <v>#REF!</v>
      </c>
    </row>
    <row r="29" spans="1:84" x14ac:dyDescent="0.25">
      <c r="B29" s="55" t="s">
        <v>0</v>
      </c>
      <c r="C29" s="56"/>
      <c r="D29" s="57"/>
      <c r="E29" s="58"/>
      <c r="F29" s="59">
        <f>SUM(F4:F28)</f>
        <v>261598.15721020466</v>
      </c>
      <c r="G29" s="59">
        <f>SUM(G4:G28)</f>
        <v>0</v>
      </c>
      <c r="H29" s="141"/>
      <c r="I29" s="59"/>
      <c r="J29" s="59"/>
      <c r="K29" s="59">
        <f>SUM(K4:K28)</f>
        <v>59375</v>
      </c>
      <c r="L29" s="59"/>
      <c r="M29" s="59">
        <f>SUM(M4:M28)</f>
        <v>20187.5</v>
      </c>
      <c r="N29" s="59"/>
      <c r="O29" s="59">
        <f>SUM(O4:O28)</f>
        <v>19593.75</v>
      </c>
      <c r="P29" s="59"/>
      <c r="Q29" s="59">
        <f>SUM(Q4:Q28)</f>
        <v>19593.75</v>
      </c>
      <c r="R29" s="59">
        <f>SUM(R4:R28)</f>
        <v>0</v>
      </c>
      <c r="S29" s="59"/>
      <c r="T29" s="59">
        <f>SUM(T4:T28)</f>
        <v>55089.285714285717</v>
      </c>
      <c r="U29" s="59"/>
      <c r="V29" s="59">
        <f>SUM(V4:V28)</f>
        <v>18730.357142857141</v>
      </c>
      <c r="W29" s="59"/>
      <c r="X29" s="59">
        <f>SUM(X4:X28)</f>
        <v>18179.464285714286</v>
      </c>
      <c r="Y29" s="59"/>
      <c r="Z29" s="59">
        <f>SUM(Z4:Z28)</f>
        <v>18179.464285714286</v>
      </c>
      <c r="AA29" s="59">
        <f>SUM(AA4:AA28)</f>
        <v>0</v>
      </c>
      <c r="AB29" s="59"/>
      <c r="AC29" s="59">
        <f>SUM(AC4:AC28)</f>
        <v>10446.127819548872</v>
      </c>
      <c r="AD29" s="59"/>
      <c r="AE29" s="59">
        <f>SUM(AE4:AE28)</f>
        <v>3551.6834586466161</v>
      </c>
      <c r="AF29" s="59"/>
      <c r="AG29" s="59">
        <f>SUM(AG4:AG28)</f>
        <v>3447.2221804511282</v>
      </c>
      <c r="AH29" s="59"/>
      <c r="AI29" s="59">
        <f>SUM(AI4:AI28)</f>
        <v>3447.2221804511282</v>
      </c>
      <c r="AJ29" s="59">
        <f>SUM(AJ4:AJ28)</f>
        <v>0</v>
      </c>
      <c r="AK29" s="59"/>
      <c r="AL29" s="59">
        <f>SUM(AL4:AL28)</f>
        <v>98212.902877998597</v>
      </c>
      <c r="AM29" s="59"/>
      <c r="AN29" s="59">
        <f>SUM(AN4:AN28)</f>
        <v>33392.386978519527</v>
      </c>
      <c r="AO29" s="59"/>
      <c r="AP29" s="59">
        <f>SUM(AP4:AP28)</f>
        <v>32410.257949739538</v>
      </c>
      <c r="AQ29" s="59"/>
      <c r="AR29" s="59">
        <f>SUM(AR4:AR28)</f>
        <v>32410.257949739538</v>
      </c>
      <c r="AS29" s="59">
        <f>SUM(AS4:AS28)</f>
        <v>0</v>
      </c>
      <c r="AT29" s="59"/>
      <c r="AU29" s="59">
        <f>SUM(AU4:AU28)</f>
        <v>10178.496240601504</v>
      </c>
      <c r="AV29" s="59"/>
      <c r="AW29" s="59">
        <f>SUM(AW4:AW28)</f>
        <v>3460.6887218045113</v>
      </c>
      <c r="AX29" s="59"/>
      <c r="AY29" s="59">
        <f>SUM(AY4:AY28)</f>
        <v>3358.9037593984967</v>
      </c>
      <c r="AZ29" s="59"/>
      <c r="BA29" s="59">
        <f>SUM(BA4:BA28)</f>
        <v>3358.9037593984967</v>
      </c>
      <c r="BB29" s="59">
        <f>SUM(BB4:BB28)</f>
        <v>0</v>
      </c>
      <c r="BC29" s="59"/>
      <c r="BD29" s="59">
        <f>SUM(BD4:BD28)</f>
        <v>-2406.5396768421233</v>
      </c>
      <c r="BE29" s="59"/>
      <c r="BF29" s="59">
        <f>SUM(BF4:BF28)</f>
        <v>-818.22349012632117</v>
      </c>
      <c r="BG29" s="59"/>
      <c r="BH29" s="59">
        <f>SUM(BH4:BH28)</f>
        <v>-794.15809335790107</v>
      </c>
      <c r="BI29" s="59"/>
      <c r="BJ29" s="59">
        <f>SUM(BJ4:BJ28)</f>
        <v>-794.15809335790107</v>
      </c>
      <c r="BK29" s="59">
        <f>SUM(BK4:BK28)</f>
        <v>0</v>
      </c>
      <c r="BL29" s="59"/>
      <c r="BM29" s="59">
        <f>SUM(BM4:BM28)</f>
        <v>10089.285714285714</v>
      </c>
      <c r="BN29" s="59"/>
      <c r="BO29" s="59">
        <f>SUM(BO4:BO28)</f>
        <v>3430.3571428571427</v>
      </c>
      <c r="BP29" s="59"/>
      <c r="BQ29" s="59">
        <f>SUM(BQ4:BQ28)</f>
        <v>3329.4642857142858</v>
      </c>
      <c r="BR29" s="59"/>
      <c r="BS29" s="59">
        <f>SUM(BS4:BS28)</f>
        <v>3329.4642857142858</v>
      </c>
      <c r="BT29" s="59">
        <f>SUM(BT4:BT28)</f>
        <v>0</v>
      </c>
      <c r="BU29" s="59"/>
      <c r="BV29" s="59">
        <f>SUM(BV4:BV28)</f>
        <v>10089.285714285714</v>
      </c>
      <c r="BW29" s="59"/>
      <c r="BX29" s="59">
        <f>SUM(BX4:BX28)</f>
        <v>3430.3571428571427</v>
      </c>
      <c r="BY29" s="59"/>
      <c r="BZ29" s="59">
        <f>SUM(BZ4:BZ28)</f>
        <v>3329.4642857142858</v>
      </c>
      <c r="CA29" s="59"/>
      <c r="CB29" s="59">
        <f>SUM(CB4:CB28)</f>
        <v>3329.4642857142858</v>
      </c>
      <c r="CC29" s="40">
        <f t="shared" si="170"/>
        <v>261598.15721020466</v>
      </c>
      <c r="CD29" s="40">
        <f t="shared" si="171"/>
        <v>251073.84440416395</v>
      </c>
      <c r="CE29" s="40" t="e">
        <f>M29+O29+Q29+#REF!+#REF!+V29+X29+Z29+#REF!+#REF!+AE29+AG29+AI29+#REF!+#REF!+AN29+AP29+AR29+#REF!+#REF!+AW29+AY29+BA29+#REF!+#REF!+BF29+BH29+BJ29+#REF!+#REF!+BO29+BQ29+BS29+#REF!+#REF!+BX29+BZ29+CB29+#REF!+#REF!</f>
        <v>#REF!</v>
      </c>
      <c r="CF29" s="15"/>
    </row>
    <row r="30" spans="1:84" s="144" customFormat="1" x14ac:dyDescent="0.25">
      <c r="A30" s="136"/>
      <c r="B30" s="136"/>
      <c r="C30" s="137"/>
      <c r="D30" s="138"/>
      <c r="E30" s="139"/>
      <c r="F30" s="140"/>
      <c r="G30" s="140"/>
      <c r="H30" s="140"/>
      <c r="I30" s="140"/>
      <c r="J30" s="140"/>
      <c r="K30" s="141"/>
      <c r="L30" s="140"/>
      <c r="M30" s="140"/>
      <c r="N30" s="140"/>
      <c r="O30" s="140"/>
      <c r="P30" s="140"/>
      <c r="Q30" s="140"/>
      <c r="R30" s="140"/>
      <c r="S30" s="140"/>
      <c r="T30" s="140"/>
      <c r="U30" s="140"/>
      <c r="V30" s="140"/>
      <c r="W30" s="140"/>
      <c r="X30" s="140"/>
      <c r="Y30" s="140"/>
      <c r="Z30" s="140"/>
      <c r="AA30" s="140"/>
      <c r="AB30" s="140"/>
      <c r="AC30" s="140"/>
      <c r="AD30" s="140"/>
      <c r="AE30" s="140"/>
      <c r="AF30" s="140"/>
      <c r="AG30" s="140"/>
      <c r="AH30" s="140"/>
      <c r="AI30" s="140"/>
      <c r="AJ30" s="140"/>
      <c r="AK30" s="140"/>
      <c r="AL30" s="140"/>
      <c r="AM30" s="140"/>
      <c r="AN30" s="140"/>
      <c r="AO30" s="140"/>
      <c r="AP30" s="140"/>
      <c r="AQ30" s="140"/>
      <c r="AR30" s="140"/>
      <c r="AS30" s="140"/>
      <c r="AT30" s="140"/>
      <c r="AU30" s="140"/>
      <c r="AV30" s="140"/>
      <c r="AW30" s="140"/>
      <c r="AX30" s="140"/>
      <c r="AY30" s="140"/>
      <c r="AZ30" s="140"/>
      <c r="BA30" s="140"/>
      <c r="BB30" s="140"/>
      <c r="BC30" s="140"/>
      <c r="BD30" s="140"/>
      <c r="BE30" s="140"/>
      <c r="BF30" s="140"/>
      <c r="BG30" s="140"/>
      <c r="BH30" s="140"/>
      <c r="BI30" s="140"/>
      <c r="BJ30" s="140"/>
      <c r="BK30" s="140"/>
      <c r="BL30" s="140"/>
      <c r="BM30" s="140"/>
      <c r="BN30" s="140"/>
      <c r="BO30" s="140"/>
      <c r="BP30" s="140"/>
      <c r="BQ30" s="140"/>
      <c r="BR30" s="140"/>
      <c r="BS30" s="140"/>
      <c r="BT30" s="140"/>
      <c r="BU30" s="140"/>
      <c r="BV30" s="140"/>
      <c r="BW30" s="140"/>
      <c r="BX30" s="140"/>
      <c r="BY30" s="140"/>
      <c r="BZ30" s="140"/>
      <c r="CA30" s="140"/>
      <c r="CB30" s="140"/>
      <c r="CC30" s="142"/>
      <c r="CD30" s="142"/>
      <c r="CE30" s="142"/>
      <c r="CF30" s="143"/>
    </row>
    <row r="31" spans="1:84" s="144" customFormat="1" x14ac:dyDescent="0.25">
      <c r="A31" s="136"/>
      <c r="B31" s="136"/>
      <c r="C31" s="137"/>
      <c r="D31" s="138"/>
      <c r="E31" s="71" t="s">
        <v>180</v>
      </c>
      <c r="F31" s="145">
        <f>F29</f>
        <v>261598.15721020466</v>
      </c>
      <c r="G31" s="140"/>
      <c r="H31" s="140"/>
      <c r="I31" s="140"/>
      <c r="J31" s="140"/>
      <c r="K31" s="141"/>
      <c r="L31" s="140"/>
      <c r="M31" s="140"/>
      <c r="N31" s="140"/>
      <c r="O31" s="140"/>
      <c r="P31" s="140"/>
      <c r="Q31" s="140"/>
      <c r="R31" s="140"/>
      <c r="S31" s="140"/>
      <c r="T31" s="140"/>
      <c r="U31" s="140"/>
      <c r="V31" s="140"/>
      <c r="W31" s="140"/>
      <c r="X31" s="140"/>
      <c r="Y31" s="140"/>
      <c r="Z31" s="140"/>
      <c r="AA31" s="140"/>
      <c r="AB31" s="140"/>
      <c r="AC31" s="140"/>
      <c r="AD31" s="140"/>
      <c r="AE31" s="140"/>
      <c r="AF31" s="140"/>
      <c r="AG31" s="140"/>
      <c r="AH31" s="140"/>
      <c r="AI31" s="140"/>
      <c r="AJ31" s="140"/>
      <c r="AK31" s="140"/>
      <c r="AL31" s="140"/>
      <c r="AM31" s="140"/>
      <c r="AN31" s="140"/>
      <c r="AO31" s="140"/>
      <c r="AP31" s="140"/>
      <c r="AQ31" s="140"/>
      <c r="AR31" s="140"/>
      <c r="AS31" s="140"/>
      <c r="AT31" s="140"/>
      <c r="AU31" s="140"/>
      <c r="AV31" s="140"/>
      <c r="AW31" s="140"/>
      <c r="AX31" s="140"/>
      <c r="AY31" s="140"/>
      <c r="AZ31" s="140"/>
      <c r="BA31" s="140"/>
      <c r="BB31" s="140"/>
      <c r="BC31" s="140"/>
      <c r="BD31" s="140"/>
      <c r="BE31" s="140"/>
      <c r="BF31" s="140"/>
      <c r="BG31" s="140"/>
      <c r="BH31" s="140"/>
      <c r="BI31" s="140"/>
      <c r="BJ31" s="140"/>
      <c r="BK31" s="140"/>
      <c r="BL31" s="140"/>
      <c r="BM31" s="140"/>
      <c r="BN31" s="140"/>
      <c r="BO31" s="140"/>
      <c r="BP31" s="140"/>
      <c r="BQ31" s="140"/>
      <c r="BR31" s="140"/>
      <c r="BS31" s="140"/>
      <c r="BT31" s="140"/>
      <c r="BU31" s="140"/>
      <c r="BV31" s="140"/>
      <c r="BW31" s="140"/>
      <c r="BX31" s="140"/>
      <c r="BY31" s="140"/>
      <c r="BZ31" s="140"/>
      <c r="CA31" s="140"/>
      <c r="CB31" s="140"/>
      <c r="CC31" s="142"/>
      <c r="CD31" s="142"/>
      <c r="CE31" s="142"/>
      <c r="CF31" s="143"/>
    </row>
    <row r="32" spans="1:84" s="144" customFormat="1" x14ac:dyDescent="0.25">
      <c r="A32" s="136"/>
      <c r="B32" s="136"/>
      <c r="C32" s="137"/>
      <c r="D32" s="138"/>
      <c r="E32" s="71" t="s">
        <v>178</v>
      </c>
      <c r="F32" s="145">
        <v>254218.02914979754</v>
      </c>
      <c r="G32" s="140"/>
      <c r="H32" s="140"/>
      <c r="I32" s="140"/>
      <c r="J32" s="140"/>
      <c r="K32" s="141"/>
      <c r="L32" s="140"/>
      <c r="M32" s="140"/>
      <c r="N32" s="140"/>
      <c r="O32" s="140"/>
      <c r="P32" s="140"/>
      <c r="Q32" s="140"/>
      <c r="R32" s="140"/>
      <c r="S32" s="140"/>
      <c r="T32" s="140"/>
      <c r="U32" s="140"/>
      <c r="V32" s="140"/>
      <c r="W32" s="140"/>
      <c r="X32" s="140"/>
      <c r="Y32" s="140"/>
      <c r="Z32" s="140"/>
      <c r="AA32" s="140"/>
      <c r="AB32" s="140"/>
      <c r="AC32" s="140"/>
      <c r="AD32" s="140"/>
      <c r="AE32" s="140"/>
      <c r="AF32" s="140"/>
      <c r="AG32" s="140"/>
      <c r="AH32" s="140"/>
      <c r="AI32" s="140"/>
      <c r="AJ32" s="140"/>
      <c r="AK32" s="140"/>
      <c r="AL32" s="140"/>
      <c r="AM32" s="140"/>
      <c r="AN32" s="140"/>
      <c r="AO32" s="140"/>
      <c r="AP32" s="140"/>
      <c r="AQ32" s="140"/>
      <c r="AR32" s="140"/>
      <c r="AS32" s="140"/>
      <c r="AT32" s="140"/>
      <c r="AU32" s="140"/>
      <c r="AV32" s="140"/>
      <c r="AW32" s="140"/>
      <c r="AX32" s="140"/>
      <c r="AY32" s="140"/>
      <c r="AZ32" s="140"/>
      <c r="BA32" s="140"/>
      <c r="BB32" s="140"/>
      <c r="BC32" s="140"/>
      <c r="BD32" s="140"/>
      <c r="BE32" s="140"/>
      <c r="BF32" s="140"/>
      <c r="BG32" s="140"/>
      <c r="BH32" s="140"/>
      <c r="BI32" s="140"/>
      <c r="BJ32" s="140"/>
      <c r="BK32" s="140"/>
      <c r="BL32" s="140"/>
      <c r="BM32" s="140"/>
      <c r="BN32" s="140"/>
      <c r="BO32" s="140"/>
      <c r="BP32" s="140"/>
      <c r="BQ32" s="140"/>
      <c r="BR32" s="140"/>
      <c r="BS32" s="140"/>
      <c r="BT32" s="140"/>
      <c r="BU32" s="140"/>
      <c r="BV32" s="140"/>
      <c r="BW32" s="140"/>
      <c r="BX32" s="140"/>
      <c r="BY32" s="140"/>
      <c r="BZ32" s="140"/>
      <c r="CA32" s="140"/>
      <c r="CB32" s="140"/>
      <c r="CC32" s="142"/>
      <c r="CD32" s="142"/>
      <c r="CE32" s="142"/>
      <c r="CF32" s="143"/>
    </row>
    <row r="33" spans="2:84" x14ac:dyDescent="0.25">
      <c r="E33" s="71" t="s">
        <v>179</v>
      </c>
      <c r="F33" s="63">
        <v>237197</v>
      </c>
      <c r="K33" s="36">
        <f>J33*F33</f>
        <v>0</v>
      </c>
      <c r="CC33" s="40">
        <f t="shared" si="170"/>
        <v>237197</v>
      </c>
      <c r="CD33" s="40">
        <f t="shared" si="171"/>
        <v>0</v>
      </c>
      <c r="CE33" s="40" t="e">
        <f>M33+O33+Q33+#REF!+#REF!+V33+X33+Z33+#REF!+#REF!+AE33+AG33+AI33+#REF!+#REF!+AN33+AP33+AR33+#REF!+#REF!+AW33+AY33+BA33+#REF!+#REF!+BF33+BH33+BJ33+#REF!+#REF!+BO33+BQ33+BS33+#REF!+#REF!+BX33+BZ33+CB33+#REF!+#REF!</f>
        <v>#REF!</v>
      </c>
      <c r="CF33" s="15" t="e">
        <f t="shared" si="35"/>
        <v>#REF!</v>
      </c>
    </row>
    <row r="34" spans="2:84" x14ac:dyDescent="0.25">
      <c r="F34" s="63">
        <f>F29-F33</f>
        <v>24401.157210204663</v>
      </c>
      <c r="K34" s="36">
        <f>J34*F34</f>
        <v>0</v>
      </c>
      <c r="CC34" s="40" t="e">
        <f>POWER((CC29-CD29),10000)</f>
        <v>#NUM!</v>
      </c>
      <c r="CD34" s="40" t="e">
        <f>POWER((CD29-CE29),10000)</f>
        <v>#REF!</v>
      </c>
      <c r="CE34" s="40"/>
      <c r="CF34" s="15"/>
    </row>
    <row r="35" spans="2:84" x14ac:dyDescent="0.25">
      <c r="K35" s="70"/>
      <c r="CC35" s="40"/>
      <c r="CD35" s="40"/>
      <c r="CE35" s="40"/>
      <c r="CF35" s="15"/>
    </row>
    <row r="36" spans="2:84" ht="15.75" thickBot="1" x14ac:dyDescent="0.3">
      <c r="K36" s="70"/>
      <c r="CC36" s="40"/>
      <c r="CD36" s="40"/>
      <c r="CE36" s="40"/>
      <c r="CF36" s="15"/>
    </row>
    <row r="37" spans="2:84" ht="15.75" thickTop="1" x14ac:dyDescent="0.25">
      <c r="B37" s="154" t="s">
        <v>182</v>
      </c>
      <c r="C37" s="155"/>
      <c r="D37" s="156"/>
      <c r="E37" s="157"/>
      <c r="F37" s="158">
        <v>42735</v>
      </c>
      <c r="G37" s="159"/>
      <c r="H37" s="160"/>
      <c r="I37" s="159"/>
      <c r="J37" s="161"/>
      <c r="K37" s="162">
        <v>42735</v>
      </c>
      <c r="CC37" s="40"/>
      <c r="CD37" s="40"/>
      <c r="CE37" s="40"/>
      <c r="CF37" s="15"/>
    </row>
    <row r="38" spans="2:84" x14ac:dyDescent="0.25">
      <c r="B38" s="163"/>
      <c r="C38" s="51"/>
      <c r="D38" s="68"/>
      <c r="E38" s="69"/>
      <c r="F38" s="107" t="s">
        <v>131</v>
      </c>
      <c r="G38" s="52"/>
      <c r="H38" s="151"/>
      <c r="I38" s="52"/>
      <c r="J38" s="164"/>
      <c r="K38" s="165" t="s">
        <v>157</v>
      </c>
      <c r="CC38" s="40" t="str">
        <f t="shared" ref="CC38:CC49" si="172">F38</f>
        <v xml:space="preserve">Unit </v>
      </c>
      <c r="CD38" s="40" t="e">
        <f t="shared" ref="CD38:CD49" si="173">K38+T38+AC38+AL38+AU38+BD38+BM38+BV38</f>
        <v>#VALUE!</v>
      </c>
      <c r="CE38" s="40" t="e">
        <f>M38+O38+Q38+#REF!+#REF!+V38+X38+Z38+#REF!+#REF!+AE38+AG38+AI38+#REF!+#REF!+AN38+AP38+AR38+#REF!+#REF!+AW38+AY38+BA38+#REF!+#REF!+BF38+BH38+BJ38+#REF!+#REF!+BO38+BQ38+BS38+#REF!+#REF!+BX38+BZ38+CB38+#REF!+#REF!</f>
        <v>#REF!</v>
      </c>
      <c r="CF38" s="15" t="e">
        <f t="shared" si="35"/>
        <v>#VALUE!</v>
      </c>
    </row>
    <row r="39" spans="2:84" x14ac:dyDescent="0.25">
      <c r="B39" s="166"/>
      <c r="C39" s="111"/>
      <c r="D39" s="68"/>
      <c r="E39" s="167"/>
      <c r="F39" s="146" t="s">
        <v>132</v>
      </c>
      <c r="G39" s="52"/>
      <c r="H39" s="151"/>
      <c r="I39" s="52"/>
      <c r="J39" s="164"/>
      <c r="K39" s="165" t="s">
        <v>132</v>
      </c>
      <c r="L39" s="37"/>
      <c r="M39" s="38"/>
      <c r="N39" s="37"/>
      <c r="O39" s="38"/>
      <c r="P39" s="37"/>
      <c r="Q39" s="38"/>
      <c r="R39" s="39"/>
      <c r="S39" s="35"/>
      <c r="T39" s="36"/>
      <c r="U39" s="37"/>
      <c r="V39" s="38"/>
      <c r="W39" s="37"/>
      <c r="X39" s="38"/>
      <c r="Y39" s="37"/>
      <c r="Z39" s="38"/>
      <c r="AA39" s="39"/>
      <c r="AB39" s="35"/>
      <c r="AC39" s="36"/>
      <c r="AD39" s="37"/>
      <c r="AE39" s="38"/>
      <c r="AF39" s="37"/>
      <c r="AG39" s="38"/>
      <c r="AH39" s="37"/>
      <c r="AI39" s="38"/>
      <c r="AJ39" s="39"/>
      <c r="AK39" s="35"/>
      <c r="AL39" s="36"/>
      <c r="AM39" s="37"/>
      <c r="AN39" s="38"/>
      <c r="AO39" s="37"/>
      <c r="AP39" s="38"/>
      <c r="AQ39" s="37"/>
      <c r="AR39" s="38"/>
      <c r="AS39" s="39"/>
      <c r="AT39" s="35"/>
      <c r="AU39" s="36"/>
      <c r="AV39" s="37"/>
      <c r="AW39" s="38"/>
      <c r="AX39" s="37"/>
      <c r="AY39" s="38"/>
      <c r="AZ39" s="37"/>
      <c r="BA39" s="38"/>
      <c r="BB39" s="39"/>
      <c r="BC39" s="35"/>
      <c r="BD39" s="36"/>
      <c r="BE39" s="37"/>
      <c r="BF39" s="38"/>
      <c r="BG39" s="37"/>
      <c r="BH39" s="38"/>
      <c r="BI39" s="37"/>
      <c r="BJ39" s="38"/>
      <c r="BK39" s="39"/>
      <c r="BL39" s="35"/>
      <c r="BM39" s="36"/>
      <c r="BN39" s="37"/>
      <c r="BO39" s="38"/>
      <c r="BP39" s="37"/>
      <c r="BQ39" s="38"/>
      <c r="BR39" s="37"/>
      <c r="BS39" s="38"/>
      <c r="BT39" s="39"/>
      <c r="BU39" s="35"/>
      <c r="BV39" s="36"/>
      <c r="BW39" s="37"/>
      <c r="BX39" s="38"/>
      <c r="BY39" s="37"/>
      <c r="BZ39" s="38"/>
      <c r="CA39" s="37"/>
      <c r="CB39" s="38"/>
      <c r="CC39" s="40" t="str">
        <f t="shared" si="172"/>
        <v>Price</v>
      </c>
      <c r="CD39" s="40" t="e">
        <f t="shared" si="173"/>
        <v>#VALUE!</v>
      </c>
      <c r="CE39" s="40" t="e">
        <f>M39+O39+Q39+#REF!+#REF!+V39+X39+Z39+#REF!+#REF!+AE39+AG39+AI39+#REF!+#REF!+AN39+AP39+AR39+#REF!+#REF!+AW39+AY39+BA39+#REF!+#REF!+BF39+BH39+BJ39+#REF!+#REF!+BO39+BQ39+BS39+#REF!+#REF!+BX39+BZ39+CB39+#REF!+#REF!</f>
        <v>#REF!</v>
      </c>
      <c r="CF39" s="15" t="e">
        <f t="shared" si="35"/>
        <v>#VALUE!</v>
      </c>
    </row>
    <row r="40" spans="2:84" x14ac:dyDescent="0.25">
      <c r="B40" s="168" t="s">
        <v>183</v>
      </c>
      <c r="C40" s="111"/>
      <c r="D40" s="68"/>
      <c r="E40" s="167"/>
      <c r="F40" s="169">
        <v>147.0723668</v>
      </c>
      <c r="G40" s="52"/>
      <c r="H40" s="151"/>
      <c r="I40" s="52"/>
      <c r="J40" s="164"/>
      <c r="K40" s="170">
        <v>-108.3695731319762</v>
      </c>
      <c r="L40" s="37"/>
      <c r="M40" s="38"/>
      <c r="N40" s="37"/>
      <c r="O40" s="38"/>
      <c r="P40" s="37"/>
      <c r="Q40" s="38"/>
      <c r="R40" s="39"/>
      <c r="S40" s="35"/>
      <c r="T40" s="36"/>
      <c r="U40" s="37"/>
      <c r="V40" s="38"/>
      <c r="W40" s="37"/>
      <c r="X40" s="38"/>
      <c r="Y40" s="37"/>
      <c r="Z40" s="38"/>
      <c r="AA40" s="39"/>
      <c r="AB40" s="35"/>
      <c r="AC40" s="36"/>
      <c r="AD40" s="37"/>
      <c r="AE40" s="38"/>
      <c r="AF40" s="37"/>
      <c r="AG40" s="38"/>
      <c r="AH40" s="37"/>
      <c r="AI40" s="38"/>
      <c r="AJ40" s="39"/>
      <c r="AK40" s="35"/>
      <c r="AL40" s="36"/>
      <c r="AM40" s="37"/>
      <c r="AN40" s="38"/>
      <c r="AO40" s="37"/>
      <c r="AP40" s="38"/>
      <c r="AQ40" s="37"/>
      <c r="AR40" s="38"/>
      <c r="AS40" s="39"/>
      <c r="AT40" s="35"/>
      <c r="AU40" s="36"/>
      <c r="AV40" s="37"/>
      <c r="AW40" s="38"/>
      <c r="AX40" s="37"/>
      <c r="AY40" s="38"/>
      <c r="AZ40" s="37"/>
      <c r="BA40" s="38"/>
      <c r="BB40" s="39"/>
      <c r="BC40" s="35"/>
      <c r="BD40" s="36"/>
      <c r="BE40" s="37"/>
      <c r="BF40" s="38"/>
      <c r="BG40" s="37"/>
      <c r="BH40" s="38"/>
      <c r="BI40" s="37"/>
      <c r="BJ40" s="38"/>
      <c r="BK40" s="39"/>
      <c r="BL40" s="35"/>
      <c r="BM40" s="36"/>
      <c r="BN40" s="37"/>
      <c r="BO40" s="38"/>
      <c r="BP40" s="37"/>
      <c r="BQ40" s="38"/>
      <c r="BR40" s="37"/>
      <c r="BS40" s="38"/>
      <c r="BT40" s="39"/>
      <c r="BU40" s="35"/>
      <c r="BV40" s="36"/>
      <c r="BW40" s="37"/>
      <c r="BX40" s="38"/>
      <c r="BY40" s="37"/>
      <c r="BZ40" s="38"/>
      <c r="CA40" s="37"/>
      <c r="CB40" s="38"/>
      <c r="CC40" s="40">
        <f t="shared" si="172"/>
        <v>147.0723668</v>
      </c>
      <c r="CD40" s="40">
        <f t="shared" si="173"/>
        <v>-108.3695731319762</v>
      </c>
      <c r="CE40" s="40" t="e">
        <f>M40+O40+Q40+#REF!+#REF!+V40+X40+Z40+#REF!+#REF!+AE40+AG40+AI40+#REF!+#REF!+AN40+AP40+AR40+#REF!+#REF!+AW40+AY40+BA40+#REF!+#REF!+BF40+BH40+BJ40+#REF!+#REF!+BO40+BQ40+BS40+#REF!+#REF!+BX40+BZ40+CB40+#REF!+#REF!</f>
        <v>#REF!</v>
      </c>
      <c r="CF40" s="15" t="e">
        <f t="shared" si="35"/>
        <v>#REF!</v>
      </c>
    </row>
    <row r="41" spans="2:84" x14ac:dyDescent="0.25">
      <c r="B41" s="168" t="s">
        <v>184</v>
      </c>
      <c r="C41" s="111"/>
      <c r="D41" s="68"/>
      <c r="E41" s="167"/>
      <c r="F41" s="169">
        <v>0.68398715399999999</v>
      </c>
      <c r="G41" s="52"/>
      <c r="H41" s="151"/>
      <c r="I41" s="52"/>
      <c r="J41" s="164"/>
      <c r="K41" s="170">
        <v>-0.38793301271641789</v>
      </c>
      <c r="L41" s="37"/>
      <c r="M41" s="38"/>
      <c r="N41" s="37"/>
      <c r="O41" s="38"/>
      <c r="P41" s="37"/>
      <c r="Q41" s="38"/>
      <c r="R41" s="39"/>
      <c r="S41" s="35"/>
      <c r="T41" s="36"/>
      <c r="U41" s="37"/>
      <c r="V41" s="38"/>
      <c r="W41" s="37"/>
      <c r="X41" s="38"/>
      <c r="Y41" s="37"/>
      <c r="Z41" s="38"/>
      <c r="AA41" s="39"/>
      <c r="AB41" s="35"/>
      <c r="AC41" s="36"/>
      <c r="AD41" s="37"/>
      <c r="AE41" s="38"/>
      <c r="AF41" s="37"/>
      <c r="AG41" s="38"/>
      <c r="AH41" s="37"/>
      <c r="AI41" s="38"/>
      <c r="AJ41" s="39"/>
      <c r="AK41" s="35"/>
      <c r="AL41" s="36"/>
      <c r="AM41" s="37"/>
      <c r="AN41" s="38"/>
      <c r="AO41" s="37"/>
      <c r="AP41" s="38"/>
      <c r="AQ41" s="37"/>
      <c r="AR41" s="38"/>
      <c r="AS41" s="39"/>
      <c r="AT41" s="35"/>
      <c r="AU41" s="36"/>
      <c r="AV41" s="37"/>
      <c r="AW41" s="38"/>
      <c r="AX41" s="37"/>
      <c r="AY41" s="38"/>
      <c r="AZ41" s="37"/>
      <c r="BA41" s="38"/>
      <c r="BB41" s="39"/>
      <c r="BC41" s="35"/>
      <c r="BD41" s="36"/>
      <c r="BE41" s="37"/>
      <c r="BF41" s="38"/>
      <c r="BG41" s="37"/>
      <c r="BH41" s="38"/>
      <c r="BI41" s="37"/>
      <c r="BJ41" s="38"/>
      <c r="BK41" s="39"/>
      <c r="BL41" s="35"/>
      <c r="BM41" s="36"/>
      <c r="BN41" s="37"/>
      <c r="BO41" s="38"/>
      <c r="BP41" s="37"/>
      <c r="BQ41" s="38"/>
      <c r="BR41" s="37"/>
      <c r="BS41" s="38"/>
      <c r="BT41" s="39"/>
      <c r="BU41" s="35"/>
      <c r="BV41" s="36"/>
      <c r="BW41" s="37"/>
      <c r="BX41" s="38"/>
      <c r="BY41" s="37"/>
      <c r="BZ41" s="38"/>
      <c r="CA41" s="37"/>
      <c r="CB41" s="38"/>
      <c r="CC41" s="40">
        <f t="shared" si="172"/>
        <v>0.68398715399999999</v>
      </c>
      <c r="CD41" s="40">
        <f t="shared" si="173"/>
        <v>-0.38793301271641789</v>
      </c>
      <c r="CE41" s="40" t="e">
        <f>M41+O41+Q41+#REF!+#REF!+V41+X41+Z41+#REF!+#REF!+AE41+AG41+AI41+#REF!+#REF!+AN41+AP41+AR41+#REF!+#REF!+AW41+AY41+BA41+#REF!+#REF!+BF41+BH41+BJ41+#REF!+#REF!+BO41+BQ41+BS41+#REF!+#REF!+BX41+BZ41+CB41+#REF!+#REF!</f>
        <v>#REF!</v>
      </c>
      <c r="CF41" s="15" t="e">
        <f t="shared" ref="CF41:CF49" si="174">IF(AND(CC41=CD41,CD41=CE41,CC41=CE41),0,1)</f>
        <v>#REF!</v>
      </c>
    </row>
    <row r="42" spans="2:84" x14ac:dyDescent="0.25">
      <c r="B42" s="168" t="s">
        <v>185</v>
      </c>
      <c r="C42" s="111"/>
      <c r="D42" s="68"/>
      <c r="E42" s="167"/>
      <c r="F42" s="169">
        <v>1.9442985659999998</v>
      </c>
      <c r="G42" s="52"/>
      <c r="H42" s="151"/>
      <c r="I42" s="52"/>
      <c r="J42" s="164"/>
      <c r="K42" s="170">
        <v>-0.31414430979039298</v>
      </c>
      <c r="L42" s="37"/>
      <c r="M42" s="38"/>
      <c r="N42" s="37"/>
      <c r="O42" s="38"/>
      <c r="P42" s="37"/>
      <c r="Q42" s="38"/>
      <c r="R42" s="39"/>
      <c r="S42" s="35"/>
      <c r="T42" s="36"/>
      <c r="U42" s="37"/>
      <c r="V42" s="38"/>
      <c r="W42" s="37"/>
      <c r="X42" s="38"/>
      <c r="Y42" s="37"/>
      <c r="Z42" s="38"/>
      <c r="AA42" s="39"/>
      <c r="AB42" s="35"/>
      <c r="AC42" s="36"/>
      <c r="AD42" s="37"/>
      <c r="AE42" s="38"/>
      <c r="AF42" s="37"/>
      <c r="AG42" s="38"/>
      <c r="AH42" s="37"/>
      <c r="AI42" s="38"/>
      <c r="AJ42" s="39"/>
      <c r="AK42" s="35"/>
      <c r="AL42" s="36"/>
      <c r="AM42" s="37"/>
      <c r="AN42" s="38"/>
      <c r="AO42" s="37"/>
      <c r="AP42" s="38"/>
      <c r="AQ42" s="37"/>
      <c r="AR42" s="38"/>
      <c r="AS42" s="39"/>
      <c r="AT42" s="35"/>
      <c r="AU42" s="36"/>
      <c r="AV42" s="37"/>
      <c r="AW42" s="38"/>
      <c r="AX42" s="37"/>
      <c r="AY42" s="38"/>
      <c r="AZ42" s="37"/>
      <c r="BA42" s="38"/>
      <c r="BB42" s="39"/>
      <c r="BC42" s="35"/>
      <c r="BD42" s="36"/>
      <c r="BE42" s="37"/>
      <c r="BF42" s="38"/>
      <c r="BG42" s="37"/>
      <c r="BH42" s="38"/>
      <c r="BI42" s="37"/>
      <c r="BJ42" s="38"/>
      <c r="BK42" s="39"/>
      <c r="BL42" s="35"/>
      <c r="BM42" s="36"/>
      <c r="BN42" s="37"/>
      <c r="BO42" s="38"/>
      <c r="BP42" s="37"/>
      <c r="BQ42" s="38"/>
      <c r="BR42" s="37"/>
      <c r="BS42" s="38"/>
      <c r="BT42" s="39"/>
      <c r="BU42" s="35"/>
      <c r="BV42" s="36"/>
      <c r="BW42" s="37"/>
      <c r="BX42" s="38"/>
      <c r="BY42" s="37"/>
      <c r="BZ42" s="38"/>
      <c r="CA42" s="37"/>
      <c r="CB42" s="38"/>
      <c r="CC42" s="40">
        <f t="shared" si="172"/>
        <v>1.9442985659999998</v>
      </c>
      <c r="CD42" s="40">
        <f t="shared" si="173"/>
        <v>-0.31414430979039298</v>
      </c>
      <c r="CE42" s="40" t="e">
        <f>M42+O42+Q42+#REF!+#REF!+V42+X42+Z42+#REF!+#REF!+AE42+AG42+AI42+#REF!+#REF!+AN42+AP42+AR42+#REF!+#REF!+AW42+AY42+BA42+#REF!+#REF!+BF42+BH42+BJ42+#REF!+#REF!+BO42+BQ42+BS42+#REF!+#REF!+BX42+BZ42+CB42+#REF!+#REF!</f>
        <v>#REF!</v>
      </c>
      <c r="CF42" s="15" t="e">
        <f t="shared" si="174"/>
        <v>#REF!</v>
      </c>
    </row>
    <row r="43" spans="2:84" x14ac:dyDescent="0.25">
      <c r="B43" s="171" t="s">
        <v>186</v>
      </c>
      <c r="C43" s="111"/>
      <c r="D43" s="68"/>
      <c r="E43" s="167"/>
      <c r="F43" s="169">
        <v>0.37674735999999998</v>
      </c>
      <c r="G43" s="52"/>
      <c r="H43" s="151"/>
      <c r="I43" s="52"/>
      <c r="J43" s="164"/>
      <c r="K43" s="170">
        <v>-0.13699903999999999</v>
      </c>
      <c r="L43" s="37"/>
      <c r="M43" s="38"/>
      <c r="N43" s="37"/>
      <c r="O43" s="38"/>
      <c r="P43" s="37"/>
      <c r="Q43" s="38"/>
      <c r="R43" s="39"/>
      <c r="S43" s="35"/>
      <c r="T43" s="36"/>
      <c r="U43" s="37"/>
      <c r="V43" s="38"/>
      <c r="W43" s="37"/>
      <c r="X43" s="38"/>
      <c r="Y43" s="37"/>
      <c r="Z43" s="38"/>
      <c r="AA43" s="39"/>
      <c r="AB43" s="35"/>
      <c r="AC43" s="36"/>
      <c r="AD43" s="37"/>
      <c r="AE43" s="38"/>
      <c r="AF43" s="37"/>
      <c r="AG43" s="38"/>
      <c r="AH43" s="37"/>
      <c r="AI43" s="38"/>
      <c r="AJ43" s="39"/>
      <c r="AK43" s="35"/>
      <c r="AL43" s="36"/>
      <c r="AM43" s="37"/>
      <c r="AN43" s="38"/>
      <c r="AO43" s="37"/>
      <c r="AP43" s="38"/>
      <c r="AQ43" s="37"/>
      <c r="AR43" s="38"/>
      <c r="AS43" s="39"/>
      <c r="AT43" s="35"/>
      <c r="AU43" s="36"/>
      <c r="AV43" s="37"/>
      <c r="AW43" s="38"/>
      <c r="AX43" s="37"/>
      <c r="AY43" s="38"/>
      <c r="AZ43" s="37"/>
      <c r="BA43" s="38"/>
      <c r="BB43" s="39"/>
      <c r="BC43" s="35"/>
      <c r="BD43" s="36"/>
      <c r="BE43" s="37"/>
      <c r="BF43" s="38"/>
      <c r="BG43" s="37"/>
      <c r="BH43" s="38"/>
      <c r="BI43" s="37"/>
      <c r="BJ43" s="38"/>
      <c r="BK43" s="39"/>
      <c r="BL43" s="35"/>
      <c r="BM43" s="36"/>
      <c r="BN43" s="37"/>
      <c r="BO43" s="38"/>
      <c r="BP43" s="37"/>
      <c r="BQ43" s="38"/>
      <c r="BR43" s="37"/>
      <c r="BS43" s="38"/>
      <c r="BT43" s="39"/>
      <c r="BU43" s="35"/>
      <c r="BV43" s="36"/>
      <c r="BW43" s="37"/>
      <c r="BX43" s="38"/>
      <c r="BY43" s="37"/>
      <c r="BZ43" s="38"/>
      <c r="CA43" s="37"/>
      <c r="CB43" s="38"/>
      <c r="CC43" s="40">
        <f t="shared" si="172"/>
        <v>0.37674735999999998</v>
      </c>
      <c r="CD43" s="40">
        <f t="shared" si="173"/>
        <v>-0.13699903999999999</v>
      </c>
      <c r="CE43" s="40" t="e">
        <f>M43+O43+Q43+#REF!+#REF!+V43+X43+Z43+#REF!+#REF!+AE43+AG43+AI43+#REF!+#REF!+AN43+AP43+AR43+#REF!+#REF!+AW43+AY43+BA43+#REF!+#REF!+BF43+BH43+BJ43+#REF!+#REF!+BO43+BQ43+BS43+#REF!+#REF!+BX43+BZ43+CB43+#REF!+#REF!</f>
        <v>#REF!</v>
      </c>
      <c r="CF43" s="15" t="e">
        <f t="shared" si="174"/>
        <v>#REF!</v>
      </c>
    </row>
    <row r="44" spans="2:84" x14ac:dyDescent="0.25">
      <c r="B44" s="171" t="s">
        <v>187</v>
      </c>
      <c r="C44" s="111"/>
      <c r="D44" s="68"/>
      <c r="E44" s="167"/>
      <c r="F44" s="169">
        <v>0.37674735999999998</v>
      </c>
      <c r="G44" s="52"/>
      <c r="H44" s="151"/>
      <c r="I44" s="52"/>
      <c r="J44" s="164"/>
      <c r="K44" s="170">
        <v>-0.17124880000000001</v>
      </c>
      <c r="L44" s="37"/>
      <c r="M44" s="38"/>
      <c r="N44" s="37"/>
      <c r="O44" s="38"/>
      <c r="P44" s="37"/>
      <c r="Q44" s="38"/>
      <c r="R44" s="39"/>
      <c r="S44" s="35"/>
      <c r="T44" s="36"/>
      <c r="U44" s="37"/>
      <c r="V44" s="38"/>
      <c r="W44" s="37"/>
      <c r="X44" s="38"/>
      <c r="Y44" s="37"/>
      <c r="Z44" s="38"/>
      <c r="AA44" s="39"/>
      <c r="AB44" s="35"/>
      <c r="AC44" s="36"/>
      <c r="AD44" s="37"/>
      <c r="AE44" s="38"/>
      <c r="AF44" s="37"/>
      <c r="AG44" s="38"/>
      <c r="AH44" s="37"/>
      <c r="AI44" s="38"/>
      <c r="AJ44" s="39"/>
      <c r="AK44" s="35"/>
      <c r="AL44" s="36"/>
      <c r="AM44" s="37"/>
      <c r="AN44" s="38"/>
      <c r="AO44" s="37"/>
      <c r="AP44" s="38"/>
      <c r="AQ44" s="37"/>
      <c r="AR44" s="38"/>
      <c r="AS44" s="39"/>
      <c r="AT44" s="35"/>
      <c r="AU44" s="36"/>
      <c r="AV44" s="37"/>
      <c r="AW44" s="38"/>
      <c r="AX44" s="37"/>
      <c r="AY44" s="38"/>
      <c r="AZ44" s="37"/>
      <c r="BA44" s="38"/>
      <c r="BB44" s="39"/>
      <c r="BC44" s="35"/>
      <c r="BD44" s="36"/>
      <c r="BE44" s="37"/>
      <c r="BF44" s="38"/>
      <c r="BG44" s="37"/>
      <c r="BH44" s="38"/>
      <c r="BI44" s="37"/>
      <c r="BJ44" s="38"/>
      <c r="BK44" s="39"/>
      <c r="BL44" s="35"/>
      <c r="BM44" s="36"/>
      <c r="BN44" s="37"/>
      <c r="BO44" s="38"/>
      <c r="BP44" s="37"/>
      <c r="BQ44" s="38"/>
      <c r="BR44" s="37"/>
      <c r="BS44" s="38"/>
      <c r="BT44" s="39"/>
      <c r="BU44" s="35"/>
      <c r="BV44" s="36"/>
      <c r="BW44" s="37"/>
      <c r="BX44" s="38"/>
      <c r="BY44" s="37"/>
      <c r="BZ44" s="38"/>
      <c r="CA44" s="37"/>
      <c r="CB44" s="38"/>
      <c r="CC44" s="40">
        <f t="shared" si="172"/>
        <v>0.37674735999999998</v>
      </c>
      <c r="CD44" s="40">
        <f t="shared" si="173"/>
        <v>-0.17124880000000001</v>
      </c>
      <c r="CE44" s="40" t="e">
        <f>M44+O44+Q44+#REF!+#REF!+V44+X44+Z44+#REF!+#REF!+AE44+AG44+AI44+#REF!+#REF!+AN44+AP44+AR44+#REF!+#REF!+AW44+AY44+BA44+#REF!+#REF!+BF44+BH44+BJ44+#REF!+#REF!+BO44+BQ44+BS44+#REF!+#REF!+BX44+BZ44+CB44+#REF!+#REF!</f>
        <v>#REF!</v>
      </c>
      <c r="CF44" s="15" t="e">
        <f t="shared" si="174"/>
        <v>#REF!</v>
      </c>
    </row>
    <row r="45" spans="2:84" x14ac:dyDescent="0.25">
      <c r="B45" s="172" t="s">
        <v>188</v>
      </c>
      <c r="C45" s="111"/>
      <c r="D45" s="68"/>
      <c r="E45" s="167"/>
      <c r="F45" s="169"/>
      <c r="G45" s="52"/>
      <c r="H45" s="151"/>
      <c r="I45" s="52"/>
      <c r="J45" s="164"/>
      <c r="K45" s="165"/>
      <c r="L45" s="37"/>
      <c r="M45" s="38"/>
      <c r="N45" s="37"/>
      <c r="O45" s="38"/>
      <c r="P45" s="37"/>
      <c r="Q45" s="38"/>
      <c r="R45" s="39"/>
      <c r="S45" s="35"/>
      <c r="T45" s="36"/>
      <c r="U45" s="37"/>
      <c r="V45" s="38"/>
      <c r="W45" s="37"/>
      <c r="X45" s="38"/>
      <c r="Y45" s="37"/>
      <c r="Z45" s="38"/>
      <c r="AA45" s="39"/>
      <c r="AB45" s="35"/>
      <c r="AC45" s="36"/>
      <c r="AD45" s="37"/>
      <c r="AE45" s="38"/>
      <c r="AF45" s="37"/>
      <c r="AG45" s="38"/>
      <c r="AH45" s="37"/>
      <c r="AI45" s="38"/>
      <c r="AJ45" s="39"/>
      <c r="AK45" s="35"/>
      <c r="AL45" s="36"/>
      <c r="AM45" s="37"/>
      <c r="AN45" s="38"/>
      <c r="AO45" s="37"/>
      <c r="AP45" s="38"/>
      <c r="AQ45" s="37"/>
      <c r="AR45" s="38"/>
      <c r="AS45" s="39"/>
      <c r="AT45" s="35"/>
      <c r="AU45" s="36"/>
      <c r="AV45" s="37"/>
      <c r="AW45" s="38"/>
      <c r="AX45" s="37"/>
      <c r="AY45" s="38"/>
      <c r="AZ45" s="37"/>
      <c r="BA45" s="38"/>
      <c r="BB45" s="39"/>
      <c r="BC45" s="35"/>
      <c r="BD45" s="36"/>
      <c r="BE45" s="37"/>
      <c r="BF45" s="38"/>
      <c r="BG45" s="37"/>
      <c r="BH45" s="38"/>
      <c r="BI45" s="37"/>
      <c r="BJ45" s="38"/>
      <c r="BK45" s="39"/>
      <c r="BL45" s="35"/>
      <c r="BM45" s="36"/>
      <c r="BN45" s="37"/>
      <c r="BO45" s="38"/>
      <c r="BP45" s="37"/>
      <c r="BQ45" s="38"/>
      <c r="BR45" s="37"/>
      <c r="BS45" s="38"/>
      <c r="BT45" s="39"/>
      <c r="BU45" s="35"/>
      <c r="BV45" s="36"/>
      <c r="BW45" s="37"/>
      <c r="BX45" s="38"/>
      <c r="BY45" s="37"/>
      <c r="BZ45" s="38"/>
      <c r="CA45" s="37"/>
      <c r="CB45" s="38"/>
      <c r="CC45" s="40">
        <f t="shared" si="172"/>
        <v>0</v>
      </c>
      <c r="CD45" s="40">
        <f t="shared" si="173"/>
        <v>0</v>
      </c>
      <c r="CE45" s="40" t="e">
        <f>M45+O45+Q45+#REF!+#REF!+V45+X45+Z45+#REF!+#REF!+AE45+AG45+AI45+#REF!+#REF!+AN45+AP45+AR45+#REF!+#REF!+AW45+AY45+BA45+#REF!+#REF!+BF45+BH45+BJ45+#REF!+#REF!+BO45+BQ45+BS45+#REF!+#REF!+BX45+BZ45+CB45+#REF!+#REF!</f>
        <v>#REF!</v>
      </c>
      <c r="CF45" s="15" t="e">
        <f t="shared" si="174"/>
        <v>#REF!</v>
      </c>
    </row>
    <row r="46" spans="2:84" x14ac:dyDescent="0.25">
      <c r="B46" s="171" t="s">
        <v>189</v>
      </c>
      <c r="C46" s="111"/>
      <c r="D46" s="68"/>
      <c r="E46" s="167"/>
      <c r="F46" s="169">
        <v>0.24658749999999999</v>
      </c>
      <c r="G46" s="52"/>
      <c r="H46" s="151"/>
      <c r="I46" s="52"/>
      <c r="J46" s="164"/>
      <c r="K46" s="170">
        <v>-0.16439166666666666</v>
      </c>
      <c r="L46" s="37"/>
      <c r="M46" s="38"/>
      <c r="N46" s="37"/>
      <c r="O46" s="38"/>
      <c r="P46" s="37"/>
      <c r="Q46" s="38"/>
      <c r="R46" s="39"/>
      <c r="S46" s="35"/>
      <c r="T46" s="36"/>
      <c r="U46" s="37"/>
      <c r="V46" s="38"/>
      <c r="W46" s="37"/>
      <c r="X46" s="38"/>
      <c r="Y46" s="37"/>
      <c r="Z46" s="38"/>
      <c r="AA46" s="39"/>
      <c r="AB46" s="35"/>
      <c r="AC46" s="36"/>
      <c r="AD46" s="37"/>
      <c r="AE46" s="38"/>
      <c r="AF46" s="37"/>
      <c r="AG46" s="38"/>
      <c r="AH46" s="37"/>
      <c r="AI46" s="38"/>
      <c r="AJ46" s="39"/>
      <c r="AK46" s="35"/>
      <c r="AL46" s="36"/>
      <c r="AM46" s="37"/>
      <c r="AN46" s="38"/>
      <c r="AO46" s="37"/>
      <c r="AP46" s="38"/>
      <c r="AQ46" s="37"/>
      <c r="AR46" s="38"/>
      <c r="AS46" s="39"/>
      <c r="AT46" s="35"/>
      <c r="AU46" s="36"/>
      <c r="AV46" s="37"/>
      <c r="AW46" s="38"/>
      <c r="AX46" s="37"/>
      <c r="AY46" s="38"/>
      <c r="AZ46" s="37"/>
      <c r="BA46" s="38"/>
      <c r="BB46" s="39"/>
      <c r="BC46" s="35"/>
      <c r="BD46" s="36"/>
      <c r="BE46" s="37"/>
      <c r="BF46" s="38"/>
      <c r="BG46" s="37"/>
      <c r="BH46" s="38"/>
      <c r="BI46" s="37"/>
      <c r="BJ46" s="38"/>
      <c r="BK46" s="39"/>
      <c r="BL46" s="35"/>
      <c r="BM46" s="36"/>
      <c r="BN46" s="37"/>
      <c r="BO46" s="38"/>
      <c r="BP46" s="37"/>
      <c r="BQ46" s="38"/>
      <c r="BR46" s="37"/>
      <c r="BS46" s="38"/>
      <c r="BT46" s="39"/>
      <c r="BU46" s="35"/>
      <c r="BV46" s="36"/>
      <c r="BW46" s="37"/>
      <c r="BX46" s="38"/>
      <c r="BY46" s="37"/>
      <c r="BZ46" s="38"/>
      <c r="CA46" s="37"/>
      <c r="CB46" s="38"/>
      <c r="CC46" s="40">
        <f t="shared" si="172"/>
        <v>0.24658749999999999</v>
      </c>
      <c r="CD46" s="40">
        <f t="shared" si="173"/>
        <v>-0.16439166666666666</v>
      </c>
      <c r="CE46" s="40" t="e">
        <f>M46+O46+Q46+#REF!+#REF!+V46+X46+Z46+#REF!+#REF!+AE46+AG46+AI46+#REF!+#REF!+AN46+AP46+AR46+#REF!+#REF!+AW46+AY46+BA46+#REF!+#REF!+BF46+BH46+BJ46+#REF!+#REF!+BO46+BQ46+BS46+#REF!+#REF!+BX46+BZ46+CB46+#REF!+#REF!</f>
        <v>#REF!</v>
      </c>
      <c r="CF46" s="15" t="e">
        <f t="shared" si="174"/>
        <v>#REF!</v>
      </c>
    </row>
    <row r="47" spans="2:84" x14ac:dyDescent="0.25">
      <c r="B47" s="171" t="s">
        <v>190</v>
      </c>
      <c r="C47" s="111"/>
      <c r="D47" s="68"/>
      <c r="E47" s="167"/>
      <c r="F47" s="169">
        <v>1.3714462999999999</v>
      </c>
      <c r="G47" s="52"/>
      <c r="H47" s="151"/>
      <c r="I47" s="52"/>
      <c r="J47" s="164"/>
      <c r="K47" s="170">
        <v>-1.4481109999999999</v>
      </c>
      <c r="L47" s="37"/>
      <c r="M47" s="38"/>
      <c r="N47" s="37"/>
      <c r="O47" s="38"/>
      <c r="P47" s="37"/>
      <c r="Q47" s="38"/>
      <c r="R47" s="39"/>
      <c r="S47" s="35"/>
      <c r="T47" s="36"/>
      <c r="U47" s="37"/>
      <c r="V47" s="38"/>
      <c r="W47" s="37"/>
      <c r="X47" s="38"/>
      <c r="Y47" s="37"/>
      <c r="Z47" s="38"/>
      <c r="AA47" s="39"/>
      <c r="AB47" s="35"/>
      <c r="AC47" s="36"/>
      <c r="AD47" s="37"/>
      <c r="AE47" s="38"/>
      <c r="AF47" s="37"/>
      <c r="AG47" s="38"/>
      <c r="AH47" s="37"/>
      <c r="AI47" s="38"/>
      <c r="AJ47" s="39"/>
      <c r="AK47" s="35"/>
      <c r="AL47" s="36"/>
      <c r="AM47" s="37"/>
      <c r="AN47" s="38"/>
      <c r="AO47" s="37"/>
      <c r="AP47" s="38"/>
      <c r="AQ47" s="37"/>
      <c r="AR47" s="38"/>
      <c r="AS47" s="39"/>
      <c r="AT47" s="35"/>
      <c r="AU47" s="36"/>
      <c r="AV47" s="37"/>
      <c r="AW47" s="38"/>
      <c r="AX47" s="37"/>
      <c r="AY47" s="38"/>
      <c r="AZ47" s="37"/>
      <c r="BA47" s="38"/>
      <c r="BB47" s="39"/>
      <c r="BC47" s="35"/>
      <c r="BD47" s="36"/>
      <c r="BE47" s="37"/>
      <c r="BF47" s="38"/>
      <c r="BG47" s="37"/>
      <c r="BH47" s="38"/>
      <c r="BI47" s="37"/>
      <c r="BJ47" s="38"/>
      <c r="BK47" s="39"/>
      <c r="BL47" s="35"/>
      <c r="BM47" s="36"/>
      <c r="BN47" s="37"/>
      <c r="BO47" s="38"/>
      <c r="BP47" s="37"/>
      <c r="BQ47" s="38"/>
      <c r="BR47" s="37"/>
      <c r="BS47" s="38"/>
      <c r="BT47" s="39"/>
      <c r="BU47" s="35"/>
      <c r="BV47" s="36"/>
      <c r="BW47" s="37"/>
      <c r="BX47" s="38"/>
      <c r="BY47" s="37"/>
      <c r="BZ47" s="38"/>
      <c r="CA47" s="37"/>
      <c r="CB47" s="38"/>
      <c r="CC47" s="40">
        <f t="shared" si="172"/>
        <v>1.3714462999999999</v>
      </c>
      <c r="CD47" s="40">
        <f t="shared" si="173"/>
        <v>-1.4481109999999999</v>
      </c>
      <c r="CE47" s="40" t="e">
        <f>M47+O47+Q47+#REF!+#REF!+V47+X47+Z47+#REF!+#REF!+AE47+AG47+AI47+#REF!+#REF!+AN47+AP47+AR47+#REF!+#REF!+AW47+AY47+BA47+#REF!+#REF!+BF47+BH47+BJ47+#REF!+#REF!+BO47+BQ47+BS47+#REF!+#REF!+BX47+BZ47+CB47+#REF!+#REF!</f>
        <v>#REF!</v>
      </c>
      <c r="CF47" s="15" t="e">
        <f t="shared" si="174"/>
        <v>#REF!</v>
      </c>
    </row>
    <row r="48" spans="2:84" x14ac:dyDescent="0.25">
      <c r="B48" s="171" t="s">
        <v>191</v>
      </c>
      <c r="C48" s="111"/>
      <c r="D48" s="68"/>
      <c r="E48" s="167"/>
      <c r="F48" s="169">
        <v>1.99079425</v>
      </c>
      <c r="G48" s="52"/>
      <c r="H48" s="151"/>
      <c r="I48" s="52"/>
      <c r="J48" s="164"/>
      <c r="K48" s="170">
        <v>-1.5206066633165829</v>
      </c>
      <c r="L48" s="37"/>
      <c r="M48" s="38"/>
      <c r="N48" s="37"/>
      <c r="O48" s="38"/>
      <c r="P48" s="37"/>
      <c r="Q48" s="38"/>
      <c r="R48" s="39"/>
      <c r="S48" s="35"/>
      <c r="T48" s="36"/>
      <c r="U48" s="37"/>
      <c r="V48" s="38"/>
      <c r="W48" s="37"/>
      <c r="X48" s="38"/>
      <c r="Y48" s="37"/>
      <c r="Z48" s="38"/>
      <c r="AA48" s="39"/>
      <c r="AB48" s="35"/>
      <c r="AC48" s="36"/>
      <c r="AD48" s="37"/>
      <c r="AE48" s="38"/>
      <c r="AF48" s="37"/>
      <c r="AG48" s="38"/>
      <c r="AH48" s="37"/>
      <c r="AI48" s="38"/>
      <c r="AJ48" s="39"/>
      <c r="AK48" s="35"/>
      <c r="AL48" s="36"/>
      <c r="AM48" s="37"/>
      <c r="AN48" s="38"/>
      <c r="AO48" s="37"/>
      <c r="AP48" s="38"/>
      <c r="AQ48" s="37"/>
      <c r="AR48" s="38"/>
      <c r="AS48" s="39"/>
      <c r="AT48" s="35"/>
      <c r="AU48" s="36"/>
      <c r="AV48" s="37"/>
      <c r="AW48" s="38"/>
      <c r="AX48" s="37"/>
      <c r="AY48" s="38"/>
      <c r="AZ48" s="37"/>
      <c r="BA48" s="38"/>
      <c r="BB48" s="39"/>
      <c r="BC48" s="35"/>
      <c r="BD48" s="36"/>
      <c r="BE48" s="37"/>
      <c r="BF48" s="38"/>
      <c r="BG48" s="37"/>
      <c r="BH48" s="38"/>
      <c r="BI48" s="37"/>
      <c r="BJ48" s="38"/>
      <c r="BK48" s="39"/>
      <c r="BL48" s="35"/>
      <c r="BM48" s="36"/>
      <c r="BN48" s="37"/>
      <c r="BO48" s="38"/>
      <c r="BP48" s="37"/>
      <c r="BQ48" s="38"/>
      <c r="BR48" s="37"/>
      <c r="BS48" s="38"/>
      <c r="BT48" s="39"/>
      <c r="BU48" s="35"/>
      <c r="BV48" s="36"/>
      <c r="BW48" s="37"/>
      <c r="BX48" s="38"/>
      <c r="BY48" s="37"/>
      <c r="BZ48" s="38"/>
      <c r="CA48" s="37"/>
      <c r="CB48" s="38"/>
      <c r="CC48" s="40">
        <f t="shared" si="172"/>
        <v>1.99079425</v>
      </c>
      <c r="CD48" s="40">
        <f t="shared" si="173"/>
        <v>-1.5206066633165829</v>
      </c>
      <c r="CE48" s="40" t="e">
        <f>M48+O48+Q48+#REF!+#REF!+V48+X48+Z48+#REF!+#REF!+AE48+AG48+AI48+#REF!+#REF!+AN48+AP48+AR48+#REF!+#REF!+AW48+AY48+BA48+#REF!+#REF!+BF48+BH48+BJ48+#REF!+#REF!+BO48+BQ48+BS48+#REF!+#REF!+BX48+BZ48+CB48+#REF!+#REF!</f>
        <v>#REF!</v>
      </c>
      <c r="CF48" s="15" t="e">
        <f t="shared" si="174"/>
        <v>#REF!</v>
      </c>
    </row>
    <row r="49" spans="2:84" x14ac:dyDescent="0.25">
      <c r="B49" s="171" t="s">
        <v>192</v>
      </c>
      <c r="C49" s="111"/>
      <c r="D49" s="68"/>
      <c r="E49" s="167"/>
      <c r="F49" s="169">
        <v>0.37674735999999998</v>
      </c>
      <c r="G49" s="52"/>
      <c r="H49" s="151"/>
      <c r="I49" s="52"/>
      <c r="J49" s="164"/>
      <c r="K49" s="170">
        <v>-0.20549855999999997</v>
      </c>
      <c r="L49" s="37"/>
      <c r="M49" s="38"/>
      <c r="N49" s="37"/>
      <c r="O49" s="38"/>
      <c r="P49" s="37"/>
      <c r="Q49" s="38"/>
      <c r="R49" s="39"/>
      <c r="S49" s="35"/>
      <c r="T49" s="36"/>
      <c r="U49" s="37"/>
      <c r="V49" s="38"/>
      <c r="W49" s="37"/>
      <c r="X49" s="38"/>
      <c r="Y49" s="37"/>
      <c r="Z49" s="38"/>
      <c r="AA49" s="39"/>
      <c r="AB49" s="35"/>
      <c r="AC49" s="36"/>
      <c r="AD49" s="37"/>
      <c r="AE49" s="38"/>
      <c r="AF49" s="37"/>
      <c r="AG49" s="38"/>
      <c r="AH49" s="37"/>
      <c r="AI49" s="38"/>
      <c r="AJ49" s="39"/>
      <c r="AK49" s="35"/>
      <c r="AL49" s="36"/>
      <c r="AM49" s="37"/>
      <c r="AN49" s="38"/>
      <c r="AO49" s="37"/>
      <c r="AP49" s="38"/>
      <c r="AQ49" s="37"/>
      <c r="AR49" s="38"/>
      <c r="AS49" s="39"/>
      <c r="AT49" s="35"/>
      <c r="AU49" s="36"/>
      <c r="AV49" s="37"/>
      <c r="AW49" s="38"/>
      <c r="AX49" s="37"/>
      <c r="AY49" s="38"/>
      <c r="AZ49" s="37"/>
      <c r="BA49" s="38"/>
      <c r="BB49" s="39"/>
      <c r="BC49" s="35"/>
      <c r="BD49" s="36"/>
      <c r="BE49" s="37"/>
      <c r="BF49" s="38"/>
      <c r="BG49" s="37"/>
      <c r="BH49" s="38"/>
      <c r="BI49" s="37"/>
      <c r="BJ49" s="38"/>
      <c r="BK49" s="39"/>
      <c r="BL49" s="35"/>
      <c r="BM49" s="36"/>
      <c r="BN49" s="37"/>
      <c r="BO49" s="38"/>
      <c r="BP49" s="37"/>
      <c r="BQ49" s="38"/>
      <c r="BR49" s="37"/>
      <c r="BS49" s="38"/>
      <c r="BT49" s="39"/>
      <c r="BU49" s="35"/>
      <c r="BV49" s="36"/>
      <c r="BW49" s="37"/>
      <c r="BX49" s="38"/>
      <c r="BY49" s="37"/>
      <c r="BZ49" s="38"/>
      <c r="CA49" s="37"/>
      <c r="CB49" s="38"/>
      <c r="CC49" s="40">
        <f t="shared" si="172"/>
        <v>0.37674735999999998</v>
      </c>
      <c r="CD49" s="40">
        <f t="shared" si="173"/>
        <v>-0.20549855999999997</v>
      </c>
      <c r="CE49" s="40" t="e">
        <f>M49+O49+Q49+#REF!+#REF!+V49+X49+Z49+#REF!+#REF!+AE49+AG49+AI49+#REF!+#REF!+AN49+AP49+AR49+#REF!+#REF!+AW49+AY49+BA49+#REF!+#REF!+BF49+BH49+BJ49+#REF!+#REF!+BO49+BQ49+BS49+#REF!+#REF!+BX49+BZ49+CB49+#REF!+#REF!</f>
        <v>#REF!</v>
      </c>
      <c r="CF49" s="15" t="e">
        <f t="shared" si="174"/>
        <v>#REF!</v>
      </c>
    </row>
    <row r="50" spans="2:84" x14ac:dyDescent="0.25">
      <c r="B50" s="166"/>
      <c r="C50" s="111"/>
      <c r="D50" s="68"/>
      <c r="E50" s="167"/>
      <c r="F50" s="69"/>
      <c r="G50" s="164"/>
      <c r="H50" s="164"/>
      <c r="I50" s="164"/>
      <c r="J50" s="164"/>
      <c r="K50" s="173"/>
    </row>
    <row r="51" spans="2:84" ht="15.75" thickBot="1" x14ac:dyDescent="0.3">
      <c r="B51" s="174" t="s">
        <v>193</v>
      </c>
      <c r="C51" s="175"/>
      <c r="D51" s="176"/>
      <c r="E51" s="177"/>
      <c r="F51" s="176">
        <v>2.0400000000000001E-2</v>
      </c>
      <c r="G51" s="178"/>
      <c r="H51" s="179"/>
      <c r="I51" s="178"/>
      <c r="J51" s="180"/>
      <c r="K51" s="181">
        <v>1.0204</v>
      </c>
    </row>
    <row r="52" spans="2:84" ht="15.75" thickTop="1" x14ac:dyDescent="0.25"/>
  </sheetData>
  <mergeCells count="34">
    <mergeCell ref="BC1:BJ1"/>
    <mergeCell ref="BL1:BS1"/>
    <mergeCell ref="BU1:CB1"/>
    <mergeCell ref="C2:F2"/>
    <mergeCell ref="L2:M2"/>
    <mergeCell ref="N2:O2"/>
    <mergeCell ref="P2:Q2"/>
    <mergeCell ref="U2:V2"/>
    <mergeCell ref="C1:F1"/>
    <mergeCell ref="J1:Q1"/>
    <mergeCell ref="S1:Z1"/>
    <mergeCell ref="AB1:AI1"/>
    <mergeCell ref="AK1:AR1"/>
    <mergeCell ref="AT1:BA1"/>
    <mergeCell ref="AQ2:AR2"/>
    <mergeCell ref="W2:X2"/>
    <mergeCell ref="Y2:Z2"/>
    <mergeCell ref="AD2:AE2"/>
    <mergeCell ref="AF2:AG2"/>
    <mergeCell ref="AH2:AI2"/>
    <mergeCell ref="AM2:AN2"/>
    <mergeCell ref="AO2:AP2"/>
    <mergeCell ref="AV2:AW2"/>
    <mergeCell ref="AX2:AY2"/>
    <mergeCell ref="AZ2:BA2"/>
    <mergeCell ref="BE2:BF2"/>
    <mergeCell ref="BG2:BH2"/>
    <mergeCell ref="BI2:BJ2"/>
    <mergeCell ref="BY2:BZ2"/>
    <mergeCell ref="CA2:CB2"/>
    <mergeCell ref="BN2:BO2"/>
    <mergeCell ref="BP2:BQ2"/>
    <mergeCell ref="BR2:BS2"/>
    <mergeCell ref="BW2:BX2"/>
  </mergeCells>
  <printOptions gridLines="1"/>
  <pageMargins left="0.2" right="0.2" top="0.75" bottom="0.75" header="0.3" footer="0.3"/>
  <pageSetup scale="67" fitToWidth="12" fitToHeight="5" orientation="portrait" r:id="rId1"/>
  <colBreaks count="8" manualBreakCount="8">
    <brk id="6" max="60" man="1"/>
    <brk id="17" max="60" man="1"/>
    <brk id="26" max="60" man="1"/>
    <brk id="35" max="60" man="1"/>
    <brk id="44" max="60" man="1"/>
    <brk id="53" max="60" man="1"/>
    <brk id="62" max="60" man="1"/>
    <brk id="71" max="60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62"/>
  <sheetViews>
    <sheetView tabSelected="1" zoomScaleNormal="100" workbookViewId="0">
      <pane ySplit="2" topLeftCell="A3" activePane="bottomLeft" state="frozen"/>
      <selection pane="bottomLeft" activeCell="M7" sqref="M7:M10"/>
    </sheetView>
  </sheetViews>
  <sheetFormatPr defaultRowHeight="15" x14ac:dyDescent="0.25"/>
  <cols>
    <col min="1" max="1" width="14.7109375" style="73" customWidth="1"/>
    <col min="2" max="2" width="14.7109375" style="91" customWidth="1"/>
    <col min="3" max="3" width="14.7109375" style="73" customWidth="1"/>
    <col min="4" max="4" width="7.140625" style="73" customWidth="1"/>
    <col min="5" max="5" width="15.28515625" style="73" bestFit="1" customWidth="1"/>
    <col min="6" max="6" width="10.85546875" style="73" customWidth="1"/>
    <col min="7" max="7" width="6.42578125" style="73" customWidth="1"/>
    <col min="8" max="8" width="15.5703125" style="73" bestFit="1" customWidth="1"/>
    <col min="9" max="9" width="17.7109375" style="73" customWidth="1"/>
    <col min="10" max="10" width="55" style="73" customWidth="1"/>
    <col min="11" max="11" width="24.42578125" style="73" customWidth="1"/>
    <col min="12" max="12" width="18" style="73" customWidth="1"/>
    <col min="13" max="13" width="24.140625" style="73" customWidth="1"/>
    <col min="14" max="15" width="14" style="73" customWidth="1"/>
    <col min="16" max="19" width="14" style="102" customWidth="1"/>
    <col min="20" max="20" width="16" style="102" customWidth="1"/>
    <col min="21" max="21" width="9.140625" style="102"/>
    <col min="22" max="22" width="9.140625" style="118"/>
    <col min="23" max="16384" width="9.140625" style="73"/>
  </cols>
  <sheetData>
    <row r="1" spans="1:29" x14ac:dyDescent="0.25">
      <c r="H1" s="75">
        <f>SUBTOTAL(9,$I$3:$I$62)</f>
        <v>463913.51441020425</v>
      </c>
      <c r="I1" s="76">
        <f>SUMIFS($I$3:$I$62,$T$3:$T$62,"BDG")</f>
        <v>261598.15721020481</v>
      </c>
      <c r="J1" s="76"/>
      <c r="K1" s="76">
        <f>SUMIFS($I$3:$I$62,$U$3:$U$62,"MARKUP",$S$3:$S$62,"REMOVAL")</f>
        <v>210154.00000000003</v>
      </c>
      <c r="O1" s="77">
        <f>P1-I1</f>
        <v>0</v>
      </c>
      <c r="P1" s="119">
        <f>'Pea Ridge Data'!F29</f>
        <v>261598.15721020466</v>
      </c>
      <c r="Q1" s="119"/>
      <c r="R1" s="119"/>
      <c r="S1" s="119"/>
      <c r="T1" s="119"/>
    </row>
    <row r="2" spans="1:29" x14ac:dyDescent="0.25">
      <c r="A2" s="78" t="s">
        <v>39</v>
      </c>
      <c r="B2" s="79" t="s">
        <v>119</v>
      </c>
      <c r="C2" s="79" t="s">
        <v>120</v>
      </c>
      <c r="D2" s="78" t="s">
        <v>40</v>
      </c>
      <c r="E2" s="78" t="s">
        <v>41</v>
      </c>
      <c r="F2" s="78" t="s">
        <v>42</v>
      </c>
      <c r="G2" s="78" t="s">
        <v>43</v>
      </c>
      <c r="H2" s="78" t="s">
        <v>44</v>
      </c>
      <c r="I2" s="78" t="s">
        <v>45</v>
      </c>
      <c r="J2" s="78" t="s">
        <v>46</v>
      </c>
      <c r="K2" s="78" t="s">
        <v>47</v>
      </c>
      <c r="L2" s="78" t="s">
        <v>48</v>
      </c>
      <c r="M2" s="78" t="s">
        <v>194</v>
      </c>
      <c r="N2" s="78" t="s">
        <v>195</v>
      </c>
      <c r="O2" s="78" t="s">
        <v>196</v>
      </c>
      <c r="P2" s="80" t="s">
        <v>49</v>
      </c>
      <c r="Q2" s="80" t="s">
        <v>125</v>
      </c>
      <c r="R2" s="80" t="s">
        <v>123</v>
      </c>
      <c r="S2" s="89" t="s">
        <v>103</v>
      </c>
      <c r="T2" s="102">
        <v>1</v>
      </c>
      <c r="U2" s="102">
        <v>2</v>
      </c>
      <c r="V2" s="118" t="s">
        <v>155</v>
      </c>
      <c r="W2" s="81">
        <v>3</v>
      </c>
      <c r="X2" s="82">
        <v>4</v>
      </c>
      <c r="Y2" s="82">
        <v>5</v>
      </c>
      <c r="Z2" s="82">
        <v>6</v>
      </c>
      <c r="AA2" s="82">
        <v>7</v>
      </c>
      <c r="AB2" s="82">
        <v>8</v>
      </c>
      <c r="AC2" s="82">
        <v>9</v>
      </c>
    </row>
    <row r="3" spans="1:29" x14ac:dyDescent="0.25">
      <c r="A3" s="83" t="s">
        <v>79</v>
      </c>
      <c r="B3" s="84" t="s">
        <v>110</v>
      </c>
      <c r="C3" s="84" t="s">
        <v>54</v>
      </c>
      <c r="D3" s="83" t="s">
        <v>55</v>
      </c>
      <c r="E3" s="83" t="s">
        <v>156</v>
      </c>
      <c r="F3" s="85">
        <v>1</v>
      </c>
      <c r="G3" s="83" t="s">
        <v>15</v>
      </c>
      <c r="H3" s="98">
        <f>SUMIFS($I$3:$I$62,$E$3:$E$62,$E3,$U$3:$U$62,"MARKUP",$S$3:$S$62,"REMOVAL")*0.01</f>
        <v>2101.5400000000004</v>
      </c>
      <c r="I3" s="86">
        <f>F3*H3</f>
        <v>2101.5400000000004</v>
      </c>
      <c r="J3" s="99" t="s">
        <v>80</v>
      </c>
      <c r="K3" s="83" t="s">
        <v>51</v>
      </c>
      <c r="L3" s="83" t="s">
        <v>51</v>
      </c>
      <c r="M3" s="83" t="s">
        <v>80</v>
      </c>
      <c r="N3" s="183">
        <f t="shared" ref="N3:N34" si="0">H3</f>
        <v>2101.5400000000004</v>
      </c>
      <c r="O3" s="184">
        <f t="shared" ref="O3:O34" si="1">I3</f>
        <v>2101.5400000000004</v>
      </c>
      <c r="P3" s="120" t="s">
        <v>56</v>
      </c>
      <c r="Q3" s="120">
        <v>1</v>
      </c>
      <c r="R3" s="120" t="s">
        <v>124</v>
      </c>
      <c r="S3" s="90" t="s">
        <v>104</v>
      </c>
      <c r="T3" s="102" t="s">
        <v>53</v>
      </c>
      <c r="V3" s="102"/>
      <c r="W3" s="81" t="str">
        <f t="shared" ref="W3:W34" si="2">A3&amp;C3&amp;D3&amp;E3&amp;F3&amp;G3&amp;H3&amp;J3</f>
        <v>3090481CCLRPEA RIDGE-NON1%2101.54ADMINISTRATIVE &amp; GENERAL OVERHEAD</v>
      </c>
      <c r="X3" s="81"/>
    </row>
    <row r="4" spans="1:29" x14ac:dyDescent="0.25">
      <c r="A4" s="83" t="s">
        <v>84</v>
      </c>
      <c r="B4" s="84" t="s">
        <v>111</v>
      </c>
      <c r="C4" s="84" t="s">
        <v>54</v>
      </c>
      <c r="D4" s="83" t="s">
        <v>55</v>
      </c>
      <c r="E4" s="83" t="s">
        <v>156</v>
      </c>
      <c r="F4" s="87">
        <f>'Pea Ridge Data'!$D$25</f>
        <v>10</v>
      </c>
      <c r="G4" s="83" t="s">
        <v>30</v>
      </c>
      <c r="H4" s="86">
        <f>'Pea Ridge Data'!$E$25</f>
        <v>244.89599999999999</v>
      </c>
      <c r="I4" s="185">
        <f>'Pea Ridge Data'!$F$25</f>
        <v>2400</v>
      </c>
      <c r="J4" s="83" t="s">
        <v>85</v>
      </c>
      <c r="K4" s="83" t="s">
        <v>51</v>
      </c>
      <c r="L4" s="83" t="s">
        <v>51</v>
      </c>
      <c r="M4" s="83" t="s">
        <v>86</v>
      </c>
      <c r="N4" s="183">
        <f t="shared" si="0"/>
        <v>244.89599999999999</v>
      </c>
      <c r="O4" s="184">
        <f t="shared" si="1"/>
        <v>2400</v>
      </c>
      <c r="P4" s="120" t="s">
        <v>56</v>
      </c>
      <c r="Q4" s="120">
        <v>1</v>
      </c>
      <c r="R4" s="120" t="s">
        <v>124</v>
      </c>
      <c r="S4" s="90" t="s">
        <v>104</v>
      </c>
      <c r="T4" s="102" t="s">
        <v>65</v>
      </c>
      <c r="U4" s="102" t="s">
        <v>81</v>
      </c>
      <c r="V4" s="118">
        <v>14</v>
      </c>
      <c r="W4" s="81" t="str">
        <f t="shared" si="2"/>
        <v>311UNDCCLRPEA RIDGE-NON10nt244.896ANCILLARY BUILDINGS - Demo</v>
      </c>
      <c r="X4" s="81"/>
    </row>
    <row r="5" spans="1:29" x14ac:dyDescent="0.25">
      <c r="A5" s="83" t="s">
        <v>84</v>
      </c>
      <c r="B5" s="84" t="s">
        <v>111</v>
      </c>
      <c r="C5" s="84" t="s">
        <v>54</v>
      </c>
      <c r="D5" s="83" t="s">
        <v>87</v>
      </c>
      <c r="E5" s="83" t="s">
        <v>156</v>
      </c>
      <c r="F5" s="87">
        <f>'Pea Ridge Data'!$D$26</f>
        <v>10</v>
      </c>
      <c r="G5" s="83" t="s">
        <v>30</v>
      </c>
      <c r="H5" s="86">
        <f>'Pea Ridge Data'!$E$26</f>
        <v>-108.3695731319762</v>
      </c>
      <c r="I5" s="185">
        <f>'Pea Ridge Data'!$F$26</f>
        <v>-1805.2631578947367</v>
      </c>
      <c r="J5" s="83" t="s">
        <v>88</v>
      </c>
      <c r="K5" s="83" t="s">
        <v>89</v>
      </c>
      <c r="L5" s="83" t="s">
        <v>51</v>
      </c>
      <c r="M5" s="83" t="s">
        <v>197</v>
      </c>
      <c r="N5" s="183">
        <f t="shared" si="0"/>
        <v>-108.3695731319762</v>
      </c>
      <c r="O5" s="184">
        <f t="shared" si="1"/>
        <v>-1805.2631578947367</v>
      </c>
      <c r="P5" s="120" t="s">
        <v>56</v>
      </c>
      <c r="Q5" s="120">
        <v>1</v>
      </c>
      <c r="R5" s="120" t="s">
        <v>124</v>
      </c>
      <c r="S5" s="90" t="s">
        <v>108</v>
      </c>
      <c r="T5" s="102" t="s">
        <v>65</v>
      </c>
      <c r="U5" s="102" t="s">
        <v>81</v>
      </c>
      <c r="V5" s="118">
        <v>15</v>
      </c>
      <c r="W5" s="81" t="str">
        <f t="shared" si="2"/>
        <v>311UNDCCMSPEA RIDGE-NON10nt-108.369573131976ANCILLARY BUILDINGS - FE SALES</v>
      </c>
      <c r="X5" s="81"/>
    </row>
    <row r="6" spans="1:29" s="74" customFormat="1" x14ac:dyDescent="0.25">
      <c r="A6" s="101">
        <v>3080261</v>
      </c>
      <c r="B6" s="84" t="s">
        <v>112</v>
      </c>
      <c r="C6" s="84" t="s">
        <v>54</v>
      </c>
      <c r="D6" s="83" t="s">
        <v>55</v>
      </c>
      <c r="E6" s="83" t="s">
        <v>156</v>
      </c>
      <c r="F6" s="85">
        <v>2000</v>
      </c>
      <c r="G6" s="83" t="s">
        <v>69</v>
      </c>
      <c r="H6" s="86">
        <v>101.26</v>
      </c>
      <c r="I6" s="86">
        <v>202516</v>
      </c>
      <c r="J6" s="100" t="s">
        <v>72</v>
      </c>
      <c r="K6" s="83" t="s">
        <v>51</v>
      </c>
      <c r="L6" s="83" t="s">
        <v>51</v>
      </c>
      <c r="M6" s="83" t="s">
        <v>70</v>
      </c>
      <c r="N6" s="183">
        <f t="shared" si="0"/>
        <v>101.26</v>
      </c>
      <c r="O6" s="184">
        <f t="shared" si="1"/>
        <v>202516</v>
      </c>
      <c r="P6" s="120" t="s">
        <v>56</v>
      </c>
      <c r="Q6" s="120">
        <v>1</v>
      </c>
      <c r="R6" s="120" t="s">
        <v>124</v>
      </c>
      <c r="S6" s="90" t="s">
        <v>104</v>
      </c>
      <c r="T6" s="102" t="s">
        <v>53</v>
      </c>
      <c r="U6" s="102"/>
      <c r="V6" s="102"/>
      <c r="W6" s="81" t="str">
        <f t="shared" si="2"/>
        <v>3080261CCLRPEA RIDGE-NON2000MH101.26APC ENGINEERING</v>
      </c>
      <c r="X6" s="81"/>
    </row>
    <row r="7" spans="1:29" s="74" customFormat="1" x14ac:dyDescent="0.25">
      <c r="A7" s="83" t="s">
        <v>50</v>
      </c>
      <c r="B7" s="84" t="s">
        <v>113</v>
      </c>
      <c r="C7" s="84" t="s">
        <v>143</v>
      </c>
      <c r="D7" s="83" t="s">
        <v>152</v>
      </c>
      <c r="E7" s="83" t="s">
        <v>156</v>
      </c>
      <c r="F7" s="85">
        <v>0</v>
      </c>
      <c r="G7" s="83" t="s">
        <v>51</v>
      </c>
      <c r="H7" s="186"/>
      <c r="I7" s="86">
        <v>0</v>
      </c>
      <c r="J7" s="83" t="s">
        <v>52</v>
      </c>
      <c r="K7" s="83" t="s">
        <v>51</v>
      </c>
      <c r="L7" s="83" t="s">
        <v>51</v>
      </c>
      <c r="M7" s="83" t="s">
        <v>52</v>
      </c>
      <c r="N7" s="183">
        <f t="shared" si="0"/>
        <v>0</v>
      </c>
      <c r="O7" s="184">
        <f t="shared" si="1"/>
        <v>0</v>
      </c>
      <c r="P7" s="120" t="s">
        <v>56</v>
      </c>
      <c r="Q7" s="120">
        <v>1</v>
      </c>
      <c r="R7" s="120" t="s">
        <v>124</v>
      </c>
      <c r="S7" s="90" t="s">
        <v>104</v>
      </c>
      <c r="T7" s="102" t="s">
        <v>53</v>
      </c>
      <c r="U7" s="102"/>
      <c r="V7" s="102"/>
      <c r="W7" s="81" t="str">
        <f t="shared" si="2"/>
        <v>30400001CT1LRCTPEA RIDGE-NON0CONTINGENCY</v>
      </c>
      <c r="X7" s="81"/>
    </row>
    <row r="8" spans="1:29" s="74" customFormat="1" x14ac:dyDescent="0.25">
      <c r="A8" s="83" t="s">
        <v>50</v>
      </c>
      <c r="B8" s="84" t="s">
        <v>113</v>
      </c>
      <c r="C8" s="84" t="s">
        <v>144</v>
      </c>
      <c r="D8" s="83" t="s">
        <v>153</v>
      </c>
      <c r="E8" s="83" t="s">
        <v>156</v>
      </c>
      <c r="F8" s="85">
        <v>0</v>
      </c>
      <c r="G8" s="83" t="s">
        <v>51</v>
      </c>
      <c r="H8" s="186"/>
      <c r="I8" s="86">
        <v>0</v>
      </c>
      <c r="J8" s="83" t="s">
        <v>52</v>
      </c>
      <c r="K8" s="83" t="s">
        <v>51</v>
      </c>
      <c r="L8" s="83" t="s">
        <v>51</v>
      </c>
      <c r="M8" s="83" t="s">
        <v>52</v>
      </c>
      <c r="N8" s="183">
        <f t="shared" si="0"/>
        <v>0</v>
      </c>
      <c r="O8" s="184">
        <f t="shared" si="1"/>
        <v>0</v>
      </c>
      <c r="P8" s="120" t="s">
        <v>56</v>
      </c>
      <c r="Q8" s="120">
        <v>1</v>
      </c>
      <c r="R8" s="120" t="s">
        <v>124</v>
      </c>
      <c r="S8" s="90" t="s">
        <v>104</v>
      </c>
      <c r="T8" s="102" t="s">
        <v>53</v>
      </c>
      <c r="U8" s="102"/>
      <c r="V8" s="102"/>
      <c r="W8" s="81" t="str">
        <f t="shared" si="2"/>
        <v>30400002CT2LRCTPEA RIDGE-NON0CONTINGENCY</v>
      </c>
      <c r="X8" s="81"/>
    </row>
    <row r="9" spans="1:29" x14ac:dyDescent="0.25">
      <c r="A9" s="83" t="s">
        <v>50</v>
      </c>
      <c r="B9" s="84" t="s">
        <v>113</v>
      </c>
      <c r="C9" s="84" t="s">
        <v>145</v>
      </c>
      <c r="D9" s="83" t="s">
        <v>154</v>
      </c>
      <c r="E9" s="83" t="s">
        <v>156</v>
      </c>
      <c r="F9" s="85">
        <v>0</v>
      </c>
      <c r="G9" s="83" t="s">
        <v>51</v>
      </c>
      <c r="H9" s="186"/>
      <c r="I9" s="86">
        <v>0</v>
      </c>
      <c r="J9" s="83" t="s">
        <v>52</v>
      </c>
      <c r="K9" s="83" t="s">
        <v>51</v>
      </c>
      <c r="L9" s="83" t="s">
        <v>51</v>
      </c>
      <c r="M9" s="83" t="s">
        <v>52</v>
      </c>
      <c r="N9" s="183">
        <f t="shared" si="0"/>
        <v>0</v>
      </c>
      <c r="O9" s="184">
        <f t="shared" si="1"/>
        <v>0</v>
      </c>
      <c r="P9" s="120" t="s">
        <v>56</v>
      </c>
      <c r="Q9" s="120">
        <v>1</v>
      </c>
      <c r="R9" s="120" t="s">
        <v>124</v>
      </c>
      <c r="S9" s="90" t="s">
        <v>104</v>
      </c>
      <c r="T9" s="102" t="s">
        <v>53</v>
      </c>
      <c r="V9" s="102"/>
      <c r="W9" s="81" t="str">
        <f t="shared" si="2"/>
        <v>30400003CT3LRCTPEA RIDGE-NON0CONTINGENCY</v>
      </c>
      <c r="X9" s="81"/>
    </row>
    <row r="10" spans="1:29" x14ac:dyDescent="0.25">
      <c r="A10" s="83" t="s">
        <v>50</v>
      </c>
      <c r="B10" s="84" t="s">
        <v>113</v>
      </c>
      <c r="C10" s="84" t="s">
        <v>54</v>
      </c>
      <c r="D10" s="83" t="s">
        <v>55</v>
      </c>
      <c r="E10" s="83" t="s">
        <v>156</v>
      </c>
      <c r="F10" s="85">
        <v>0</v>
      </c>
      <c r="G10" s="83" t="s">
        <v>51</v>
      </c>
      <c r="H10" s="186"/>
      <c r="I10" s="86">
        <v>0</v>
      </c>
      <c r="J10" s="83" t="s">
        <v>52</v>
      </c>
      <c r="K10" s="83" t="s">
        <v>51</v>
      </c>
      <c r="L10" s="83" t="s">
        <v>51</v>
      </c>
      <c r="M10" s="83" t="s">
        <v>52</v>
      </c>
      <c r="N10" s="183">
        <f t="shared" si="0"/>
        <v>0</v>
      </c>
      <c r="O10" s="184">
        <f t="shared" si="1"/>
        <v>0</v>
      </c>
      <c r="P10" s="120" t="s">
        <v>56</v>
      </c>
      <c r="Q10" s="120">
        <v>1</v>
      </c>
      <c r="R10" s="120" t="s">
        <v>124</v>
      </c>
      <c r="S10" s="90" t="s">
        <v>104</v>
      </c>
      <c r="T10" s="102" t="s">
        <v>53</v>
      </c>
      <c r="V10" s="102"/>
      <c r="W10" s="81" t="str">
        <f t="shared" si="2"/>
        <v>3040000CCLRPEA RIDGE-NON0CONTINGENCY</v>
      </c>
      <c r="X10" s="81"/>
    </row>
    <row r="11" spans="1:29" s="74" customFormat="1" x14ac:dyDescent="0.25">
      <c r="A11" s="83" t="s">
        <v>62</v>
      </c>
      <c r="B11" s="84" t="s">
        <v>114</v>
      </c>
      <c r="C11" s="84" t="s">
        <v>54</v>
      </c>
      <c r="D11" s="83" t="s">
        <v>55</v>
      </c>
      <c r="E11" s="83" t="s">
        <v>156</v>
      </c>
      <c r="F11" s="117">
        <v>1</v>
      </c>
      <c r="G11" s="83" t="s">
        <v>63</v>
      </c>
      <c r="H11" s="86">
        <f>'Pea Ridge Data'!$E$9</f>
        <v>50000</v>
      </c>
      <c r="I11" s="185">
        <f>'Pea Ridge Data'!$F$9</f>
        <v>50000</v>
      </c>
      <c r="J11" s="83" t="s">
        <v>64</v>
      </c>
      <c r="K11" s="83" t="s">
        <v>51</v>
      </c>
      <c r="L11" s="83" t="s">
        <v>51</v>
      </c>
      <c r="M11" s="83" t="s">
        <v>64</v>
      </c>
      <c r="N11" s="183">
        <f t="shared" si="0"/>
        <v>50000</v>
      </c>
      <c r="O11" s="184">
        <f t="shared" si="1"/>
        <v>50000</v>
      </c>
      <c r="P11" s="120" t="s">
        <v>56</v>
      </c>
      <c r="Q11" s="120">
        <v>1</v>
      </c>
      <c r="R11" s="120" t="s">
        <v>124</v>
      </c>
      <c r="S11" s="90" t="s">
        <v>104</v>
      </c>
      <c r="T11" s="102" t="s">
        <v>65</v>
      </c>
      <c r="U11" s="102"/>
      <c r="V11" s="118">
        <v>3</v>
      </c>
      <c r="W11" s="81" t="str">
        <f t="shared" si="2"/>
        <v>3070201MOCCLRPEA RIDGE-NON1LT50000CONTRACTOR MOBILIZATION</v>
      </c>
      <c r="X11" s="81"/>
    </row>
    <row r="12" spans="1:29" s="74" customFormat="1" x14ac:dyDescent="0.25">
      <c r="A12" s="83" t="s">
        <v>98</v>
      </c>
      <c r="B12" s="84" t="s">
        <v>115</v>
      </c>
      <c r="C12" s="84" t="s">
        <v>143</v>
      </c>
      <c r="D12" s="83" t="s">
        <v>146</v>
      </c>
      <c r="E12" s="83" t="s">
        <v>156</v>
      </c>
      <c r="F12" s="87">
        <f>'Pea Ridge Data'!$D$18/3*0.2</f>
        <v>1700</v>
      </c>
      <c r="G12" s="83" t="s">
        <v>31</v>
      </c>
      <c r="H12" s="86">
        <f>'Pea Ridge Data'!$E$18</f>
        <v>-0.31414430979039298</v>
      </c>
      <c r="I12" s="185">
        <f>'Pea Ridge Data'!$F$18/3*0.2</f>
        <v>-629.31384615384638</v>
      </c>
      <c r="J12" s="83" t="s">
        <v>99</v>
      </c>
      <c r="K12" s="83" t="s">
        <v>91</v>
      </c>
      <c r="L12" s="83" t="s">
        <v>51</v>
      </c>
      <c r="M12" s="83" t="s">
        <v>197</v>
      </c>
      <c r="N12" s="183">
        <f t="shared" si="0"/>
        <v>-0.31414430979039298</v>
      </c>
      <c r="O12" s="184">
        <f t="shared" si="1"/>
        <v>-629.31384615384638</v>
      </c>
      <c r="P12" s="120" t="s">
        <v>56</v>
      </c>
      <c r="Q12" s="120">
        <v>1</v>
      </c>
      <c r="R12" s="120" t="s">
        <v>124</v>
      </c>
      <c r="S12" s="90" t="s">
        <v>108</v>
      </c>
      <c r="T12" s="102" t="s">
        <v>65</v>
      </c>
      <c r="U12" s="102" t="s">
        <v>81</v>
      </c>
      <c r="V12" s="118">
        <v>9</v>
      </c>
      <c r="W12" s="81" t="str">
        <f t="shared" si="2"/>
        <v>343UND1CT1MSCTPEA RIDGE-NON1700lbs-0.314144309790393CTs - CU Sales</v>
      </c>
      <c r="X12" s="81"/>
    </row>
    <row r="13" spans="1:29" s="74" customFormat="1" x14ac:dyDescent="0.25">
      <c r="A13" s="83" t="s">
        <v>101</v>
      </c>
      <c r="B13" s="84" t="s">
        <v>116</v>
      </c>
      <c r="C13" s="84" t="s">
        <v>143</v>
      </c>
      <c r="D13" s="83" t="s">
        <v>146</v>
      </c>
      <c r="E13" s="83" t="s">
        <v>156</v>
      </c>
      <c r="F13" s="87">
        <f>'Pea Ridge Data'!$D$18/3*0.8</f>
        <v>6800</v>
      </c>
      <c r="G13" s="83" t="s">
        <v>31</v>
      </c>
      <c r="H13" s="86">
        <f>'Pea Ridge Data'!$E$18</f>
        <v>-0.31414430979039298</v>
      </c>
      <c r="I13" s="185">
        <f>'Pea Ridge Data'!$F$18/3*0.8</f>
        <v>-2517.2553846153855</v>
      </c>
      <c r="J13" s="83" t="s">
        <v>99</v>
      </c>
      <c r="K13" s="83" t="s">
        <v>91</v>
      </c>
      <c r="L13" s="83" t="s">
        <v>51</v>
      </c>
      <c r="M13" s="83" t="s">
        <v>197</v>
      </c>
      <c r="N13" s="183">
        <f t="shared" si="0"/>
        <v>-0.31414430979039298</v>
      </c>
      <c r="O13" s="184">
        <f t="shared" si="1"/>
        <v>-2517.2553846153855</v>
      </c>
      <c r="P13" s="120" t="s">
        <v>56</v>
      </c>
      <c r="Q13" s="120">
        <v>1</v>
      </c>
      <c r="R13" s="120" t="s">
        <v>124</v>
      </c>
      <c r="S13" s="90" t="s">
        <v>108</v>
      </c>
      <c r="T13" s="102" t="s">
        <v>65</v>
      </c>
      <c r="U13" s="102" t="s">
        <v>81</v>
      </c>
      <c r="V13" s="118">
        <v>9</v>
      </c>
      <c r="W13" s="81" t="str">
        <f t="shared" si="2"/>
        <v>345UND1CT1MSCTPEA RIDGE-NON6800lbs-0.314144309790393CTs - CU Sales</v>
      </c>
      <c r="X13" s="81"/>
    </row>
    <row r="14" spans="1:29" x14ac:dyDescent="0.25">
      <c r="A14" s="83" t="s">
        <v>98</v>
      </c>
      <c r="B14" s="84" t="s">
        <v>115</v>
      </c>
      <c r="C14" s="84" t="s">
        <v>144</v>
      </c>
      <c r="D14" s="83" t="s">
        <v>147</v>
      </c>
      <c r="E14" s="83" t="s">
        <v>156</v>
      </c>
      <c r="F14" s="87">
        <f>'Pea Ridge Data'!$D$18/3*0.2</f>
        <v>1700</v>
      </c>
      <c r="G14" s="83" t="s">
        <v>31</v>
      </c>
      <c r="H14" s="86">
        <f>'Pea Ridge Data'!$E$18</f>
        <v>-0.31414430979039298</v>
      </c>
      <c r="I14" s="185">
        <f>'Pea Ridge Data'!$F$18/3*0.2</f>
        <v>-629.31384615384638</v>
      </c>
      <c r="J14" s="83" t="s">
        <v>99</v>
      </c>
      <c r="K14" s="83" t="s">
        <v>91</v>
      </c>
      <c r="L14" s="83" t="s">
        <v>51</v>
      </c>
      <c r="M14" s="83" t="s">
        <v>197</v>
      </c>
      <c r="N14" s="183">
        <f t="shared" si="0"/>
        <v>-0.31414430979039298</v>
      </c>
      <c r="O14" s="184">
        <f t="shared" si="1"/>
        <v>-629.31384615384638</v>
      </c>
      <c r="P14" s="120" t="s">
        <v>56</v>
      </c>
      <c r="Q14" s="120">
        <v>1</v>
      </c>
      <c r="R14" s="120" t="s">
        <v>124</v>
      </c>
      <c r="S14" s="90" t="s">
        <v>108</v>
      </c>
      <c r="T14" s="102" t="s">
        <v>65</v>
      </c>
      <c r="U14" s="102" t="s">
        <v>81</v>
      </c>
      <c r="V14" s="118">
        <v>9</v>
      </c>
      <c r="W14" s="81" t="str">
        <f t="shared" si="2"/>
        <v>343UND2CT2MSCTPEA RIDGE-NON1700lbs-0.314144309790393CTs - CU Sales</v>
      </c>
      <c r="X14" s="81"/>
    </row>
    <row r="15" spans="1:29" x14ac:dyDescent="0.25">
      <c r="A15" s="83" t="s">
        <v>101</v>
      </c>
      <c r="B15" s="84" t="s">
        <v>116</v>
      </c>
      <c r="C15" s="84" t="s">
        <v>144</v>
      </c>
      <c r="D15" s="83" t="s">
        <v>147</v>
      </c>
      <c r="E15" s="83" t="s">
        <v>156</v>
      </c>
      <c r="F15" s="87">
        <f>'Pea Ridge Data'!$D$18/3*0.8</f>
        <v>6800</v>
      </c>
      <c r="G15" s="83" t="s">
        <v>31</v>
      </c>
      <c r="H15" s="86">
        <f>'Pea Ridge Data'!$E$18</f>
        <v>-0.31414430979039298</v>
      </c>
      <c r="I15" s="185">
        <f>'Pea Ridge Data'!$F$18/3*0.8</f>
        <v>-2517.2553846153855</v>
      </c>
      <c r="J15" s="83" t="s">
        <v>99</v>
      </c>
      <c r="K15" s="83" t="s">
        <v>91</v>
      </c>
      <c r="L15" s="83" t="s">
        <v>51</v>
      </c>
      <c r="M15" s="83" t="s">
        <v>197</v>
      </c>
      <c r="N15" s="183">
        <f t="shared" si="0"/>
        <v>-0.31414430979039298</v>
      </c>
      <c r="O15" s="184">
        <f t="shared" si="1"/>
        <v>-2517.2553846153855</v>
      </c>
      <c r="P15" s="120" t="s">
        <v>56</v>
      </c>
      <c r="Q15" s="120">
        <v>1</v>
      </c>
      <c r="R15" s="120" t="s">
        <v>124</v>
      </c>
      <c r="S15" s="90" t="s">
        <v>108</v>
      </c>
      <c r="T15" s="102" t="s">
        <v>65</v>
      </c>
      <c r="U15" s="102" t="s">
        <v>81</v>
      </c>
      <c r="V15" s="118">
        <v>9</v>
      </c>
      <c r="W15" s="81" t="str">
        <f t="shared" si="2"/>
        <v>345UND2CT2MSCTPEA RIDGE-NON6800lbs-0.314144309790393CTs - CU Sales</v>
      </c>
      <c r="X15" s="81"/>
    </row>
    <row r="16" spans="1:29" s="74" customFormat="1" x14ac:dyDescent="0.25">
      <c r="A16" s="83" t="s">
        <v>98</v>
      </c>
      <c r="B16" s="84" t="s">
        <v>115</v>
      </c>
      <c r="C16" s="84" t="s">
        <v>145</v>
      </c>
      <c r="D16" s="83" t="s">
        <v>148</v>
      </c>
      <c r="E16" s="83" t="s">
        <v>156</v>
      </c>
      <c r="F16" s="87">
        <f>'Pea Ridge Data'!$D$18/3*0.2</f>
        <v>1700</v>
      </c>
      <c r="G16" s="83" t="s">
        <v>31</v>
      </c>
      <c r="H16" s="86">
        <f>'Pea Ridge Data'!$E$18</f>
        <v>-0.31414430979039298</v>
      </c>
      <c r="I16" s="185">
        <f>'Pea Ridge Data'!$F$18/3*0.2</f>
        <v>-629.31384615384638</v>
      </c>
      <c r="J16" s="83" t="s">
        <v>99</v>
      </c>
      <c r="K16" s="83" t="s">
        <v>91</v>
      </c>
      <c r="L16" s="83" t="s">
        <v>51</v>
      </c>
      <c r="M16" s="83" t="s">
        <v>197</v>
      </c>
      <c r="N16" s="183">
        <f t="shared" si="0"/>
        <v>-0.31414430979039298</v>
      </c>
      <c r="O16" s="184">
        <f t="shared" si="1"/>
        <v>-629.31384615384638</v>
      </c>
      <c r="P16" s="120" t="s">
        <v>56</v>
      </c>
      <c r="Q16" s="120">
        <v>1</v>
      </c>
      <c r="R16" s="120" t="s">
        <v>124</v>
      </c>
      <c r="S16" s="90" t="s">
        <v>108</v>
      </c>
      <c r="T16" s="102" t="s">
        <v>65</v>
      </c>
      <c r="U16" s="102" t="s">
        <v>81</v>
      </c>
      <c r="V16" s="118">
        <v>9</v>
      </c>
      <c r="W16" s="81" t="str">
        <f t="shared" si="2"/>
        <v>343UND3CT3MSCTPEA RIDGE-NON1700lbs-0.314144309790393CTs - CU Sales</v>
      </c>
      <c r="X16" s="81"/>
    </row>
    <row r="17" spans="1:24" s="74" customFormat="1" x14ac:dyDescent="0.25">
      <c r="A17" s="83" t="s">
        <v>101</v>
      </c>
      <c r="B17" s="84" t="s">
        <v>116</v>
      </c>
      <c r="C17" s="84" t="s">
        <v>145</v>
      </c>
      <c r="D17" s="83" t="s">
        <v>148</v>
      </c>
      <c r="E17" s="83" t="s">
        <v>156</v>
      </c>
      <c r="F17" s="87">
        <f>'Pea Ridge Data'!$D$18/3*0.8</f>
        <v>6800</v>
      </c>
      <c r="G17" s="83" t="s">
        <v>31</v>
      </c>
      <c r="H17" s="86">
        <f>'Pea Ridge Data'!$E$18</f>
        <v>-0.31414430979039298</v>
      </c>
      <c r="I17" s="185">
        <f>'Pea Ridge Data'!$F$18/3*0.8</f>
        <v>-2517.2553846153855</v>
      </c>
      <c r="J17" s="83" t="s">
        <v>99</v>
      </c>
      <c r="K17" s="83" t="s">
        <v>91</v>
      </c>
      <c r="L17" s="83" t="s">
        <v>51</v>
      </c>
      <c r="M17" s="83" t="s">
        <v>197</v>
      </c>
      <c r="N17" s="183">
        <f t="shared" si="0"/>
        <v>-0.31414430979039298</v>
      </c>
      <c r="O17" s="184">
        <f t="shared" si="1"/>
        <v>-2517.2553846153855</v>
      </c>
      <c r="P17" s="120" t="s">
        <v>56</v>
      </c>
      <c r="Q17" s="120">
        <v>1</v>
      </c>
      <c r="R17" s="120" t="s">
        <v>124</v>
      </c>
      <c r="S17" s="90" t="s">
        <v>108</v>
      </c>
      <c r="T17" s="102" t="s">
        <v>65</v>
      </c>
      <c r="U17" s="102" t="s">
        <v>81</v>
      </c>
      <c r="V17" s="118">
        <v>9</v>
      </c>
      <c r="W17" s="81" t="str">
        <f t="shared" si="2"/>
        <v>345UND3CT3MSCTPEA RIDGE-NON6800lbs-0.314144309790393CTs - CU Sales</v>
      </c>
      <c r="X17" s="81"/>
    </row>
    <row r="18" spans="1:24" s="74" customFormat="1" x14ac:dyDescent="0.25">
      <c r="A18" s="83" t="s">
        <v>95</v>
      </c>
      <c r="B18" s="84" t="s">
        <v>117</v>
      </c>
      <c r="C18" s="84" t="s">
        <v>143</v>
      </c>
      <c r="D18" s="83" t="s">
        <v>152</v>
      </c>
      <c r="E18" s="83" t="s">
        <v>156</v>
      </c>
      <c r="F18" s="87">
        <f>'Pea Ridge Data'!$D$16/3*0.6</f>
        <v>54</v>
      </c>
      <c r="G18" s="83" t="s">
        <v>30</v>
      </c>
      <c r="H18" s="86">
        <f>'Pea Ridge Data'!$E$16</f>
        <v>459.18</v>
      </c>
      <c r="I18" s="185">
        <f>'Pea Ridge Data'!$F$16/3*0.6</f>
        <v>24795.72</v>
      </c>
      <c r="J18" s="83" t="s">
        <v>96</v>
      </c>
      <c r="K18" s="83" t="s">
        <v>51</v>
      </c>
      <c r="L18" s="83" t="s">
        <v>51</v>
      </c>
      <c r="M18" s="83" t="s">
        <v>90</v>
      </c>
      <c r="N18" s="183">
        <f t="shared" si="0"/>
        <v>459.18</v>
      </c>
      <c r="O18" s="184">
        <f t="shared" si="1"/>
        <v>24795.72</v>
      </c>
      <c r="P18" s="120" t="s">
        <v>56</v>
      </c>
      <c r="Q18" s="120">
        <v>1</v>
      </c>
      <c r="R18" s="120" t="s">
        <v>124</v>
      </c>
      <c r="S18" s="90" t="s">
        <v>104</v>
      </c>
      <c r="T18" s="102" t="s">
        <v>65</v>
      </c>
      <c r="U18" s="102" t="s">
        <v>81</v>
      </c>
      <c r="V18" s="118">
        <v>7</v>
      </c>
      <c r="W18" s="81" t="str">
        <f t="shared" si="2"/>
        <v>341UND1CT1LRCTPEA RIDGE-NON54nt459.18CTs - DEMO</v>
      </c>
      <c r="X18" s="81"/>
    </row>
    <row r="19" spans="1:24" x14ac:dyDescent="0.25">
      <c r="A19" s="92" t="s">
        <v>98</v>
      </c>
      <c r="B19" s="84" t="s">
        <v>115</v>
      </c>
      <c r="C19" s="84" t="s">
        <v>143</v>
      </c>
      <c r="D19" s="83" t="s">
        <v>152</v>
      </c>
      <c r="E19" s="92" t="s">
        <v>156</v>
      </c>
      <c r="F19" s="116">
        <f>'Pea Ridge Data'!$D$16/3*0.2</f>
        <v>18</v>
      </c>
      <c r="G19" s="92" t="s">
        <v>30</v>
      </c>
      <c r="H19" s="187">
        <f>'Pea Ridge Data'!$E$16</f>
        <v>459.18</v>
      </c>
      <c r="I19" s="188">
        <f>'Pea Ridge Data'!$F$16/3*0.2</f>
        <v>8265.2400000000016</v>
      </c>
      <c r="J19" s="92" t="s">
        <v>96</v>
      </c>
      <c r="K19" s="92" t="s">
        <v>51</v>
      </c>
      <c r="L19" s="92" t="s">
        <v>51</v>
      </c>
      <c r="M19" s="92" t="s">
        <v>90</v>
      </c>
      <c r="N19" s="183">
        <f t="shared" si="0"/>
        <v>459.18</v>
      </c>
      <c r="O19" s="184">
        <f t="shared" si="1"/>
        <v>8265.2400000000016</v>
      </c>
      <c r="P19" s="120" t="s">
        <v>56</v>
      </c>
      <c r="Q19" s="120">
        <v>1</v>
      </c>
      <c r="R19" s="120" t="s">
        <v>124</v>
      </c>
      <c r="S19" s="90" t="s">
        <v>104</v>
      </c>
      <c r="T19" s="102" t="s">
        <v>65</v>
      </c>
      <c r="U19" s="102" t="s">
        <v>81</v>
      </c>
      <c r="V19" s="118">
        <v>7</v>
      </c>
      <c r="W19" s="81" t="str">
        <f t="shared" si="2"/>
        <v>343UND1CT1LRCTPEA RIDGE-NON18nt459.18CTs - DEMO</v>
      </c>
      <c r="X19" s="81"/>
    </row>
    <row r="20" spans="1:24" s="104" customFormat="1" x14ac:dyDescent="0.25">
      <c r="A20" s="83" t="s">
        <v>100</v>
      </c>
      <c r="B20" s="84" t="s">
        <v>118</v>
      </c>
      <c r="C20" s="84" t="s">
        <v>143</v>
      </c>
      <c r="D20" s="83" t="s">
        <v>152</v>
      </c>
      <c r="E20" s="83" t="s">
        <v>156</v>
      </c>
      <c r="F20" s="87">
        <f>'Pea Ridge Data'!$D$16/3*0.15</f>
        <v>13.5</v>
      </c>
      <c r="G20" s="83" t="s">
        <v>30</v>
      </c>
      <c r="H20" s="86">
        <f>'Pea Ridge Data'!$E$16</f>
        <v>459.18</v>
      </c>
      <c r="I20" s="185">
        <f>'Pea Ridge Data'!$F$16/3*0.15</f>
        <v>6198.93</v>
      </c>
      <c r="J20" s="83" t="s">
        <v>96</v>
      </c>
      <c r="K20" s="83" t="s">
        <v>51</v>
      </c>
      <c r="L20" s="83" t="s">
        <v>51</v>
      </c>
      <c r="M20" s="83" t="s">
        <v>90</v>
      </c>
      <c r="N20" s="183">
        <f t="shared" si="0"/>
        <v>459.18</v>
      </c>
      <c r="O20" s="184">
        <f t="shared" si="1"/>
        <v>6198.93</v>
      </c>
      <c r="P20" s="120" t="s">
        <v>56</v>
      </c>
      <c r="Q20" s="120">
        <v>1</v>
      </c>
      <c r="R20" s="120" t="s">
        <v>124</v>
      </c>
      <c r="S20" s="90" t="s">
        <v>104</v>
      </c>
      <c r="T20" s="102" t="s">
        <v>65</v>
      </c>
      <c r="U20" s="102" t="s">
        <v>81</v>
      </c>
      <c r="V20" s="118">
        <v>7</v>
      </c>
      <c r="W20" s="81" t="str">
        <f t="shared" si="2"/>
        <v>344UND1CT1LRCTPEA RIDGE-NON13.5nt459.18CTs - DEMO</v>
      </c>
      <c r="X20" s="81"/>
    </row>
    <row r="21" spans="1:24" s="104" customFormat="1" x14ac:dyDescent="0.25">
      <c r="A21" s="83" t="s">
        <v>101</v>
      </c>
      <c r="B21" s="84" t="s">
        <v>116</v>
      </c>
      <c r="C21" s="84" t="s">
        <v>143</v>
      </c>
      <c r="D21" s="83" t="s">
        <v>152</v>
      </c>
      <c r="E21" s="83" t="s">
        <v>156</v>
      </c>
      <c r="F21" s="87">
        <f>'Pea Ridge Data'!$D$16/3*0.05</f>
        <v>4.5</v>
      </c>
      <c r="G21" s="83" t="s">
        <v>30</v>
      </c>
      <c r="H21" s="86">
        <f>'Pea Ridge Data'!$E$16</f>
        <v>459.18</v>
      </c>
      <c r="I21" s="185">
        <f>'Pea Ridge Data'!$F$16/3*0.05</f>
        <v>2066.3100000000004</v>
      </c>
      <c r="J21" s="83" t="s">
        <v>96</v>
      </c>
      <c r="K21" s="83" t="s">
        <v>51</v>
      </c>
      <c r="L21" s="83" t="s">
        <v>51</v>
      </c>
      <c r="M21" s="83" t="s">
        <v>90</v>
      </c>
      <c r="N21" s="183">
        <f t="shared" si="0"/>
        <v>459.18</v>
      </c>
      <c r="O21" s="184">
        <f t="shared" si="1"/>
        <v>2066.3100000000004</v>
      </c>
      <c r="P21" s="120" t="s">
        <v>56</v>
      </c>
      <c r="Q21" s="120">
        <v>1</v>
      </c>
      <c r="R21" s="120" t="s">
        <v>124</v>
      </c>
      <c r="S21" s="90" t="s">
        <v>104</v>
      </c>
      <c r="T21" s="102" t="s">
        <v>65</v>
      </c>
      <c r="U21" s="102" t="s">
        <v>81</v>
      </c>
      <c r="V21" s="118">
        <v>7</v>
      </c>
      <c r="W21" s="81" t="str">
        <f t="shared" si="2"/>
        <v>345UND1CT1LRCTPEA RIDGE-NON4.5nt459.18CTs - DEMO</v>
      </c>
      <c r="X21" s="81"/>
    </row>
    <row r="22" spans="1:24" s="104" customFormat="1" x14ac:dyDescent="0.25">
      <c r="A22" s="83" t="s">
        <v>95</v>
      </c>
      <c r="B22" s="84" t="s">
        <v>117</v>
      </c>
      <c r="C22" s="84" t="s">
        <v>144</v>
      </c>
      <c r="D22" s="83" t="s">
        <v>153</v>
      </c>
      <c r="E22" s="83" t="s">
        <v>156</v>
      </c>
      <c r="F22" s="87">
        <f>'Pea Ridge Data'!$D$16/3*0.6</f>
        <v>54</v>
      </c>
      <c r="G22" s="83" t="s">
        <v>30</v>
      </c>
      <c r="H22" s="86">
        <f>'Pea Ridge Data'!$E$16</f>
        <v>459.18</v>
      </c>
      <c r="I22" s="185">
        <f>'Pea Ridge Data'!$F$16/3*0.6</f>
        <v>24795.72</v>
      </c>
      <c r="J22" s="83" t="s">
        <v>96</v>
      </c>
      <c r="K22" s="83" t="s">
        <v>51</v>
      </c>
      <c r="L22" s="83" t="s">
        <v>51</v>
      </c>
      <c r="M22" s="83" t="s">
        <v>90</v>
      </c>
      <c r="N22" s="183">
        <f t="shared" si="0"/>
        <v>459.18</v>
      </c>
      <c r="O22" s="184">
        <f t="shared" si="1"/>
        <v>24795.72</v>
      </c>
      <c r="P22" s="120" t="s">
        <v>56</v>
      </c>
      <c r="Q22" s="120">
        <v>1</v>
      </c>
      <c r="R22" s="120" t="s">
        <v>124</v>
      </c>
      <c r="S22" s="90" t="s">
        <v>104</v>
      </c>
      <c r="T22" s="102" t="s">
        <v>65</v>
      </c>
      <c r="U22" s="102" t="s">
        <v>81</v>
      </c>
      <c r="V22" s="118">
        <v>7</v>
      </c>
      <c r="W22" s="81" t="str">
        <f t="shared" si="2"/>
        <v>341UND2CT2LRCTPEA RIDGE-NON54nt459.18CTs - DEMO</v>
      </c>
      <c r="X22" s="81"/>
    </row>
    <row r="23" spans="1:24" s="104" customFormat="1" x14ac:dyDescent="0.25">
      <c r="A23" s="83" t="s">
        <v>98</v>
      </c>
      <c r="B23" s="84" t="s">
        <v>115</v>
      </c>
      <c r="C23" s="84" t="s">
        <v>144</v>
      </c>
      <c r="D23" s="83" t="s">
        <v>153</v>
      </c>
      <c r="E23" s="83" t="s">
        <v>156</v>
      </c>
      <c r="F23" s="87">
        <f>'Pea Ridge Data'!$D$16/3*0.2</f>
        <v>18</v>
      </c>
      <c r="G23" s="83" t="s">
        <v>30</v>
      </c>
      <c r="H23" s="86">
        <f>'Pea Ridge Data'!$E$16</f>
        <v>459.18</v>
      </c>
      <c r="I23" s="185">
        <f>'Pea Ridge Data'!$F$16/3*0.2</f>
        <v>8265.2400000000016</v>
      </c>
      <c r="J23" s="83" t="s">
        <v>96</v>
      </c>
      <c r="K23" s="83" t="s">
        <v>51</v>
      </c>
      <c r="L23" s="83" t="s">
        <v>51</v>
      </c>
      <c r="M23" s="83" t="s">
        <v>90</v>
      </c>
      <c r="N23" s="183">
        <f t="shared" si="0"/>
        <v>459.18</v>
      </c>
      <c r="O23" s="184">
        <f t="shared" si="1"/>
        <v>8265.2400000000016</v>
      </c>
      <c r="P23" s="120" t="s">
        <v>56</v>
      </c>
      <c r="Q23" s="120">
        <v>1</v>
      </c>
      <c r="R23" s="120" t="s">
        <v>124</v>
      </c>
      <c r="S23" s="90" t="s">
        <v>104</v>
      </c>
      <c r="T23" s="102" t="s">
        <v>65</v>
      </c>
      <c r="U23" s="102" t="s">
        <v>81</v>
      </c>
      <c r="V23" s="118">
        <v>7</v>
      </c>
      <c r="W23" s="81" t="str">
        <f t="shared" si="2"/>
        <v>343UND2CT2LRCTPEA RIDGE-NON18nt459.18CTs - DEMO</v>
      </c>
      <c r="X23" s="81"/>
    </row>
    <row r="24" spans="1:24" s="104" customFormat="1" x14ac:dyDescent="0.25">
      <c r="A24" s="83" t="s">
        <v>100</v>
      </c>
      <c r="B24" s="84" t="s">
        <v>118</v>
      </c>
      <c r="C24" s="84" t="s">
        <v>144</v>
      </c>
      <c r="D24" s="83" t="s">
        <v>153</v>
      </c>
      <c r="E24" s="83" t="s">
        <v>156</v>
      </c>
      <c r="F24" s="87">
        <f>'Pea Ridge Data'!$D$16/3*0.15</f>
        <v>13.5</v>
      </c>
      <c r="G24" s="83" t="s">
        <v>30</v>
      </c>
      <c r="H24" s="86">
        <f>'Pea Ridge Data'!$E$16</f>
        <v>459.18</v>
      </c>
      <c r="I24" s="185">
        <f>'Pea Ridge Data'!$F$16/3*0.15</f>
        <v>6198.93</v>
      </c>
      <c r="J24" s="83" t="s">
        <v>96</v>
      </c>
      <c r="K24" s="83" t="s">
        <v>51</v>
      </c>
      <c r="L24" s="83" t="s">
        <v>51</v>
      </c>
      <c r="M24" s="83" t="s">
        <v>90</v>
      </c>
      <c r="N24" s="183">
        <f t="shared" si="0"/>
        <v>459.18</v>
      </c>
      <c r="O24" s="184">
        <f t="shared" si="1"/>
        <v>6198.93</v>
      </c>
      <c r="P24" s="120" t="s">
        <v>56</v>
      </c>
      <c r="Q24" s="120">
        <v>1</v>
      </c>
      <c r="R24" s="120" t="s">
        <v>124</v>
      </c>
      <c r="S24" s="90" t="s">
        <v>104</v>
      </c>
      <c r="T24" s="102" t="s">
        <v>65</v>
      </c>
      <c r="U24" s="102" t="s">
        <v>81</v>
      </c>
      <c r="V24" s="118">
        <v>7</v>
      </c>
      <c r="W24" s="81" t="str">
        <f t="shared" si="2"/>
        <v>344UND2CT2LRCTPEA RIDGE-NON13.5nt459.18CTs - DEMO</v>
      </c>
      <c r="X24" s="81"/>
    </row>
    <row r="25" spans="1:24" s="104" customFormat="1" x14ac:dyDescent="0.25">
      <c r="A25" s="83" t="s">
        <v>101</v>
      </c>
      <c r="B25" s="84" t="s">
        <v>116</v>
      </c>
      <c r="C25" s="84" t="s">
        <v>144</v>
      </c>
      <c r="D25" s="83" t="s">
        <v>153</v>
      </c>
      <c r="E25" s="83" t="s">
        <v>156</v>
      </c>
      <c r="F25" s="87">
        <f>'Pea Ridge Data'!$D$16/3*0.05</f>
        <v>4.5</v>
      </c>
      <c r="G25" s="83" t="s">
        <v>30</v>
      </c>
      <c r="H25" s="86">
        <f>'Pea Ridge Data'!$E$16</f>
        <v>459.18</v>
      </c>
      <c r="I25" s="185">
        <f>'Pea Ridge Data'!$F$16/3*0.05</f>
        <v>2066.3100000000004</v>
      </c>
      <c r="J25" s="83" t="s">
        <v>96</v>
      </c>
      <c r="K25" s="83" t="s">
        <v>51</v>
      </c>
      <c r="L25" s="83" t="s">
        <v>51</v>
      </c>
      <c r="M25" s="83" t="s">
        <v>90</v>
      </c>
      <c r="N25" s="183">
        <f t="shared" si="0"/>
        <v>459.18</v>
      </c>
      <c r="O25" s="184">
        <f t="shared" si="1"/>
        <v>2066.3100000000004</v>
      </c>
      <c r="P25" s="120" t="s">
        <v>56</v>
      </c>
      <c r="Q25" s="120">
        <v>1</v>
      </c>
      <c r="R25" s="120" t="s">
        <v>124</v>
      </c>
      <c r="S25" s="90" t="s">
        <v>104</v>
      </c>
      <c r="T25" s="102" t="s">
        <v>65</v>
      </c>
      <c r="U25" s="102" t="s">
        <v>81</v>
      </c>
      <c r="V25" s="118">
        <v>7</v>
      </c>
      <c r="W25" s="81" t="str">
        <f t="shared" si="2"/>
        <v>345UND2CT2LRCTPEA RIDGE-NON4.5nt459.18CTs - DEMO</v>
      </c>
      <c r="X25" s="81"/>
    </row>
    <row r="26" spans="1:24" s="104" customFormat="1" x14ac:dyDescent="0.25">
      <c r="A26" s="83" t="s">
        <v>95</v>
      </c>
      <c r="B26" s="84" t="s">
        <v>117</v>
      </c>
      <c r="C26" s="84" t="s">
        <v>145</v>
      </c>
      <c r="D26" s="83" t="s">
        <v>154</v>
      </c>
      <c r="E26" s="83" t="s">
        <v>156</v>
      </c>
      <c r="F26" s="87">
        <f>'Pea Ridge Data'!$D$16/3*0.6</f>
        <v>54</v>
      </c>
      <c r="G26" s="83" t="s">
        <v>30</v>
      </c>
      <c r="H26" s="86">
        <f>'Pea Ridge Data'!$E$16</f>
        <v>459.18</v>
      </c>
      <c r="I26" s="185">
        <f>'Pea Ridge Data'!$F$16/3*0.6</f>
        <v>24795.72</v>
      </c>
      <c r="J26" s="83" t="s">
        <v>96</v>
      </c>
      <c r="K26" s="83" t="s">
        <v>51</v>
      </c>
      <c r="L26" s="83" t="s">
        <v>51</v>
      </c>
      <c r="M26" s="83" t="s">
        <v>90</v>
      </c>
      <c r="N26" s="183">
        <f t="shared" si="0"/>
        <v>459.18</v>
      </c>
      <c r="O26" s="184">
        <f t="shared" si="1"/>
        <v>24795.72</v>
      </c>
      <c r="P26" s="120" t="s">
        <v>56</v>
      </c>
      <c r="Q26" s="120">
        <v>1</v>
      </c>
      <c r="R26" s="120" t="s">
        <v>124</v>
      </c>
      <c r="S26" s="90" t="s">
        <v>104</v>
      </c>
      <c r="T26" s="102" t="s">
        <v>65</v>
      </c>
      <c r="U26" s="102" t="s">
        <v>81</v>
      </c>
      <c r="V26" s="118">
        <v>7</v>
      </c>
      <c r="W26" s="81" t="str">
        <f t="shared" si="2"/>
        <v>341UND3CT3LRCTPEA RIDGE-NON54nt459.18CTs - DEMO</v>
      </c>
      <c r="X26" s="81"/>
    </row>
    <row r="27" spans="1:24" s="104" customFormat="1" x14ac:dyDescent="0.25">
      <c r="A27" s="83" t="s">
        <v>98</v>
      </c>
      <c r="B27" s="84" t="s">
        <v>115</v>
      </c>
      <c r="C27" s="84" t="s">
        <v>145</v>
      </c>
      <c r="D27" s="83" t="s">
        <v>154</v>
      </c>
      <c r="E27" s="83" t="s">
        <v>156</v>
      </c>
      <c r="F27" s="87">
        <f>'Pea Ridge Data'!$D$16/3*0.2</f>
        <v>18</v>
      </c>
      <c r="G27" s="83" t="s">
        <v>30</v>
      </c>
      <c r="H27" s="86">
        <f>'Pea Ridge Data'!$E$16</f>
        <v>459.18</v>
      </c>
      <c r="I27" s="185">
        <f>'Pea Ridge Data'!$F$16/3*0.2</f>
        <v>8265.2400000000016</v>
      </c>
      <c r="J27" s="83" t="s">
        <v>96</v>
      </c>
      <c r="K27" s="83" t="s">
        <v>51</v>
      </c>
      <c r="L27" s="83" t="s">
        <v>51</v>
      </c>
      <c r="M27" s="83" t="s">
        <v>90</v>
      </c>
      <c r="N27" s="183">
        <f t="shared" si="0"/>
        <v>459.18</v>
      </c>
      <c r="O27" s="184">
        <f t="shared" si="1"/>
        <v>8265.2400000000016</v>
      </c>
      <c r="P27" s="120" t="s">
        <v>56</v>
      </c>
      <c r="Q27" s="120">
        <v>1</v>
      </c>
      <c r="R27" s="120" t="s">
        <v>124</v>
      </c>
      <c r="S27" s="90" t="s">
        <v>104</v>
      </c>
      <c r="T27" s="102" t="s">
        <v>65</v>
      </c>
      <c r="U27" s="102" t="s">
        <v>81</v>
      </c>
      <c r="V27" s="118">
        <v>7</v>
      </c>
      <c r="W27" s="81" t="str">
        <f t="shared" si="2"/>
        <v>343UND3CT3LRCTPEA RIDGE-NON18nt459.18CTs - DEMO</v>
      </c>
      <c r="X27" s="81"/>
    </row>
    <row r="28" spans="1:24" s="104" customFormat="1" x14ac:dyDescent="0.25">
      <c r="A28" s="83" t="s">
        <v>100</v>
      </c>
      <c r="B28" s="84" t="s">
        <v>118</v>
      </c>
      <c r="C28" s="84" t="s">
        <v>145</v>
      </c>
      <c r="D28" s="83" t="s">
        <v>154</v>
      </c>
      <c r="E28" s="83" t="s">
        <v>156</v>
      </c>
      <c r="F28" s="87">
        <f>'Pea Ridge Data'!$D$16/3*0.15</f>
        <v>13.5</v>
      </c>
      <c r="G28" s="83" t="s">
        <v>30</v>
      </c>
      <c r="H28" s="86">
        <f>'Pea Ridge Data'!$E$16</f>
        <v>459.18</v>
      </c>
      <c r="I28" s="185">
        <f>'Pea Ridge Data'!$F$16/3*0.15</f>
        <v>6198.93</v>
      </c>
      <c r="J28" s="83" t="s">
        <v>96</v>
      </c>
      <c r="K28" s="83" t="s">
        <v>51</v>
      </c>
      <c r="L28" s="83" t="s">
        <v>51</v>
      </c>
      <c r="M28" s="83" t="s">
        <v>90</v>
      </c>
      <c r="N28" s="183">
        <f t="shared" si="0"/>
        <v>459.18</v>
      </c>
      <c r="O28" s="184">
        <f t="shared" si="1"/>
        <v>6198.93</v>
      </c>
      <c r="P28" s="120" t="s">
        <v>56</v>
      </c>
      <c r="Q28" s="120">
        <v>1</v>
      </c>
      <c r="R28" s="120" t="s">
        <v>124</v>
      </c>
      <c r="S28" s="90" t="s">
        <v>104</v>
      </c>
      <c r="T28" s="102" t="s">
        <v>65</v>
      </c>
      <c r="U28" s="102" t="s">
        <v>81</v>
      </c>
      <c r="V28" s="118">
        <v>7</v>
      </c>
      <c r="W28" s="81" t="str">
        <f t="shared" si="2"/>
        <v>344UND3CT3LRCTPEA RIDGE-NON13.5nt459.18CTs - DEMO</v>
      </c>
      <c r="X28" s="81"/>
    </row>
    <row r="29" spans="1:24" s="104" customFormat="1" x14ac:dyDescent="0.25">
      <c r="A29" s="83" t="s">
        <v>101</v>
      </c>
      <c r="B29" s="84" t="s">
        <v>116</v>
      </c>
      <c r="C29" s="84" t="s">
        <v>145</v>
      </c>
      <c r="D29" s="83" t="s">
        <v>154</v>
      </c>
      <c r="E29" s="83" t="s">
        <v>156</v>
      </c>
      <c r="F29" s="87">
        <f>'Pea Ridge Data'!$D$16/3*0.05</f>
        <v>4.5</v>
      </c>
      <c r="G29" s="83" t="s">
        <v>30</v>
      </c>
      <c r="H29" s="86">
        <f>'Pea Ridge Data'!$E$16</f>
        <v>459.18</v>
      </c>
      <c r="I29" s="185">
        <f>'Pea Ridge Data'!$F$16/3*0.05</f>
        <v>2066.3100000000004</v>
      </c>
      <c r="J29" s="83" t="s">
        <v>96</v>
      </c>
      <c r="K29" s="83" t="s">
        <v>51</v>
      </c>
      <c r="L29" s="83" t="s">
        <v>51</v>
      </c>
      <c r="M29" s="83" t="s">
        <v>90</v>
      </c>
      <c r="N29" s="183">
        <f t="shared" si="0"/>
        <v>459.18</v>
      </c>
      <c r="O29" s="184">
        <f t="shared" si="1"/>
        <v>2066.3100000000004</v>
      </c>
      <c r="P29" s="120" t="s">
        <v>56</v>
      </c>
      <c r="Q29" s="120">
        <v>1</v>
      </c>
      <c r="R29" s="120" t="s">
        <v>124</v>
      </c>
      <c r="S29" s="90" t="s">
        <v>104</v>
      </c>
      <c r="T29" s="102" t="s">
        <v>65</v>
      </c>
      <c r="U29" s="102" t="s">
        <v>81</v>
      </c>
      <c r="V29" s="118">
        <v>7</v>
      </c>
      <c r="W29" s="81" t="str">
        <f t="shared" si="2"/>
        <v>345UND3CT3LRCTPEA RIDGE-NON4.5nt459.18CTs - DEMO</v>
      </c>
      <c r="X29" s="81"/>
    </row>
    <row r="30" spans="1:24" s="104" customFormat="1" x14ac:dyDescent="0.25">
      <c r="A30" s="83" t="s">
        <v>95</v>
      </c>
      <c r="B30" s="84" t="s">
        <v>117</v>
      </c>
      <c r="C30" s="84" t="s">
        <v>143</v>
      </c>
      <c r="D30" s="83" t="s">
        <v>146</v>
      </c>
      <c r="E30" s="83" t="s">
        <v>156</v>
      </c>
      <c r="F30" s="87">
        <f>'Pea Ridge Data'!$D$17/3*0.6</f>
        <v>54</v>
      </c>
      <c r="G30" s="83" t="s">
        <v>30</v>
      </c>
      <c r="H30" s="86">
        <f>'Pea Ridge Data'!$E$17</f>
        <v>-108.3695731319762</v>
      </c>
      <c r="I30" s="185">
        <f>'Pea Ridge Data'!$F$17/3*0.6</f>
        <v>-5851.9569491267148</v>
      </c>
      <c r="J30" s="83" t="s">
        <v>97</v>
      </c>
      <c r="K30" s="83" t="s">
        <v>89</v>
      </c>
      <c r="L30" s="83" t="s">
        <v>51</v>
      </c>
      <c r="M30" s="83" t="s">
        <v>197</v>
      </c>
      <c r="N30" s="183">
        <f t="shared" si="0"/>
        <v>-108.3695731319762</v>
      </c>
      <c r="O30" s="184">
        <f t="shared" si="1"/>
        <v>-5851.9569491267148</v>
      </c>
      <c r="P30" s="120" t="s">
        <v>56</v>
      </c>
      <c r="Q30" s="120">
        <v>1</v>
      </c>
      <c r="R30" s="120" t="s">
        <v>124</v>
      </c>
      <c r="S30" s="90" t="s">
        <v>108</v>
      </c>
      <c r="T30" s="102" t="s">
        <v>65</v>
      </c>
      <c r="U30" s="102" t="s">
        <v>81</v>
      </c>
      <c r="V30" s="118">
        <v>8</v>
      </c>
      <c r="W30" s="81" t="str">
        <f t="shared" si="2"/>
        <v>341UND1CT1MSCTPEA RIDGE-NON54nt-108.369573131976CTs - FE Sales</v>
      </c>
      <c r="X30" s="81"/>
    </row>
    <row r="31" spans="1:24" s="104" customFormat="1" x14ac:dyDescent="0.25">
      <c r="A31" s="83" t="s">
        <v>98</v>
      </c>
      <c r="B31" s="84" t="s">
        <v>115</v>
      </c>
      <c r="C31" s="84" t="s">
        <v>143</v>
      </c>
      <c r="D31" s="83" t="s">
        <v>146</v>
      </c>
      <c r="E31" s="83" t="s">
        <v>156</v>
      </c>
      <c r="F31" s="87">
        <f>'Pea Ridge Data'!$D$17/3*0.25</f>
        <v>22.5</v>
      </c>
      <c r="G31" s="83" t="s">
        <v>30</v>
      </c>
      <c r="H31" s="86">
        <f>'Pea Ridge Data'!$E$17</f>
        <v>-108.3695731319762</v>
      </c>
      <c r="I31" s="185">
        <f>'Pea Ridge Data'!$F$17/3*0.25</f>
        <v>-2438.3153954694644</v>
      </c>
      <c r="J31" s="83" t="s">
        <v>97</v>
      </c>
      <c r="K31" s="83" t="s">
        <v>89</v>
      </c>
      <c r="L31" s="83" t="s">
        <v>51</v>
      </c>
      <c r="M31" s="83" t="s">
        <v>197</v>
      </c>
      <c r="N31" s="183">
        <f t="shared" si="0"/>
        <v>-108.3695731319762</v>
      </c>
      <c r="O31" s="184">
        <f t="shared" si="1"/>
        <v>-2438.3153954694644</v>
      </c>
      <c r="P31" s="120" t="s">
        <v>56</v>
      </c>
      <c r="Q31" s="120">
        <v>1</v>
      </c>
      <c r="R31" s="120" t="s">
        <v>124</v>
      </c>
      <c r="S31" s="90" t="s">
        <v>108</v>
      </c>
      <c r="T31" s="102" t="s">
        <v>65</v>
      </c>
      <c r="U31" s="102" t="s">
        <v>81</v>
      </c>
      <c r="V31" s="118">
        <v>8</v>
      </c>
      <c r="W31" s="81" t="str">
        <f t="shared" si="2"/>
        <v>343UND1CT1MSCTPEA RIDGE-NON22.5nt-108.369573131976CTs - FE Sales</v>
      </c>
      <c r="X31" s="81"/>
    </row>
    <row r="32" spans="1:24" s="104" customFormat="1" x14ac:dyDescent="0.25">
      <c r="A32" s="83" t="s">
        <v>100</v>
      </c>
      <c r="B32" s="84" t="s">
        <v>118</v>
      </c>
      <c r="C32" s="84" t="s">
        <v>143</v>
      </c>
      <c r="D32" s="83" t="s">
        <v>146</v>
      </c>
      <c r="E32" s="83" t="s">
        <v>156</v>
      </c>
      <c r="F32" s="87">
        <f>'Pea Ridge Data'!$D$17/3*0.15</f>
        <v>13.5</v>
      </c>
      <c r="G32" s="83" t="s">
        <v>30</v>
      </c>
      <c r="H32" s="86">
        <f>'Pea Ridge Data'!$E$17</f>
        <v>-108.3695731319762</v>
      </c>
      <c r="I32" s="185">
        <f>'Pea Ridge Data'!$F$17/3*0.15</f>
        <v>-1462.9892372816787</v>
      </c>
      <c r="J32" s="83" t="s">
        <v>97</v>
      </c>
      <c r="K32" s="83" t="s">
        <v>89</v>
      </c>
      <c r="L32" s="83" t="s">
        <v>51</v>
      </c>
      <c r="M32" s="83" t="s">
        <v>197</v>
      </c>
      <c r="N32" s="183">
        <f t="shared" si="0"/>
        <v>-108.3695731319762</v>
      </c>
      <c r="O32" s="184">
        <f t="shared" si="1"/>
        <v>-1462.9892372816787</v>
      </c>
      <c r="P32" s="120" t="s">
        <v>56</v>
      </c>
      <c r="Q32" s="120">
        <v>1</v>
      </c>
      <c r="R32" s="120" t="s">
        <v>124</v>
      </c>
      <c r="S32" s="90" t="s">
        <v>108</v>
      </c>
      <c r="T32" s="102" t="s">
        <v>65</v>
      </c>
      <c r="U32" s="102" t="s">
        <v>81</v>
      </c>
      <c r="V32" s="118">
        <v>8</v>
      </c>
      <c r="W32" s="81" t="str">
        <f t="shared" si="2"/>
        <v>344UND1CT1MSCTPEA RIDGE-NON13.5nt-108.369573131976CTs - FE Sales</v>
      </c>
      <c r="X32" s="81"/>
    </row>
    <row r="33" spans="1:24" s="104" customFormat="1" x14ac:dyDescent="0.25">
      <c r="A33" s="83" t="s">
        <v>95</v>
      </c>
      <c r="B33" s="84" t="s">
        <v>117</v>
      </c>
      <c r="C33" s="84" t="s">
        <v>144</v>
      </c>
      <c r="D33" s="83" t="s">
        <v>147</v>
      </c>
      <c r="E33" s="83" t="s">
        <v>156</v>
      </c>
      <c r="F33" s="87">
        <f>'Pea Ridge Data'!$D$17/3*0.6</f>
        <v>54</v>
      </c>
      <c r="G33" s="83" t="s">
        <v>30</v>
      </c>
      <c r="H33" s="86">
        <f>'Pea Ridge Data'!$E$17</f>
        <v>-108.3695731319762</v>
      </c>
      <c r="I33" s="185">
        <f>'Pea Ridge Data'!$F$17/3*0.6</f>
        <v>-5851.9569491267148</v>
      </c>
      <c r="J33" s="83" t="s">
        <v>97</v>
      </c>
      <c r="K33" s="83" t="s">
        <v>89</v>
      </c>
      <c r="L33" s="83" t="s">
        <v>51</v>
      </c>
      <c r="M33" s="83" t="s">
        <v>197</v>
      </c>
      <c r="N33" s="183">
        <f t="shared" si="0"/>
        <v>-108.3695731319762</v>
      </c>
      <c r="O33" s="184">
        <f t="shared" si="1"/>
        <v>-5851.9569491267148</v>
      </c>
      <c r="P33" s="120" t="s">
        <v>56</v>
      </c>
      <c r="Q33" s="120">
        <v>1</v>
      </c>
      <c r="R33" s="120" t="s">
        <v>124</v>
      </c>
      <c r="S33" s="90" t="s">
        <v>108</v>
      </c>
      <c r="T33" s="102" t="s">
        <v>65</v>
      </c>
      <c r="U33" s="102" t="s">
        <v>81</v>
      </c>
      <c r="V33" s="118">
        <v>8</v>
      </c>
      <c r="W33" s="81" t="str">
        <f t="shared" si="2"/>
        <v>341UND2CT2MSCTPEA RIDGE-NON54nt-108.369573131976CTs - FE Sales</v>
      </c>
      <c r="X33" s="81"/>
    </row>
    <row r="34" spans="1:24" x14ac:dyDescent="0.25">
      <c r="A34" s="92" t="s">
        <v>98</v>
      </c>
      <c r="B34" s="84" t="s">
        <v>115</v>
      </c>
      <c r="C34" s="90" t="s">
        <v>144</v>
      </c>
      <c r="D34" s="92" t="s">
        <v>147</v>
      </c>
      <c r="E34" s="92" t="s">
        <v>156</v>
      </c>
      <c r="F34" s="116">
        <f>'Pea Ridge Data'!$D$17/3*0.25</f>
        <v>22.5</v>
      </c>
      <c r="G34" s="92" t="s">
        <v>30</v>
      </c>
      <c r="H34" s="187">
        <f>'Pea Ridge Data'!$E$17</f>
        <v>-108.3695731319762</v>
      </c>
      <c r="I34" s="188">
        <f>'Pea Ridge Data'!$F$17/3*0.25</f>
        <v>-2438.3153954694644</v>
      </c>
      <c r="J34" s="92" t="s">
        <v>97</v>
      </c>
      <c r="K34" s="92" t="s">
        <v>89</v>
      </c>
      <c r="L34" s="92" t="s">
        <v>51</v>
      </c>
      <c r="M34" s="83" t="s">
        <v>197</v>
      </c>
      <c r="N34" s="183">
        <f t="shared" si="0"/>
        <v>-108.3695731319762</v>
      </c>
      <c r="O34" s="184">
        <f t="shared" si="1"/>
        <v>-2438.3153954694644</v>
      </c>
      <c r="P34" s="120" t="s">
        <v>56</v>
      </c>
      <c r="Q34" s="120">
        <v>1</v>
      </c>
      <c r="R34" s="120" t="s">
        <v>124</v>
      </c>
      <c r="S34" s="90" t="s">
        <v>108</v>
      </c>
      <c r="T34" s="102" t="s">
        <v>65</v>
      </c>
      <c r="U34" s="102" t="s">
        <v>81</v>
      </c>
      <c r="V34" s="118">
        <v>8</v>
      </c>
      <c r="W34" s="81" t="str">
        <f t="shared" si="2"/>
        <v>343UND2CT2MSCTPEA RIDGE-NON22.5nt-108.369573131976CTs - FE Sales</v>
      </c>
      <c r="X34" s="81"/>
    </row>
    <row r="35" spans="1:24" x14ac:dyDescent="0.25">
      <c r="A35" s="92" t="s">
        <v>100</v>
      </c>
      <c r="B35" s="84" t="s">
        <v>118</v>
      </c>
      <c r="C35" s="90" t="s">
        <v>144</v>
      </c>
      <c r="D35" s="92" t="s">
        <v>147</v>
      </c>
      <c r="E35" s="92" t="s">
        <v>156</v>
      </c>
      <c r="F35" s="116">
        <f>'Pea Ridge Data'!$D$17/3*0.15</f>
        <v>13.5</v>
      </c>
      <c r="G35" s="92" t="s">
        <v>30</v>
      </c>
      <c r="H35" s="187">
        <f>'Pea Ridge Data'!$E$17</f>
        <v>-108.3695731319762</v>
      </c>
      <c r="I35" s="188">
        <f>'Pea Ridge Data'!$F$17/3*0.15</f>
        <v>-1462.9892372816787</v>
      </c>
      <c r="J35" s="92" t="s">
        <v>97</v>
      </c>
      <c r="K35" s="92" t="s">
        <v>89</v>
      </c>
      <c r="L35" s="92" t="s">
        <v>51</v>
      </c>
      <c r="M35" s="83" t="s">
        <v>197</v>
      </c>
      <c r="N35" s="183">
        <f t="shared" ref="N35:N62" si="3">H35</f>
        <v>-108.3695731319762</v>
      </c>
      <c r="O35" s="184">
        <f t="shared" ref="O35:O62" si="4">I35</f>
        <v>-1462.9892372816787</v>
      </c>
      <c r="P35" s="120" t="s">
        <v>56</v>
      </c>
      <c r="Q35" s="120">
        <v>1</v>
      </c>
      <c r="R35" s="120" t="s">
        <v>124</v>
      </c>
      <c r="S35" s="90" t="s">
        <v>108</v>
      </c>
      <c r="T35" s="102" t="s">
        <v>65</v>
      </c>
      <c r="U35" s="102" t="s">
        <v>81</v>
      </c>
      <c r="V35" s="118">
        <v>8</v>
      </c>
      <c r="W35" s="81" t="str">
        <f t="shared" ref="W35:W62" si="5">A35&amp;C35&amp;D35&amp;E35&amp;F35&amp;G35&amp;H35&amp;J35</f>
        <v>344UND2CT2MSCTPEA RIDGE-NON13.5nt-108.369573131976CTs - FE Sales</v>
      </c>
      <c r="X35" s="81"/>
    </row>
    <row r="36" spans="1:24" x14ac:dyDescent="0.25">
      <c r="A36" s="83" t="s">
        <v>95</v>
      </c>
      <c r="B36" s="84" t="s">
        <v>117</v>
      </c>
      <c r="C36" s="84" t="s">
        <v>145</v>
      </c>
      <c r="D36" s="83" t="s">
        <v>148</v>
      </c>
      <c r="E36" s="83" t="s">
        <v>156</v>
      </c>
      <c r="F36" s="87">
        <f>'Pea Ridge Data'!$D$17/3*0.6</f>
        <v>54</v>
      </c>
      <c r="G36" s="83" t="s">
        <v>30</v>
      </c>
      <c r="H36" s="86">
        <f>'Pea Ridge Data'!$E$17</f>
        <v>-108.3695731319762</v>
      </c>
      <c r="I36" s="185">
        <f>'Pea Ridge Data'!$F$17/3*0.6</f>
        <v>-5851.9569491267148</v>
      </c>
      <c r="J36" s="83" t="s">
        <v>97</v>
      </c>
      <c r="K36" s="83" t="s">
        <v>89</v>
      </c>
      <c r="L36" s="83" t="s">
        <v>51</v>
      </c>
      <c r="M36" s="83" t="s">
        <v>197</v>
      </c>
      <c r="N36" s="183">
        <f t="shared" si="3"/>
        <v>-108.3695731319762</v>
      </c>
      <c r="O36" s="184">
        <f t="shared" si="4"/>
        <v>-5851.9569491267148</v>
      </c>
      <c r="P36" s="120" t="s">
        <v>56</v>
      </c>
      <c r="Q36" s="120">
        <v>1</v>
      </c>
      <c r="R36" s="120" t="s">
        <v>124</v>
      </c>
      <c r="S36" s="90" t="s">
        <v>108</v>
      </c>
      <c r="T36" s="102" t="s">
        <v>65</v>
      </c>
      <c r="U36" s="102" t="s">
        <v>81</v>
      </c>
      <c r="V36" s="118">
        <v>8</v>
      </c>
      <c r="W36" s="81" t="str">
        <f t="shared" si="5"/>
        <v>341UND3CT3MSCTPEA RIDGE-NON54nt-108.369573131976CTs - FE Sales</v>
      </c>
      <c r="X36" s="81"/>
    </row>
    <row r="37" spans="1:24" x14ac:dyDescent="0.25">
      <c r="A37" s="83" t="s">
        <v>98</v>
      </c>
      <c r="B37" s="84" t="s">
        <v>115</v>
      </c>
      <c r="C37" s="84" t="s">
        <v>145</v>
      </c>
      <c r="D37" s="83" t="s">
        <v>148</v>
      </c>
      <c r="E37" s="83" t="s">
        <v>156</v>
      </c>
      <c r="F37" s="87">
        <f>'Pea Ridge Data'!$D$17/3*0.25</f>
        <v>22.5</v>
      </c>
      <c r="G37" s="83" t="s">
        <v>30</v>
      </c>
      <c r="H37" s="86">
        <f>'Pea Ridge Data'!$E$17</f>
        <v>-108.3695731319762</v>
      </c>
      <c r="I37" s="185">
        <f>'Pea Ridge Data'!$F$17/3*0.25</f>
        <v>-2438.3153954694644</v>
      </c>
      <c r="J37" s="83" t="s">
        <v>97</v>
      </c>
      <c r="K37" s="83" t="s">
        <v>89</v>
      </c>
      <c r="L37" s="83" t="s">
        <v>51</v>
      </c>
      <c r="M37" s="83" t="s">
        <v>197</v>
      </c>
      <c r="N37" s="183">
        <f t="shared" si="3"/>
        <v>-108.3695731319762</v>
      </c>
      <c r="O37" s="184">
        <f t="shared" si="4"/>
        <v>-2438.3153954694644</v>
      </c>
      <c r="P37" s="120" t="s">
        <v>56</v>
      </c>
      <c r="Q37" s="120">
        <v>1</v>
      </c>
      <c r="R37" s="120" t="s">
        <v>124</v>
      </c>
      <c r="S37" s="90" t="s">
        <v>108</v>
      </c>
      <c r="T37" s="102" t="s">
        <v>65</v>
      </c>
      <c r="U37" s="102" t="s">
        <v>81</v>
      </c>
      <c r="V37" s="118">
        <v>8</v>
      </c>
      <c r="W37" s="81" t="str">
        <f t="shared" si="5"/>
        <v>343UND3CT3MSCTPEA RIDGE-NON22.5nt-108.369573131976CTs - FE Sales</v>
      </c>
      <c r="X37" s="81"/>
    </row>
    <row r="38" spans="1:24" x14ac:dyDescent="0.25">
      <c r="A38" s="83" t="s">
        <v>100</v>
      </c>
      <c r="B38" s="84" t="s">
        <v>118</v>
      </c>
      <c r="C38" s="84" t="s">
        <v>145</v>
      </c>
      <c r="D38" s="83" t="s">
        <v>148</v>
      </c>
      <c r="E38" s="83" t="s">
        <v>156</v>
      </c>
      <c r="F38" s="87">
        <f>'Pea Ridge Data'!$D$17/3*0.15</f>
        <v>13.5</v>
      </c>
      <c r="G38" s="83" t="s">
        <v>30</v>
      </c>
      <c r="H38" s="86">
        <f>'Pea Ridge Data'!$E$17</f>
        <v>-108.3695731319762</v>
      </c>
      <c r="I38" s="185">
        <f>'Pea Ridge Data'!$F$17/3*0.15</f>
        <v>-1462.9892372816787</v>
      </c>
      <c r="J38" s="83" t="s">
        <v>97</v>
      </c>
      <c r="K38" s="83" t="s">
        <v>89</v>
      </c>
      <c r="L38" s="83" t="s">
        <v>51</v>
      </c>
      <c r="M38" s="83" t="s">
        <v>197</v>
      </c>
      <c r="N38" s="183">
        <f t="shared" si="3"/>
        <v>-108.3695731319762</v>
      </c>
      <c r="O38" s="184">
        <f t="shared" si="4"/>
        <v>-1462.9892372816787</v>
      </c>
      <c r="P38" s="120" t="s">
        <v>56</v>
      </c>
      <c r="Q38" s="120">
        <v>1</v>
      </c>
      <c r="R38" s="120" t="s">
        <v>124</v>
      </c>
      <c r="S38" s="90" t="s">
        <v>108</v>
      </c>
      <c r="T38" s="102" t="s">
        <v>65</v>
      </c>
      <c r="U38" s="102" t="s">
        <v>81</v>
      </c>
      <c r="V38" s="118">
        <v>8</v>
      </c>
      <c r="W38" s="81" t="str">
        <f t="shared" si="5"/>
        <v>344UND3CT3MSCTPEA RIDGE-NON13.5nt-108.369573131976CTs - FE Sales</v>
      </c>
      <c r="X38" s="81"/>
    </row>
    <row r="39" spans="1:24" x14ac:dyDescent="0.25">
      <c r="A39" s="83" t="s">
        <v>101</v>
      </c>
      <c r="B39" s="84" t="s">
        <v>116</v>
      </c>
      <c r="C39" s="84" t="s">
        <v>143</v>
      </c>
      <c r="D39" s="83" t="s">
        <v>146</v>
      </c>
      <c r="E39" s="83" t="s">
        <v>156</v>
      </c>
      <c r="F39" s="87">
        <f>'Pea Ridge Data'!$D$21/3</f>
        <v>21009.452644244069</v>
      </c>
      <c r="G39" s="83" t="s">
        <v>31</v>
      </c>
      <c r="H39" s="86">
        <f>'Pea Ridge Data'!$E$21</f>
        <v>-0.31414430979039298</v>
      </c>
      <c r="I39" s="185">
        <f>'Pea Ridge Data'!$F$21/3</f>
        <v>-6600</v>
      </c>
      <c r="J39" s="83" t="s">
        <v>102</v>
      </c>
      <c r="K39" s="83" t="s">
        <v>91</v>
      </c>
      <c r="L39" s="83" t="s">
        <v>92</v>
      </c>
      <c r="M39" s="83" t="s">
        <v>197</v>
      </c>
      <c r="N39" s="183">
        <f t="shared" si="3"/>
        <v>-0.31414430979039298</v>
      </c>
      <c r="O39" s="184">
        <f t="shared" si="4"/>
        <v>-6600</v>
      </c>
      <c r="P39" s="120" t="s">
        <v>56</v>
      </c>
      <c r="Q39" s="120">
        <v>1</v>
      </c>
      <c r="R39" s="120" t="s">
        <v>124</v>
      </c>
      <c r="S39" s="90" t="s">
        <v>108</v>
      </c>
      <c r="T39" s="102" t="s">
        <v>65</v>
      </c>
      <c r="U39" s="102" t="s">
        <v>81</v>
      </c>
      <c r="V39" s="118">
        <v>12</v>
      </c>
      <c r="W39" s="81" t="str">
        <f t="shared" si="5"/>
        <v>345UND1CT1MSCTPEA RIDGE-NON21009.452644244lbs-0.314144309790393CTs Transformers - CU Sales</v>
      </c>
      <c r="X39" s="81"/>
    </row>
    <row r="40" spans="1:24" x14ac:dyDescent="0.25">
      <c r="A40" s="83" t="s">
        <v>101</v>
      </c>
      <c r="B40" s="84" t="s">
        <v>116</v>
      </c>
      <c r="C40" s="84" t="s">
        <v>144</v>
      </c>
      <c r="D40" s="83" t="s">
        <v>147</v>
      </c>
      <c r="E40" s="83" t="s">
        <v>156</v>
      </c>
      <c r="F40" s="87">
        <f>'Pea Ridge Data'!$D$21/3</f>
        <v>21009.452644244069</v>
      </c>
      <c r="G40" s="83" t="s">
        <v>31</v>
      </c>
      <c r="H40" s="86">
        <f>'Pea Ridge Data'!$E$21</f>
        <v>-0.31414430979039298</v>
      </c>
      <c r="I40" s="185">
        <f>'Pea Ridge Data'!$F$21/3</f>
        <v>-6600</v>
      </c>
      <c r="J40" s="83" t="s">
        <v>102</v>
      </c>
      <c r="K40" s="83" t="s">
        <v>91</v>
      </c>
      <c r="L40" s="83" t="s">
        <v>92</v>
      </c>
      <c r="M40" s="83" t="s">
        <v>197</v>
      </c>
      <c r="N40" s="183">
        <f t="shared" si="3"/>
        <v>-0.31414430979039298</v>
      </c>
      <c r="O40" s="184">
        <f t="shared" si="4"/>
        <v>-6600</v>
      </c>
      <c r="P40" s="120" t="s">
        <v>56</v>
      </c>
      <c r="Q40" s="120">
        <v>1</v>
      </c>
      <c r="R40" s="120" t="s">
        <v>124</v>
      </c>
      <c r="S40" s="90" t="s">
        <v>108</v>
      </c>
      <c r="T40" s="102" t="s">
        <v>65</v>
      </c>
      <c r="U40" s="102" t="s">
        <v>81</v>
      </c>
      <c r="V40" s="118">
        <v>12</v>
      </c>
      <c r="W40" s="81" t="str">
        <f t="shared" si="5"/>
        <v>345UND2CT2MSCTPEA RIDGE-NON21009.452644244lbs-0.314144309790393CTs Transformers - CU Sales</v>
      </c>
      <c r="X40" s="81"/>
    </row>
    <row r="41" spans="1:24" x14ac:dyDescent="0.25">
      <c r="A41" s="83" t="s">
        <v>101</v>
      </c>
      <c r="B41" s="84" t="s">
        <v>116</v>
      </c>
      <c r="C41" s="84" t="s">
        <v>145</v>
      </c>
      <c r="D41" s="83" t="s">
        <v>148</v>
      </c>
      <c r="E41" s="83" t="s">
        <v>156</v>
      </c>
      <c r="F41" s="87">
        <f>'Pea Ridge Data'!$D$21/3</f>
        <v>21009.452644244069</v>
      </c>
      <c r="G41" s="83" t="s">
        <v>31</v>
      </c>
      <c r="H41" s="86">
        <f>'Pea Ridge Data'!$E$21</f>
        <v>-0.31414430979039298</v>
      </c>
      <c r="I41" s="185">
        <f>'Pea Ridge Data'!$F$21/3</f>
        <v>-6600</v>
      </c>
      <c r="J41" s="83" t="s">
        <v>102</v>
      </c>
      <c r="K41" s="83" t="s">
        <v>91</v>
      </c>
      <c r="L41" s="83" t="s">
        <v>92</v>
      </c>
      <c r="M41" s="83" t="s">
        <v>197</v>
      </c>
      <c r="N41" s="183">
        <f t="shared" si="3"/>
        <v>-0.31414430979039298</v>
      </c>
      <c r="O41" s="184">
        <f t="shared" si="4"/>
        <v>-6600</v>
      </c>
      <c r="P41" s="120" t="s">
        <v>56</v>
      </c>
      <c r="Q41" s="120">
        <v>1</v>
      </c>
      <c r="R41" s="120" t="s">
        <v>124</v>
      </c>
      <c r="S41" s="90" t="s">
        <v>108</v>
      </c>
      <c r="T41" s="102" t="s">
        <v>65</v>
      </c>
      <c r="U41" s="102" t="s">
        <v>81</v>
      </c>
      <c r="V41" s="118">
        <v>12</v>
      </c>
      <c r="W41" s="81" t="str">
        <f t="shared" si="5"/>
        <v>345UND3CT3MSCTPEA RIDGE-NON21009.452644244lbs-0.314144309790393CTs Transformers - CU Sales</v>
      </c>
      <c r="X41" s="81"/>
    </row>
    <row r="42" spans="1:24" x14ac:dyDescent="0.25">
      <c r="A42" s="83" t="s">
        <v>101</v>
      </c>
      <c r="B42" s="84" t="s">
        <v>116</v>
      </c>
      <c r="C42" s="84" t="s">
        <v>143</v>
      </c>
      <c r="D42" s="83" t="s">
        <v>152</v>
      </c>
      <c r="E42" s="83" t="s">
        <v>156</v>
      </c>
      <c r="F42" s="87">
        <f>'Pea Ridge Data'!$D$20/3</f>
        <v>10</v>
      </c>
      <c r="G42" s="83" t="s">
        <v>31</v>
      </c>
      <c r="H42" s="86">
        <f>'Pea Ridge Data'!$E$20</f>
        <v>459.18</v>
      </c>
      <c r="I42" s="185">
        <f>'Pea Ridge Data'!$F$20/3</f>
        <v>4591.8</v>
      </c>
      <c r="J42" s="83" t="s">
        <v>106</v>
      </c>
      <c r="K42" s="83"/>
      <c r="L42" s="83" t="s">
        <v>92</v>
      </c>
      <c r="M42" s="83" t="s">
        <v>102</v>
      </c>
      <c r="N42" s="183">
        <f t="shared" si="3"/>
        <v>459.18</v>
      </c>
      <c r="O42" s="184">
        <f t="shared" si="4"/>
        <v>4591.8</v>
      </c>
      <c r="P42" s="120" t="s">
        <v>56</v>
      </c>
      <c r="Q42" s="120">
        <v>1</v>
      </c>
      <c r="R42" s="120" t="s">
        <v>124</v>
      </c>
      <c r="S42" s="90" t="s">
        <v>104</v>
      </c>
      <c r="T42" s="102" t="s">
        <v>65</v>
      </c>
      <c r="U42" s="102" t="s">
        <v>81</v>
      </c>
      <c r="V42" s="118">
        <v>11</v>
      </c>
      <c r="W42" s="81" t="str">
        <f t="shared" si="5"/>
        <v>345UND1CT1LRCTPEA RIDGE-NON10lbs459.18CTs Transformers - Demo</v>
      </c>
      <c r="X42" s="81"/>
    </row>
    <row r="43" spans="1:24" x14ac:dyDescent="0.25">
      <c r="A43" s="83" t="s">
        <v>101</v>
      </c>
      <c r="B43" s="84" t="s">
        <v>116</v>
      </c>
      <c r="C43" s="84" t="s">
        <v>144</v>
      </c>
      <c r="D43" s="83" t="s">
        <v>153</v>
      </c>
      <c r="E43" s="83" t="s">
        <v>156</v>
      </c>
      <c r="F43" s="87">
        <f>'Pea Ridge Data'!$D$20/3</f>
        <v>10</v>
      </c>
      <c r="G43" s="83" t="s">
        <v>31</v>
      </c>
      <c r="H43" s="86">
        <f>'Pea Ridge Data'!$E$20</f>
        <v>459.18</v>
      </c>
      <c r="I43" s="185">
        <f>'Pea Ridge Data'!$F$20/3</f>
        <v>4591.8</v>
      </c>
      <c r="J43" s="83" t="s">
        <v>106</v>
      </c>
      <c r="K43" s="83"/>
      <c r="L43" s="83" t="s">
        <v>92</v>
      </c>
      <c r="M43" s="83" t="s">
        <v>102</v>
      </c>
      <c r="N43" s="183">
        <f t="shared" si="3"/>
        <v>459.18</v>
      </c>
      <c r="O43" s="184">
        <f t="shared" si="4"/>
        <v>4591.8</v>
      </c>
      <c r="P43" s="120" t="s">
        <v>56</v>
      </c>
      <c r="Q43" s="120">
        <v>1</v>
      </c>
      <c r="R43" s="120" t="s">
        <v>124</v>
      </c>
      <c r="S43" s="90" t="s">
        <v>104</v>
      </c>
      <c r="T43" s="102" t="s">
        <v>65</v>
      </c>
      <c r="U43" s="102" t="s">
        <v>81</v>
      </c>
      <c r="V43" s="118">
        <v>11</v>
      </c>
      <c r="W43" s="81" t="str">
        <f t="shared" si="5"/>
        <v>345UND2CT2LRCTPEA RIDGE-NON10lbs459.18CTs Transformers - Demo</v>
      </c>
      <c r="X43" s="81"/>
    </row>
    <row r="44" spans="1:24" x14ac:dyDescent="0.25">
      <c r="A44" s="83" t="s">
        <v>101</v>
      </c>
      <c r="B44" s="84" t="s">
        <v>116</v>
      </c>
      <c r="C44" s="84" t="s">
        <v>145</v>
      </c>
      <c r="D44" s="83" t="s">
        <v>154</v>
      </c>
      <c r="E44" s="83" t="s">
        <v>156</v>
      </c>
      <c r="F44" s="87">
        <f>'Pea Ridge Data'!$D$20/3</f>
        <v>10</v>
      </c>
      <c r="G44" s="83" t="s">
        <v>31</v>
      </c>
      <c r="H44" s="86">
        <f>'Pea Ridge Data'!$E$20</f>
        <v>459.18</v>
      </c>
      <c r="I44" s="185">
        <f>'Pea Ridge Data'!$F$20/3</f>
        <v>4591.8</v>
      </c>
      <c r="J44" s="83" t="s">
        <v>106</v>
      </c>
      <c r="K44" s="83"/>
      <c r="L44" s="83" t="s">
        <v>92</v>
      </c>
      <c r="M44" s="83" t="s">
        <v>102</v>
      </c>
      <c r="N44" s="183">
        <f t="shared" si="3"/>
        <v>459.18</v>
      </c>
      <c r="O44" s="184">
        <f t="shared" si="4"/>
        <v>4591.8</v>
      </c>
      <c r="P44" s="120" t="s">
        <v>56</v>
      </c>
      <c r="Q44" s="120">
        <v>1</v>
      </c>
      <c r="R44" s="120" t="s">
        <v>124</v>
      </c>
      <c r="S44" s="90" t="s">
        <v>104</v>
      </c>
      <c r="T44" s="102" t="s">
        <v>65</v>
      </c>
      <c r="U44" s="102" t="s">
        <v>81</v>
      </c>
      <c r="V44" s="118">
        <v>11</v>
      </c>
      <c r="W44" s="81" t="str">
        <f t="shared" si="5"/>
        <v>345UND3CT3LRCTPEA RIDGE-NON10lbs459.18CTs Transformers - Demo</v>
      </c>
      <c r="X44" s="81"/>
    </row>
    <row r="45" spans="1:24" x14ac:dyDescent="0.25">
      <c r="A45" s="83" t="s">
        <v>101</v>
      </c>
      <c r="B45" s="84" t="s">
        <v>116</v>
      </c>
      <c r="C45" s="84" t="s">
        <v>143</v>
      </c>
      <c r="D45" s="83" t="s">
        <v>146</v>
      </c>
      <c r="E45" s="83" t="s">
        <v>156</v>
      </c>
      <c r="F45" s="87">
        <f>'Pea Ridge Data'!$D$22/3</f>
        <v>10</v>
      </c>
      <c r="G45" s="83" t="s">
        <v>31</v>
      </c>
      <c r="H45" s="86">
        <f>'Pea Ridge Data'!$E$22</f>
        <v>-108.3695731319762</v>
      </c>
      <c r="I45" s="185">
        <f>'Pea Ridge Data'!$F$22/3</f>
        <v>-1083.695731319762</v>
      </c>
      <c r="J45" s="83" t="s">
        <v>107</v>
      </c>
      <c r="K45" s="83" t="s">
        <v>89</v>
      </c>
      <c r="L45" s="83" t="s">
        <v>92</v>
      </c>
      <c r="M45" s="83" t="s">
        <v>197</v>
      </c>
      <c r="N45" s="183">
        <f t="shared" si="3"/>
        <v>-108.3695731319762</v>
      </c>
      <c r="O45" s="184">
        <f t="shared" si="4"/>
        <v>-1083.695731319762</v>
      </c>
      <c r="P45" s="120" t="s">
        <v>56</v>
      </c>
      <c r="Q45" s="120">
        <v>1</v>
      </c>
      <c r="R45" s="120" t="s">
        <v>124</v>
      </c>
      <c r="S45" s="90" t="s">
        <v>108</v>
      </c>
      <c r="T45" s="102" t="s">
        <v>65</v>
      </c>
      <c r="U45" s="102" t="s">
        <v>81</v>
      </c>
      <c r="V45" s="118">
        <v>13</v>
      </c>
      <c r="W45" s="81" t="str">
        <f t="shared" si="5"/>
        <v>345UND1CT1MSCTPEA RIDGE-NON10lbs-108.369573131976CTs Transformers - FE Sales</v>
      </c>
      <c r="X45" s="81"/>
    </row>
    <row r="46" spans="1:24" x14ac:dyDescent="0.25">
      <c r="A46" s="83" t="s">
        <v>101</v>
      </c>
      <c r="B46" s="84" t="s">
        <v>116</v>
      </c>
      <c r="C46" s="84" t="s">
        <v>144</v>
      </c>
      <c r="D46" s="83" t="s">
        <v>147</v>
      </c>
      <c r="E46" s="83" t="s">
        <v>156</v>
      </c>
      <c r="F46" s="87">
        <f>'Pea Ridge Data'!$D$22/3</f>
        <v>10</v>
      </c>
      <c r="G46" s="83" t="s">
        <v>31</v>
      </c>
      <c r="H46" s="86">
        <f>'Pea Ridge Data'!$E$22</f>
        <v>-108.3695731319762</v>
      </c>
      <c r="I46" s="185">
        <f>'Pea Ridge Data'!$F$22/3</f>
        <v>-1083.695731319762</v>
      </c>
      <c r="J46" s="83" t="s">
        <v>107</v>
      </c>
      <c r="K46" s="83" t="s">
        <v>89</v>
      </c>
      <c r="L46" s="83" t="s">
        <v>92</v>
      </c>
      <c r="M46" s="83" t="s">
        <v>197</v>
      </c>
      <c r="N46" s="183">
        <f t="shared" si="3"/>
        <v>-108.3695731319762</v>
      </c>
      <c r="O46" s="184">
        <f t="shared" si="4"/>
        <v>-1083.695731319762</v>
      </c>
      <c r="P46" s="120" t="s">
        <v>56</v>
      </c>
      <c r="Q46" s="120">
        <v>1</v>
      </c>
      <c r="R46" s="120" t="s">
        <v>124</v>
      </c>
      <c r="S46" s="90" t="s">
        <v>108</v>
      </c>
      <c r="T46" s="102" t="s">
        <v>65</v>
      </c>
      <c r="U46" s="102" t="s">
        <v>81</v>
      </c>
      <c r="V46" s="118">
        <v>13</v>
      </c>
      <c r="W46" s="81" t="str">
        <f t="shared" si="5"/>
        <v>345UND2CT2MSCTPEA RIDGE-NON10lbs-108.369573131976CTs Transformers - FE Sales</v>
      </c>
      <c r="X46" s="81"/>
    </row>
    <row r="47" spans="1:24" x14ac:dyDescent="0.25">
      <c r="A47" s="83" t="s">
        <v>101</v>
      </c>
      <c r="B47" s="84" t="s">
        <v>116</v>
      </c>
      <c r="C47" s="84" t="s">
        <v>145</v>
      </c>
      <c r="D47" s="83" t="s">
        <v>148</v>
      </c>
      <c r="E47" s="83" t="s">
        <v>156</v>
      </c>
      <c r="F47" s="87">
        <f>'Pea Ridge Data'!$D$22/3</f>
        <v>10</v>
      </c>
      <c r="G47" s="83" t="s">
        <v>31</v>
      </c>
      <c r="H47" s="86">
        <f>'Pea Ridge Data'!$E$22</f>
        <v>-108.3695731319762</v>
      </c>
      <c r="I47" s="185">
        <f>'Pea Ridge Data'!$F$22/3</f>
        <v>-1083.695731319762</v>
      </c>
      <c r="J47" s="83" t="s">
        <v>107</v>
      </c>
      <c r="K47" s="83" t="s">
        <v>89</v>
      </c>
      <c r="L47" s="83" t="s">
        <v>92</v>
      </c>
      <c r="M47" s="83" t="s">
        <v>197</v>
      </c>
      <c r="N47" s="183">
        <f t="shared" si="3"/>
        <v>-108.3695731319762</v>
      </c>
      <c r="O47" s="184">
        <f t="shared" si="4"/>
        <v>-1083.695731319762</v>
      </c>
      <c r="P47" s="120" t="s">
        <v>56</v>
      </c>
      <c r="Q47" s="120">
        <v>1</v>
      </c>
      <c r="R47" s="120" t="s">
        <v>124</v>
      </c>
      <c r="S47" s="90" t="s">
        <v>108</v>
      </c>
      <c r="T47" s="102" t="s">
        <v>65</v>
      </c>
      <c r="U47" s="102" t="s">
        <v>81</v>
      </c>
      <c r="V47" s="118">
        <v>13</v>
      </c>
      <c r="W47" s="81" t="str">
        <f t="shared" si="5"/>
        <v>345UND3CT3MSCTPEA RIDGE-NON10lbs-108.369573131976CTs Transformers - FE Sales</v>
      </c>
      <c r="X47" s="81"/>
    </row>
    <row r="48" spans="1:24" x14ac:dyDescent="0.25">
      <c r="A48" s="83" t="s">
        <v>68</v>
      </c>
      <c r="B48" s="84" t="s">
        <v>114</v>
      </c>
      <c r="C48" s="84" t="s">
        <v>54</v>
      </c>
      <c r="D48" s="83" t="s">
        <v>55</v>
      </c>
      <c r="E48" s="83" t="s">
        <v>156</v>
      </c>
      <c r="F48" s="85">
        <v>1</v>
      </c>
      <c r="G48" s="83" t="s">
        <v>21</v>
      </c>
      <c r="H48" s="86">
        <f>'Pea Ridge Data'!$E$12</f>
        <v>10000</v>
      </c>
      <c r="I48" s="185">
        <f>'Pea Ridge Data'!$F$12</f>
        <v>10000</v>
      </c>
      <c r="J48" s="83" t="s">
        <v>122</v>
      </c>
      <c r="K48" s="83" t="s">
        <v>51</v>
      </c>
      <c r="L48" s="83" t="s">
        <v>51</v>
      </c>
      <c r="M48" s="83" t="s">
        <v>29</v>
      </c>
      <c r="N48" s="183">
        <f t="shared" si="3"/>
        <v>10000</v>
      </c>
      <c r="O48" s="184">
        <f t="shared" si="4"/>
        <v>10000</v>
      </c>
      <c r="P48" s="120" t="s">
        <v>56</v>
      </c>
      <c r="Q48" s="120">
        <v>1</v>
      </c>
      <c r="R48" s="120" t="s">
        <v>124</v>
      </c>
      <c r="S48" s="90" t="s">
        <v>104</v>
      </c>
      <c r="T48" s="102" t="s">
        <v>65</v>
      </c>
      <c r="V48" s="118">
        <v>6</v>
      </c>
      <c r="W48" s="81" t="str">
        <f t="shared" si="5"/>
        <v>307UNDCCLRPEA RIDGE-NON1ls10000Install Electrical for Decommissioning Work</v>
      </c>
      <c r="X48" s="81"/>
    </row>
    <row r="49" spans="1:24" x14ac:dyDescent="0.25">
      <c r="A49" s="83" t="s">
        <v>82</v>
      </c>
      <c r="B49" s="84" t="s">
        <v>111</v>
      </c>
      <c r="C49" s="84" t="s">
        <v>54</v>
      </c>
      <c r="D49" s="83" t="s">
        <v>55</v>
      </c>
      <c r="E49" s="83" t="s">
        <v>156</v>
      </c>
      <c r="F49" s="87">
        <f>'Pea Ridge Data'!$D$10</f>
        <v>10000</v>
      </c>
      <c r="G49" s="83" t="s">
        <v>27</v>
      </c>
      <c r="H49" s="189">
        <f>'Pea Ridge Data'!$E$10</f>
        <v>4.5918000000000001</v>
      </c>
      <c r="I49" s="185">
        <f>'Pea Ridge Data'!$F$10</f>
        <v>45000</v>
      </c>
      <c r="J49" s="83" t="s">
        <v>26</v>
      </c>
      <c r="K49" s="83" t="s">
        <v>51</v>
      </c>
      <c r="L49" s="83" t="s">
        <v>51</v>
      </c>
      <c r="M49" s="83" t="s">
        <v>26</v>
      </c>
      <c r="N49" s="183">
        <f t="shared" si="3"/>
        <v>4.5918000000000001</v>
      </c>
      <c r="O49" s="184">
        <f t="shared" si="4"/>
        <v>45000</v>
      </c>
      <c r="P49" s="120" t="s">
        <v>56</v>
      </c>
      <c r="Q49" s="120">
        <v>1</v>
      </c>
      <c r="R49" s="120" t="s">
        <v>124</v>
      </c>
      <c r="S49" s="90" t="s">
        <v>104</v>
      </c>
      <c r="T49" s="102" t="s">
        <v>65</v>
      </c>
      <c r="U49" s="102" t="s">
        <v>81</v>
      </c>
      <c r="V49" s="118">
        <v>4</v>
      </c>
      <c r="W49" s="81" t="str">
        <f t="shared" si="5"/>
        <v>3110061CCLRPEA RIDGE-NON10000sf4.5918Pavement Repairs</v>
      </c>
      <c r="X49" s="81"/>
    </row>
    <row r="50" spans="1:24" x14ac:dyDescent="0.25">
      <c r="A50" s="83" t="s">
        <v>76</v>
      </c>
      <c r="B50" s="84" t="s">
        <v>112</v>
      </c>
      <c r="C50" s="84" t="s">
        <v>54</v>
      </c>
      <c r="D50" s="83" t="s">
        <v>55</v>
      </c>
      <c r="E50" s="83" t="s">
        <v>156</v>
      </c>
      <c r="F50" s="85">
        <v>1</v>
      </c>
      <c r="G50" s="83" t="s">
        <v>21</v>
      </c>
      <c r="H50" s="86">
        <f>'Pea Ridge Data'!$E$5</f>
        <v>25000</v>
      </c>
      <c r="I50" s="185">
        <f>'Pea Ridge Data'!$F$5</f>
        <v>25000</v>
      </c>
      <c r="J50" s="83" t="s">
        <v>22</v>
      </c>
      <c r="K50" s="83" t="s">
        <v>51</v>
      </c>
      <c r="L50" s="83" t="s">
        <v>51</v>
      </c>
      <c r="M50" s="83" t="s">
        <v>22</v>
      </c>
      <c r="N50" s="183">
        <f t="shared" si="3"/>
        <v>25000</v>
      </c>
      <c r="O50" s="184">
        <f t="shared" si="4"/>
        <v>25000</v>
      </c>
      <c r="P50" s="120" t="s">
        <v>56</v>
      </c>
      <c r="Q50" s="120">
        <v>1</v>
      </c>
      <c r="R50" s="120" t="s">
        <v>124</v>
      </c>
      <c r="S50" s="90" t="s">
        <v>104</v>
      </c>
      <c r="T50" s="102" t="s">
        <v>65</v>
      </c>
      <c r="V50" s="118">
        <v>1</v>
      </c>
      <c r="W50" s="81" t="str">
        <f t="shared" si="5"/>
        <v>3080268EACCLRPEA RIDGE-NON1ls25000Perform environmental survey of above grade structures</v>
      </c>
      <c r="X50" s="81"/>
    </row>
    <row r="51" spans="1:24" x14ac:dyDescent="0.25">
      <c r="A51" s="83" t="s">
        <v>74</v>
      </c>
      <c r="B51" s="84" t="s">
        <v>112</v>
      </c>
      <c r="C51" s="84" t="s">
        <v>54</v>
      </c>
      <c r="D51" s="83" t="s">
        <v>55</v>
      </c>
      <c r="E51" s="83" t="s">
        <v>156</v>
      </c>
      <c r="F51" s="85">
        <v>1</v>
      </c>
      <c r="G51" s="83" t="s">
        <v>63</v>
      </c>
      <c r="H51" s="86">
        <f>SUMIFS($I$3:$I$62,$E$3:$E$62,$E51,$U$3:$U$62,"MARKUP",$S$3:$S$62,"REMOVAL")*0.0008</f>
        <v>168.12320000000003</v>
      </c>
      <c r="I51" s="86">
        <f>F51*H51</f>
        <v>168.12320000000003</v>
      </c>
      <c r="J51" s="99" t="s">
        <v>75</v>
      </c>
      <c r="K51" s="83" t="s">
        <v>51</v>
      </c>
      <c r="L51" s="83" t="s">
        <v>51</v>
      </c>
      <c r="M51" s="83" t="s">
        <v>75</v>
      </c>
      <c r="N51" s="183">
        <f t="shared" si="3"/>
        <v>168.12320000000003</v>
      </c>
      <c r="O51" s="184">
        <f t="shared" si="4"/>
        <v>168.12320000000003</v>
      </c>
      <c r="P51" s="120" t="s">
        <v>56</v>
      </c>
      <c r="Q51" s="120">
        <v>1</v>
      </c>
      <c r="R51" s="120" t="s">
        <v>124</v>
      </c>
      <c r="S51" s="90" t="s">
        <v>104</v>
      </c>
      <c r="T51" s="102" t="s">
        <v>53</v>
      </c>
      <c r="V51" s="102"/>
      <c r="W51" s="81" t="str">
        <f t="shared" si="5"/>
        <v>3080268CCLRPEA RIDGE-NON1LT168.1232PERMITS</v>
      </c>
      <c r="X51" s="81"/>
    </row>
    <row r="52" spans="1:24" x14ac:dyDescent="0.25">
      <c r="A52" s="83" t="s">
        <v>57</v>
      </c>
      <c r="B52" s="84" t="s">
        <v>114</v>
      </c>
      <c r="C52" s="84" t="s">
        <v>54</v>
      </c>
      <c r="D52" s="83" t="s">
        <v>55</v>
      </c>
      <c r="E52" s="83" t="s">
        <v>156</v>
      </c>
      <c r="F52" s="85">
        <v>1</v>
      </c>
      <c r="G52" s="83" t="s">
        <v>58</v>
      </c>
      <c r="H52" s="86">
        <v>135010.76</v>
      </c>
      <c r="I52" s="86">
        <f>F52*H52</f>
        <v>135010.76</v>
      </c>
      <c r="J52" s="83" t="s">
        <v>59</v>
      </c>
      <c r="K52" s="83" t="s">
        <v>51</v>
      </c>
      <c r="L52" s="83" t="s">
        <v>51</v>
      </c>
      <c r="M52" s="83" t="s">
        <v>59</v>
      </c>
      <c r="N52" s="183">
        <f t="shared" si="3"/>
        <v>135010.76</v>
      </c>
      <c r="O52" s="184">
        <f t="shared" si="4"/>
        <v>135010.76</v>
      </c>
      <c r="P52" s="120" t="s">
        <v>56</v>
      </c>
      <c r="Q52" s="120">
        <v>1</v>
      </c>
      <c r="R52" s="120" t="s">
        <v>124</v>
      </c>
      <c r="S52" s="90" t="s">
        <v>104</v>
      </c>
      <c r="T52" s="102" t="s">
        <v>53</v>
      </c>
      <c r="V52" s="102"/>
      <c r="W52" s="81" t="str">
        <f t="shared" si="5"/>
        <v>3070041CCLRPEA RIDGE-NON1MY135010.76POWER GENERATION SUPERVISION</v>
      </c>
      <c r="X52" s="81"/>
    </row>
    <row r="53" spans="1:24" x14ac:dyDescent="0.25">
      <c r="A53" s="101">
        <v>3080241</v>
      </c>
      <c r="B53" s="84" t="s">
        <v>112</v>
      </c>
      <c r="C53" s="84" t="s">
        <v>54</v>
      </c>
      <c r="D53" s="83" t="s">
        <v>55</v>
      </c>
      <c r="E53" s="83" t="s">
        <v>156</v>
      </c>
      <c r="F53" s="97">
        <v>3</v>
      </c>
      <c r="G53" s="83" t="s">
        <v>15</v>
      </c>
      <c r="H53" s="86">
        <f>SUMIFS($I$3:$I$62,$E$3:$E$62,$E53,$U$3:$U$62,"MARKUP",$S$3:$S$62,"REMOVAL")*0.01</f>
        <v>2101.5400000000004</v>
      </c>
      <c r="I53" s="86">
        <f>F53*H53</f>
        <v>6304.6200000000008</v>
      </c>
      <c r="J53" s="100" t="s">
        <v>70</v>
      </c>
      <c r="K53" s="83" t="s">
        <v>51</v>
      </c>
      <c r="L53" s="83" t="s">
        <v>51</v>
      </c>
      <c r="M53" s="83" t="s">
        <v>73</v>
      </c>
      <c r="N53" s="183">
        <f t="shared" si="3"/>
        <v>2101.5400000000004</v>
      </c>
      <c r="O53" s="184">
        <f t="shared" si="4"/>
        <v>6304.6200000000008</v>
      </c>
      <c r="P53" s="120" t="s">
        <v>56</v>
      </c>
      <c r="Q53" s="120">
        <v>1</v>
      </c>
      <c r="R53" s="120" t="s">
        <v>124</v>
      </c>
      <c r="S53" s="90" t="s">
        <v>104</v>
      </c>
      <c r="T53" s="102" t="s">
        <v>53</v>
      </c>
      <c r="V53" s="102"/>
      <c r="W53" s="81" t="str">
        <f t="shared" si="5"/>
        <v>3080241CCLRPEA RIDGE-NON3%2101.54SCS ENGINEERING</v>
      </c>
      <c r="X53" s="81"/>
    </row>
    <row r="54" spans="1:24" x14ac:dyDescent="0.25">
      <c r="A54" s="83" t="s">
        <v>66</v>
      </c>
      <c r="B54" s="84" t="s">
        <v>114</v>
      </c>
      <c r="C54" s="84" t="s">
        <v>54</v>
      </c>
      <c r="D54" s="83" t="s">
        <v>55</v>
      </c>
      <c r="E54" s="83" t="s">
        <v>156</v>
      </c>
      <c r="F54" s="85">
        <v>1</v>
      </c>
      <c r="G54" s="83" t="s">
        <v>58</v>
      </c>
      <c r="H54" s="86">
        <v>50750.31</v>
      </c>
      <c r="I54" s="86">
        <f>F54*H54</f>
        <v>50750.31</v>
      </c>
      <c r="J54" s="83" t="s">
        <v>67</v>
      </c>
      <c r="K54" s="83" t="s">
        <v>51</v>
      </c>
      <c r="L54" s="83" t="s">
        <v>51</v>
      </c>
      <c r="M54" s="83" t="s">
        <v>67</v>
      </c>
      <c r="N54" s="183">
        <f t="shared" si="3"/>
        <v>50750.31</v>
      </c>
      <c r="O54" s="184">
        <f t="shared" si="4"/>
        <v>50750.31</v>
      </c>
      <c r="P54" s="120" t="s">
        <v>56</v>
      </c>
      <c r="Q54" s="120">
        <v>1</v>
      </c>
      <c r="R54" s="120" t="s">
        <v>124</v>
      </c>
      <c r="S54" s="90" t="s">
        <v>104</v>
      </c>
      <c r="T54" s="102" t="s">
        <v>53</v>
      </c>
      <c r="V54" s="102"/>
      <c r="W54" s="81" t="str">
        <f t="shared" si="5"/>
        <v>3070221CCLRPEA RIDGE-NON1MY50750.31SECURITY SERVICES</v>
      </c>
      <c r="X54" s="81"/>
    </row>
    <row r="55" spans="1:24" x14ac:dyDescent="0.25">
      <c r="A55" s="83" t="s">
        <v>71</v>
      </c>
      <c r="B55" s="84" t="s">
        <v>112</v>
      </c>
      <c r="C55" s="84" t="s">
        <v>54</v>
      </c>
      <c r="D55" s="83" t="s">
        <v>55</v>
      </c>
      <c r="E55" s="83" t="s">
        <v>156</v>
      </c>
      <c r="F55" s="85">
        <v>1</v>
      </c>
      <c r="G55" s="83" t="s">
        <v>21</v>
      </c>
      <c r="H55" s="86">
        <f>'Pea Ridge Data'!$E$6</f>
        <v>25000</v>
      </c>
      <c r="I55" s="185">
        <f>'Pea Ridge Data'!$F$6</f>
        <v>25000</v>
      </c>
      <c r="J55" s="83" t="s">
        <v>23</v>
      </c>
      <c r="K55" s="83" t="s">
        <v>51</v>
      </c>
      <c r="L55" s="83" t="s">
        <v>51</v>
      </c>
      <c r="M55" s="83" t="s">
        <v>23</v>
      </c>
      <c r="N55" s="183">
        <f t="shared" si="3"/>
        <v>25000</v>
      </c>
      <c r="O55" s="184">
        <f t="shared" si="4"/>
        <v>25000</v>
      </c>
      <c r="P55" s="120" t="s">
        <v>56</v>
      </c>
      <c r="Q55" s="120">
        <v>1</v>
      </c>
      <c r="R55" s="120" t="s">
        <v>124</v>
      </c>
      <c r="S55" s="90" t="s">
        <v>104</v>
      </c>
      <c r="T55" s="102" t="s">
        <v>65</v>
      </c>
      <c r="V55" s="118">
        <v>2</v>
      </c>
      <c r="W55" s="81" t="str">
        <f t="shared" si="5"/>
        <v>3080241SWCCLRPEA RIDGE-NON1ls25000Storm Water Prevention Plan</v>
      </c>
      <c r="X55" s="81"/>
    </row>
    <row r="56" spans="1:24" x14ac:dyDescent="0.25">
      <c r="A56" s="83" t="s">
        <v>60</v>
      </c>
      <c r="B56" s="84" t="s">
        <v>114</v>
      </c>
      <c r="C56" s="84" t="s">
        <v>54</v>
      </c>
      <c r="D56" s="83" t="s">
        <v>55</v>
      </c>
      <c r="E56" s="83" t="s">
        <v>156</v>
      </c>
      <c r="F56" s="85">
        <v>2</v>
      </c>
      <c r="G56" s="83" t="s">
        <v>15</v>
      </c>
      <c r="H56" s="98">
        <f>SUMIFS($I$3:$I$62,$E$3:$E$62,$E56,$U$3:$U$62,"MARKUP",$S$3:$S$62,"REMOVAL")*0.01</f>
        <v>2101.5400000000004</v>
      </c>
      <c r="I56" s="98">
        <f>(F56*H56)-200000</f>
        <v>-195796.92</v>
      </c>
      <c r="J56" s="99" t="s">
        <v>61</v>
      </c>
      <c r="K56" s="83" t="s">
        <v>51</v>
      </c>
      <c r="L56" s="83" t="s">
        <v>51</v>
      </c>
      <c r="M56" s="83" t="s">
        <v>121</v>
      </c>
      <c r="N56" s="183">
        <f t="shared" si="3"/>
        <v>2101.5400000000004</v>
      </c>
      <c r="O56" s="184">
        <f t="shared" si="4"/>
        <v>-195796.92</v>
      </c>
      <c r="P56" s="120" t="s">
        <v>56</v>
      </c>
      <c r="Q56" s="120">
        <v>1</v>
      </c>
      <c r="R56" s="120" t="s">
        <v>124</v>
      </c>
      <c r="S56" s="90" t="s">
        <v>104</v>
      </c>
      <c r="T56" s="102" t="s">
        <v>53</v>
      </c>
      <c r="V56" s="102"/>
      <c r="W56" s="81" t="str">
        <f t="shared" si="5"/>
        <v>3070201CCLRPEA RIDGE-NON2%2101.54TEMPORARY CONSTRUCTION SERVICES</v>
      </c>
      <c r="X56" s="81"/>
    </row>
    <row r="57" spans="1:24" x14ac:dyDescent="0.25">
      <c r="A57" s="83" t="s">
        <v>95</v>
      </c>
      <c r="B57" s="84" t="s">
        <v>117</v>
      </c>
      <c r="C57" s="84" t="s">
        <v>143</v>
      </c>
      <c r="D57" s="83" t="s">
        <v>149</v>
      </c>
      <c r="E57" s="83" t="s">
        <v>156</v>
      </c>
      <c r="F57" s="87">
        <f>'Pea Ridge Data'!$D$19/3</f>
        <v>5</v>
      </c>
      <c r="G57" s="83" t="s">
        <v>30</v>
      </c>
      <c r="H57" s="86">
        <f>'Pea Ridge Data'!$E$19</f>
        <v>102.03999999999999</v>
      </c>
      <c r="I57" s="185">
        <f>'Pea Ridge Data'!$F$19/3</f>
        <v>500</v>
      </c>
      <c r="J57" s="83" t="s">
        <v>33</v>
      </c>
      <c r="K57" s="83" t="s">
        <v>51</v>
      </c>
      <c r="L57" s="83" t="s">
        <v>51</v>
      </c>
      <c r="M57" s="83" t="s">
        <v>33</v>
      </c>
      <c r="N57" s="183">
        <f t="shared" si="3"/>
        <v>102.03999999999999</v>
      </c>
      <c r="O57" s="184">
        <f t="shared" si="4"/>
        <v>500</v>
      </c>
      <c r="P57" s="120" t="s">
        <v>56</v>
      </c>
      <c r="Q57" s="120">
        <v>1</v>
      </c>
      <c r="R57" s="120" t="s">
        <v>124</v>
      </c>
      <c r="S57" s="90" t="s">
        <v>109</v>
      </c>
      <c r="T57" s="102" t="s">
        <v>65</v>
      </c>
      <c r="U57" s="102" t="s">
        <v>81</v>
      </c>
      <c r="V57" s="118">
        <v>10</v>
      </c>
      <c r="W57" s="81" t="str">
        <f t="shared" si="5"/>
        <v>341UND1CT1LDCTPEA RIDGE-NON5nt102.04Transport &amp;  Dispose of Combustibles</v>
      </c>
      <c r="X57" s="81"/>
    </row>
    <row r="58" spans="1:24" x14ac:dyDescent="0.25">
      <c r="A58" s="83" t="s">
        <v>95</v>
      </c>
      <c r="B58" s="84" t="s">
        <v>117</v>
      </c>
      <c r="C58" s="84" t="s">
        <v>144</v>
      </c>
      <c r="D58" s="83" t="s">
        <v>150</v>
      </c>
      <c r="E58" s="83" t="s">
        <v>156</v>
      </c>
      <c r="F58" s="87">
        <f>'Pea Ridge Data'!$D$19/3</f>
        <v>5</v>
      </c>
      <c r="G58" s="83" t="s">
        <v>30</v>
      </c>
      <c r="H58" s="86">
        <f>'Pea Ridge Data'!$E$19</f>
        <v>102.03999999999999</v>
      </c>
      <c r="I58" s="185">
        <f>'Pea Ridge Data'!$F$19/3</f>
        <v>500</v>
      </c>
      <c r="J58" s="83" t="s">
        <v>33</v>
      </c>
      <c r="K58" s="83" t="s">
        <v>51</v>
      </c>
      <c r="L58" s="83" t="s">
        <v>51</v>
      </c>
      <c r="M58" s="83" t="s">
        <v>33</v>
      </c>
      <c r="N58" s="183">
        <f t="shared" si="3"/>
        <v>102.03999999999999</v>
      </c>
      <c r="O58" s="184">
        <f t="shared" si="4"/>
        <v>500</v>
      </c>
      <c r="P58" s="120" t="s">
        <v>56</v>
      </c>
      <c r="Q58" s="120">
        <v>1</v>
      </c>
      <c r="R58" s="120" t="s">
        <v>124</v>
      </c>
      <c r="S58" s="90" t="s">
        <v>109</v>
      </c>
      <c r="T58" s="102" t="s">
        <v>65</v>
      </c>
      <c r="U58" s="102" t="s">
        <v>81</v>
      </c>
      <c r="V58" s="118">
        <v>10</v>
      </c>
      <c r="W58" s="81" t="str">
        <f t="shared" si="5"/>
        <v>341UND2CT2LDCTPEA RIDGE-NON5nt102.04Transport &amp;  Dispose of Combustibles</v>
      </c>
      <c r="X58" s="81"/>
    </row>
    <row r="59" spans="1:24" x14ac:dyDescent="0.25">
      <c r="A59" s="83" t="s">
        <v>95</v>
      </c>
      <c r="B59" s="84" t="s">
        <v>117</v>
      </c>
      <c r="C59" s="84" t="s">
        <v>145</v>
      </c>
      <c r="D59" s="83" t="s">
        <v>151</v>
      </c>
      <c r="E59" s="83" t="s">
        <v>156</v>
      </c>
      <c r="F59" s="87">
        <f>'Pea Ridge Data'!$D$19/3</f>
        <v>5</v>
      </c>
      <c r="G59" s="83" t="s">
        <v>30</v>
      </c>
      <c r="H59" s="86">
        <f>'Pea Ridge Data'!$E$19</f>
        <v>102.03999999999999</v>
      </c>
      <c r="I59" s="185">
        <f>'Pea Ridge Data'!$F$19/3</f>
        <v>500</v>
      </c>
      <c r="J59" s="83" t="s">
        <v>33</v>
      </c>
      <c r="K59" s="83" t="s">
        <v>51</v>
      </c>
      <c r="L59" s="83" t="s">
        <v>51</v>
      </c>
      <c r="M59" s="83" t="s">
        <v>33</v>
      </c>
      <c r="N59" s="183">
        <f t="shared" si="3"/>
        <v>102.03999999999999</v>
      </c>
      <c r="O59" s="184">
        <f t="shared" si="4"/>
        <v>500</v>
      </c>
      <c r="P59" s="120" t="s">
        <v>56</v>
      </c>
      <c r="Q59" s="120">
        <v>1</v>
      </c>
      <c r="R59" s="120" t="s">
        <v>124</v>
      </c>
      <c r="S59" s="90" t="s">
        <v>109</v>
      </c>
      <c r="T59" s="102" t="s">
        <v>65</v>
      </c>
      <c r="U59" s="102" t="s">
        <v>81</v>
      </c>
      <c r="V59" s="118">
        <v>10</v>
      </c>
      <c r="W59" s="81" t="str">
        <f t="shared" si="5"/>
        <v>341UND3CT3LDCTPEA RIDGE-NON5nt102.04Transport &amp;  Dispose of Combustibles</v>
      </c>
      <c r="X59" s="81"/>
    </row>
    <row r="60" spans="1:24" x14ac:dyDescent="0.25">
      <c r="A60" s="83" t="s">
        <v>95</v>
      </c>
      <c r="B60" s="84" t="s">
        <v>117</v>
      </c>
      <c r="C60" s="84" t="s">
        <v>54</v>
      </c>
      <c r="D60" s="83" t="s">
        <v>83</v>
      </c>
      <c r="E60" s="83" t="s">
        <v>156</v>
      </c>
      <c r="F60" s="87">
        <f>'Pea Ridge Data'!$D$27</f>
        <v>35</v>
      </c>
      <c r="G60" s="83" t="s">
        <v>30</v>
      </c>
      <c r="H60" s="86">
        <f>'Pea Ridge Data'!$E$27</f>
        <v>102.03999999999999</v>
      </c>
      <c r="I60" s="185">
        <f>'Pea Ridge Data'!$F$27</f>
        <v>3500</v>
      </c>
      <c r="J60" s="83" t="s">
        <v>33</v>
      </c>
      <c r="K60" s="83" t="s">
        <v>51</v>
      </c>
      <c r="L60" s="83" t="s">
        <v>51</v>
      </c>
      <c r="M60" s="83" t="s">
        <v>33</v>
      </c>
      <c r="N60" s="183">
        <f t="shared" si="3"/>
        <v>102.03999999999999</v>
      </c>
      <c r="O60" s="184">
        <f t="shared" si="4"/>
        <v>3500</v>
      </c>
      <c r="P60" s="120" t="s">
        <v>56</v>
      </c>
      <c r="Q60" s="120">
        <v>1</v>
      </c>
      <c r="R60" s="120" t="s">
        <v>124</v>
      </c>
      <c r="S60" s="90" t="s">
        <v>109</v>
      </c>
      <c r="T60" s="102" t="s">
        <v>65</v>
      </c>
      <c r="U60" s="102" t="s">
        <v>81</v>
      </c>
      <c r="V60" s="118">
        <v>16</v>
      </c>
      <c r="W60" s="81" t="str">
        <f t="shared" si="5"/>
        <v>341UNDCCLDPEA RIDGE-NON35nt102.04Transport &amp;  Dispose of Combustibles</v>
      </c>
      <c r="X60" s="81"/>
    </row>
    <row r="61" spans="1:24" x14ac:dyDescent="0.25">
      <c r="A61" s="83" t="s">
        <v>84</v>
      </c>
      <c r="B61" s="84" t="s">
        <v>111</v>
      </c>
      <c r="C61" s="84" t="s">
        <v>54</v>
      </c>
      <c r="D61" s="83" t="s">
        <v>55</v>
      </c>
      <c r="E61" s="83" t="s">
        <v>156</v>
      </c>
      <c r="F61" s="87">
        <f>'Pea Ridge Data'!$D$11</f>
        <v>1</v>
      </c>
      <c r="G61" s="83" t="s">
        <v>21</v>
      </c>
      <c r="H61" s="86">
        <f>'Pea Ridge Data'!$E$11</f>
        <v>25000</v>
      </c>
      <c r="I61" s="185">
        <f>'Pea Ridge Data'!$F$11</f>
        <v>25000</v>
      </c>
      <c r="J61" s="83" t="s">
        <v>28</v>
      </c>
      <c r="K61" s="83" t="s">
        <v>51</v>
      </c>
      <c r="L61" s="83" t="s">
        <v>51</v>
      </c>
      <c r="M61" s="83" t="s">
        <v>28</v>
      </c>
      <c r="N61" s="183">
        <f t="shared" si="3"/>
        <v>25000</v>
      </c>
      <c r="O61" s="184">
        <f t="shared" si="4"/>
        <v>25000</v>
      </c>
      <c r="P61" s="120" t="s">
        <v>56</v>
      </c>
      <c r="Q61" s="120">
        <v>1</v>
      </c>
      <c r="R61" s="120" t="s">
        <v>124</v>
      </c>
      <c r="S61" s="90" t="s">
        <v>104</v>
      </c>
      <c r="T61" s="102" t="s">
        <v>65</v>
      </c>
      <c r="U61" s="102" t="s">
        <v>81</v>
      </c>
      <c r="V61" s="118">
        <v>5</v>
      </c>
      <c r="W61" s="81" t="str">
        <f t="shared" si="5"/>
        <v>311UNDCCLRPEA RIDGE-NON1ls25000Utility Disconnects</v>
      </c>
      <c r="X61" s="81"/>
    </row>
    <row r="62" spans="1:24" x14ac:dyDescent="0.25">
      <c r="A62" s="83" t="s">
        <v>77</v>
      </c>
      <c r="B62" s="84" t="s">
        <v>112</v>
      </c>
      <c r="C62" s="84" t="s">
        <v>54</v>
      </c>
      <c r="D62" s="83" t="s">
        <v>55</v>
      </c>
      <c r="E62" s="83" t="s">
        <v>156</v>
      </c>
      <c r="F62" s="85">
        <v>0.6</v>
      </c>
      <c r="G62" s="83" t="s">
        <v>15</v>
      </c>
      <c r="H62" s="98">
        <f>SUMIFS($I$3:$I$62,$E$3:$E$62,$E62,$U$3:$U$62,"MARKUP",$S$3:$S$62,"REMOVAL")*0.01</f>
        <v>2101.5400000000004</v>
      </c>
      <c r="I62" s="86">
        <f>F62*H62</f>
        <v>1260.9240000000002</v>
      </c>
      <c r="J62" s="99" t="s">
        <v>78</v>
      </c>
      <c r="K62" s="83" t="s">
        <v>51</v>
      </c>
      <c r="L62" s="83" t="s">
        <v>51</v>
      </c>
      <c r="M62" s="83" t="s">
        <v>78</v>
      </c>
      <c r="N62" s="183">
        <f t="shared" si="3"/>
        <v>2101.5400000000004</v>
      </c>
      <c r="O62" s="184">
        <f t="shared" si="4"/>
        <v>1260.9240000000002</v>
      </c>
      <c r="P62" s="120" t="s">
        <v>56</v>
      </c>
      <c r="Q62" s="120">
        <v>1</v>
      </c>
      <c r="R62" s="120" t="s">
        <v>124</v>
      </c>
      <c r="S62" s="90" t="s">
        <v>104</v>
      </c>
      <c r="T62" s="102" t="s">
        <v>53</v>
      </c>
      <c r="V62" s="102"/>
      <c r="W62" s="81" t="str">
        <f t="shared" si="5"/>
        <v>3080361CCLRPEA RIDGE-NON0.6%2101.54WRAP-UP AND ALL-RISK INSURANCE</v>
      </c>
      <c r="X62" s="81"/>
    </row>
  </sheetData>
  <autoFilter ref="A2:AC62">
    <sortState ref="A3:AC62">
      <sortCondition ref="J2:J62"/>
    </sortState>
  </autoFilter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CD43"/>
  <sheetViews>
    <sheetView showZeros="0" zoomScale="85" zoomScaleNormal="85" zoomScaleSheetLayoutView="100" workbookViewId="0">
      <pane xSplit="2" ySplit="3" topLeftCell="C4" activePane="bottomRight" state="frozen"/>
      <selection activeCell="I2" sqref="I2:I3"/>
      <selection pane="topRight" activeCell="I2" sqref="I2:I3"/>
      <selection pane="bottomLeft" activeCell="I2" sqref="I2:I3"/>
      <selection pane="bottomRight" activeCell="C21" sqref="C21"/>
    </sheetView>
  </sheetViews>
  <sheetFormatPr defaultRowHeight="15" x14ac:dyDescent="0.25"/>
  <cols>
    <col min="1" max="1" width="8.5703125" style="1" customWidth="1"/>
    <col min="2" max="2" width="51.7109375" style="2" customWidth="1"/>
    <col min="3" max="3" width="4.85546875" style="60" bestFit="1" customWidth="1"/>
    <col min="4" max="4" width="10.140625" style="61" bestFit="1" customWidth="1"/>
    <col min="5" max="5" width="11.85546875" style="62" bestFit="1" customWidth="1"/>
    <col min="6" max="6" width="12.5703125" style="63" bestFit="1" customWidth="1"/>
    <col min="7" max="7" width="1.85546875" style="64" customWidth="1"/>
    <col min="8" max="8" width="5.5703125" style="65" bestFit="1" customWidth="1"/>
    <col min="9" max="9" width="9.28515625" style="60" bestFit="1" customWidth="1"/>
    <col min="10" max="10" width="7.7109375" style="66" bestFit="1" customWidth="1"/>
    <col min="11" max="11" width="10" style="6" customWidth="1"/>
    <col min="12" max="12" width="4.7109375" style="6" bestFit="1" customWidth="1"/>
    <col min="13" max="13" width="9.28515625" style="2" customWidth="1"/>
    <col min="14" max="14" width="4.7109375" style="6" bestFit="1" customWidth="1"/>
    <col min="15" max="15" width="9.28515625" style="6" bestFit="1" customWidth="1"/>
    <col min="16" max="16" width="2" style="64" customWidth="1"/>
    <col min="17" max="17" width="5.7109375" style="65" bestFit="1" customWidth="1"/>
    <col min="18" max="18" width="10.85546875" style="6" bestFit="1" customWidth="1"/>
    <col min="19" max="19" width="5.5703125" style="66" bestFit="1" customWidth="1"/>
    <col min="20" max="20" width="10.85546875" style="6" bestFit="1" customWidth="1"/>
    <col min="21" max="21" width="5.5703125" style="6" bestFit="1" customWidth="1"/>
    <col min="22" max="22" width="10.85546875" style="2" bestFit="1" customWidth="1"/>
    <col min="23" max="23" width="5.5703125" style="6" bestFit="1" customWidth="1"/>
    <col min="24" max="24" width="10.85546875" style="6" bestFit="1" customWidth="1"/>
    <col min="25" max="25" width="1.42578125" style="67" customWidth="1"/>
    <col min="26" max="26" width="5.5703125" style="65" bestFit="1" customWidth="1"/>
    <col min="27" max="27" width="12.5703125" style="6" bestFit="1" customWidth="1"/>
    <col min="28" max="28" width="5.5703125" style="66" bestFit="1" customWidth="1"/>
    <col min="29" max="29" width="11.5703125" style="6" bestFit="1" customWidth="1"/>
    <col min="30" max="30" width="5.5703125" style="6" bestFit="1" customWidth="1"/>
    <col min="31" max="31" width="11.5703125" style="2" bestFit="1" customWidth="1"/>
    <col min="32" max="32" width="5.5703125" style="6" bestFit="1" customWidth="1"/>
    <col min="33" max="33" width="11.5703125" style="6" customWidth="1"/>
    <col min="34" max="34" width="1.28515625" style="67" customWidth="1"/>
    <col min="35" max="35" width="5.5703125" style="65" bestFit="1" customWidth="1"/>
    <col min="36" max="36" width="11.5703125" style="6" customWidth="1"/>
    <col min="37" max="37" width="5.7109375" style="66" bestFit="1" customWidth="1"/>
    <col min="38" max="38" width="11.5703125" style="6" bestFit="1" customWidth="1"/>
    <col min="39" max="39" width="5.7109375" style="6" bestFit="1" customWidth="1"/>
    <col min="40" max="40" width="11.5703125" style="2" bestFit="1" customWidth="1"/>
    <col min="41" max="41" width="5.7109375" style="6" bestFit="1" customWidth="1"/>
    <col min="42" max="42" width="11.5703125" style="6" customWidth="1"/>
    <col min="43" max="43" width="1.7109375" style="67" customWidth="1"/>
    <col min="44" max="44" width="5.5703125" style="65" bestFit="1" customWidth="1"/>
    <col min="45" max="45" width="11.5703125" style="6" customWidth="1"/>
    <col min="46" max="46" width="5.5703125" style="66" bestFit="1" customWidth="1"/>
    <col min="47" max="47" width="11.5703125" style="6" bestFit="1" customWidth="1"/>
    <col min="48" max="48" width="5.5703125" style="6" bestFit="1" customWidth="1"/>
    <col min="49" max="49" width="11.5703125" style="2" bestFit="1" customWidth="1"/>
    <col min="50" max="50" width="5.5703125" style="6" bestFit="1" customWidth="1"/>
    <col min="51" max="51" width="11.5703125" style="6" customWidth="1"/>
    <col min="52" max="52" width="1.28515625" style="67" customWidth="1"/>
    <col min="53" max="53" width="5.7109375" style="65" bestFit="1" customWidth="1"/>
    <col min="54" max="54" width="11.5703125" style="6" customWidth="1"/>
    <col min="55" max="55" width="5.5703125" style="66" bestFit="1" customWidth="1"/>
    <col min="56" max="56" width="11.5703125" style="6" bestFit="1" customWidth="1"/>
    <col min="57" max="57" width="5.5703125" style="6" bestFit="1" customWidth="1"/>
    <col min="58" max="58" width="11.5703125" style="2" bestFit="1" customWidth="1"/>
    <col min="59" max="59" width="5.5703125" style="6" bestFit="1" customWidth="1"/>
    <col min="60" max="60" width="11.5703125" style="6" customWidth="1"/>
    <col min="61" max="61" width="2.42578125" style="67" customWidth="1"/>
    <col min="62" max="62" width="4.7109375" style="65" bestFit="1" customWidth="1"/>
    <col min="63" max="63" width="11.85546875" style="6" bestFit="1" customWidth="1"/>
    <col min="64" max="64" width="5.5703125" style="66" bestFit="1" customWidth="1"/>
    <col min="65" max="65" width="8.28515625" style="6" bestFit="1" customWidth="1"/>
    <col min="66" max="66" width="6.5703125" style="6" bestFit="1" customWidth="1"/>
    <col min="67" max="67" width="8.28515625" style="2" bestFit="1" customWidth="1"/>
    <col min="68" max="68" width="5.5703125" style="6" bestFit="1" customWidth="1"/>
    <col min="69" max="69" width="8.28515625" style="6" bestFit="1" customWidth="1"/>
    <col min="70" max="70" width="1.85546875" style="67" customWidth="1"/>
    <col min="71" max="71" width="5.5703125" style="65" bestFit="1" customWidth="1"/>
    <col min="72" max="72" width="11.5703125" style="6" customWidth="1"/>
    <col min="73" max="73" width="5.5703125" style="66" bestFit="1" customWidth="1"/>
    <col min="74" max="74" width="11.5703125" style="6" bestFit="1" customWidth="1"/>
    <col min="75" max="75" width="5.5703125" style="6" bestFit="1" customWidth="1"/>
    <col min="76" max="76" width="11.5703125" style="2" bestFit="1" customWidth="1"/>
    <col min="77" max="77" width="5.5703125" style="6" bestFit="1" customWidth="1"/>
    <col min="78" max="78" width="11.5703125" style="6" customWidth="1"/>
    <col min="79" max="79" width="14.28515625" style="5" bestFit="1" customWidth="1"/>
    <col min="80" max="80" width="13.28515625" style="6" customWidth="1"/>
    <col min="81" max="81" width="12.42578125" style="6" customWidth="1"/>
    <col min="82" max="16384" width="9.140625" style="2"/>
  </cols>
  <sheetData>
    <row r="1" spans="1:82" x14ac:dyDescent="0.25">
      <c r="C1" s="196" t="s">
        <v>0</v>
      </c>
      <c r="D1" s="197"/>
      <c r="E1" s="197"/>
      <c r="F1" s="197"/>
      <c r="G1" s="3"/>
      <c r="H1" s="192" t="s">
        <v>1</v>
      </c>
      <c r="I1" s="193"/>
      <c r="J1" s="193"/>
      <c r="K1" s="193"/>
      <c r="L1" s="193"/>
      <c r="M1" s="193"/>
      <c r="N1" s="193"/>
      <c r="O1" s="193"/>
      <c r="P1" s="3"/>
      <c r="Q1" s="192" t="s">
        <v>2</v>
      </c>
      <c r="R1" s="193"/>
      <c r="S1" s="193"/>
      <c r="T1" s="193"/>
      <c r="U1" s="193"/>
      <c r="V1" s="193"/>
      <c r="W1" s="193"/>
      <c r="X1" s="193"/>
      <c r="Y1" s="4"/>
      <c r="Z1" s="192" t="s">
        <v>3</v>
      </c>
      <c r="AA1" s="193"/>
      <c r="AB1" s="193"/>
      <c r="AC1" s="193"/>
      <c r="AD1" s="193"/>
      <c r="AE1" s="193"/>
      <c r="AF1" s="193"/>
      <c r="AG1" s="193"/>
      <c r="AH1" s="4"/>
      <c r="AI1" s="192" t="s">
        <v>4</v>
      </c>
      <c r="AJ1" s="193"/>
      <c r="AK1" s="193"/>
      <c r="AL1" s="193"/>
      <c r="AM1" s="193"/>
      <c r="AN1" s="193"/>
      <c r="AO1" s="193"/>
      <c r="AP1" s="193"/>
      <c r="AQ1" s="4"/>
      <c r="AR1" s="192" t="s">
        <v>5</v>
      </c>
      <c r="AS1" s="193"/>
      <c r="AT1" s="193"/>
      <c r="AU1" s="193"/>
      <c r="AV1" s="193"/>
      <c r="AW1" s="193"/>
      <c r="AX1" s="193"/>
      <c r="AY1" s="193"/>
      <c r="AZ1" s="4"/>
      <c r="BA1" s="192" t="s">
        <v>6</v>
      </c>
      <c r="BB1" s="193"/>
      <c r="BC1" s="193"/>
      <c r="BD1" s="193"/>
      <c r="BE1" s="193"/>
      <c r="BF1" s="193"/>
      <c r="BG1" s="193"/>
      <c r="BH1" s="193"/>
      <c r="BI1" s="4"/>
      <c r="BJ1" s="192" t="s">
        <v>7</v>
      </c>
      <c r="BK1" s="193"/>
      <c r="BL1" s="193"/>
      <c r="BM1" s="193"/>
      <c r="BN1" s="193"/>
      <c r="BO1" s="193"/>
      <c r="BP1" s="193"/>
      <c r="BQ1" s="193"/>
      <c r="BR1" s="4"/>
      <c r="BS1" s="192" t="s">
        <v>8</v>
      </c>
      <c r="BT1" s="193"/>
      <c r="BU1" s="193"/>
      <c r="BV1" s="193"/>
      <c r="BW1" s="193"/>
      <c r="BX1" s="193"/>
      <c r="BY1" s="193"/>
      <c r="BZ1" s="193"/>
    </row>
    <row r="2" spans="1:82" s="8" customFormat="1" ht="57.75" customHeight="1" x14ac:dyDescent="0.25">
      <c r="A2" s="7"/>
      <c r="C2" s="194"/>
      <c r="D2" s="195"/>
      <c r="E2" s="195"/>
      <c r="F2" s="195"/>
      <c r="G2" s="9"/>
      <c r="H2" s="10"/>
      <c r="I2" s="11"/>
      <c r="J2" s="190" t="s">
        <v>126</v>
      </c>
      <c r="K2" s="191"/>
      <c r="L2" s="190" t="s">
        <v>127</v>
      </c>
      <c r="M2" s="191"/>
      <c r="N2" s="190" t="s">
        <v>9</v>
      </c>
      <c r="O2" s="191"/>
      <c r="P2" s="9"/>
      <c r="Q2" s="10"/>
      <c r="R2" s="11"/>
      <c r="S2" s="190" t="s">
        <v>126</v>
      </c>
      <c r="T2" s="191"/>
      <c r="U2" s="190" t="s">
        <v>127</v>
      </c>
      <c r="V2" s="191"/>
      <c r="W2" s="190" t="s">
        <v>9</v>
      </c>
      <c r="X2" s="191"/>
      <c r="Y2" s="12"/>
      <c r="Z2" s="10"/>
      <c r="AA2" s="11"/>
      <c r="AB2" s="190" t="s">
        <v>128</v>
      </c>
      <c r="AC2" s="191"/>
      <c r="AD2" s="190" t="s">
        <v>127</v>
      </c>
      <c r="AE2" s="191"/>
      <c r="AF2" s="190" t="s">
        <v>9</v>
      </c>
      <c r="AG2" s="191"/>
      <c r="AH2" s="12"/>
      <c r="AI2" s="10"/>
      <c r="AJ2" s="11"/>
      <c r="AK2" s="190" t="s">
        <v>128</v>
      </c>
      <c r="AL2" s="191"/>
      <c r="AM2" s="190" t="s">
        <v>127</v>
      </c>
      <c r="AN2" s="191"/>
      <c r="AO2" s="190" t="s">
        <v>9</v>
      </c>
      <c r="AP2" s="191"/>
      <c r="AQ2" s="12"/>
      <c r="AR2" s="10"/>
      <c r="AS2" s="11"/>
      <c r="AT2" s="190" t="s">
        <v>128</v>
      </c>
      <c r="AU2" s="191"/>
      <c r="AV2" s="190" t="s">
        <v>127</v>
      </c>
      <c r="AW2" s="191"/>
      <c r="AX2" s="190" t="s">
        <v>9</v>
      </c>
      <c r="AY2" s="191"/>
      <c r="AZ2" s="12"/>
      <c r="BA2" s="10"/>
      <c r="BB2" s="11"/>
      <c r="BC2" s="190" t="s">
        <v>128</v>
      </c>
      <c r="BD2" s="191"/>
      <c r="BE2" s="190" t="s">
        <v>127</v>
      </c>
      <c r="BF2" s="191"/>
      <c r="BG2" s="190" t="s">
        <v>9</v>
      </c>
      <c r="BH2" s="191"/>
      <c r="BI2" s="12"/>
      <c r="BJ2" s="10"/>
      <c r="BK2" s="11"/>
      <c r="BL2" s="190" t="s">
        <v>128</v>
      </c>
      <c r="BM2" s="191"/>
      <c r="BN2" s="190" t="s">
        <v>127</v>
      </c>
      <c r="BO2" s="191"/>
      <c r="BP2" s="190" t="s">
        <v>9</v>
      </c>
      <c r="BQ2" s="191"/>
      <c r="BR2" s="12"/>
      <c r="BS2" s="10"/>
      <c r="BT2" s="11"/>
      <c r="BU2" s="190" t="s">
        <v>128</v>
      </c>
      <c r="BV2" s="191"/>
      <c r="BW2" s="190" t="s">
        <v>127</v>
      </c>
      <c r="BX2" s="191"/>
      <c r="BY2" s="190" t="s">
        <v>9</v>
      </c>
      <c r="BZ2" s="191"/>
      <c r="CA2" s="13"/>
      <c r="CB2" s="14"/>
      <c r="CC2" s="14"/>
    </row>
    <row r="3" spans="1:82" s="15" customFormat="1" ht="30" x14ac:dyDescent="0.25">
      <c r="B3" s="15" t="s">
        <v>10</v>
      </c>
      <c r="C3" s="16" t="s">
        <v>11</v>
      </c>
      <c r="D3" s="17" t="s">
        <v>12</v>
      </c>
      <c r="E3" s="18" t="s">
        <v>13</v>
      </c>
      <c r="F3" s="19" t="s">
        <v>14</v>
      </c>
      <c r="G3" s="20"/>
      <c r="H3" s="21" t="s">
        <v>15</v>
      </c>
      <c r="I3" s="22" t="s">
        <v>0</v>
      </c>
      <c r="J3" s="23" t="s">
        <v>15</v>
      </c>
      <c r="K3" s="24" t="s">
        <v>14</v>
      </c>
      <c r="L3" s="25" t="s">
        <v>15</v>
      </c>
      <c r="M3" s="24" t="s">
        <v>14</v>
      </c>
      <c r="N3" s="25" t="s">
        <v>15</v>
      </c>
      <c r="O3" s="24" t="s">
        <v>14</v>
      </c>
      <c r="P3" s="20"/>
      <c r="Q3" s="21" t="s">
        <v>15</v>
      </c>
      <c r="R3" s="22" t="s">
        <v>0</v>
      </c>
      <c r="S3" s="23" t="s">
        <v>15</v>
      </c>
      <c r="T3" s="24" t="s">
        <v>14</v>
      </c>
      <c r="U3" s="25" t="s">
        <v>15</v>
      </c>
      <c r="V3" s="24" t="s">
        <v>14</v>
      </c>
      <c r="W3" s="25" t="s">
        <v>15</v>
      </c>
      <c r="X3" s="24" t="s">
        <v>14</v>
      </c>
      <c r="Y3" s="26"/>
      <c r="Z3" s="21" t="s">
        <v>15</v>
      </c>
      <c r="AA3" s="22" t="s">
        <v>0</v>
      </c>
      <c r="AB3" s="23" t="s">
        <v>15</v>
      </c>
      <c r="AC3" s="24" t="s">
        <v>14</v>
      </c>
      <c r="AD3" s="25" t="s">
        <v>15</v>
      </c>
      <c r="AE3" s="24" t="s">
        <v>14</v>
      </c>
      <c r="AF3" s="25" t="s">
        <v>15</v>
      </c>
      <c r="AG3" s="24" t="s">
        <v>14</v>
      </c>
      <c r="AH3" s="26"/>
      <c r="AI3" s="21" t="s">
        <v>15</v>
      </c>
      <c r="AJ3" s="22" t="s">
        <v>0</v>
      </c>
      <c r="AK3" s="23" t="s">
        <v>15</v>
      </c>
      <c r="AL3" s="24" t="s">
        <v>14</v>
      </c>
      <c r="AM3" s="25" t="s">
        <v>15</v>
      </c>
      <c r="AN3" s="24" t="s">
        <v>14</v>
      </c>
      <c r="AO3" s="25" t="s">
        <v>15</v>
      </c>
      <c r="AP3" s="24" t="s">
        <v>14</v>
      </c>
      <c r="AQ3" s="26"/>
      <c r="AR3" s="21" t="s">
        <v>15</v>
      </c>
      <c r="AS3" s="22" t="s">
        <v>0</v>
      </c>
      <c r="AT3" s="23" t="s">
        <v>15</v>
      </c>
      <c r="AU3" s="24" t="s">
        <v>14</v>
      </c>
      <c r="AV3" s="25" t="s">
        <v>15</v>
      </c>
      <c r="AW3" s="24" t="s">
        <v>14</v>
      </c>
      <c r="AX3" s="25" t="s">
        <v>15</v>
      </c>
      <c r="AY3" s="24" t="s">
        <v>14</v>
      </c>
      <c r="AZ3" s="26"/>
      <c r="BA3" s="21" t="s">
        <v>15</v>
      </c>
      <c r="BB3" s="22" t="s">
        <v>0</v>
      </c>
      <c r="BC3" s="23" t="s">
        <v>15</v>
      </c>
      <c r="BD3" s="24" t="s">
        <v>14</v>
      </c>
      <c r="BE3" s="25" t="s">
        <v>15</v>
      </c>
      <c r="BF3" s="24" t="s">
        <v>14</v>
      </c>
      <c r="BG3" s="25" t="s">
        <v>15</v>
      </c>
      <c r="BH3" s="24" t="s">
        <v>14</v>
      </c>
      <c r="BI3" s="26"/>
      <c r="BJ3" s="21" t="s">
        <v>15</v>
      </c>
      <c r="BK3" s="22" t="s">
        <v>0</v>
      </c>
      <c r="BL3" s="23" t="s">
        <v>15</v>
      </c>
      <c r="BM3" s="24" t="s">
        <v>14</v>
      </c>
      <c r="BN3" s="25" t="s">
        <v>15</v>
      </c>
      <c r="BO3" s="24" t="s">
        <v>14</v>
      </c>
      <c r="BP3" s="25" t="s">
        <v>15</v>
      </c>
      <c r="BQ3" s="24" t="s">
        <v>14</v>
      </c>
      <c r="BR3" s="26"/>
      <c r="BS3" s="21" t="s">
        <v>15</v>
      </c>
      <c r="BT3" s="22" t="s">
        <v>0</v>
      </c>
      <c r="BU3" s="23" t="s">
        <v>15</v>
      </c>
      <c r="BV3" s="24" t="s">
        <v>14</v>
      </c>
      <c r="BW3" s="25" t="s">
        <v>15</v>
      </c>
      <c r="BX3" s="24" t="s">
        <v>14</v>
      </c>
      <c r="BY3" s="25" t="s">
        <v>15</v>
      </c>
      <c r="BZ3" s="24" t="s">
        <v>14</v>
      </c>
      <c r="CA3" s="27" t="s">
        <v>16</v>
      </c>
      <c r="CB3" s="28" t="s">
        <v>17</v>
      </c>
      <c r="CC3" s="28" t="s">
        <v>18</v>
      </c>
      <c r="CD3" s="15" t="s">
        <v>19</v>
      </c>
    </row>
    <row r="4" spans="1:82" s="15" customFormat="1" x14ac:dyDescent="0.25">
      <c r="A4" s="29" t="s">
        <v>20</v>
      </c>
      <c r="C4" s="30"/>
      <c r="D4" s="31"/>
      <c r="E4" s="32"/>
      <c r="F4" s="33">
        <v>0</v>
      </c>
      <c r="G4" s="34"/>
      <c r="H4" s="35"/>
      <c r="I4" s="36">
        <f>H4*$F4</f>
        <v>0</v>
      </c>
      <c r="J4" s="37"/>
      <c r="K4" s="38">
        <f>J4*I4</f>
        <v>0</v>
      </c>
      <c r="L4" s="37"/>
      <c r="M4" s="38">
        <f>L4*I4</f>
        <v>0</v>
      </c>
      <c r="N4" s="37"/>
      <c r="O4" s="38">
        <f>N4*I4</f>
        <v>0</v>
      </c>
      <c r="P4" s="34"/>
      <c r="Q4" s="35"/>
      <c r="R4" s="36">
        <f>Q4*$F4</f>
        <v>0</v>
      </c>
      <c r="S4" s="37"/>
      <c r="T4" s="38">
        <f>S4*R4</f>
        <v>0</v>
      </c>
      <c r="U4" s="37"/>
      <c r="V4" s="38">
        <f>U4*R4</f>
        <v>0</v>
      </c>
      <c r="W4" s="37"/>
      <c r="X4" s="38">
        <f>W4*R4</f>
        <v>0</v>
      </c>
      <c r="Y4" s="39"/>
      <c r="Z4" s="35"/>
      <c r="AA4" s="36">
        <f>Z4*$F4</f>
        <v>0</v>
      </c>
      <c r="AB4" s="37"/>
      <c r="AC4" s="38">
        <f>AB4*AA4</f>
        <v>0</v>
      </c>
      <c r="AD4" s="37"/>
      <c r="AE4" s="38">
        <f>AD4*AA4</f>
        <v>0</v>
      </c>
      <c r="AF4" s="37"/>
      <c r="AG4" s="38">
        <f>AF4*AA4</f>
        <v>0</v>
      </c>
      <c r="AH4" s="39"/>
      <c r="AI4" s="35"/>
      <c r="AJ4" s="36">
        <f>AI4*$F4</f>
        <v>0</v>
      </c>
      <c r="AK4" s="37"/>
      <c r="AL4" s="38">
        <f>AK4*AJ4</f>
        <v>0</v>
      </c>
      <c r="AM4" s="37"/>
      <c r="AN4" s="38">
        <f>AM4*AJ4</f>
        <v>0</v>
      </c>
      <c r="AO4" s="37"/>
      <c r="AP4" s="38">
        <f>AO4*AJ4</f>
        <v>0</v>
      </c>
      <c r="AQ4" s="39"/>
      <c r="AR4" s="35"/>
      <c r="AS4" s="36">
        <f>AR4*$F4</f>
        <v>0</v>
      </c>
      <c r="AT4" s="37"/>
      <c r="AU4" s="38">
        <f>AT4*AS4</f>
        <v>0</v>
      </c>
      <c r="AV4" s="37"/>
      <c r="AW4" s="38">
        <f>AV4*AS4</f>
        <v>0</v>
      </c>
      <c r="AX4" s="37"/>
      <c r="AY4" s="38">
        <f>AX4*AS4</f>
        <v>0</v>
      </c>
      <c r="AZ4" s="39"/>
      <c r="BA4" s="35"/>
      <c r="BB4" s="36">
        <f>BA4*$F4</f>
        <v>0</v>
      </c>
      <c r="BC4" s="37"/>
      <c r="BD4" s="38">
        <f>BC4*BB4</f>
        <v>0</v>
      </c>
      <c r="BE4" s="37"/>
      <c r="BF4" s="38">
        <f>BE4*BB4</f>
        <v>0</v>
      </c>
      <c r="BG4" s="37"/>
      <c r="BH4" s="38">
        <f>BG4*BB4</f>
        <v>0</v>
      </c>
      <c r="BI4" s="39"/>
      <c r="BJ4" s="35"/>
      <c r="BK4" s="36">
        <f>BJ4*$F4</f>
        <v>0</v>
      </c>
      <c r="BL4" s="37"/>
      <c r="BM4" s="38">
        <f>BL4*BK4</f>
        <v>0</v>
      </c>
      <c r="BN4" s="37"/>
      <c r="BO4" s="38">
        <f>BN4*BK4</f>
        <v>0</v>
      </c>
      <c r="BP4" s="37"/>
      <c r="BQ4" s="38">
        <f>BP4*BK4</f>
        <v>0</v>
      </c>
      <c r="BR4" s="39"/>
      <c r="BS4" s="35"/>
      <c r="BT4" s="36">
        <f>BS4*$F4</f>
        <v>0</v>
      </c>
      <c r="BU4" s="37"/>
      <c r="BV4" s="38">
        <f>BU4*BT4</f>
        <v>0</v>
      </c>
      <c r="BW4" s="37"/>
      <c r="BX4" s="38">
        <f>BW4*BT4</f>
        <v>0</v>
      </c>
      <c r="BY4" s="37"/>
      <c r="BZ4" s="38">
        <f>BY4*BT4</f>
        <v>0</v>
      </c>
      <c r="CA4" s="40">
        <f t="shared" ref="CA4:CA27" si="0">F4</f>
        <v>0</v>
      </c>
      <c r="CB4" s="40">
        <f t="shared" ref="CB4:CB27" si="1">I4+R4+AA4+AJ4+AS4+BB4+BK4+BT4</f>
        <v>0</v>
      </c>
      <c r="CC4" s="40">
        <f>SUM(BZ4,BX4,BV4,BQ4,BO4,BM4,BH4,BF4,BD4,AY4,AW4,AU4,AP4,AN4,AL4,AG4,AE4,AC4,X4,V4,T4,O4,M4,K4)</f>
        <v>0</v>
      </c>
      <c r="CD4" s="15">
        <f>IF(AND(CA4=CB4,CB4=CC4,CA4=CC4),0,1)</f>
        <v>0</v>
      </c>
    </row>
    <row r="5" spans="1:82" s="15" customFormat="1" x14ac:dyDescent="0.25">
      <c r="B5" s="2" t="s">
        <v>22</v>
      </c>
      <c r="C5" s="41" t="s">
        <v>21</v>
      </c>
      <c r="D5" s="42">
        <v>1</v>
      </c>
      <c r="E5" s="33">
        <v>25000</v>
      </c>
      <c r="F5" s="33">
        <v>25000</v>
      </c>
      <c r="G5" s="39"/>
      <c r="H5" s="35">
        <v>1</v>
      </c>
      <c r="I5" s="36">
        <f t="shared" ref="I5:I25" si="2">H5*$F5</f>
        <v>25000</v>
      </c>
      <c r="J5" s="37">
        <v>0.34</v>
      </c>
      <c r="K5" s="38">
        <f t="shared" ref="K5:K25" si="3">J5*I5</f>
        <v>8500</v>
      </c>
      <c r="L5" s="37">
        <v>0.33</v>
      </c>
      <c r="M5" s="38">
        <f t="shared" ref="M5:M25" si="4">L5*I5</f>
        <v>8250</v>
      </c>
      <c r="N5" s="37">
        <v>0.33</v>
      </c>
      <c r="O5" s="38">
        <f t="shared" ref="O5:O25" si="5">N5*I5</f>
        <v>8250</v>
      </c>
      <c r="P5" s="39"/>
      <c r="Q5" s="35"/>
      <c r="R5" s="36">
        <f t="shared" ref="R5:R25" si="6">Q5*$F5</f>
        <v>0</v>
      </c>
      <c r="S5" s="37"/>
      <c r="T5" s="38">
        <f t="shared" ref="T5:T25" si="7">S5*R5</f>
        <v>0</v>
      </c>
      <c r="U5" s="37"/>
      <c r="V5" s="38">
        <f t="shared" ref="V5:V25" si="8">U5*R5</f>
        <v>0</v>
      </c>
      <c r="W5" s="37"/>
      <c r="X5" s="38">
        <f t="shared" ref="X5:X25" si="9">W5*R5</f>
        <v>0</v>
      </c>
      <c r="Y5" s="39"/>
      <c r="Z5" s="35"/>
      <c r="AA5" s="36">
        <f t="shared" ref="AA5:AA25" si="10">Z5*$F5</f>
        <v>0</v>
      </c>
      <c r="AB5" s="37"/>
      <c r="AC5" s="38">
        <f t="shared" ref="AC5:AC25" si="11">AB5*AA5</f>
        <v>0</v>
      </c>
      <c r="AD5" s="37"/>
      <c r="AE5" s="38">
        <f t="shared" ref="AE5:AE25" si="12">AD5*AA5</f>
        <v>0</v>
      </c>
      <c r="AF5" s="37"/>
      <c r="AG5" s="38">
        <f t="shared" ref="AG5:AG25" si="13">AF5*AA5</f>
        <v>0</v>
      </c>
      <c r="AH5" s="39"/>
      <c r="AI5" s="35"/>
      <c r="AJ5" s="36">
        <f t="shared" ref="AJ5:AJ25" si="14">AI5*$F5</f>
        <v>0</v>
      </c>
      <c r="AK5" s="37"/>
      <c r="AL5" s="38">
        <f t="shared" ref="AL5:AL25" si="15">AK5*AJ5</f>
        <v>0</v>
      </c>
      <c r="AM5" s="37"/>
      <c r="AN5" s="38">
        <f t="shared" ref="AN5:AN25" si="16">AM5*AJ5</f>
        <v>0</v>
      </c>
      <c r="AO5" s="37"/>
      <c r="AP5" s="38">
        <f t="shared" ref="AP5:AP25" si="17">AO5*AJ5</f>
        <v>0</v>
      </c>
      <c r="AQ5" s="39"/>
      <c r="AR5" s="35"/>
      <c r="AS5" s="36">
        <f t="shared" ref="AS5:AS25" si="18">AR5*$F5</f>
        <v>0</v>
      </c>
      <c r="AT5" s="37"/>
      <c r="AU5" s="38">
        <f t="shared" ref="AU5:AU25" si="19">AT5*AS5</f>
        <v>0</v>
      </c>
      <c r="AV5" s="37"/>
      <c r="AW5" s="38">
        <f t="shared" ref="AW5:AW25" si="20">AV5*AS5</f>
        <v>0</v>
      </c>
      <c r="AX5" s="37"/>
      <c r="AY5" s="38">
        <f t="shared" ref="AY5:AY25" si="21">AX5*AS5</f>
        <v>0</v>
      </c>
      <c r="AZ5" s="39"/>
      <c r="BA5" s="35"/>
      <c r="BB5" s="36">
        <f t="shared" ref="BB5:BB25" si="22">BA5*$F5</f>
        <v>0</v>
      </c>
      <c r="BC5" s="37"/>
      <c r="BD5" s="38">
        <f t="shared" ref="BD5:BD25" si="23">BC5*BB5</f>
        <v>0</v>
      </c>
      <c r="BE5" s="37"/>
      <c r="BF5" s="38">
        <f t="shared" ref="BF5:BF25" si="24">BE5*BB5</f>
        <v>0</v>
      </c>
      <c r="BG5" s="37"/>
      <c r="BH5" s="38">
        <f t="shared" ref="BH5:BH25" si="25">BG5*BB5</f>
        <v>0</v>
      </c>
      <c r="BI5" s="39"/>
      <c r="BJ5" s="35"/>
      <c r="BK5" s="36">
        <f t="shared" ref="BK5:BK25" si="26">BJ5*$F5</f>
        <v>0</v>
      </c>
      <c r="BL5" s="37"/>
      <c r="BM5" s="38">
        <f t="shared" ref="BM5:BM25" si="27">BL5*BK5</f>
        <v>0</v>
      </c>
      <c r="BN5" s="37"/>
      <c r="BO5" s="38">
        <f t="shared" ref="BO5:BO25" si="28">BN5*BK5</f>
        <v>0</v>
      </c>
      <c r="BP5" s="37"/>
      <c r="BQ5" s="38">
        <f t="shared" ref="BQ5:BQ25" si="29">BP5*BK5</f>
        <v>0</v>
      </c>
      <c r="BR5" s="39"/>
      <c r="BS5" s="35"/>
      <c r="BT5" s="36">
        <f t="shared" ref="BT5:BT25" si="30">BS5*$F5</f>
        <v>0</v>
      </c>
      <c r="BU5" s="37"/>
      <c r="BV5" s="38">
        <f t="shared" ref="BV5:BV25" si="31">BU5*BT5</f>
        <v>0</v>
      </c>
      <c r="BW5" s="37"/>
      <c r="BX5" s="38">
        <f t="shared" ref="BX5:BX25" si="32">BW5*BT5</f>
        <v>0</v>
      </c>
      <c r="BY5" s="37"/>
      <c r="BZ5" s="38">
        <f t="shared" ref="BZ5:BZ25" si="33">BY5*BT5</f>
        <v>0</v>
      </c>
      <c r="CA5" s="40">
        <f t="shared" si="0"/>
        <v>25000</v>
      </c>
      <c r="CB5" s="40">
        <f t="shared" si="1"/>
        <v>25000</v>
      </c>
      <c r="CC5" s="40">
        <f t="shared" ref="CC5:CC27" si="34">SUM(BZ5,BX5,BV5,BQ5,BO5,BM5,BH5,BF5,BD5,AY5,AW5,AU5,AP5,AN5,AL5,AG5,AE5,AC5,X5,V5,T5,O5,M5,K5)</f>
        <v>25000</v>
      </c>
      <c r="CD5" s="15">
        <f t="shared" ref="CD5:CD27" si="35">IF(AND(CA5=CB5,CB5=CC5,CA5=CC5),0,1)</f>
        <v>0</v>
      </c>
    </row>
    <row r="6" spans="1:82" s="15" customFormat="1" x14ac:dyDescent="0.25">
      <c r="B6" s="43" t="s">
        <v>23</v>
      </c>
      <c r="C6" s="41" t="s">
        <v>21</v>
      </c>
      <c r="D6" s="42">
        <v>1</v>
      </c>
      <c r="E6" s="33">
        <v>25000</v>
      </c>
      <c r="F6" s="33">
        <v>25000</v>
      </c>
      <c r="G6" s="39"/>
      <c r="H6" s="35">
        <v>1</v>
      </c>
      <c r="I6" s="36">
        <f t="shared" si="2"/>
        <v>25000</v>
      </c>
      <c r="J6" s="37">
        <v>0.34</v>
      </c>
      <c r="K6" s="38">
        <f t="shared" si="3"/>
        <v>8500</v>
      </c>
      <c r="L6" s="37">
        <v>0.33</v>
      </c>
      <c r="M6" s="38">
        <f t="shared" si="4"/>
        <v>8250</v>
      </c>
      <c r="N6" s="37">
        <v>0.33</v>
      </c>
      <c r="O6" s="38">
        <f t="shared" si="5"/>
        <v>8250</v>
      </c>
      <c r="P6" s="39"/>
      <c r="Q6" s="35"/>
      <c r="R6" s="36">
        <f t="shared" si="6"/>
        <v>0</v>
      </c>
      <c r="S6" s="37"/>
      <c r="T6" s="38">
        <f t="shared" si="7"/>
        <v>0</v>
      </c>
      <c r="U6" s="37"/>
      <c r="V6" s="38">
        <f t="shared" si="8"/>
        <v>0</v>
      </c>
      <c r="W6" s="37"/>
      <c r="X6" s="38">
        <f t="shared" si="9"/>
        <v>0</v>
      </c>
      <c r="Y6" s="39"/>
      <c r="Z6" s="35"/>
      <c r="AA6" s="36">
        <f t="shared" si="10"/>
        <v>0</v>
      </c>
      <c r="AB6" s="37"/>
      <c r="AC6" s="38">
        <f t="shared" si="11"/>
        <v>0</v>
      </c>
      <c r="AD6" s="37"/>
      <c r="AE6" s="38">
        <f t="shared" si="12"/>
        <v>0</v>
      </c>
      <c r="AF6" s="37"/>
      <c r="AG6" s="38">
        <f t="shared" si="13"/>
        <v>0</v>
      </c>
      <c r="AH6" s="39"/>
      <c r="AI6" s="35"/>
      <c r="AJ6" s="36">
        <f t="shared" si="14"/>
        <v>0</v>
      </c>
      <c r="AK6" s="37"/>
      <c r="AL6" s="38">
        <f t="shared" si="15"/>
        <v>0</v>
      </c>
      <c r="AM6" s="37"/>
      <c r="AN6" s="38">
        <f t="shared" si="16"/>
        <v>0</v>
      </c>
      <c r="AO6" s="37"/>
      <c r="AP6" s="38">
        <f t="shared" si="17"/>
        <v>0</v>
      </c>
      <c r="AQ6" s="39"/>
      <c r="AR6" s="35"/>
      <c r="AS6" s="36">
        <f t="shared" si="18"/>
        <v>0</v>
      </c>
      <c r="AT6" s="37"/>
      <c r="AU6" s="38">
        <f t="shared" si="19"/>
        <v>0</v>
      </c>
      <c r="AV6" s="37"/>
      <c r="AW6" s="38">
        <f t="shared" si="20"/>
        <v>0</v>
      </c>
      <c r="AX6" s="37"/>
      <c r="AY6" s="38">
        <f t="shared" si="21"/>
        <v>0</v>
      </c>
      <c r="AZ6" s="39"/>
      <c r="BA6" s="35"/>
      <c r="BB6" s="36">
        <f t="shared" si="22"/>
        <v>0</v>
      </c>
      <c r="BC6" s="37"/>
      <c r="BD6" s="38">
        <f t="shared" si="23"/>
        <v>0</v>
      </c>
      <c r="BE6" s="37"/>
      <c r="BF6" s="38">
        <f t="shared" si="24"/>
        <v>0</v>
      </c>
      <c r="BG6" s="37"/>
      <c r="BH6" s="38">
        <f t="shared" si="25"/>
        <v>0</v>
      </c>
      <c r="BI6" s="39"/>
      <c r="BJ6" s="35"/>
      <c r="BK6" s="36">
        <f t="shared" si="26"/>
        <v>0</v>
      </c>
      <c r="BL6" s="37"/>
      <c r="BM6" s="38">
        <f t="shared" si="27"/>
        <v>0</v>
      </c>
      <c r="BN6" s="37"/>
      <c r="BO6" s="38">
        <f t="shared" si="28"/>
        <v>0</v>
      </c>
      <c r="BP6" s="37"/>
      <c r="BQ6" s="38">
        <f t="shared" si="29"/>
        <v>0</v>
      </c>
      <c r="BR6" s="39"/>
      <c r="BS6" s="35"/>
      <c r="BT6" s="36">
        <f t="shared" si="30"/>
        <v>0</v>
      </c>
      <c r="BU6" s="37"/>
      <c r="BV6" s="38">
        <f t="shared" si="31"/>
        <v>0</v>
      </c>
      <c r="BW6" s="37"/>
      <c r="BX6" s="38">
        <f t="shared" si="32"/>
        <v>0</v>
      </c>
      <c r="BY6" s="37"/>
      <c r="BZ6" s="38">
        <f t="shared" si="33"/>
        <v>0</v>
      </c>
      <c r="CA6" s="40">
        <f t="shared" si="0"/>
        <v>25000</v>
      </c>
      <c r="CB6" s="40">
        <f t="shared" si="1"/>
        <v>25000</v>
      </c>
      <c r="CC6" s="40">
        <f t="shared" si="34"/>
        <v>25000</v>
      </c>
      <c r="CD6" s="15">
        <f t="shared" si="35"/>
        <v>0</v>
      </c>
    </row>
    <row r="7" spans="1:82" s="15" customFormat="1" x14ac:dyDescent="0.25">
      <c r="B7" s="2"/>
      <c r="C7" s="44"/>
      <c r="D7" s="42"/>
      <c r="E7" s="33"/>
      <c r="F7" s="33"/>
      <c r="G7" s="39"/>
      <c r="H7" s="35"/>
      <c r="I7" s="36">
        <f t="shared" si="2"/>
        <v>0</v>
      </c>
      <c r="J7" s="37"/>
      <c r="K7" s="38">
        <f t="shared" si="3"/>
        <v>0</v>
      </c>
      <c r="L7" s="37"/>
      <c r="M7" s="38">
        <f t="shared" si="4"/>
        <v>0</v>
      </c>
      <c r="N7" s="37"/>
      <c r="O7" s="38">
        <f t="shared" si="5"/>
        <v>0</v>
      </c>
      <c r="P7" s="39"/>
      <c r="Q7" s="35"/>
      <c r="R7" s="36">
        <f t="shared" si="6"/>
        <v>0</v>
      </c>
      <c r="S7" s="37"/>
      <c r="T7" s="38">
        <f t="shared" si="7"/>
        <v>0</v>
      </c>
      <c r="U7" s="37"/>
      <c r="V7" s="38">
        <f t="shared" si="8"/>
        <v>0</v>
      </c>
      <c r="W7" s="37"/>
      <c r="X7" s="38">
        <f t="shared" si="9"/>
        <v>0</v>
      </c>
      <c r="Y7" s="39"/>
      <c r="Z7" s="35"/>
      <c r="AA7" s="36">
        <f t="shared" si="10"/>
        <v>0</v>
      </c>
      <c r="AB7" s="37"/>
      <c r="AC7" s="38">
        <f t="shared" si="11"/>
        <v>0</v>
      </c>
      <c r="AD7" s="37"/>
      <c r="AE7" s="38">
        <f t="shared" si="12"/>
        <v>0</v>
      </c>
      <c r="AF7" s="37"/>
      <c r="AG7" s="38">
        <f t="shared" si="13"/>
        <v>0</v>
      </c>
      <c r="AH7" s="39"/>
      <c r="AI7" s="35"/>
      <c r="AJ7" s="36">
        <f t="shared" si="14"/>
        <v>0</v>
      </c>
      <c r="AK7" s="37"/>
      <c r="AL7" s="38">
        <f t="shared" si="15"/>
        <v>0</v>
      </c>
      <c r="AM7" s="37"/>
      <c r="AN7" s="38">
        <f t="shared" si="16"/>
        <v>0</v>
      </c>
      <c r="AO7" s="37"/>
      <c r="AP7" s="38">
        <f t="shared" si="17"/>
        <v>0</v>
      </c>
      <c r="AQ7" s="39"/>
      <c r="AR7" s="35"/>
      <c r="AS7" s="36">
        <f t="shared" si="18"/>
        <v>0</v>
      </c>
      <c r="AT7" s="37"/>
      <c r="AU7" s="38">
        <f t="shared" si="19"/>
        <v>0</v>
      </c>
      <c r="AV7" s="37"/>
      <c r="AW7" s="38">
        <f t="shared" si="20"/>
        <v>0</v>
      </c>
      <c r="AX7" s="37"/>
      <c r="AY7" s="38">
        <f t="shared" si="21"/>
        <v>0</v>
      </c>
      <c r="AZ7" s="39"/>
      <c r="BA7" s="35"/>
      <c r="BB7" s="36">
        <f t="shared" si="22"/>
        <v>0</v>
      </c>
      <c r="BC7" s="37"/>
      <c r="BD7" s="38">
        <f t="shared" si="23"/>
        <v>0</v>
      </c>
      <c r="BE7" s="37"/>
      <c r="BF7" s="38">
        <f t="shared" si="24"/>
        <v>0</v>
      </c>
      <c r="BG7" s="37"/>
      <c r="BH7" s="38">
        <f t="shared" si="25"/>
        <v>0</v>
      </c>
      <c r="BI7" s="39"/>
      <c r="BJ7" s="35"/>
      <c r="BK7" s="36">
        <f t="shared" si="26"/>
        <v>0</v>
      </c>
      <c r="BL7" s="37"/>
      <c r="BM7" s="38">
        <f t="shared" si="27"/>
        <v>0</v>
      </c>
      <c r="BN7" s="37"/>
      <c r="BO7" s="38">
        <f t="shared" si="28"/>
        <v>0</v>
      </c>
      <c r="BP7" s="37"/>
      <c r="BQ7" s="38">
        <f t="shared" si="29"/>
        <v>0</v>
      </c>
      <c r="BR7" s="39"/>
      <c r="BS7" s="35"/>
      <c r="BT7" s="36">
        <f t="shared" si="30"/>
        <v>0</v>
      </c>
      <c r="BU7" s="37"/>
      <c r="BV7" s="38">
        <f t="shared" si="31"/>
        <v>0</v>
      </c>
      <c r="BW7" s="37"/>
      <c r="BX7" s="38">
        <f t="shared" si="32"/>
        <v>0</v>
      </c>
      <c r="BY7" s="37"/>
      <c r="BZ7" s="38">
        <f t="shared" si="33"/>
        <v>0</v>
      </c>
      <c r="CA7" s="40">
        <f t="shared" si="0"/>
        <v>0</v>
      </c>
      <c r="CB7" s="40">
        <f t="shared" si="1"/>
        <v>0</v>
      </c>
      <c r="CC7" s="40">
        <f t="shared" si="34"/>
        <v>0</v>
      </c>
      <c r="CD7" s="15">
        <f t="shared" si="35"/>
        <v>0</v>
      </c>
    </row>
    <row r="8" spans="1:82" x14ac:dyDescent="0.25">
      <c r="A8" s="1" t="s">
        <v>24</v>
      </c>
      <c r="C8" s="44"/>
      <c r="D8" s="50"/>
      <c r="E8" s="33"/>
      <c r="F8" s="33">
        <v>0</v>
      </c>
      <c r="G8" s="39"/>
      <c r="H8" s="35"/>
      <c r="I8" s="36">
        <f t="shared" si="2"/>
        <v>0</v>
      </c>
      <c r="J8" s="37"/>
      <c r="K8" s="38">
        <f t="shared" si="3"/>
        <v>0</v>
      </c>
      <c r="L8" s="37"/>
      <c r="M8" s="38">
        <f t="shared" si="4"/>
        <v>0</v>
      </c>
      <c r="N8" s="37"/>
      <c r="O8" s="38">
        <f t="shared" si="5"/>
        <v>0</v>
      </c>
      <c r="P8" s="39"/>
      <c r="Q8" s="35"/>
      <c r="R8" s="36">
        <f t="shared" si="6"/>
        <v>0</v>
      </c>
      <c r="S8" s="37"/>
      <c r="T8" s="38">
        <f t="shared" si="7"/>
        <v>0</v>
      </c>
      <c r="U8" s="37"/>
      <c r="V8" s="38">
        <f t="shared" si="8"/>
        <v>0</v>
      </c>
      <c r="W8" s="37"/>
      <c r="X8" s="38">
        <f t="shared" si="9"/>
        <v>0</v>
      </c>
      <c r="Y8" s="39"/>
      <c r="Z8" s="35"/>
      <c r="AA8" s="36">
        <f t="shared" si="10"/>
        <v>0</v>
      </c>
      <c r="AB8" s="37"/>
      <c r="AC8" s="38">
        <f t="shared" si="11"/>
        <v>0</v>
      </c>
      <c r="AD8" s="37"/>
      <c r="AE8" s="38">
        <f t="shared" si="12"/>
        <v>0</v>
      </c>
      <c r="AF8" s="37"/>
      <c r="AG8" s="38">
        <f t="shared" si="13"/>
        <v>0</v>
      </c>
      <c r="AH8" s="39"/>
      <c r="AI8" s="35"/>
      <c r="AJ8" s="36">
        <f t="shared" si="14"/>
        <v>0</v>
      </c>
      <c r="AK8" s="37"/>
      <c r="AL8" s="38">
        <f t="shared" si="15"/>
        <v>0</v>
      </c>
      <c r="AM8" s="37"/>
      <c r="AN8" s="38">
        <f t="shared" si="16"/>
        <v>0</v>
      </c>
      <c r="AO8" s="37"/>
      <c r="AP8" s="38">
        <f t="shared" si="17"/>
        <v>0</v>
      </c>
      <c r="AQ8" s="39"/>
      <c r="AR8" s="35"/>
      <c r="AS8" s="36">
        <f t="shared" si="18"/>
        <v>0</v>
      </c>
      <c r="AT8" s="37"/>
      <c r="AU8" s="38">
        <f t="shared" si="19"/>
        <v>0</v>
      </c>
      <c r="AV8" s="37"/>
      <c r="AW8" s="38">
        <f t="shared" si="20"/>
        <v>0</v>
      </c>
      <c r="AX8" s="37"/>
      <c r="AY8" s="38">
        <f t="shared" si="21"/>
        <v>0</v>
      </c>
      <c r="AZ8" s="39"/>
      <c r="BA8" s="35"/>
      <c r="BB8" s="36">
        <f t="shared" si="22"/>
        <v>0</v>
      </c>
      <c r="BC8" s="37"/>
      <c r="BD8" s="38">
        <f t="shared" si="23"/>
        <v>0</v>
      </c>
      <c r="BE8" s="37"/>
      <c r="BF8" s="38">
        <f t="shared" si="24"/>
        <v>0</v>
      </c>
      <c r="BG8" s="37"/>
      <c r="BH8" s="38">
        <f t="shared" si="25"/>
        <v>0</v>
      </c>
      <c r="BI8" s="39"/>
      <c r="BJ8" s="35"/>
      <c r="BK8" s="36">
        <f t="shared" si="26"/>
        <v>0</v>
      </c>
      <c r="BL8" s="37"/>
      <c r="BM8" s="38">
        <f t="shared" si="27"/>
        <v>0</v>
      </c>
      <c r="BN8" s="37"/>
      <c r="BO8" s="38">
        <f t="shared" si="28"/>
        <v>0</v>
      </c>
      <c r="BP8" s="37"/>
      <c r="BQ8" s="38">
        <f t="shared" si="29"/>
        <v>0</v>
      </c>
      <c r="BR8" s="39"/>
      <c r="BS8" s="35"/>
      <c r="BT8" s="36">
        <f t="shared" si="30"/>
        <v>0</v>
      </c>
      <c r="BU8" s="37"/>
      <c r="BV8" s="38">
        <f t="shared" si="31"/>
        <v>0</v>
      </c>
      <c r="BW8" s="37"/>
      <c r="BX8" s="38">
        <f t="shared" si="32"/>
        <v>0</v>
      </c>
      <c r="BY8" s="37"/>
      <c r="BZ8" s="38">
        <f t="shared" si="33"/>
        <v>0</v>
      </c>
      <c r="CA8" s="40">
        <f t="shared" si="0"/>
        <v>0</v>
      </c>
      <c r="CB8" s="40">
        <f t="shared" si="1"/>
        <v>0</v>
      </c>
      <c r="CC8" s="40">
        <f t="shared" si="34"/>
        <v>0</v>
      </c>
      <c r="CD8" s="15">
        <f t="shared" si="35"/>
        <v>0</v>
      </c>
    </row>
    <row r="9" spans="1:82" x14ac:dyDescent="0.25">
      <c r="A9" s="2"/>
      <c r="B9" s="2" t="s">
        <v>25</v>
      </c>
      <c r="C9" s="41" t="s">
        <v>21</v>
      </c>
      <c r="D9" s="50">
        <v>1</v>
      </c>
      <c r="E9" s="33">
        <v>50000</v>
      </c>
      <c r="F9" s="33">
        <v>50000</v>
      </c>
      <c r="G9" s="39"/>
      <c r="H9" s="35">
        <v>0.125</v>
      </c>
      <c r="I9" s="36">
        <f t="shared" si="2"/>
        <v>6250</v>
      </c>
      <c r="J9" s="49">
        <v>0.34</v>
      </c>
      <c r="K9" s="38">
        <f t="shared" si="3"/>
        <v>2125</v>
      </c>
      <c r="L9" s="37">
        <v>0.33</v>
      </c>
      <c r="M9" s="38">
        <f t="shared" si="4"/>
        <v>2062.5</v>
      </c>
      <c r="N9" s="37">
        <v>0.33</v>
      </c>
      <c r="O9" s="38">
        <f t="shared" si="5"/>
        <v>2062.5</v>
      </c>
      <c r="P9" s="39"/>
      <c r="Q9" s="35">
        <v>0.125</v>
      </c>
      <c r="R9" s="36">
        <f t="shared" si="6"/>
        <v>6250</v>
      </c>
      <c r="S9" s="37">
        <v>0.34</v>
      </c>
      <c r="T9" s="38">
        <f t="shared" si="7"/>
        <v>2125</v>
      </c>
      <c r="U9" s="37">
        <v>0.33</v>
      </c>
      <c r="V9" s="38">
        <f t="shared" si="8"/>
        <v>2062.5</v>
      </c>
      <c r="W9" s="37">
        <v>0.33</v>
      </c>
      <c r="X9" s="38">
        <f t="shared" si="9"/>
        <v>2062.5</v>
      </c>
      <c r="Y9" s="39"/>
      <c r="Z9" s="35">
        <v>0.125</v>
      </c>
      <c r="AA9" s="36">
        <f t="shared" si="10"/>
        <v>6250</v>
      </c>
      <c r="AB9" s="37">
        <v>0.34</v>
      </c>
      <c r="AC9" s="38">
        <f t="shared" si="11"/>
        <v>2125</v>
      </c>
      <c r="AD9" s="37">
        <v>0.33</v>
      </c>
      <c r="AE9" s="38">
        <f t="shared" si="12"/>
        <v>2062.5</v>
      </c>
      <c r="AF9" s="37">
        <v>0.33</v>
      </c>
      <c r="AG9" s="38">
        <f t="shared" si="13"/>
        <v>2062.5</v>
      </c>
      <c r="AH9" s="39"/>
      <c r="AI9" s="35">
        <v>0.125</v>
      </c>
      <c r="AJ9" s="36">
        <f t="shared" si="14"/>
        <v>6250</v>
      </c>
      <c r="AK9" s="37">
        <v>0.34</v>
      </c>
      <c r="AL9" s="38">
        <f t="shared" si="15"/>
        <v>2125</v>
      </c>
      <c r="AM9" s="37">
        <v>0.33</v>
      </c>
      <c r="AN9" s="38">
        <f t="shared" si="16"/>
        <v>2062.5</v>
      </c>
      <c r="AO9" s="37">
        <v>0.33</v>
      </c>
      <c r="AP9" s="38">
        <f t="shared" si="17"/>
        <v>2062.5</v>
      </c>
      <c r="AQ9" s="39"/>
      <c r="AR9" s="35">
        <v>0.125</v>
      </c>
      <c r="AS9" s="36">
        <f t="shared" si="18"/>
        <v>6250</v>
      </c>
      <c r="AT9" s="37">
        <v>0.34</v>
      </c>
      <c r="AU9" s="38">
        <f t="shared" si="19"/>
        <v>2125</v>
      </c>
      <c r="AV9" s="37">
        <v>0.33</v>
      </c>
      <c r="AW9" s="38">
        <f t="shared" si="20"/>
        <v>2062.5</v>
      </c>
      <c r="AX9" s="37">
        <v>0.33</v>
      </c>
      <c r="AY9" s="38">
        <f t="shared" si="21"/>
        <v>2062.5</v>
      </c>
      <c r="AZ9" s="39"/>
      <c r="BA9" s="35">
        <v>0.125</v>
      </c>
      <c r="BB9" s="36">
        <f t="shared" si="22"/>
        <v>6250</v>
      </c>
      <c r="BC9" s="37">
        <v>0.34</v>
      </c>
      <c r="BD9" s="38">
        <f t="shared" si="23"/>
        <v>2125</v>
      </c>
      <c r="BE9" s="37">
        <v>0.33</v>
      </c>
      <c r="BF9" s="38">
        <f t="shared" si="24"/>
        <v>2062.5</v>
      </c>
      <c r="BG9" s="37">
        <v>0.33</v>
      </c>
      <c r="BH9" s="38">
        <f t="shared" si="25"/>
        <v>2062.5</v>
      </c>
      <c r="BI9" s="39"/>
      <c r="BJ9" s="35">
        <v>0.125</v>
      </c>
      <c r="BK9" s="36">
        <f t="shared" si="26"/>
        <v>6250</v>
      </c>
      <c r="BL9" s="37">
        <v>0.34</v>
      </c>
      <c r="BM9" s="38">
        <f t="shared" si="27"/>
        <v>2125</v>
      </c>
      <c r="BN9" s="37">
        <v>0.33</v>
      </c>
      <c r="BO9" s="38">
        <f t="shared" si="28"/>
        <v>2062.5</v>
      </c>
      <c r="BP9" s="37">
        <v>0.33</v>
      </c>
      <c r="BQ9" s="38">
        <f t="shared" si="29"/>
        <v>2062.5</v>
      </c>
      <c r="BR9" s="39"/>
      <c r="BS9" s="35">
        <v>0.125</v>
      </c>
      <c r="BT9" s="36">
        <f t="shared" si="30"/>
        <v>6250</v>
      </c>
      <c r="BU9" s="37">
        <v>0.34</v>
      </c>
      <c r="BV9" s="38">
        <f t="shared" si="31"/>
        <v>2125</v>
      </c>
      <c r="BW9" s="37">
        <v>0.33</v>
      </c>
      <c r="BX9" s="38">
        <f t="shared" si="32"/>
        <v>2062.5</v>
      </c>
      <c r="BY9" s="37">
        <v>0.33</v>
      </c>
      <c r="BZ9" s="38">
        <f t="shared" si="33"/>
        <v>2062.5</v>
      </c>
      <c r="CA9" s="40">
        <f t="shared" si="0"/>
        <v>50000</v>
      </c>
      <c r="CB9" s="40">
        <f t="shared" si="1"/>
        <v>50000</v>
      </c>
      <c r="CC9" s="40">
        <f t="shared" si="34"/>
        <v>50000</v>
      </c>
      <c r="CD9" s="15">
        <f t="shared" si="35"/>
        <v>0</v>
      </c>
    </row>
    <row r="10" spans="1:82" x14ac:dyDescent="0.25">
      <c r="B10" s="45" t="s">
        <v>26</v>
      </c>
      <c r="C10" s="41" t="s">
        <v>27</v>
      </c>
      <c r="D10" s="50">
        <v>10000</v>
      </c>
      <c r="E10" s="46">
        <v>4.5</v>
      </c>
      <c r="F10" s="33">
        <v>45000</v>
      </c>
      <c r="G10" s="39"/>
      <c r="H10" s="35"/>
      <c r="I10" s="36">
        <f t="shared" si="2"/>
        <v>0</v>
      </c>
      <c r="J10" s="37"/>
      <c r="K10" s="38">
        <f t="shared" si="3"/>
        <v>0</v>
      </c>
      <c r="L10" s="37"/>
      <c r="M10" s="38">
        <f t="shared" si="4"/>
        <v>0</v>
      </c>
      <c r="N10" s="37"/>
      <c r="O10" s="38">
        <f t="shared" si="5"/>
        <v>0</v>
      </c>
      <c r="P10" s="39"/>
      <c r="Q10" s="35">
        <v>1</v>
      </c>
      <c r="R10" s="36">
        <f t="shared" si="6"/>
        <v>45000</v>
      </c>
      <c r="S10" s="37">
        <v>0.34</v>
      </c>
      <c r="T10" s="38">
        <f t="shared" si="7"/>
        <v>15300.000000000002</v>
      </c>
      <c r="U10" s="37">
        <v>0.33</v>
      </c>
      <c r="V10" s="38">
        <f t="shared" si="8"/>
        <v>14850</v>
      </c>
      <c r="W10" s="37">
        <v>0.33</v>
      </c>
      <c r="X10" s="38">
        <f t="shared" si="9"/>
        <v>14850</v>
      </c>
      <c r="Y10" s="39"/>
      <c r="Z10" s="35"/>
      <c r="AA10" s="36">
        <f t="shared" si="10"/>
        <v>0</v>
      </c>
      <c r="AB10" s="37"/>
      <c r="AC10" s="38">
        <f t="shared" si="11"/>
        <v>0</v>
      </c>
      <c r="AD10" s="37"/>
      <c r="AE10" s="38">
        <f t="shared" si="12"/>
        <v>0</v>
      </c>
      <c r="AF10" s="37"/>
      <c r="AG10" s="38">
        <f t="shared" si="13"/>
        <v>0</v>
      </c>
      <c r="AH10" s="39"/>
      <c r="AI10" s="35"/>
      <c r="AJ10" s="36">
        <f t="shared" si="14"/>
        <v>0</v>
      </c>
      <c r="AK10" s="37"/>
      <c r="AL10" s="38">
        <f t="shared" si="15"/>
        <v>0</v>
      </c>
      <c r="AM10" s="37"/>
      <c r="AN10" s="38">
        <f t="shared" si="16"/>
        <v>0</v>
      </c>
      <c r="AO10" s="37"/>
      <c r="AP10" s="38">
        <f t="shared" si="17"/>
        <v>0</v>
      </c>
      <c r="AQ10" s="39"/>
      <c r="AR10" s="35"/>
      <c r="AS10" s="36">
        <f t="shared" si="18"/>
        <v>0</v>
      </c>
      <c r="AT10" s="37"/>
      <c r="AU10" s="38">
        <f t="shared" si="19"/>
        <v>0</v>
      </c>
      <c r="AV10" s="37"/>
      <c r="AW10" s="38">
        <f t="shared" si="20"/>
        <v>0</v>
      </c>
      <c r="AX10" s="37"/>
      <c r="AY10" s="38">
        <f t="shared" si="21"/>
        <v>0</v>
      </c>
      <c r="AZ10" s="39"/>
      <c r="BA10" s="35"/>
      <c r="BB10" s="36">
        <f t="shared" si="22"/>
        <v>0</v>
      </c>
      <c r="BC10" s="37"/>
      <c r="BD10" s="38">
        <f t="shared" si="23"/>
        <v>0</v>
      </c>
      <c r="BE10" s="37"/>
      <c r="BF10" s="38">
        <f t="shared" si="24"/>
        <v>0</v>
      </c>
      <c r="BG10" s="37"/>
      <c r="BH10" s="38">
        <f t="shared" si="25"/>
        <v>0</v>
      </c>
      <c r="BI10" s="39"/>
      <c r="BJ10" s="35"/>
      <c r="BK10" s="36">
        <f t="shared" si="26"/>
        <v>0</v>
      </c>
      <c r="BL10" s="37"/>
      <c r="BM10" s="38">
        <f t="shared" si="27"/>
        <v>0</v>
      </c>
      <c r="BN10" s="37"/>
      <c r="BO10" s="38">
        <f t="shared" si="28"/>
        <v>0</v>
      </c>
      <c r="BP10" s="37"/>
      <c r="BQ10" s="38">
        <f t="shared" si="29"/>
        <v>0</v>
      </c>
      <c r="BR10" s="39"/>
      <c r="BS10" s="35"/>
      <c r="BT10" s="36">
        <f t="shared" si="30"/>
        <v>0</v>
      </c>
      <c r="BU10" s="37"/>
      <c r="BV10" s="38">
        <f t="shared" si="31"/>
        <v>0</v>
      </c>
      <c r="BW10" s="37"/>
      <c r="BX10" s="38">
        <f t="shared" si="32"/>
        <v>0</v>
      </c>
      <c r="BY10" s="37"/>
      <c r="BZ10" s="38">
        <f t="shared" si="33"/>
        <v>0</v>
      </c>
      <c r="CA10" s="40">
        <f t="shared" si="0"/>
        <v>45000</v>
      </c>
      <c r="CB10" s="40">
        <f t="shared" si="1"/>
        <v>45000</v>
      </c>
      <c r="CC10" s="40">
        <f t="shared" si="34"/>
        <v>45000</v>
      </c>
      <c r="CD10" s="15">
        <f t="shared" si="35"/>
        <v>0</v>
      </c>
    </row>
    <row r="11" spans="1:82" x14ac:dyDescent="0.25">
      <c r="B11" s="45" t="s">
        <v>28</v>
      </c>
      <c r="C11" s="41" t="s">
        <v>21</v>
      </c>
      <c r="D11" s="50">
        <v>1</v>
      </c>
      <c r="E11" s="33">
        <v>25000</v>
      </c>
      <c r="F11" s="33">
        <v>25000</v>
      </c>
      <c r="G11" s="39"/>
      <c r="H11" s="35">
        <v>0.125</v>
      </c>
      <c r="I11" s="36">
        <f t="shared" si="2"/>
        <v>3125</v>
      </c>
      <c r="J11" s="37">
        <v>0.34</v>
      </c>
      <c r="K11" s="38">
        <f t="shared" si="3"/>
        <v>1062.5</v>
      </c>
      <c r="L11" s="37">
        <v>0.33</v>
      </c>
      <c r="M11" s="38">
        <f t="shared" si="4"/>
        <v>1031.25</v>
      </c>
      <c r="N11" s="37">
        <v>0.33</v>
      </c>
      <c r="O11" s="38">
        <f t="shared" si="5"/>
        <v>1031.25</v>
      </c>
      <c r="P11" s="39"/>
      <c r="Q11" s="35">
        <v>0.125</v>
      </c>
      <c r="R11" s="36">
        <f t="shared" si="6"/>
        <v>3125</v>
      </c>
      <c r="S11" s="37">
        <v>0.34</v>
      </c>
      <c r="T11" s="38">
        <f t="shared" si="7"/>
        <v>1062.5</v>
      </c>
      <c r="U11" s="37">
        <v>0.33</v>
      </c>
      <c r="V11" s="38">
        <f t="shared" si="8"/>
        <v>1031.25</v>
      </c>
      <c r="W11" s="37">
        <v>0.33</v>
      </c>
      <c r="X11" s="38">
        <f t="shared" si="9"/>
        <v>1031.25</v>
      </c>
      <c r="Y11" s="39"/>
      <c r="Z11" s="35">
        <v>0.125</v>
      </c>
      <c r="AA11" s="36">
        <f t="shared" si="10"/>
        <v>3125</v>
      </c>
      <c r="AB11" s="37">
        <v>0.34</v>
      </c>
      <c r="AC11" s="38">
        <f t="shared" si="11"/>
        <v>1062.5</v>
      </c>
      <c r="AD11" s="37">
        <v>0.33</v>
      </c>
      <c r="AE11" s="38">
        <f t="shared" si="12"/>
        <v>1031.25</v>
      </c>
      <c r="AF11" s="37">
        <v>0.33</v>
      </c>
      <c r="AG11" s="38">
        <f t="shared" si="13"/>
        <v>1031.25</v>
      </c>
      <c r="AH11" s="39"/>
      <c r="AI11" s="35">
        <v>0.125</v>
      </c>
      <c r="AJ11" s="36">
        <f t="shared" si="14"/>
        <v>3125</v>
      </c>
      <c r="AK11" s="37">
        <v>0.34</v>
      </c>
      <c r="AL11" s="38">
        <f t="shared" si="15"/>
        <v>1062.5</v>
      </c>
      <c r="AM11" s="37">
        <v>0.33</v>
      </c>
      <c r="AN11" s="38">
        <f t="shared" si="16"/>
        <v>1031.25</v>
      </c>
      <c r="AO11" s="37">
        <v>0.33</v>
      </c>
      <c r="AP11" s="38">
        <f t="shared" si="17"/>
        <v>1031.25</v>
      </c>
      <c r="AQ11" s="39"/>
      <c r="AR11" s="35">
        <v>0.125</v>
      </c>
      <c r="AS11" s="36">
        <f t="shared" si="18"/>
        <v>3125</v>
      </c>
      <c r="AT11" s="37">
        <v>0.34</v>
      </c>
      <c r="AU11" s="38">
        <f t="shared" si="19"/>
        <v>1062.5</v>
      </c>
      <c r="AV11" s="37">
        <v>0.33</v>
      </c>
      <c r="AW11" s="38">
        <f t="shared" si="20"/>
        <v>1031.25</v>
      </c>
      <c r="AX11" s="37">
        <v>0.33</v>
      </c>
      <c r="AY11" s="38">
        <f t="shared" si="21"/>
        <v>1031.25</v>
      </c>
      <c r="AZ11" s="39"/>
      <c r="BA11" s="35">
        <v>0.125</v>
      </c>
      <c r="BB11" s="36">
        <f t="shared" si="22"/>
        <v>3125</v>
      </c>
      <c r="BC11" s="37">
        <v>0.34</v>
      </c>
      <c r="BD11" s="38">
        <f t="shared" si="23"/>
        <v>1062.5</v>
      </c>
      <c r="BE11" s="37">
        <v>0.33</v>
      </c>
      <c r="BF11" s="38">
        <f t="shared" si="24"/>
        <v>1031.25</v>
      </c>
      <c r="BG11" s="37">
        <v>0.33</v>
      </c>
      <c r="BH11" s="38">
        <f t="shared" si="25"/>
        <v>1031.25</v>
      </c>
      <c r="BI11" s="39"/>
      <c r="BJ11" s="35">
        <v>0.125</v>
      </c>
      <c r="BK11" s="36">
        <f t="shared" si="26"/>
        <v>3125</v>
      </c>
      <c r="BL11" s="37">
        <v>0.34</v>
      </c>
      <c r="BM11" s="38">
        <f t="shared" si="27"/>
        <v>1062.5</v>
      </c>
      <c r="BN11" s="37">
        <v>0.33</v>
      </c>
      <c r="BO11" s="38">
        <f t="shared" si="28"/>
        <v>1031.25</v>
      </c>
      <c r="BP11" s="37">
        <v>0.33</v>
      </c>
      <c r="BQ11" s="38">
        <f t="shared" si="29"/>
        <v>1031.25</v>
      </c>
      <c r="BR11" s="39"/>
      <c r="BS11" s="35">
        <v>0.125</v>
      </c>
      <c r="BT11" s="36">
        <f t="shared" si="30"/>
        <v>3125</v>
      </c>
      <c r="BU11" s="37">
        <v>0.34</v>
      </c>
      <c r="BV11" s="38">
        <f t="shared" si="31"/>
        <v>1062.5</v>
      </c>
      <c r="BW11" s="37">
        <v>0.33</v>
      </c>
      <c r="BX11" s="38">
        <f t="shared" si="32"/>
        <v>1031.25</v>
      </c>
      <c r="BY11" s="37">
        <v>0.33</v>
      </c>
      <c r="BZ11" s="38">
        <f t="shared" si="33"/>
        <v>1031.25</v>
      </c>
      <c r="CA11" s="40">
        <f t="shared" si="0"/>
        <v>25000</v>
      </c>
      <c r="CB11" s="40">
        <f t="shared" si="1"/>
        <v>25000</v>
      </c>
      <c r="CC11" s="40">
        <f t="shared" si="34"/>
        <v>25000</v>
      </c>
      <c r="CD11" s="15">
        <f t="shared" si="35"/>
        <v>0</v>
      </c>
    </row>
    <row r="12" spans="1:82" x14ac:dyDescent="0.25">
      <c r="B12" s="45" t="s">
        <v>29</v>
      </c>
      <c r="C12" s="41" t="s">
        <v>21</v>
      </c>
      <c r="D12" s="50">
        <v>1</v>
      </c>
      <c r="E12" s="33">
        <v>10000</v>
      </c>
      <c r="F12" s="33">
        <v>10000</v>
      </c>
      <c r="G12" s="39"/>
      <c r="H12" s="35"/>
      <c r="I12" s="36">
        <f t="shared" si="2"/>
        <v>0</v>
      </c>
      <c r="J12" s="37"/>
      <c r="K12" s="38">
        <f t="shared" si="3"/>
        <v>0</v>
      </c>
      <c r="L12" s="37"/>
      <c r="M12" s="38">
        <f t="shared" si="4"/>
        <v>0</v>
      </c>
      <c r="N12" s="37"/>
      <c r="O12" s="38">
        <f t="shared" si="5"/>
        <v>0</v>
      </c>
      <c r="P12" s="39"/>
      <c r="Q12" s="35"/>
      <c r="R12" s="36">
        <f t="shared" si="6"/>
        <v>0</v>
      </c>
      <c r="S12" s="37"/>
      <c r="T12" s="38">
        <f t="shared" si="7"/>
        <v>0</v>
      </c>
      <c r="U12" s="37"/>
      <c r="V12" s="38">
        <f t="shared" si="8"/>
        <v>0</v>
      </c>
      <c r="W12" s="37"/>
      <c r="X12" s="38">
        <f t="shared" si="9"/>
        <v>0</v>
      </c>
      <c r="Y12" s="39"/>
      <c r="Z12" s="35"/>
      <c r="AA12" s="36">
        <f t="shared" si="10"/>
        <v>0</v>
      </c>
      <c r="AB12" s="37"/>
      <c r="AC12" s="38">
        <f t="shared" si="11"/>
        <v>0</v>
      </c>
      <c r="AD12" s="37"/>
      <c r="AE12" s="38">
        <f t="shared" si="12"/>
        <v>0</v>
      </c>
      <c r="AF12" s="37"/>
      <c r="AG12" s="38">
        <f t="shared" si="13"/>
        <v>0</v>
      </c>
      <c r="AH12" s="39"/>
      <c r="AI12" s="35"/>
      <c r="AJ12" s="36">
        <f t="shared" si="14"/>
        <v>0</v>
      </c>
      <c r="AK12" s="37"/>
      <c r="AL12" s="38">
        <f t="shared" si="15"/>
        <v>0</v>
      </c>
      <c r="AM12" s="37"/>
      <c r="AN12" s="38">
        <f t="shared" si="16"/>
        <v>0</v>
      </c>
      <c r="AO12" s="37"/>
      <c r="AP12" s="38">
        <f t="shared" si="17"/>
        <v>0</v>
      </c>
      <c r="AQ12" s="39"/>
      <c r="AR12" s="35"/>
      <c r="AS12" s="36">
        <f t="shared" si="18"/>
        <v>0</v>
      </c>
      <c r="AT12" s="37"/>
      <c r="AU12" s="38">
        <f t="shared" si="19"/>
        <v>0</v>
      </c>
      <c r="AV12" s="37"/>
      <c r="AW12" s="38">
        <f t="shared" si="20"/>
        <v>0</v>
      </c>
      <c r="AX12" s="37"/>
      <c r="AY12" s="38">
        <f t="shared" si="21"/>
        <v>0</v>
      </c>
      <c r="AZ12" s="39"/>
      <c r="BA12" s="35">
        <v>1</v>
      </c>
      <c r="BB12" s="36">
        <f t="shared" si="22"/>
        <v>10000</v>
      </c>
      <c r="BC12" s="37">
        <v>0.34</v>
      </c>
      <c r="BD12" s="38">
        <f t="shared" si="23"/>
        <v>3400.0000000000005</v>
      </c>
      <c r="BE12" s="37">
        <v>0.33</v>
      </c>
      <c r="BF12" s="38">
        <f t="shared" si="24"/>
        <v>3300</v>
      </c>
      <c r="BG12" s="37">
        <v>0.33</v>
      </c>
      <c r="BH12" s="38">
        <f t="shared" si="25"/>
        <v>3300</v>
      </c>
      <c r="BI12" s="39"/>
      <c r="BJ12" s="35"/>
      <c r="BK12" s="36">
        <f t="shared" si="26"/>
        <v>0</v>
      </c>
      <c r="BL12" s="37"/>
      <c r="BM12" s="38">
        <f t="shared" si="27"/>
        <v>0</v>
      </c>
      <c r="BN12" s="37"/>
      <c r="BO12" s="38">
        <f t="shared" si="28"/>
        <v>0</v>
      </c>
      <c r="BP12" s="37"/>
      <c r="BQ12" s="38">
        <f t="shared" si="29"/>
        <v>0</v>
      </c>
      <c r="BR12" s="39"/>
      <c r="BS12" s="35"/>
      <c r="BT12" s="36">
        <f t="shared" si="30"/>
        <v>0</v>
      </c>
      <c r="BU12" s="37"/>
      <c r="BV12" s="38">
        <f t="shared" si="31"/>
        <v>0</v>
      </c>
      <c r="BW12" s="37"/>
      <c r="BX12" s="38">
        <f t="shared" si="32"/>
        <v>0</v>
      </c>
      <c r="BY12" s="37"/>
      <c r="BZ12" s="38">
        <f t="shared" si="33"/>
        <v>0</v>
      </c>
      <c r="CA12" s="40">
        <f t="shared" si="0"/>
        <v>10000</v>
      </c>
      <c r="CB12" s="40">
        <f t="shared" si="1"/>
        <v>10000</v>
      </c>
      <c r="CC12" s="40">
        <f t="shared" si="34"/>
        <v>10000</v>
      </c>
      <c r="CD12" s="15">
        <f t="shared" si="35"/>
        <v>0</v>
      </c>
    </row>
    <row r="13" spans="1:82" x14ac:dyDescent="0.25">
      <c r="B13" s="43"/>
      <c r="C13" s="41"/>
      <c r="D13" s="50"/>
      <c r="E13" s="47"/>
      <c r="F13" s="33">
        <v>0</v>
      </c>
      <c r="G13" s="39"/>
      <c r="H13" s="35"/>
      <c r="I13" s="36">
        <f t="shared" si="2"/>
        <v>0</v>
      </c>
      <c r="J13" s="37"/>
      <c r="K13" s="38">
        <f t="shared" si="3"/>
        <v>0</v>
      </c>
      <c r="L13" s="37"/>
      <c r="M13" s="38">
        <f t="shared" si="4"/>
        <v>0</v>
      </c>
      <c r="N13" s="37"/>
      <c r="O13" s="38">
        <f t="shared" si="5"/>
        <v>0</v>
      </c>
      <c r="P13" s="39"/>
      <c r="Q13" s="35"/>
      <c r="R13" s="36">
        <f t="shared" si="6"/>
        <v>0</v>
      </c>
      <c r="S13" s="37"/>
      <c r="T13" s="38">
        <f t="shared" si="7"/>
        <v>0</v>
      </c>
      <c r="U13" s="37"/>
      <c r="V13" s="38">
        <f t="shared" si="8"/>
        <v>0</v>
      </c>
      <c r="W13" s="37"/>
      <c r="X13" s="38">
        <f t="shared" si="9"/>
        <v>0</v>
      </c>
      <c r="Y13" s="39"/>
      <c r="Z13" s="35"/>
      <c r="AA13" s="36">
        <f t="shared" si="10"/>
        <v>0</v>
      </c>
      <c r="AB13" s="37"/>
      <c r="AC13" s="38">
        <f t="shared" si="11"/>
        <v>0</v>
      </c>
      <c r="AD13" s="37"/>
      <c r="AE13" s="38">
        <f t="shared" si="12"/>
        <v>0</v>
      </c>
      <c r="AF13" s="37"/>
      <c r="AG13" s="38">
        <f t="shared" si="13"/>
        <v>0</v>
      </c>
      <c r="AH13" s="39"/>
      <c r="AI13" s="35"/>
      <c r="AJ13" s="36">
        <f t="shared" si="14"/>
        <v>0</v>
      </c>
      <c r="AK13" s="37"/>
      <c r="AL13" s="38">
        <f t="shared" si="15"/>
        <v>0</v>
      </c>
      <c r="AM13" s="37"/>
      <c r="AN13" s="38">
        <f t="shared" si="16"/>
        <v>0</v>
      </c>
      <c r="AO13" s="37"/>
      <c r="AP13" s="38">
        <f t="shared" si="17"/>
        <v>0</v>
      </c>
      <c r="AQ13" s="39"/>
      <c r="AR13" s="35"/>
      <c r="AS13" s="36">
        <f t="shared" si="18"/>
        <v>0</v>
      </c>
      <c r="AT13" s="37"/>
      <c r="AU13" s="38">
        <f t="shared" si="19"/>
        <v>0</v>
      </c>
      <c r="AV13" s="37"/>
      <c r="AW13" s="38">
        <f t="shared" si="20"/>
        <v>0</v>
      </c>
      <c r="AX13" s="37"/>
      <c r="AY13" s="38">
        <f t="shared" si="21"/>
        <v>0</v>
      </c>
      <c r="AZ13" s="39"/>
      <c r="BA13" s="35"/>
      <c r="BB13" s="36">
        <f t="shared" si="22"/>
        <v>0</v>
      </c>
      <c r="BC13" s="37"/>
      <c r="BD13" s="38">
        <f t="shared" si="23"/>
        <v>0</v>
      </c>
      <c r="BE13" s="37"/>
      <c r="BF13" s="38">
        <f t="shared" si="24"/>
        <v>0</v>
      </c>
      <c r="BG13" s="37"/>
      <c r="BH13" s="38">
        <f t="shared" si="25"/>
        <v>0</v>
      </c>
      <c r="BI13" s="39"/>
      <c r="BJ13" s="35"/>
      <c r="BK13" s="36">
        <f t="shared" si="26"/>
        <v>0</v>
      </c>
      <c r="BL13" s="37"/>
      <c r="BM13" s="38">
        <f t="shared" si="27"/>
        <v>0</v>
      </c>
      <c r="BN13" s="37"/>
      <c r="BO13" s="38">
        <f t="shared" si="28"/>
        <v>0</v>
      </c>
      <c r="BP13" s="37"/>
      <c r="BQ13" s="38">
        <f t="shared" si="29"/>
        <v>0</v>
      </c>
      <c r="BR13" s="39"/>
      <c r="BS13" s="35"/>
      <c r="BT13" s="36">
        <f t="shared" si="30"/>
        <v>0</v>
      </c>
      <c r="BU13" s="37"/>
      <c r="BV13" s="38">
        <f t="shared" si="31"/>
        <v>0</v>
      </c>
      <c r="BW13" s="37"/>
      <c r="BX13" s="38">
        <f t="shared" si="32"/>
        <v>0</v>
      </c>
      <c r="BY13" s="37"/>
      <c r="BZ13" s="38">
        <f t="shared" si="33"/>
        <v>0</v>
      </c>
      <c r="CA13" s="40">
        <f t="shared" si="0"/>
        <v>0</v>
      </c>
      <c r="CB13" s="40">
        <f t="shared" si="1"/>
        <v>0</v>
      </c>
      <c r="CC13" s="40">
        <f t="shared" si="34"/>
        <v>0</v>
      </c>
      <c r="CD13" s="15">
        <f t="shared" si="35"/>
        <v>0</v>
      </c>
    </row>
    <row r="14" spans="1:82" x14ac:dyDescent="0.25">
      <c r="A14" s="1" t="s">
        <v>129</v>
      </c>
      <c r="C14" s="44"/>
      <c r="D14" s="50"/>
      <c r="E14" s="47"/>
      <c r="F14" s="33">
        <v>0</v>
      </c>
      <c r="G14" s="39"/>
      <c r="H14" s="35"/>
      <c r="I14" s="36">
        <f t="shared" si="2"/>
        <v>0</v>
      </c>
      <c r="J14" s="37"/>
      <c r="K14" s="38">
        <f t="shared" si="3"/>
        <v>0</v>
      </c>
      <c r="L14" s="37"/>
      <c r="M14" s="38">
        <f t="shared" si="4"/>
        <v>0</v>
      </c>
      <c r="N14" s="37"/>
      <c r="O14" s="38">
        <f t="shared" si="5"/>
        <v>0</v>
      </c>
      <c r="P14" s="39"/>
      <c r="Q14" s="35"/>
      <c r="R14" s="36">
        <f t="shared" si="6"/>
        <v>0</v>
      </c>
      <c r="S14" s="37"/>
      <c r="T14" s="38">
        <f t="shared" si="7"/>
        <v>0</v>
      </c>
      <c r="U14" s="37"/>
      <c r="V14" s="38">
        <f t="shared" si="8"/>
        <v>0</v>
      </c>
      <c r="W14" s="37"/>
      <c r="X14" s="38">
        <f t="shared" si="9"/>
        <v>0</v>
      </c>
      <c r="Y14" s="39"/>
      <c r="Z14" s="35"/>
      <c r="AA14" s="36">
        <f t="shared" si="10"/>
        <v>0</v>
      </c>
      <c r="AB14" s="37"/>
      <c r="AC14" s="38">
        <f t="shared" si="11"/>
        <v>0</v>
      </c>
      <c r="AD14" s="37"/>
      <c r="AE14" s="38">
        <f t="shared" si="12"/>
        <v>0</v>
      </c>
      <c r="AF14" s="37"/>
      <c r="AG14" s="38">
        <f t="shared" si="13"/>
        <v>0</v>
      </c>
      <c r="AH14" s="39"/>
      <c r="AI14" s="35"/>
      <c r="AJ14" s="36">
        <f t="shared" si="14"/>
        <v>0</v>
      </c>
      <c r="AK14" s="37"/>
      <c r="AL14" s="38">
        <f t="shared" si="15"/>
        <v>0</v>
      </c>
      <c r="AM14" s="37"/>
      <c r="AN14" s="38">
        <f t="shared" si="16"/>
        <v>0</v>
      </c>
      <c r="AO14" s="37"/>
      <c r="AP14" s="38">
        <f t="shared" si="17"/>
        <v>0</v>
      </c>
      <c r="AQ14" s="39"/>
      <c r="AR14" s="35"/>
      <c r="AS14" s="36">
        <f t="shared" si="18"/>
        <v>0</v>
      </c>
      <c r="AT14" s="37"/>
      <c r="AU14" s="38">
        <f t="shared" si="19"/>
        <v>0</v>
      </c>
      <c r="AV14" s="37"/>
      <c r="AW14" s="38">
        <f t="shared" si="20"/>
        <v>0</v>
      </c>
      <c r="AX14" s="37"/>
      <c r="AY14" s="38">
        <f t="shared" si="21"/>
        <v>0</v>
      </c>
      <c r="AZ14" s="39"/>
      <c r="BA14" s="35"/>
      <c r="BB14" s="36">
        <f t="shared" si="22"/>
        <v>0</v>
      </c>
      <c r="BC14" s="37"/>
      <c r="BD14" s="38">
        <f t="shared" si="23"/>
        <v>0</v>
      </c>
      <c r="BE14" s="37"/>
      <c r="BF14" s="38">
        <f t="shared" si="24"/>
        <v>0</v>
      </c>
      <c r="BG14" s="37"/>
      <c r="BH14" s="38">
        <f t="shared" si="25"/>
        <v>0</v>
      </c>
      <c r="BI14" s="39"/>
      <c r="BJ14" s="35"/>
      <c r="BK14" s="36">
        <f t="shared" si="26"/>
        <v>0</v>
      </c>
      <c r="BL14" s="37"/>
      <c r="BM14" s="38">
        <f t="shared" si="27"/>
        <v>0</v>
      </c>
      <c r="BN14" s="37"/>
      <c r="BO14" s="38">
        <f t="shared" si="28"/>
        <v>0</v>
      </c>
      <c r="BP14" s="37"/>
      <c r="BQ14" s="38">
        <f t="shared" si="29"/>
        <v>0</v>
      </c>
      <c r="BR14" s="39"/>
      <c r="BS14" s="35"/>
      <c r="BT14" s="36">
        <f t="shared" si="30"/>
        <v>0</v>
      </c>
      <c r="BU14" s="37"/>
      <c r="BV14" s="38">
        <f t="shared" si="31"/>
        <v>0</v>
      </c>
      <c r="BW14" s="37"/>
      <c r="BX14" s="38">
        <f t="shared" si="32"/>
        <v>0</v>
      </c>
      <c r="BY14" s="37"/>
      <c r="BZ14" s="38">
        <f t="shared" si="33"/>
        <v>0</v>
      </c>
      <c r="CA14" s="40">
        <f t="shared" si="0"/>
        <v>0</v>
      </c>
      <c r="CB14" s="40">
        <f t="shared" si="1"/>
        <v>0</v>
      </c>
      <c r="CC14" s="40">
        <f t="shared" si="34"/>
        <v>0</v>
      </c>
      <c r="CD14" s="15">
        <f t="shared" si="35"/>
        <v>0</v>
      </c>
    </row>
    <row r="15" spans="1:82" x14ac:dyDescent="0.25">
      <c r="B15" s="43" t="s">
        <v>34</v>
      </c>
      <c r="C15" s="41" t="s">
        <v>30</v>
      </c>
      <c r="D15" s="50">
        <v>300</v>
      </c>
      <c r="E15" s="47">
        <v>450</v>
      </c>
      <c r="F15" s="33">
        <v>135000</v>
      </c>
      <c r="G15" s="39"/>
      <c r="H15" s="35"/>
      <c r="I15" s="36">
        <f t="shared" si="2"/>
        <v>0</v>
      </c>
      <c r="J15" s="37"/>
      <c r="K15" s="38">
        <f t="shared" si="3"/>
        <v>0</v>
      </c>
      <c r="L15" s="37"/>
      <c r="M15" s="38">
        <f t="shared" si="4"/>
        <v>0</v>
      </c>
      <c r="N15" s="37"/>
      <c r="O15" s="38">
        <f t="shared" si="5"/>
        <v>0</v>
      </c>
      <c r="P15" s="39"/>
      <c r="Q15" s="35"/>
      <c r="R15" s="36">
        <f t="shared" si="6"/>
        <v>0</v>
      </c>
      <c r="S15" s="37"/>
      <c r="T15" s="38">
        <f t="shared" si="7"/>
        <v>0</v>
      </c>
      <c r="U15" s="37"/>
      <c r="V15" s="38">
        <f t="shared" si="8"/>
        <v>0</v>
      </c>
      <c r="W15" s="37"/>
      <c r="X15" s="38">
        <f t="shared" si="9"/>
        <v>0</v>
      </c>
      <c r="Y15" s="39"/>
      <c r="Z15" s="35"/>
      <c r="AA15" s="36">
        <f t="shared" si="10"/>
        <v>0</v>
      </c>
      <c r="AB15" s="37"/>
      <c r="AC15" s="38">
        <f t="shared" si="11"/>
        <v>0</v>
      </c>
      <c r="AD15" s="37"/>
      <c r="AE15" s="38">
        <f t="shared" si="12"/>
        <v>0</v>
      </c>
      <c r="AF15" s="37"/>
      <c r="AG15" s="38">
        <f t="shared" si="13"/>
        <v>0</v>
      </c>
      <c r="AH15" s="39"/>
      <c r="AI15" s="35">
        <v>0.95</v>
      </c>
      <c r="AJ15" s="36">
        <f t="shared" si="14"/>
        <v>128250</v>
      </c>
      <c r="AK15" s="37">
        <v>0.34</v>
      </c>
      <c r="AL15" s="38">
        <f t="shared" si="15"/>
        <v>43605</v>
      </c>
      <c r="AM15" s="37">
        <v>0.33</v>
      </c>
      <c r="AN15" s="38">
        <f t="shared" si="16"/>
        <v>42322.5</v>
      </c>
      <c r="AO15" s="37">
        <v>0.33</v>
      </c>
      <c r="AP15" s="38">
        <f t="shared" si="17"/>
        <v>42322.5</v>
      </c>
      <c r="AQ15" s="39"/>
      <c r="AR15" s="35"/>
      <c r="AS15" s="36">
        <f t="shared" si="18"/>
        <v>0</v>
      </c>
      <c r="AT15" s="37"/>
      <c r="AU15" s="38">
        <f t="shared" si="19"/>
        <v>0</v>
      </c>
      <c r="AV15" s="37"/>
      <c r="AW15" s="38">
        <f t="shared" si="20"/>
        <v>0</v>
      </c>
      <c r="AX15" s="37"/>
      <c r="AY15" s="38">
        <f t="shared" si="21"/>
        <v>0</v>
      </c>
      <c r="AZ15" s="39"/>
      <c r="BA15" s="35">
        <v>0.05</v>
      </c>
      <c r="BB15" s="36">
        <f t="shared" si="22"/>
        <v>6750</v>
      </c>
      <c r="BC15" s="37">
        <v>0.34</v>
      </c>
      <c r="BD15" s="38">
        <f t="shared" si="23"/>
        <v>2295</v>
      </c>
      <c r="BE15" s="37">
        <v>0.33</v>
      </c>
      <c r="BF15" s="38">
        <f t="shared" si="24"/>
        <v>2227.5</v>
      </c>
      <c r="BG15" s="37">
        <v>0.33</v>
      </c>
      <c r="BH15" s="38">
        <f t="shared" si="25"/>
        <v>2227.5</v>
      </c>
      <c r="BI15" s="39"/>
      <c r="BJ15" s="35"/>
      <c r="BK15" s="36">
        <f t="shared" si="26"/>
        <v>0</v>
      </c>
      <c r="BL15" s="37"/>
      <c r="BM15" s="38">
        <f t="shared" si="27"/>
        <v>0</v>
      </c>
      <c r="BN15" s="37"/>
      <c r="BO15" s="38">
        <f t="shared" si="28"/>
        <v>0</v>
      </c>
      <c r="BP15" s="37"/>
      <c r="BQ15" s="38">
        <f t="shared" si="29"/>
        <v>0</v>
      </c>
      <c r="BR15" s="39"/>
      <c r="BS15" s="35"/>
      <c r="BT15" s="36">
        <f t="shared" si="30"/>
        <v>0</v>
      </c>
      <c r="BU15" s="37"/>
      <c r="BV15" s="38">
        <f t="shared" si="31"/>
        <v>0</v>
      </c>
      <c r="BW15" s="37"/>
      <c r="BX15" s="38">
        <f t="shared" si="32"/>
        <v>0</v>
      </c>
      <c r="BY15" s="37"/>
      <c r="BZ15" s="38">
        <f t="shared" si="33"/>
        <v>0</v>
      </c>
      <c r="CA15" s="40">
        <f t="shared" si="0"/>
        <v>135000</v>
      </c>
      <c r="CB15" s="40">
        <f t="shared" si="1"/>
        <v>135000</v>
      </c>
      <c r="CC15" s="40">
        <f t="shared" si="34"/>
        <v>135000</v>
      </c>
      <c r="CD15" s="15">
        <f t="shared" si="35"/>
        <v>0</v>
      </c>
    </row>
    <row r="16" spans="1:82" x14ac:dyDescent="0.25">
      <c r="B16" s="43" t="s">
        <v>35</v>
      </c>
      <c r="C16" s="41" t="s">
        <v>30</v>
      </c>
      <c r="D16" s="50">
        <v>300</v>
      </c>
      <c r="E16" s="33">
        <v>-180.52631578947367</v>
      </c>
      <c r="F16" s="33">
        <v>-54157.8947368421</v>
      </c>
      <c r="G16" s="39"/>
      <c r="H16" s="35"/>
      <c r="I16" s="36">
        <f t="shared" si="2"/>
        <v>0</v>
      </c>
      <c r="J16" s="37"/>
      <c r="K16" s="38">
        <f t="shared" si="3"/>
        <v>0</v>
      </c>
      <c r="L16" s="37"/>
      <c r="M16" s="38">
        <f t="shared" si="4"/>
        <v>0</v>
      </c>
      <c r="N16" s="37"/>
      <c r="O16" s="38">
        <f t="shared" si="5"/>
        <v>0</v>
      </c>
      <c r="P16" s="39"/>
      <c r="Q16" s="35"/>
      <c r="R16" s="36">
        <f t="shared" si="6"/>
        <v>0</v>
      </c>
      <c r="S16" s="37"/>
      <c r="T16" s="38">
        <f t="shared" si="7"/>
        <v>0</v>
      </c>
      <c r="U16" s="37"/>
      <c r="V16" s="38">
        <f t="shared" si="8"/>
        <v>0</v>
      </c>
      <c r="W16" s="37"/>
      <c r="X16" s="38">
        <f t="shared" si="9"/>
        <v>0</v>
      </c>
      <c r="Y16" s="39"/>
      <c r="Z16" s="35"/>
      <c r="AA16" s="36">
        <f t="shared" si="10"/>
        <v>0</v>
      </c>
      <c r="AB16" s="37"/>
      <c r="AC16" s="38">
        <f t="shared" si="11"/>
        <v>0</v>
      </c>
      <c r="AD16" s="37"/>
      <c r="AE16" s="38">
        <f t="shared" si="12"/>
        <v>0</v>
      </c>
      <c r="AF16" s="37"/>
      <c r="AG16" s="38">
        <f t="shared" si="13"/>
        <v>0</v>
      </c>
      <c r="AH16" s="39"/>
      <c r="AI16" s="35">
        <v>0.95</v>
      </c>
      <c r="AJ16" s="36">
        <f t="shared" si="14"/>
        <v>-51449.999999999993</v>
      </c>
      <c r="AK16" s="37">
        <v>0.34</v>
      </c>
      <c r="AL16" s="38">
        <f t="shared" si="15"/>
        <v>-17493</v>
      </c>
      <c r="AM16" s="37">
        <v>0.33</v>
      </c>
      <c r="AN16" s="38">
        <f t="shared" si="16"/>
        <v>-16978.5</v>
      </c>
      <c r="AO16" s="37">
        <v>0.33</v>
      </c>
      <c r="AP16" s="38">
        <f t="shared" si="17"/>
        <v>-16978.5</v>
      </c>
      <c r="AQ16" s="39"/>
      <c r="AR16" s="35"/>
      <c r="AS16" s="36">
        <f t="shared" si="18"/>
        <v>0</v>
      </c>
      <c r="AT16" s="37"/>
      <c r="AU16" s="38">
        <f t="shared" si="19"/>
        <v>0</v>
      </c>
      <c r="AV16" s="37"/>
      <c r="AW16" s="38">
        <f t="shared" si="20"/>
        <v>0</v>
      </c>
      <c r="AX16" s="37"/>
      <c r="AY16" s="38">
        <f t="shared" si="21"/>
        <v>0</v>
      </c>
      <c r="AZ16" s="39"/>
      <c r="BA16" s="35">
        <v>0.05</v>
      </c>
      <c r="BB16" s="36">
        <f t="shared" si="22"/>
        <v>-2707.894736842105</v>
      </c>
      <c r="BC16" s="37">
        <v>0.34</v>
      </c>
      <c r="BD16" s="38">
        <f t="shared" si="23"/>
        <v>-920.68421052631572</v>
      </c>
      <c r="BE16" s="37">
        <v>0.33</v>
      </c>
      <c r="BF16" s="38">
        <f t="shared" si="24"/>
        <v>-893.60526315789468</v>
      </c>
      <c r="BG16" s="37">
        <v>0.33</v>
      </c>
      <c r="BH16" s="38">
        <f t="shared" si="25"/>
        <v>-893.60526315789468</v>
      </c>
      <c r="BI16" s="39"/>
      <c r="BJ16" s="35"/>
      <c r="BK16" s="36">
        <f t="shared" si="26"/>
        <v>0</v>
      </c>
      <c r="BL16" s="37"/>
      <c r="BM16" s="38">
        <f t="shared" si="27"/>
        <v>0</v>
      </c>
      <c r="BN16" s="37"/>
      <c r="BO16" s="38">
        <f t="shared" si="28"/>
        <v>0</v>
      </c>
      <c r="BP16" s="37"/>
      <c r="BQ16" s="38">
        <f t="shared" si="29"/>
        <v>0</v>
      </c>
      <c r="BR16" s="39"/>
      <c r="BS16" s="35"/>
      <c r="BT16" s="36">
        <f t="shared" si="30"/>
        <v>0</v>
      </c>
      <c r="BU16" s="37"/>
      <c r="BV16" s="38">
        <f t="shared" si="31"/>
        <v>0</v>
      </c>
      <c r="BW16" s="37"/>
      <c r="BX16" s="38">
        <f t="shared" si="32"/>
        <v>0</v>
      </c>
      <c r="BY16" s="37"/>
      <c r="BZ16" s="38">
        <f t="shared" si="33"/>
        <v>0</v>
      </c>
      <c r="CA16" s="40">
        <f t="shared" si="0"/>
        <v>-54157.8947368421</v>
      </c>
      <c r="CB16" s="40">
        <f t="shared" si="1"/>
        <v>-54157.8947368421</v>
      </c>
      <c r="CC16" s="40">
        <f t="shared" si="34"/>
        <v>-54157.894736842107</v>
      </c>
      <c r="CD16" s="15">
        <f t="shared" si="35"/>
        <v>0</v>
      </c>
    </row>
    <row r="17" spans="1:82" x14ac:dyDescent="0.25">
      <c r="B17" s="48" t="s">
        <v>33</v>
      </c>
      <c r="C17" s="51" t="s">
        <v>30</v>
      </c>
      <c r="D17" s="50">
        <v>15</v>
      </c>
      <c r="E17" s="33">
        <v>100</v>
      </c>
      <c r="F17" s="33">
        <v>1500</v>
      </c>
      <c r="G17" s="52"/>
      <c r="H17" s="35"/>
      <c r="I17" s="36">
        <f t="shared" si="2"/>
        <v>0</v>
      </c>
      <c r="J17" s="37"/>
      <c r="K17" s="38">
        <f t="shared" si="3"/>
        <v>0</v>
      </c>
      <c r="L17" s="37"/>
      <c r="M17" s="38">
        <f t="shared" si="4"/>
        <v>0</v>
      </c>
      <c r="N17" s="37"/>
      <c r="O17" s="38">
        <f t="shared" si="5"/>
        <v>0</v>
      </c>
      <c r="P17" s="52"/>
      <c r="Q17" s="53">
        <v>0.14285714285714288</v>
      </c>
      <c r="R17" s="36">
        <f t="shared" si="6"/>
        <v>214.28571428571431</v>
      </c>
      <c r="S17" s="54">
        <v>0.34</v>
      </c>
      <c r="T17" s="38">
        <f t="shared" si="7"/>
        <v>72.857142857142875</v>
      </c>
      <c r="U17" s="54">
        <v>0.33</v>
      </c>
      <c r="V17" s="38">
        <f t="shared" si="8"/>
        <v>70.714285714285722</v>
      </c>
      <c r="W17" s="54">
        <v>0.33</v>
      </c>
      <c r="X17" s="38">
        <f t="shared" si="9"/>
        <v>70.714285714285722</v>
      </c>
      <c r="Y17" s="52"/>
      <c r="Z17" s="53">
        <v>0.14285714285714288</v>
      </c>
      <c r="AA17" s="36">
        <f t="shared" si="10"/>
        <v>214.28571428571431</v>
      </c>
      <c r="AB17" s="54">
        <v>0.34</v>
      </c>
      <c r="AC17" s="38">
        <f t="shared" si="11"/>
        <v>72.857142857142875</v>
      </c>
      <c r="AD17" s="54">
        <v>0.33</v>
      </c>
      <c r="AE17" s="38">
        <f t="shared" si="12"/>
        <v>70.714285714285722</v>
      </c>
      <c r="AF17" s="54">
        <v>0.33</v>
      </c>
      <c r="AG17" s="38">
        <f t="shared" si="13"/>
        <v>70.714285714285722</v>
      </c>
      <c r="AH17" s="52"/>
      <c r="AI17" s="53">
        <v>0.14285714285714288</v>
      </c>
      <c r="AJ17" s="36">
        <f t="shared" si="14"/>
        <v>214.28571428571431</v>
      </c>
      <c r="AK17" s="54">
        <v>0.34</v>
      </c>
      <c r="AL17" s="38">
        <f t="shared" si="15"/>
        <v>72.857142857142875</v>
      </c>
      <c r="AM17" s="54">
        <v>0.33</v>
      </c>
      <c r="AN17" s="38">
        <f t="shared" si="16"/>
        <v>70.714285714285722</v>
      </c>
      <c r="AO17" s="54">
        <v>0.33</v>
      </c>
      <c r="AP17" s="38">
        <f t="shared" si="17"/>
        <v>70.714285714285722</v>
      </c>
      <c r="AQ17" s="52"/>
      <c r="AR17" s="53">
        <v>0.14285714285714288</v>
      </c>
      <c r="AS17" s="36">
        <f t="shared" si="18"/>
        <v>214.28571428571431</v>
      </c>
      <c r="AT17" s="54">
        <v>0.34</v>
      </c>
      <c r="AU17" s="38">
        <f t="shared" si="19"/>
        <v>72.857142857142875</v>
      </c>
      <c r="AV17" s="54">
        <v>0.33</v>
      </c>
      <c r="AW17" s="38">
        <f t="shared" si="20"/>
        <v>70.714285714285722</v>
      </c>
      <c r="AX17" s="54">
        <v>0.33</v>
      </c>
      <c r="AY17" s="38">
        <f t="shared" si="21"/>
        <v>70.714285714285722</v>
      </c>
      <c r="AZ17" s="52"/>
      <c r="BA17" s="53">
        <v>0.14285714285714288</v>
      </c>
      <c r="BB17" s="36">
        <f t="shared" si="22"/>
        <v>214.28571428571431</v>
      </c>
      <c r="BC17" s="54">
        <v>0.34</v>
      </c>
      <c r="BD17" s="38">
        <f t="shared" si="23"/>
        <v>72.857142857142875</v>
      </c>
      <c r="BE17" s="54">
        <v>0.33</v>
      </c>
      <c r="BF17" s="38">
        <f t="shared" si="24"/>
        <v>70.714285714285722</v>
      </c>
      <c r="BG17" s="54">
        <v>0.33</v>
      </c>
      <c r="BH17" s="38">
        <f t="shared" si="25"/>
        <v>70.714285714285722</v>
      </c>
      <c r="BI17" s="52"/>
      <c r="BJ17" s="53">
        <v>0.14285714285714288</v>
      </c>
      <c r="BK17" s="36">
        <f t="shared" si="26"/>
        <v>214.28571428571431</v>
      </c>
      <c r="BL17" s="54">
        <v>0.34</v>
      </c>
      <c r="BM17" s="38">
        <f t="shared" si="27"/>
        <v>72.857142857142875</v>
      </c>
      <c r="BN17" s="54">
        <v>0.33</v>
      </c>
      <c r="BO17" s="38">
        <f t="shared" si="28"/>
        <v>70.714285714285722</v>
      </c>
      <c r="BP17" s="54">
        <v>0.33</v>
      </c>
      <c r="BQ17" s="38">
        <f t="shared" si="29"/>
        <v>70.714285714285722</v>
      </c>
      <c r="BR17" s="52"/>
      <c r="BS17" s="53">
        <v>0.14285714285714288</v>
      </c>
      <c r="BT17" s="36">
        <f t="shared" si="30"/>
        <v>214.28571428571431</v>
      </c>
      <c r="BU17" s="54">
        <v>0.34</v>
      </c>
      <c r="BV17" s="38">
        <f t="shared" si="31"/>
        <v>72.857142857142875</v>
      </c>
      <c r="BW17" s="54">
        <v>0.33</v>
      </c>
      <c r="BX17" s="38">
        <f t="shared" si="32"/>
        <v>70.714285714285722</v>
      </c>
      <c r="BY17" s="54">
        <v>0.33</v>
      </c>
      <c r="BZ17" s="38">
        <f t="shared" si="33"/>
        <v>70.714285714285722</v>
      </c>
      <c r="CA17" s="40">
        <f t="shared" si="0"/>
        <v>1500</v>
      </c>
      <c r="CB17" s="40">
        <f t="shared" si="1"/>
        <v>1500</v>
      </c>
      <c r="CC17" s="40">
        <f t="shared" si="34"/>
        <v>1500.0000000000007</v>
      </c>
      <c r="CD17" s="15">
        <f t="shared" si="35"/>
        <v>0</v>
      </c>
    </row>
    <row r="18" spans="1:82" x14ac:dyDescent="0.25">
      <c r="B18" s="45" t="s">
        <v>130</v>
      </c>
      <c r="C18" s="51" t="s">
        <v>30</v>
      </c>
      <c r="D18" s="50">
        <v>30</v>
      </c>
      <c r="E18" s="33">
        <v>-660</v>
      </c>
      <c r="F18" s="33">
        <v>-19800</v>
      </c>
      <c r="G18" s="52"/>
      <c r="H18" s="35"/>
      <c r="I18" s="36">
        <f t="shared" si="2"/>
        <v>0</v>
      </c>
      <c r="J18" s="37"/>
      <c r="K18" s="38">
        <f t="shared" si="3"/>
        <v>0</v>
      </c>
      <c r="L18" s="37"/>
      <c r="M18" s="38">
        <f t="shared" si="4"/>
        <v>0</v>
      </c>
      <c r="N18" s="37"/>
      <c r="O18" s="38">
        <f t="shared" si="5"/>
        <v>0</v>
      </c>
      <c r="P18" s="52"/>
      <c r="Q18" s="53"/>
      <c r="R18" s="36">
        <f t="shared" si="6"/>
        <v>0</v>
      </c>
      <c r="S18" s="54"/>
      <c r="T18" s="38">
        <f t="shared" si="7"/>
        <v>0</v>
      </c>
      <c r="U18" s="54"/>
      <c r="V18" s="38">
        <f t="shared" si="8"/>
        <v>0</v>
      </c>
      <c r="W18" s="54"/>
      <c r="X18" s="38">
        <f t="shared" si="9"/>
        <v>0</v>
      </c>
      <c r="Y18" s="52"/>
      <c r="Z18" s="53"/>
      <c r="AA18" s="36">
        <f t="shared" si="10"/>
        <v>0</v>
      </c>
      <c r="AB18" s="54"/>
      <c r="AC18" s="38">
        <f t="shared" si="11"/>
        <v>0</v>
      </c>
      <c r="AD18" s="54"/>
      <c r="AE18" s="38">
        <f t="shared" si="12"/>
        <v>0</v>
      </c>
      <c r="AF18" s="54"/>
      <c r="AG18" s="38">
        <f t="shared" si="13"/>
        <v>0</v>
      </c>
      <c r="AH18" s="52"/>
      <c r="AI18" s="53"/>
      <c r="AJ18" s="36">
        <f t="shared" si="14"/>
        <v>0</v>
      </c>
      <c r="AK18" s="54"/>
      <c r="AL18" s="38">
        <f t="shared" si="15"/>
        <v>0</v>
      </c>
      <c r="AM18" s="54"/>
      <c r="AN18" s="38">
        <f t="shared" si="16"/>
        <v>0</v>
      </c>
      <c r="AO18" s="54"/>
      <c r="AP18" s="38">
        <f t="shared" si="17"/>
        <v>0</v>
      </c>
      <c r="AQ18" s="52"/>
      <c r="AR18" s="53"/>
      <c r="AS18" s="36">
        <f t="shared" si="18"/>
        <v>0</v>
      </c>
      <c r="AT18" s="54"/>
      <c r="AU18" s="38">
        <f t="shared" si="19"/>
        <v>0</v>
      </c>
      <c r="AV18" s="54"/>
      <c r="AW18" s="38">
        <f t="shared" si="20"/>
        <v>0</v>
      </c>
      <c r="AX18" s="54"/>
      <c r="AY18" s="38">
        <f t="shared" si="21"/>
        <v>0</v>
      </c>
      <c r="AZ18" s="52"/>
      <c r="BA18" s="53">
        <v>1</v>
      </c>
      <c r="BB18" s="36">
        <f t="shared" si="22"/>
        <v>-19800</v>
      </c>
      <c r="BC18" s="54">
        <v>0.34</v>
      </c>
      <c r="BD18" s="38">
        <f t="shared" si="23"/>
        <v>-6732.0000000000009</v>
      </c>
      <c r="BE18" s="54">
        <v>0.33</v>
      </c>
      <c r="BF18" s="38">
        <f t="shared" si="24"/>
        <v>-6534</v>
      </c>
      <c r="BG18" s="54">
        <v>0.33</v>
      </c>
      <c r="BH18" s="38">
        <f t="shared" si="25"/>
        <v>-6534</v>
      </c>
      <c r="BI18" s="52"/>
      <c r="BJ18" s="53"/>
      <c r="BK18" s="36">
        <f t="shared" si="26"/>
        <v>0</v>
      </c>
      <c r="BL18" s="54"/>
      <c r="BM18" s="38">
        <f t="shared" si="27"/>
        <v>0</v>
      </c>
      <c r="BN18" s="54"/>
      <c r="BO18" s="38">
        <f t="shared" si="28"/>
        <v>0</v>
      </c>
      <c r="BP18" s="54"/>
      <c r="BQ18" s="38">
        <f t="shared" si="29"/>
        <v>0</v>
      </c>
      <c r="BR18" s="52"/>
      <c r="BS18" s="53"/>
      <c r="BT18" s="36">
        <f t="shared" si="30"/>
        <v>0</v>
      </c>
      <c r="BU18" s="54"/>
      <c r="BV18" s="38">
        <f t="shared" si="31"/>
        <v>0</v>
      </c>
      <c r="BW18" s="54"/>
      <c r="BX18" s="38">
        <f t="shared" si="32"/>
        <v>0</v>
      </c>
      <c r="BY18" s="54"/>
      <c r="BZ18" s="38">
        <f t="shared" si="33"/>
        <v>0</v>
      </c>
      <c r="CA18" s="40">
        <f t="shared" si="0"/>
        <v>-19800</v>
      </c>
      <c r="CB18" s="40">
        <f t="shared" si="1"/>
        <v>-19800</v>
      </c>
      <c r="CC18" s="40">
        <f t="shared" si="34"/>
        <v>-19800</v>
      </c>
      <c r="CD18" s="15">
        <f t="shared" si="35"/>
        <v>0</v>
      </c>
    </row>
    <row r="19" spans="1:82" x14ac:dyDescent="0.25">
      <c r="B19" s="45" t="s">
        <v>32</v>
      </c>
      <c r="C19" s="51" t="s">
        <v>31</v>
      </c>
      <c r="D19" s="105">
        <v>25500</v>
      </c>
      <c r="E19" s="46">
        <v>-0.37018461538461545</v>
      </c>
      <c r="F19" s="33">
        <v>-9439.7076923076947</v>
      </c>
      <c r="G19" s="52"/>
      <c r="H19" s="35"/>
      <c r="I19" s="36">
        <f t="shared" si="2"/>
        <v>0</v>
      </c>
      <c r="J19" s="37"/>
      <c r="K19" s="38">
        <f t="shared" si="3"/>
        <v>0</v>
      </c>
      <c r="L19" s="37"/>
      <c r="M19" s="38">
        <f t="shared" si="4"/>
        <v>0</v>
      </c>
      <c r="N19" s="37"/>
      <c r="O19" s="38">
        <f t="shared" si="5"/>
        <v>0</v>
      </c>
      <c r="P19" s="52"/>
      <c r="Q19" s="53"/>
      <c r="R19" s="36">
        <f t="shared" si="6"/>
        <v>0</v>
      </c>
      <c r="S19" s="54"/>
      <c r="T19" s="38">
        <f t="shared" si="7"/>
        <v>0</v>
      </c>
      <c r="U19" s="54"/>
      <c r="V19" s="38">
        <f t="shared" si="8"/>
        <v>0</v>
      </c>
      <c r="W19" s="54"/>
      <c r="X19" s="38">
        <f t="shared" si="9"/>
        <v>0</v>
      </c>
      <c r="Y19" s="52"/>
      <c r="Z19" s="53"/>
      <c r="AA19" s="36">
        <f t="shared" si="10"/>
        <v>0</v>
      </c>
      <c r="AB19" s="54"/>
      <c r="AC19" s="38">
        <f t="shared" si="11"/>
        <v>0</v>
      </c>
      <c r="AD19" s="54"/>
      <c r="AE19" s="38">
        <f t="shared" si="12"/>
        <v>0</v>
      </c>
      <c r="AF19" s="54"/>
      <c r="AG19" s="38">
        <f t="shared" si="13"/>
        <v>0</v>
      </c>
      <c r="AH19" s="52"/>
      <c r="AI19" s="53">
        <v>0.2</v>
      </c>
      <c r="AJ19" s="36">
        <f t="shared" si="14"/>
        <v>-1887.941538461539</v>
      </c>
      <c r="AK19" s="54">
        <v>0.34</v>
      </c>
      <c r="AL19" s="38">
        <f t="shared" si="15"/>
        <v>-641.90012307692336</v>
      </c>
      <c r="AM19" s="54">
        <v>0.33</v>
      </c>
      <c r="AN19" s="38">
        <f t="shared" si="16"/>
        <v>-623.02070769230795</v>
      </c>
      <c r="AO19" s="54">
        <v>0.33</v>
      </c>
      <c r="AP19" s="38">
        <f t="shared" si="17"/>
        <v>-623.02070769230795</v>
      </c>
      <c r="AQ19" s="52"/>
      <c r="AR19" s="53"/>
      <c r="AS19" s="36">
        <f t="shared" si="18"/>
        <v>0</v>
      </c>
      <c r="AT19" s="54"/>
      <c r="AU19" s="38">
        <f t="shared" si="19"/>
        <v>0</v>
      </c>
      <c r="AV19" s="54"/>
      <c r="AW19" s="38">
        <f t="shared" si="20"/>
        <v>0</v>
      </c>
      <c r="AX19" s="54"/>
      <c r="AY19" s="38">
        <f t="shared" si="21"/>
        <v>0</v>
      </c>
      <c r="AZ19" s="52"/>
      <c r="BA19" s="53">
        <v>0.8</v>
      </c>
      <c r="BB19" s="36">
        <f t="shared" si="22"/>
        <v>-7551.7661538461562</v>
      </c>
      <c r="BC19" s="54">
        <v>0.34</v>
      </c>
      <c r="BD19" s="38">
        <f t="shared" si="23"/>
        <v>-2567.6004923076935</v>
      </c>
      <c r="BE19" s="54">
        <v>0.33</v>
      </c>
      <c r="BF19" s="38">
        <f t="shared" si="24"/>
        <v>-2492.0828307692318</v>
      </c>
      <c r="BG19" s="54">
        <v>0.33</v>
      </c>
      <c r="BH19" s="38">
        <f t="shared" si="25"/>
        <v>-2492.0828307692318</v>
      </c>
      <c r="BI19" s="52"/>
      <c r="BJ19" s="53"/>
      <c r="BK19" s="36">
        <f t="shared" si="26"/>
        <v>0</v>
      </c>
      <c r="BL19" s="54"/>
      <c r="BM19" s="38">
        <f t="shared" si="27"/>
        <v>0</v>
      </c>
      <c r="BN19" s="54"/>
      <c r="BO19" s="38">
        <f t="shared" si="28"/>
        <v>0</v>
      </c>
      <c r="BP19" s="54"/>
      <c r="BQ19" s="38">
        <f t="shared" si="29"/>
        <v>0</v>
      </c>
      <c r="BR19" s="52"/>
      <c r="BS19" s="53"/>
      <c r="BT19" s="36">
        <f t="shared" si="30"/>
        <v>0</v>
      </c>
      <c r="BU19" s="54"/>
      <c r="BV19" s="38">
        <f t="shared" si="31"/>
        <v>0</v>
      </c>
      <c r="BW19" s="54"/>
      <c r="BX19" s="38">
        <f t="shared" si="32"/>
        <v>0</v>
      </c>
      <c r="BY19" s="54"/>
      <c r="BZ19" s="38">
        <f t="shared" si="33"/>
        <v>0</v>
      </c>
      <c r="CA19" s="40">
        <f t="shared" si="0"/>
        <v>-9439.7076923076947</v>
      </c>
      <c r="CB19" s="40">
        <f t="shared" si="1"/>
        <v>-9439.7076923076947</v>
      </c>
      <c r="CC19" s="40">
        <f t="shared" si="34"/>
        <v>-9439.7076923076947</v>
      </c>
      <c r="CD19" s="15">
        <f t="shared" si="35"/>
        <v>0</v>
      </c>
    </row>
    <row r="20" spans="1:82" x14ac:dyDescent="0.25">
      <c r="B20" s="43"/>
      <c r="C20" s="51"/>
      <c r="D20" s="50"/>
      <c r="E20" s="33"/>
      <c r="F20" s="33">
        <v>0</v>
      </c>
      <c r="G20" s="52"/>
      <c r="H20" s="35"/>
      <c r="I20" s="36">
        <f t="shared" si="2"/>
        <v>0</v>
      </c>
      <c r="J20" s="37"/>
      <c r="K20" s="38">
        <f t="shared" si="3"/>
        <v>0</v>
      </c>
      <c r="L20" s="37"/>
      <c r="M20" s="38">
        <f t="shared" si="4"/>
        <v>0</v>
      </c>
      <c r="N20" s="37"/>
      <c r="O20" s="38">
        <f t="shared" si="5"/>
        <v>0</v>
      </c>
      <c r="P20" s="52"/>
      <c r="Q20" s="53"/>
      <c r="R20" s="36">
        <f t="shared" si="6"/>
        <v>0</v>
      </c>
      <c r="S20" s="54"/>
      <c r="T20" s="38">
        <f t="shared" si="7"/>
        <v>0</v>
      </c>
      <c r="U20" s="54"/>
      <c r="V20" s="38">
        <f t="shared" si="8"/>
        <v>0</v>
      </c>
      <c r="W20" s="54"/>
      <c r="X20" s="38">
        <f t="shared" si="9"/>
        <v>0</v>
      </c>
      <c r="Y20" s="52"/>
      <c r="Z20" s="53"/>
      <c r="AA20" s="36">
        <f t="shared" si="10"/>
        <v>0</v>
      </c>
      <c r="AB20" s="54"/>
      <c r="AC20" s="38">
        <f t="shared" si="11"/>
        <v>0</v>
      </c>
      <c r="AD20" s="54"/>
      <c r="AE20" s="38">
        <f t="shared" si="12"/>
        <v>0</v>
      </c>
      <c r="AF20" s="54"/>
      <c r="AG20" s="38">
        <f t="shared" si="13"/>
        <v>0</v>
      </c>
      <c r="AH20" s="52"/>
      <c r="AI20" s="53"/>
      <c r="AJ20" s="36">
        <f t="shared" si="14"/>
        <v>0</v>
      </c>
      <c r="AK20" s="54"/>
      <c r="AL20" s="38">
        <f t="shared" si="15"/>
        <v>0</v>
      </c>
      <c r="AM20" s="54"/>
      <c r="AN20" s="38">
        <f t="shared" si="16"/>
        <v>0</v>
      </c>
      <c r="AO20" s="54"/>
      <c r="AP20" s="38">
        <f t="shared" si="17"/>
        <v>0</v>
      </c>
      <c r="AQ20" s="52"/>
      <c r="AR20" s="53"/>
      <c r="AS20" s="36">
        <f t="shared" si="18"/>
        <v>0</v>
      </c>
      <c r="AT20" s="54"/>
      <c r="AU20" s="38">
        <f t="shared" si="19"/>
        <v>0</v>
      </c>
      <c r="AV20" s="54"/>
      <c r="AW20" s="38">
        <f t="shared" si="20"/>
        <v>0</v>
      </c>
      <c r="AX20" s="54"/>
      <c r="AY20" s="38">
        <f t="shared" si="21"/>
        <v>0</v>
      </c>
      <c r="AZ20" s="52"/>
      <c r="BA20" s="53"/>
      <c r="BB20" s="36">
        <f t="shared" si="22"/>
        <v>0</v>
      </c>
      <c r="BC20" s="54"/>
      <c r="BD20" s="38">
        <f t="shared" si="23"/>
        <v>0</v>
      </c>
      <c r="BE20" s="106"/>
      <c r="BF20" s="38">
        <f t="shared" si="24"/>
        <v>0</v>
      </c>
      <c r="BG20" s="54"/>
      <c r="BH20" s="38">
        <f t="shared" si="25"/>
        <v>0</v>
      </c>
      <c r="BI20" s="52"/>
      <c r="BJ20" s="53"/>
      <c r="BK20" s="36">
        <f t="shared" si="26"/>
        <v>0</v>
      </c>
      <c r="BL20" s="54"/>
      <c r="BM20" s="38">
        <f t="shared" si="27"/>
        <v>0</v>
      </c>
      <c r="BN20" s="54"/>
      <c r="BO20" s="38">
        <f t="shared" si="28"/>
        <v>0</v>
      </c>
      <c r="BP20" s="54"/>
      <c r="BQ20" s="38">
        <f t="shared" si="29"/>
        <v>0</v>
      </c>
      <c r="BR20" s="52"/>
      <c r="BS20" s="53"/>
      <c r="BT20" s="36">
        <f t="shared" si="30"/>
        <v>0</v>
      </c>
      <c r="BU20" s="54"/>
      <c r="BV20" s="38">
        <f t="shared" si="31"/>
        <v>0</v>
      </c>
      <c r="BW20" s="54"/>
      <c r="BX20" s="38">
        <f t="shared" si="32"/>
        <v>0</v>
      </c>
      <c r="BY20" s="54"/>
      <c r="BZ20" s="38">
        <f t="shared" si="33"/>
        <v>0</v>
      </c>
      <c r="CA20" s="40">
        <f t="shared" si="0"/>
        <v>0</v>
      </c>
      <c r="CB20" s="40">
        <f t="shared" si="1"/>
        <v>0</v>
      </c>
      <c r="CC20" s="40">
        <f t="shared" si="34"/>
        <v>0</v>
      </c>
      <c r="CD20" s="15">
        <f t="shared" si="35"/>
        <v>0</v>
      </c>
    </row>
    <row r="21" spans="1:82" x14ac:dyDescent="0.25">
      <c r="A21" s="1" t="s">
        <v>36</v>
      </c>
      <c r="B21" s="43"/>
      <c r="C21" s="51"/>
      <c r="D21" s="50"/>
      <c r="E21" s="33"/>
      <c r="F21" s="33">
        <v>0</v>
      </c>
      <c r="G21" s="52"/>
      <c r="H21" s="35"/>
      <c r="I21" s="36">
        <f t="shared" si="2"/>
        <v>0</v>
      </c>
      <c r="J21" s="37"/>
      <c r="K21" s="38">
        <f t="shared" si="3"/>
        <v>0</v>
      </c>
      <c r="L21" s="37"/>
      <c r="M21" s="38">
        <f t="shared" si="4"/>
        <v>0</v>
      </c>
      <c r="N21" s="37"/>
      <c r="O21" s="38">
        <f t="shared" si="5"/>
        <v>0</v>
      </c>
      <c r="P21" s="52"/>
      <c r="Q21" s="53"/>
      <c r="R21" s="36">
        <f t="shared" si="6"/>
        <v>0</v>
      </c>
      <c r="S21" s="54"/>
      <c r="T21" s="38">
        <f t="shared" si="7"/>
        <v>0</v>
      </c>
      <c r="U21" s="54"/>
      <c r="V21" s="38">
        <f t="shared" si="8"/>
        <v>0</v>
      </c>
      <c r="W21" s="54"/>
      <c r="X21" s="38">
        <f t="shared" si="9"/>
        <v>0</v>
      </c>
      <c r="Y21" s="52"/>
      <c r="Z21" s="53"/>
      <c r="AA21" s="36">
        <f t="shared" si="10"/>
        <v>0</v>
      </c>
      <c r="AB21" s="54"/>
      <c r="AC21" s="38">
        <f t="shared" si="11"/>
        <v>0</v>
      </c>
      <c r="AD21" s="54"/>
      <c r="AE21" s="38">
        <f t="shared" si="12"/>
        <v>0</v>
      </c>
      <c r="AF21" s="54"/>
      <c r="AG21" s="38">
        <f t="shared" si="13"/>
        <v>0</v>
      </c>
      <c r="AH21" s="52"/>
      <c r="AI21" s="53"/>
      <c r="AJ21" s="36">
        <f t="shared" si="14"/>
        <v>0</v>
      </c>
      <c r="AK21" s="54"/>
      <c r="AL21" s="38">
        <f t="shared" si="15"/>
        <v>0</v>
      </c>
      <c r="AM21" s="54"/>
      <c r="AN21" s="38">
        <f t="shared" si="16"/>
        <v>0</v>
      </c>
      <c r="AO21" s="54"/>
      <c r="AP21" s="38">
        <f t="shared" si="17"/>
        <v>0</v>
      </c>
      <c r="AQ21" s="52"/>
      <c r="AR21" s="53"/>
      <c r="AS21" s="36">
        <f t="shared" si="18"/>
        <v>0</v>
      </c>
      <c r="AT21" s="54"/>
      <c r="AU21" s="38">
        <f t="shared" si="19"/>
        <v>0</v>
      </c>
      <c r="AV21" s="54"/>
      <c r="AW21" s="38">
        <f t="shared" si="20"/>
        <v>0</v>
      </c>
      <c r="AX21" s="54"/>
      <c r="AY21" s="38">
        <f t="shared" si="21"/>
        <v>0</v>
      </c>
      <c r="AZ21" s="52"/>
      <c r="BA21" s="53"/>
      <c r="BB21" s="36">
        <f t="shared" si="22"/>
        <v>0</v>
      </c>
      <c r="BC21" s="54"/>
      <c r="BD21" s="38">
        <f t="shared" si="23"/>
        <v>0</v>
      </c>
      <c r="BE21" s="54"/>
      <c r="BF21" s="38">
        <f t="shared" si="24"/>
        <v>0</v>
      </c>
      <c r="BG21" s="54"/>
      <c r="BH21" s="38">
        <f t="shared" si="25"/>
        <v>0</v>
      </c>
      <c r="BI21" s="52"/>
      <c r="BJ21" s="53"/>
      <c r="BK21" s="36">
        <f t="shared" si="26"/>
        <v>0</v>
      </c>
      <c r="BL21" s="54"/>
      <c r="BM21" s="38">
        <f t="shared" si="27"/>
        <v>0</v>
      </c>
      <c r="BN21" s="54"/>
      <c r="BO21" s="38">
        <f t="shared" si="28"/>
        <v>0</v>
      </c>
      <c r="BP21" s="54"/>
      <c r="BQ21" s="38">
        <f t="shared" si="29"/>
        <v>0</v>
      </c>
      <c r="BR21" s="52"/>
      <c r="BS21" s="53"/>
      <c r="BT21" s="36">
        <f t="shared" si="30"/>
        <v>0</v>
      </c>
      <c r="BU21" s="54"/>
      <c r="BV21" s="38">
        <f t="shared" si="31"/>
        <v>0</v>
      </c>
      <c r="BW21" s="54"/>
      <c r="BX21" s="38">
        <f t="shared" si="32"/>
        <v>0</v>
      </c>
      <c r="BY21" s="54"/>
      <c r="BZ21" s="38">
        <f t="shared" si="33"/>
        <v>0</v>
      </c>
      <c r="CA21" s="40">
        <f t="shared" si="0"/>
        <v>0</v>
      </c>
      <c r="CB21" s="40">
        <f t="shared" si="1"/>
        <v>0</v>
      </c>
      <c r="CC21" s="40">
        <f t="shared" si="34"/>
        <v>0</v>
      </c>
      <c r="CD21" s="15">
        <f t="shared" si="35"/>
        <v>0</v>
      </c>
    </row>
    <row r="22" spans="1:82" x14ac:dyDescent="0.25">
      <c r="B22" s="43" t="s">
        <v>37</v>
      </c>
      <c r="C22" s="51" t="s">
        <v>30</v>
      </c>
      <c r="D22" s="50">
        <v>10</v>
      </c>
      <c r="E22" s="33">
        <v>240</v>
      </c>
      <c r="F22" s="33">
        <v>2400</v>
      </c>
      <c r="G22" s="52"/>
      <c r="H22" s="35"/>
      <c r="I22" s="36">
        <f t="shared" si="2"/>
        <v>0</v>
      </c>
      <c r="J22" s="37"/>
      <c r="K22" s="38">
        <f t="shared" si="3"/>
        <v>0</v>
      </c>
      <c r="L22" s="37"/>
      <c r="M22" s="38">
        <f t="shared" si="4"/>
        <v>0</v>
      </c>
      <c r="N22" s="37"/>
      <c r="O22" s="38">
        <f t="shared" si="5"/>
        <v>0</v>
      </c>
      <c r="P22" s="52"/>
      <c r="Q22" s="53"/>
      <c r="R22" s="36">
        <f t="shared" si="6"/>
        <v>0</v>
      </c>
      <c r="S22" s="54"/>
      <c r="T22" s="38">
        <f t="shared" si="7"/>
        <v>0</v>
      </c>
      <c r="U22" s="54"/>
      <c r="V22" s="38">
        <f t="shared" si="8"/>
        <v>0</v>
      </c>
      <c r="W22" s="54"/>
      <c r="X22" s="38">
        <f t="shared" si="9"/>
        <v>0</v>
      </c>
      <c r="Y22" s="52"/>
      <c r="Z22" s="53">
        <v>0.6</v>
      </c>
      <c r="AA22" s="36">
        <f t="shared" si="10"/>
        <v>1440</v>
      </c>
      <c r="AB22" s="54">
        <v>0.34</v>
      </c>
      <c r="AC22" s="38">
        <f t="shared" si="11"/>
        <v>489.6</v>
      </c>
      <c r="AD22" s="54">
        <v>0.33</v>
      </c>
      <c r="AE22" s="38">
        <f t="shared" si="12"/>
        <v>475.20000000000005</v>
      </c>
      <c r="AF22" s="54">
        <v>0.33</v>
      </c>
      <c r="AG22" s="38">
        <f t="shared" si="13"/>
        <v>475.20000000000005</v>
      </c>
      <c r="AH22" s="52"/>
      <c r="AI22" s="53">
        <v>0.2</v>
      </c>
      <c r="AJ22" s="36">
        <f t="shared" si="14"/>
        <v>480</v>
      </c>
      <c r="AK22" s="54">
        <v>0.34</v>
      </c>
      <c r="AL22" s="38">
        <f t="shared" si="15"/>
        <v>163.20000000000002</v>
      </c>
      <c r="AM22" s="54">
        <v>0.33</v>
      </c>
      <c r="AN22" s="38">
        <f t="shared" si="16"/>
        <v>158.4</v>
      </c>
      <c r="AO22" s="54">
        <v>0.33</v>
      </c>
      <c r="AP22" s="38">
        <f t="shared" si="17"/>
        <v>158.4</v>
      </c>
      <c r="AQ22" s="52"/>
      <c r="AR22" s="53">
        <v>0.15</v>
      </c>
      <c r="AS22" s="36">
        <f t="shared" si="18"/>
        <v>360</v>
      </c>
      <c r="AT22" s="54">
        <v>0.34</v>
      </c>
      <c r="AU22" s="38">
        <f t="shared" si="19"/>
        <v>122.4</v>
      </c>
      <c r="AV22" s="54">
        <v>0.33</v>
      </c>
      <c r="AW22" s="38">
        <f t="shared" si="20"/>
        <v>118.80000000000001</v>
      </c>
      <c r="AX22" s="54">
        <v>0.33</v>
      </c>
      <c r="AY22" s="38">
        <f t="shared" si="21"/>
        <v>118.80000000000001</v>
      </c>
      <c r="AZ22" s="52"/>
      <c r="BA22" s="53">
        <v>0.05</v>
      </c>
      <c r="BB22" s="36">
        <f t="shared" si="22"/>
        <v>120</v>
      </c>
      <c r="BC22" s="54">
        <v>0.34</v>
      </c>
      <c r="BD22" s="38">
        <f t="shared" si="23"/>
        <v>40.800000000000004</v>
      </c>
      <c r="BE22" s="54">
        <v>0.33</v>
      </c>
      <c r="BF22" s="38">
        <f t="shared" si="24"/>
        <v>39.6</v>
      </c>
      <c r="BG22" s="54">
        <v>0.33</v>
      </c>
      <c r="BH22" s="38">
        <f t="shared" si="25"/>
        <v>39.6</v>
      </c>
      <c r="BI22" s="52"/>
      <c r="BJ22" s="53"/>
      <c r="BK22" s="36">
        <f t="shared" si="26"/>
        <v>0</v>
      </c>
      <c r="BL22" s="54"/>
      <c r="BM22" s="38">
        <f t="shared" si="27"/>
        <v>0</v>
      </c>
      <c r="BN22" s="54"/>
      <c r="BO22" s="38">
        <f t="shared" si="28"/>
        <v>0</v>
      </c>
      <c r="BP22" s="54"/>
      <c r="BQ22" s="38">
        <f t="shared" si="29"/>
        <v>0</v>
      </c>
      <c r="BR22" s="52"/>
      <c r="BS22" s="53"/>
      <c r="BT22" s="36">
        <f t="shared" si="30"/>
        <v>0</v>
      </c>
      <c r="BU22" s="54"/>
      <c r="BV22" s="38">
        <f t="shared" si="31"/>
        <v>0</v>
      </c>
      <c r="BW22" s="54"/>
      <c r="BX22" s="38">
        <f t="shared" si="32"/>
        <v>0</v>
      </c>
      <c r="BY22" s="54"/>
      <c r="BZ22" s="38">
        <f t="shared" si="33"/>
        <v>0</v>
      </c>
      <c r="CA22" s="40">
        <f t="shared" si="0"/>
        <v>2400</v>
      </c>
      <c r="CB22" s="40">
        <f t="shared" si="1"/>
        <v>2400</v>
      </c>
      <c r="CC22" s="40">
        <f t="shared" si="34"/>
        <v>2400</v>
      </c>
      <c r="CD22" s="15">
        <f t="shared" si="35"/>
        <v>0</v>
      </c>
    </row>
    <row r="23" spans="1:82" x14ac:dyDescent="0.25">
      <c r="B23" s="43" t="s">
        <v>38</v>
      </c>
      <c r="C23" s="51" t="s">
        <v>30</v>
      </c>
      <c r="D23" s="50">
        <v>10</v>
      </c>
      <c r="E23" s="33">
        <v>-180.52631578947367</v>
      </c>
      <c r="F23" s="33">
        <v>-1805.2631578947367</v>
      </c>
      <c r="G23" s="52"/>
      <c r="H23" s="35"/>
      <c r="I23" s="36">
        <f t="shared" si="2"/>
        <v>0</v>
      </c>
      <c r="J23" s="37"/>
      <c r="K23" s="38">
        <f t="shared" si="3"/>
        <v>0</v>
      </c>
      <c r="L23" s="37"/>
      <c r="M23" s="38">
        <f t="shared" si="4"/>
        <v>0</v>
      </c>
      <c r="N23" s="37"/>
      <c r="O23" s="38">
        <f t="shared" si="5"/>
        <v>0</v>
      </c>
      <c r="P23" s="52"/>
      <c r="Q23" s="53"/>
      <c r="R23" s="36">
        <f t="shared" si="6"/>
        <v>0</v>
      </c>
      <c r="S23" s="54"/>
      <c r="T23" s="38">
        <f t="shared" si="7"/>
        <v>0</v>
      </c>
      <c r="U23" s="54"/>
      <c r="V23" s="38">
        <f t="shared" si="8"/>
        <v>0</v>
      </c>
      <c r="W23" s="54"/>
      <c r="X23" s="38">
        <f t="shared" si="9"/>
        <v>0</v>
      </c>
      <c r="Y23" s="52"/>
      <c r="Z23" s="53">
        <v>0.6</v>
      </c>
      <c r="AA23" s="36">
        <f t="shared" si="10"/>
        <v>-1083.1578947368419</v>
      </c>
      <c r="AB23" s="54">
        <v>0.34</v>
      </c>
      <c r="AC23" s="38">
        <f t="shared" si="11"/>
        <v>-368.27368421052626</v>
      </c>
      <c r="AD23" s="54">
        <v>0.33</v>
      </c>
      <c r="AE23" s="38">
        <f t="shared" si="12"/>
        <v>-357.44210526315783</v>
      </c>
      <c r="AF23" s="54">
        <v>0.33</v>
      </c>
      <c r="AG23" s="38">
        <f t="shared" si="13"/>
        <v>-357.44210526315783</v>
      </c>
      <c r="AH23" s="52"/>
      <c r="AI23" s="53">
        <v>0.25</v>
      </c>
      <c r="AJ23" s="36">
        <f t="shared" si="14"/>
        <v>-451.31578947368416</v>
      </c>
      <c r="AK23" s="54">
        <v>0.34</v>
      </c>
      <c r="AL23" s="38">
        <f t="shared" si="15"/>
        <v>-153.44736842105263</v>
      </c>
      <c r="AM23" s="54">
        <v>0.33</v>
      </c>
      <c r="AN23" s="38">
        <f t="shared" si="16"/>
        <v>-148.93421052631578</v>
      </c>
      <c r="AO23" s="54">
        <v>0.33</v>
      </c>
      <c r="AP23" s="38">
        <f t="shared" si="17"/>
        <v>-148.93421052631578</v>
      </c>
      <c r="AQ23" s="52"/>
      <c r="AR23" s="53">
        <v>0.15</v>
      </c>
      <c r="AS23" s="36">
        <f t="shared" si="18"/>
        <v>-270.78947368421046</v>
      </c>
      <c r="AT23" s="54">
        <v>0.34</v>
      </c>
      <c r="AU23" s="38">
        <f t="shared" si="19"/>
        <v>-92.068421052631564</v>
      </c>
      <c r="AV23" s="54">
        <v>0.33</v>
      </c>
      <c r="AW23" s="38">
        <f t="shared" si="20"/>
        <v>-89.360526315789457</v>
      </c>
      <c r="AX23" s="54">
        <v>0.33</v>
      </c>
      <c r="AY23" s="38">
        <f t="shared" si="21"/>
        <v>-89.360526315789457</v>
      </c>
      <c r="AZ23" s="52"/>
      <c r="BA23" s="53"/>
      <c r="BB23" s="36">
        <f t="shared" si="22"/>
        <v>0</v>
      </c>
      <c r="BC23" s="54"/>
      <c r="BD23" s="38">
        <f t="shared" si="23"/>
        <v>0</v>
      </c>
      <c r="BE23" s="54"/>
      <c r="BF23" s="38">
        <f t="shared" si="24"/>
        <v>0</v>
      </c>
      <c r="BG23" s="54"/>
      <c r="BH23" s="38">
        <f t="shared" si="25"/>
        <v>0</v>
      </c>
      <c r="BI23" s="52"/>
      <c r="BJ23" s="53"/>
      <c r="BK23" s="36">
        <f t="shared" si="26"/>
        <v>0</v>
      </c>
      <c r="BL23" s="54"/>
      <c r="BM23" s="38">
        <f t="shared" si="27"/>
        <v>0</v>
      </c>
      <c r="BN23" s="54"/>
      <c r="BO23" s="38">
        <f t="shared" si="28"/>
        <v>0</v>
      </c>
      <c r="BP23" s="54"/>
      <c r="BQ23" s="38">
        <f t="shared" si="29"/>
        <v>0</v>
      </c>
      <c r="BR23" s="52"/>
      <c r="BS23" s="53"/>
      <c r="BT23" s="36">
        <f t="shared" si="30"/>
        <v>0</v>
      </c>
      <c r="BU23" s="54"/>
      <c r="BV23" s="38">
        <f t="shared" si="31"/>
        <v>0</v>
      </c>
      <c r="BW23" s="54"/>
      <c r="BX23" s="38">
        <f t="shared" si="32"/>
        <v>0</v>
      </c>
      <c r="BY23" s="54"/>
      <c r="BZ23" s="38">
        <f t="shared" si="33"/>
        <v>0</v>
      </c>
      <c r="CA23" s="40">
        <f t="shared" si="0"/>
        <v>-1805.2631578947367</v>
      </c>
      <c r="CB23" s="40">
        <f t="shared" si="1"/>
        <v>-1805.2631578947364</v>
      </c>
      <c r="CC23" s="40">
        <f t="shared" si="34"/>
        <v>-1805.2631578947364</v>
      </c>
      <c r="CD23" s="15">
        <f t="shared" si="35"/>
        <v>0</v>
      </c>
    </row>
    <row r="24" spans="1:82" x14ac:dyDescent="0.25">
      <c r="B24" s="48" t="s">
        <v>33</v>
      </c>
      <c r="C24" s="51" t="s">
        <v>30</v>
      </c>
      <c r="D24" s="50">
        <v>35</v>
      </c>
      <c r="E24" s="33">
        <v>100</v>
      </c>
      <c r="F24" s="33">
        <v>3500</v>
      </c>
      <c r="G24" s="52"/>
      <c r="H24" s="35"/>
      <c r="I24" s="36">
        <f t="shared" si="2"/>
        <v>0</v>
      </c>
      <c r="J24" s="37"/>
      <c r="K24" s="38">
        <f t="shared" si="3"/>
        <v>0</v>
      </c>
      <c r="L24" s="37"/>
      <c r="M24" s="38">
        <f t="shared" si="4"/>
        <v>0</v>
      </c>
      <c r="N24" s="37"/>
      <c r="O24" s="38">
        <f t="shared" si="5"/>
        <v>0</v>
      </c>
      <c r="P24" s="52"/>
      <c r="Q24" s="53">
        <v>0.14285714285714288</v>
      </c>
      <c r="R24" s="36">
        <f t="shared" si="6"/>
        <v>500.00000000000006</v>
      </c>
      <c r="S24" s="54">
        <v>0.34</v>
      </c>
      <c r="T24" s="38">
        <f t="shared" si="7"/>
        <v>170.00000000000003</v>
      </c>
      <c r="U24" s="54">
        <v>0.33</v>
      </c>
      <c r="V24" s="38">
        <f t="shared" si="8"/>
        <v>165.00000000000003</v>
      </c>
      <c r="W24" s="54">
        <v>0.33</v>
      </c>
      <c r="X24" s="38">
        <f t="shared" si="9"/>
        <v>165.00000000000003</v>
      </c>
      <c r="Y24" s="52"/>
      <c r="Z24" s="53">
        <v>0.14285714285714288</v>
      </c>
      <c r="AA24" s="36">
        <f t="shared" si="10"/>
        <v>500.00000000000006</v>
      </c>
      <c r="AB24" s="54">
        <v>0.34</v>
      </c>
      <c r="AC24" s="38">
        <f t="shared" si="11"/>
        <v>170.00000000000003</v>
      </c>
      <c r="AD24" s="54">
        <v>0.33</v>
      </c>
      <c r="AE24" s="38">
        <f t="shared" si="12"/>
        <v>165.00000000000003</v>
      </c>
      <c r="AF24" s="54">
        <v>0.33</v>
      </c>
      <c r="AG24" s="38">
        <f t="shared" si="13"/>
        <v>165.00000000000003</v>
      </c>
      <c r="AH24" s="52"/>
      <c r="AI24" s="53">
        <v>0.14285714285714288</v>
      </c>
      <c r="AJ24" s="36">
        <f t="shared" si="14"/>
        <v>500.00000000000006</v>
      </c>
      <c r="AK24" s="54">
        <v>0.34</v>
      </c>
      <c r="AL24" s="38">
        <f t="shared" si="15"/>
        <v>170.00000000000003</v>
      </c>
      <c r="AM24" s="54">
        <v>0.33</v>
      </c>
      <c r="AN24" s="38">
        <f t="shared" si="16"/>
        <v>165.00000000000003</v>
      </c>
      <c r="AO24" s="54">
        <v>0.33</v>
      </c>
      <c r="AP24" s="38">
        <f t="shared" si="17"/>
        <v>165.00000000000003</v>
      </c>
      <c r="AQ24" s="52"/>
      <c r="AR24" s="53">
        <v>0.14285714285714288</v>
      </c>
      <c r="AS24" s="36">
        <f t="shared" si="18"/>
        <v>500.00000000000006</v>
      </c>
      <c r="AT24" s="54">
        <v>0.34</v>
      </c>
      <c r="AU24" s="38">
        <f t="shared" si="19"/>
        <v>170.00000000000003</v>
      </c>
      <c r="AV24" s="54">
        <v>0.33</v>
      </c>
      <c r="AW24" s="38">
        <f t="shared" si="20"/>
        <v>165.00000000000003</v>
      </c>
      <c r="AX24" s="54">
        <v>0.33</v>
      </c>
      <c r="AY24" s="38">
        <f t="shared" si="21"/>
        <v>165.00000000000003</v>
      </c>
      <c r="AZ24" s="52"/>
      <c r="BA24" s="53">
        <v>0.14285714285714288</v>
      </c>
      <c r="BB24" s="36">
        <f t="shared" si="22"/>
        <v>500.00000000000006</v>
      </c>
      <c r="BC24" s="54">
        <v>0.34</v>
      </c>
      <c r="BD24" s="38">
        <f t="shared" si="23"/>
        <v>170.00000000000003</v>
      </c>
      <c r="BE24" s="54">
        <v>0.33</v>
      </c>
      <c r="BF24" s="38">
        <f t="shared" si="24"/>
        <v>165.00000000000003</v>
      </c>
      <c r="BG24" s="54">
        <v>0.33</v>
      </c>
      <c r="BH24" s="38">
        <f t="shared" si="25"/>
        <v>165.00000000000003</v>
      </c>
      <c r="BI24" s="52"/>
      <c r="BJ24" s="53">
        <v>0.14285714285714288</v>
      </c>
      <c r="BK24" s="36">
        <f t="shared" si="26"/>
        <v>500.00000000000006</v>
      </c>
      <c r="BL24" s="54">
        <v>0.34</v>
      </c>
      <c r="BM24" s="38">
        <f t="shared" si="27"/>
        <v>170.00000000000003</v>
      </c>
      <c r="BN24" s="54">
        <v>0.33</v>
      </c>
      <c r="BO24" s="38">
        <f t="shared" si="28"/>
        <v>165.00000000000003</v>
      </c>
      <c r="BP24" s="54">
        <v>0.33</v>
      </c>
      <c r="BQ24" s="38">
        <f t="shared" si="29"/>
        <v>165.00000000000003</v>
      </c>
      <c r="BR24" s="52"/>
      <c r="BS24" s="53">
        <v>0.14285714285714288</v>
      </c>
      <c r="BT24" s="36">
        <f t="shared" si="30"/>
        <v>500.00000000000006</v>
      </c>
      <c r="BU24" s="54">
        <v>0.34</v>
      </c>
      <c r="BV24" s="38">
        <f t="shared" si="31"/>
        <v>170.00000000000003</v>
      </c>
      <c r="BW24" s="54">
        <v>0.33</v>
      </c>
      <c r="BX24" s="38">
        <f t="shared" si="32"/>
        <v>165.00000000000003</v>
      </c>
      <c r="BY24" s="54">
        <v>0.33</v>
      </c>
      <c r="BZ24" s="38">
        <f t="shared" si="33"/>
        <v>165.00000000000003</v>
      </c>
      <c r="CA24" s="40">
        <f t="shared" si="0"/>
        <v>3500</v>
      </c>
      <c r="CB24" s="40">
        <f t="shared" si="1"/>
        <v>3500.0000000000005</v>
      </c>
      <c r="CC24" s="40">
        <f t="shared" si="34"/>
        <v>3500.0000000000005</v>
      </c>
      <c r="CD24" s="15">
        <f t="shared" si="35"/>
        <v>0</v>
      </c>
    </row>
    <row r="25" spans="1:82" x14ac:dyDescent="0.25">
      <c r="B25" s="43"/>
      <c r="C25" s="51"/>
      <c r="D25" s="42"/>
      <c r="E25" s="33"/>
      <c r="F25" s="33"/>
      <c r="G25" s="52"/>
      <c r="H25" s="35"/>
      <c r="I25" s="36">
        <f t="shared" si="2"/>
        <v>0</v>
      </c>
      <c r="J25" s="37"/>
      <c r="K25" s="38">
        <f t="shared" si="3"/>
        <v>0</v>
      </c>
      <c r="L25" s="37"/>
      <c r="M25" s="38">
        <f t="shared" si="4"/>
        <v>0</v>
      </c>
      <c r="N25" s="37"/>
      <c r="O25" s="38">
        <f t="shared" si="5"/>
        <v>0</v>
      </c>
      <c r="P25" s="52"/>
      <c r="Q25" s="53"/>
      <c r="R25" s="36">
        <f t="shared" si="6"/>
        <v>0</v>
      </c>
      <c r="S25" s="54"/>
      <c r="T25" s="38">
        <f t="shared" si="7"/>
        <v>0</v>
      </c>
      <c r="U25" s="54"/>
      <c r="V25" s="38">
        <f t="shared" si="8"/>
        <v>0</v>
      </c>
      <c r="W25" s="54"/>
      <c r="X25" s="38">
        <f t="shared" si="9"/>
        <v>0</v>
      </c>
      <c r="Y25" s="52"/>
      <c r="Z25" s="53"/>
      <c r="AA25" s="36">
        <f t="shared" si="10"/>
        <v>0</v>
      </c>
      <c r="AB25" s="54"/>
      <c r="AC25" s="38">
        <f t="shared" si="11"/>
        <v>0</v>
      </c>
      <c r="AD25" s="54"/>
      <c r="AE25" s="38">
        <f t="shared" si="12"/>
        <v>0</v>
      </c>
      <c r="AF25" s="54"/>
      <c r="AG25" s="38">
        <f t="shared" si="13"/>
        <v>0</v>
      </c>
      <c r="AH25" s="52"/>
      <c r="AI25" s="53"/>
      <c r="AJ25" s="36">
        <f t="shared" si="14"/>
        <v>0</v>
      </c>
      <c r="AK25" s="54"/>
      <c r="AL25" s="38">
        <f t="shared" si="15"/>
        <v>0</v>
      </c>
      <c r="AM25" s="54"/>
      <c r="AN25" s="38">
        <f t="shared" si="16"/>
        <v>0</v>
      </c>
      <c r="AO25" s="54"/>
      <c r="AP25" s="38">
        <f t="shared" si="17"/>
        <v>0</v>
      </c>
      <c r="AQ25" s="52"/>
      <c r="AR25" s="53"/>
      <c r="AS25" s="36">
        <f t="shared" si="18"/>
        <v>0</v>
      </c>
      <c r="AT25" s="54"/>
      <c r="AU25" s="38">
        <f t="shared" si="19"/>
        <v>0</v>
      </c>
      <c r="AV25" s="54"/>
      <c r="AW25" s="38">
        <f t="shared" si="20"/>
        <v>0</v>
      </c>
      <c r="AX25" s="54"/>
      <c r="AY25" s="38">
        <f t="shared" si="21"/>
        <v>0</v>
      </c>
      <c r="AZ25" s="52"/>
      <c r="BA25" s="53"/>
      <c r="BB25" s="36">
        <f t="shared" si="22"/>
        <v>0</v>
      </c>
      <c r="BC25" s="54"/>
      <c r="BD25" s="38">
        <f t="shared" si="23"/>
        <v>0</v>
      </c>
      <c r="BE25" s="54"/>
      <c r="BF25" s="38">
        <f t="shared" si="24"/>
        <v>0</v>
      </c>
      <c r="BG25" s="54"/>
      <c r="BH25" s="38">
        <f t="shared" si="25"/>
        <v>0</v>
      </c>
      <c r="BI25" s="52"/>
      <c r="BJ25" s="53"/>
      <c r="BK25" s="36">
        <f t="shared" si="26"/>
        <v>0</v>
      </c>
      <c r="BL25" s="54"/>
      <c r="BM25" s="38">
        <f t="shared" si="27"/>
        <v>0</v>
      </c>
      <c r="BN25" s="54"/>
      <c r="BO25" s="38">
        <f t="shared" si="28"/>
        <v>0</v>
      </c>
      <c r="BP25" s="54"/>
      <c r="BQ25" s="38">
        <f t="shared" si="29"/>
        <v>0</v>
      </c>
      <c r="BR25" s="52"/>
      <c r="BS25" s="53"/>
      <c r="BT25" s="36">
        <f t="shared" si="30"/>
        <v>0</v>
      </c>
      <c r="BU25" s="54"/>
      <c r="BV25" s="38">
        <f t="shared" si="31"/>
        <v>0</v>
      </c>
      <c r="BW25" s="54"/>
      <c r="BX25" s="38">
        <f t="shared" si="32"/>
        <v>0</v>
      </c>
      <c r="BY25" s="54"/>
      <c r="BZ25" s="38">
        <f t="shared" si="33"/>
        <v>0</v>
      </c>
      <c r="CA25" s="40">
        <f t="shared" si="0"/>
        <v>0</v>
      </c>
      <c r="CB25" s="40">
        <f t="shared" si="1"/>
        <v>0</v>
      </c>
      <c r="CC25" s="40">
        <f t="shared" si="34"/>
        <v>0</v>
      </c>
      <c r="CD25" s="15">
        <f t="shared" si="35"/>
        <v>0</v>
      </c>
    </row>
    <row r="26" spans="1:82" x14ac:dyDescent="0.25">
      <c r="B26" s="55" t="s">
        <v>0</v>
      </c>
      <c r="C26" s="56"/>
      <c r="D26" s="57"/>
      <c r="E26" s="58"/>
      <c r="F26" s="59">
        <f>SUM(F4:F25)</f>
        <v>237197.13441295543</v>
      </c>
      <c r="G26" s="59">
        <f>SUM(G4:G25)</f>
        <v>0</v>
      </c>
      <c r="H26" s="59"/>
      <c r="I26" s="59">
        <f>SUM(I4:I25)</f>
        <v>59375</v>
      </c>
      <c r="J26" s="59"/>
      <c r="K26" s="59">
        <f>SUM(K4:K25)</f>
        <v>20187.5</v>
      </c>
      <c r="L26" s="59"/>
      <c r="M26" s="59">
        <f>SUM(M4:M25)</f>
        <v>19593.75</v>
      </c>
      <c r="N26" s="59"/>
      <c r="O26" s="59">
        <f>SUM(O4:O25)</f>
        <v>19593.75</v>
      </c>
      <c r="P26" s="59">
        <f>SUM(P4:P25)</f>
        <v>0</v>
      </c>
      <c r="Q26" s="59"/>
      <c r="R26" s="59">
        <f>SUM(R4:R25)</f>
        <v>55089.285714285717</v>
      </c>
      <c r="S26" s="59"/>
      <c r="T26" s="59">
        <f>SUM(T4:T25)</f>
        <v>18730.357142857141</v>
      </c>
      <c r="U26" s="59"/>
      <c r="V26" s="59">
        <f>SUM(V4:V25)</f>
        <v>18179.464285714286</v>
      </c>
      <c r="W26" s="59"/>
      <c r="X26" s="59">
        <f>SUM(X4:X25)</f>
        <v>18179.464285714286</v>
      </c>
      <c r="Y26" s="59">
        <f>SUM(Y4:Y25)</f>
        <v>0</v>
      </c>
      <c r="Z26" s="59"/>
      <c r="AA26" s="59">
        <f>SUM(AA4:AA25)</f>
        <v>10446.127819548872</v>
      </c>
      <c r="AB26" s="59"/>
      <c r="AC26" s="59">
        <f>SUM(AC4:AC25)</f>
        <v>3551.6834586466161</v>
      </c>
      <c r="AD26" s="59"/>
      <c r="AE26" s="59">
        <f>SUM(AE4:AE25)</f>
        <v>3447.2221804511282</v>
      </c>
      <c r="AF26" s="59"/>
      <c r="AG26" s="59">
        <f>SUM(AG4:AG25)</f>
        <v>3447.2221804511282</v>
      </c>
      <c r="AH26" s="59">
        <f>SUM(AH4:AH25)</f>
        <v>0</v>
      </c>
      <c r="AI26" s="59"/>
      <c r="AJ26" s="59">
        <f>SUM(AJ4:AJ25)</f>
        <v>85030.028386350488</v>
      </c>
      <c r="AK26" s="59"/>
      <c r="AL26" s="59">
        <f>SUM(AL4:AL25)</f>
        <v>28910.209651359164</v>
      </c>
      <c r="AM26" s="59"/>
      <c r="AN26" s="59">
        <f>SUM(AN4:AN25)</f>
        <v>28059.909367495664</v>
      </c>
      <c r="AO26" s="59"/>
      <c r="AP26" s="59">
        <f>SUM(AP4:AP25)</f>
        <v>28059.909367495664</v>
      </c>
      <c r="AQ26" s="59">
        <f>SUM(AQ4:AQ25)</f>
        <v>0</v>
      </c>
      <c r="AR26" s="59"/>
      <c r="AS26" s="59">
        <f>SUM(AS4:AS25)</f>
        <v>10178.496240601504</v>
      </c>
      <c r="AT26" s="59"/>
      <c r="AU26" s="59">
        <f>SUM(AU4:AU25)</f>
        <v>3460.6887218045113</v>
      </c>
      <c r="AV26" s="59"/>
      <c r="AW26" s="59">
        <f>SUM(AW4:AW25)</f>
        <v>3358.9037593984967</v>
      </c>
      <c r="AX26" s="59"/>
      <c r="AY26" s="59">
        <f>SUM(AY4:AY25)</f>
        <v>3358.9037593984967</v>
      </c>
      <c r="AZ26" s="59">
        <f>SUM(AZ4:AZ25)</f>
        <v>0</v>
      </c>
      <c r="BA26" s="59"/>
      <c r="BB26" s="59">
        <f>SUM(BB4:BB25)</f>
        <v>-3100.3751764025492</v>
      </c>
      <c r="BC26" s="59"/>
      <c r="BD26" s="59">
        <f>SUM(BD4:BD25)</f>
        <v>-1054.1275599768671</v>
      </c>
      <c r="BE26" s="59"/>
      <c r="BF26" s="59">
        <f>SUM(BF4:BF25)</f>
        <v>-1023.1238082128416</v>
      </c>
      <c r="BG26" s="59"/>
      <c r="BH26" s="59">
        <f>SUM(BH4:BH25)</f>
        <v>-1023.1238082128416</v>
      </c>
      <c r="BI26" s="59">
        <f>SUM(BI4:BI25)</f>
        <v>0</v>
      </c>
      <c r="BJ26" s="59"/>
      <c r="BK26" s="59">
        <f>SUM(BK4:BK25)</f>
        <v>10089.285714285714</v>
      </c>
      <c r="BL26" s="59"/>
      <c r="BM26" s="59">
        <f>SUM(BM4:BM25)</f>
        <v>3430.3571428571427</v>
      </c>
      <c r="BN26" s="59"/>
      <c r="BO26" s="59">
        <f>SUM(BO4:BO25)</f>
        <v>3329.4642857142858</v>
      </c>
      <c r="BP26" s="59"/>
      <c r="BQ26" s="59">
        <f>SUM(BQ4:BQ25)</f>
        <v>3329.4642857142858</v>
      </c>
      <c r="BR26" s="59">
        <f>SUM(BR4:BR25)</f>
        <v>0</v>
      </c>
      <c r="BS26" s="59"/>
      <c r="BT26" s="59">
        <f>SUM(BT4:BT25)</f>
        <v>10089.285714285714</v>
      </c>
      <c r="BU26" s="59"/>
      <c r="BV26" s="59">
        <f>SUM(BV4:BV25)</f>
        <v>3430.3571428571427</v>
      </c>
      <c r="BW26" s="59"/>
      <c r="BX26" s="59">
        <f>SUM(BX4:BX25)</f>
        <v>3329.4642857142858</v>
      </c>
      <c r="BY26" s="59"/>
      <c r="BZ26" s="59">
        <f>SUM(BZ4:BZ25)</f>
        <v>3329.4642857142858</v>
      </c>
      <c r="CA26" s="40">
        <f t="shared" si="0"/>
        <v>237197.13441295543</v>
      </c>
      <c r="CB26" s="40">
        <f t="shared" si="1"/>
        <v>237197.13441295543</v>
      </c>
      <c r="CC26" s="40">
        <f t="shared" si="34"/>
        <v>237197.13441295546</v>
      </c>
      <c r="CD26" s="15">
        <f t="shared" si="35"/>
        <v>0</v>
      </c>
    </row>
    <row r="27" spans="1:82" x14ac:dyDescent="0.25">
      <c r="I27" s="36">
        <f>H27*F27</f>
        <v>0</v>
      </c>
      <c r="CA27" s="40">
        <f t="shared" si="0"/>
        <v>0</v>
      </c>
      <c r="CB27" s="40">
        <f t="shared" si="1"/>
        <v>0</v>
      </c>
      <c r="CC27" s="40">
        <f t="shared" si="34"/>
        <v>0</v>
      </c>
      <c r="CD27" s="15">
        <f t="shared" si="35"/>
        <v>0</v>
      </c>
    </row>
    <row r="28" spans="1:82" x14ac:dyDescent="0.25">
      <c r="B28" s="45"/>
      <c r="C28" s="51"/>
      <c r="D28" s="68"/>
      <c r="E28" s="69"/>
      <c r="F28" s="69"/>
      <c r="G28" s="52"/>
      <c r="H28" s="53"/>
      <c r="I28" s="70"/>
      <c r="J28" s="54"/>
      <c r="K28" s="71"/>
      <c r="L28" s="54"/>
      <c r="M28" s="71"/>
      <c r="N28" s="54"/>
      <c r="O28" s="71"/>
      <c r="P28" s="52"/>
      <c r="Q28" s="53"/>
      <c r="R28" s="70"/>
      <c r="S28" s="54"/>
      <c r="T28" s="71"/>
      <c r="U28" s="54"/>
      <c r="V28" s="71"/>
      <c r="W28" s="54"/>
      <c r="X28" s="71"/>
      <c r="Y28" s="52"/>
      <c r="Z28" s="53"/>
      <c r="AA28" s="70"/>
      <c r="AB28" s="54"/>
      <c r="AC28" s="71"/>
      <c r="AD28" s="54"/>
      <c r="AE28" s="71"/>
      <c r="AF28" s="54"/>
      <c r="AG28" s="71"/>
      <c r="AH28" s="52"/>
      <c r="AI28" s="53"/>
      <c r="AJ28" s="70"/>
      <c r="AK28" s="54"/>
      <c r="AL28" s="71"/>
      <c r="AM28" s="54"/>
      <c r="AN28" s="71"/>
      <c r="AO28" s="54"/>
      <c r="AP28" s="71"/>
      <c r="AQ28" s="52"/>
      <c r="AR28" s="53"/>
      <c r="AS28" s="70"/>
      <c r="AT28" s="54"/>
      <c r="AU28" s="71"/>
      <c r="AV28" s="54"/>
      <c r="AW28" s="71"/>
      <c r="AX28" s="54"/>
      <c r="AY28" s="71"/>
      <c r="AZ28" s="52"/>
      <c r="BA28" s="53"/>
      <c r="BB28" s="70"/>
      <c r="BC28" s="54"/>
      <c r="BD28" s="71"/>
      <c r="BE28" s="54"/>
      <c r="BF28" s="71"/>
      <c r="BG28" s="54"/>
      <c r="BH28" s="71"/>
      <c r="BI28" s="52"/>
      <c r="BJ28" s="53"/>
      <c r="BK28" s="70"/>
      <c r="BL28" s="54"/>
      <c r="BM28" s="71"/>
      <c r="BN28" s="54"/>
      <c r="BO28" s="71"/>
      <c r="BP28" s="54"/>
      <c r="BQ28" s="71"/>
      <c r="BR28" s="52"/>
      <c r="BS28" s="53"/>
      <c r="BT28" s="70"/>
      <c r="BU28" s="54"/>
      <c r="BV28" s="71"/>
      <c r="BW28" s="54"/>
      <c r="BX28" s="71"/>
      <c r="BY28" s="54"/>
      <c r="BZ28" s="71"/>
      <c r="CA28" s="40"/>
      <c r="CB28" s="40"/>
      <c r="CC28" s="40"/>
      <c r="CD28" s="15"/>
    </row>
    <row r="29" spans="1:82" x14ac:dyDescent="0.25">
      <c r="B29" s="45"/>
      <c r="C29" s="51"/>
      <c r="D29" s="68"/>
      <c r="E29" s="69"/>
      <c r="F29" s="69"/>
      <c r="G29" s="52"/>
      <c r="H29" s="53"/>
      <c r="I29" s="107" t="s">
        <v>131</v>
      </c>
      <c r="J29" s="108"/>
      <c r="K29" s="109"/>
      <c r="L29" s="54"/>
      <c r="N29" s="54"/>
      <c r="O29" s="71"/>
      <c r="P29" s="52"/>
      <c r="Q29" s="53"/>
      <c r="R29" s="70"/>
      <c r="S29" s="54"/>
      <c r="T29" s="71"/>
      <c r="U29" s="54"/>
      <c r="V29" s="71"/>
      <c r="W29" s="54"/>
      <c r="X29" s="71"/>
      <c r="Y29" s="52"/>
      <c r="Z29" s="53"/>
      <c r="AA29" s="70"/>
      <c r="AB29" s="54"/>
      <c r="AC29" s="71"/>
      <c r="AD29" s="54"/>
      <c r="AE29" s="71"/>
      <c r="AF29" s="54"/>
      <c r="AG29" s="71"/>
      <c r="AH29" s="52"/>
      <c r="AI29" s="53"/>
      <c r="AJ29" s="70"/>
      <c r="AK29" s="54"/>
      <c r="AL29" s="71"/>
      <c r="AM29" s="54"/>
      <c r="AN29" s="71"/>
      <c r="AO29" s="54"/>
      <c r="AP29" s="71"/>
      <c r="AQ29" s="52"/>
      <c r="AR29" s="53"/>
      <c r="AS29" s="70"/>
      <c r="AT29" s="54"/>
      <c r="AU29" s="71"/>
      <c r="AV29" s="54"/>
      <c r="AW29" s="71"/>
      <c r="AX29" s="54"/>
      <c r="AY29" s="71"/>
      <c r="AZ29" s="52"/>
      <c r="BA29" s="53"/>
      <c r="BB29" s="70"/>
      <c r="BC29" s="54"/>
      <c r="BD29" s="71"/>
      <c r="BE29" s="54"/>
      <c r="BF29" s="71"/>
      <c r="BG29" s="54"/>
      <c r="BH29" s="71"/>
      <c r="BI29" s="52"/>
      <c r="BJ29" s="53"/>
      <c r="BK29" s="70"/>
      <c r="BL29" s="54"/>
      <c r="BM29" s="71"/>
      <c r="BN29" s="54"/>
      <c r="BO29" s="71"/>
      <c r="BP29" s="54"/>
      <c r="BQ29" s="71"/>
      <c r="BR29" s="52"/>
      <c r="BS29" s="53"/>
      <c r="BT29" s="70"/>
      <c r="BU29" s="54"/>
      <c r="BV29" s="71"/>
      <c r="BW29" s="54"/>
      <c r="BX29" s="71"/>
      <c r="BY29" s="54"/>
      <c r="BZ29" s="71"/>
      <c r="CA29" s="40"/>
      <c r="CB29" s="40"/>
      <c r="CC29" s="40"/>
      <c r="CD29" s="15"/>
    </row>
    <row r="30" spans="1:82" x14ac:dyDescent="0.25">
      <c r="I30" s="103" t="s">
        <v>132</v>
      </c>
      <c r="J30" s="110"/>
      <c r="K30" s="51"/>
      <c r="L30" s="111"/>
      <c r="N30" s="112"/>
      <c r="O30" s="112"/>
    </row>
    <row r="31" spans="1:82" x14ac:dyDescent="0.25">
      <c r="B31" s="72" t="s">
        <v>133</v>
      </c>
      <c r="I31" s="69">
        <v>-180.52631578947367</v>
      </c>
      <c r="J31" s="69"/>
      <c r="L31" s="112"/>
      <c r="N31" s="112"/>
      <c r="O31" s="112"/>
    </row>
    <row r="32" spans="1:82" x14ac:dyDescent="0.25">
      <c r="B32" s="72" t="s">
        <v>134</v>
      </c>
      <c r="I32" s="113">
        <v>-0.39039473684210513</v>
      </c>
      <c r="J32" s="113"/>
      <c r="L32" s="112"/>
      <c r="N32" s="112"/>
      <c r="O32" s="112"/>
    </row>
    <row r="33" spans="1:82" x14ac:dyDescent="0.25">
      <c r="B33" s="72" t="s">
        <v>135</v>
      </c>
      <c r="I33" s="113">
        <v>-0.37018461538461545</v>
      </c>
      <c r="J33" s="113"/>
      <c r="L33" s="112"/>
      <c r="N33" s="112"/>
      <c r="O33" s="112"/>
    </row>
    <row r="34" spans="1:82" x14ac:dyDescent="0.25">
      <c r="B34" s="43" t="s">
        <v>136</v>
      </c>
      <c r="I34" s="113">
        <v>-0.18394000674081565</v>
      </c>
      <c r="J34" s="113"/>
      <c r="L34" s="112"/>
      <c r="N34" s="112"/>
      <c r="O34" s="112"/>
    </row>
    <row r="35" spans="1:82" x14ac:dyDescent="0.25">
      <c r="B35" s="43" t="s">
        <v>137</v>
      </c>
      <c r="I35" s="113">
        <v>-0.22371081900910006</v>
      </c>
      <c r="J35" s="113"/>
      <c r="L35" s="112"/>
      <c r="N35" s="112"/>
      <c r="O35" s="112"/>
    </row>
    <row r="36" spans="1:82" x14ac:dyDescent="0.25">
      <c r="B36" s="43" t="s">
        <v>138</v>
      </c>
      <c r="I36" s="69">
        <v>-460.98461538461538</v>
      </c>
      <c r="J36" s="69"/>
      <c r="L36" s="112"/>
      <c r="N36" s="112"/>
      <c r="O36" s="112"/>
    </row>
    <row r="37" spans="1:82" x14ac:dyDescent="0.25">
      <c r="B37" s="43" t="s">
        <v>139</v>
      </c>
      <c r="I37" s="113">
        <v>-0.36</v>
      </c>
      <c r="J37" s="113"/>
      <c r="L37" s="112"/>
      <c r="N37" s="112"/>
      <c r="O37" s="112"/>
    </row>
    <row r="38" spans="1:82" x14ac:dyDescent="0.25">
      <c r="B38" s="43" t="s">
        <v>140</v>
      </c>
      <c r="I38" s="113">
        <v>-1.7512999999999999</v>
      </c>
      <c r="J38" s="113"/>
      <c r="L38" s="112"/>
      <c r="N38" s="112"/>
      <c r="O38" s="112"/>
    </row>
    <row r="39" spans="1:82" s="60" customFormat="1" x14ac:dyDescent="0.25">
      <c r="A39" s="1"/>
      <c r="B39" s="43" t="s">
        <v>141</v>
      </c>
      <c r="D39" s="61"/>
      <c r="E39" s="62"/>
      <c r="F39" s="63"/>
      <c r="G39" s="64"/>
      <c r="H39" s="65"/>
      <c r="I39" s="113">
        <v>-1.5825</v>
      </c>
      <c r="J39" s="114"/>
      <c r="L39" s="112"/>
      <c r="N39" s="112"/>
      <c r="O39" s="112"/>
      <c r="P39" s="64"/>
      <c r="Q39" s="65"/>
      <c r="R39" s="6"/>
      <c r="S39" s="66"/>
      <c r="T39" s="6"/>
      <c r="U39" s="6"/>
      <c r="V39" s="2"/>
      <c r="W39" s="6"/>
      <c r="X39" s="6"/>
      <c r="Y39" s="67"/>
      <c r="Z39" s="65"/>
      <c r="AA39" s="6"/>
      <c r="AB39" s="66"/>
      <c r="AC39" s="6"/>
      <c r="AD39" s="6"/>
      <c r="AE39" s="2"/>
      <c r="AF39" s="6"/>
      <c r="AG39" s="6"/>
      <c r="AH39" s="67"/>
      <c r="AI39" s="65"/>
      <c r="AJ39" s="6"/>
      <c r="AK39" s="66"/>
      <c r="AL39" s="6"/>
      <c r="AM39" s="6"/>
      <c r="AN39" s="2"/>
      <c r="AO39" s="6"/>
      <c r="AP39" s="6"/>
      <c r="AQ39" s="67"/>
      <c r="AR39" s="65"/>
      <c r="AS39" s="6"/>
      <c r="AT39" s="66"/>
      <c r="AU39" s="6"/>
      <c r="AV39" s="6"/>
      <c r="AW39" s="2"/>
      <c r="AX39" s="6"/>
      <c r="AY39" s="6"/>
      <c r="AZ39" s="67"/>
      <c r="BA39" s="65"/>
      <c r="BB39" s="6"/>
      <c r="BC39" s="66"/>
      <c r="BD39" s="6"/>
      <c r="BE39" s="6"/>
      <c r="BF39" s="2"/>
      <c r="BG39" s="6"/>
      <c r="BH39" s="6"/>
      <c r="BI39" s="67"/>
      <c r="BJ39" s="65"/>
      <c r="BK39" s="6"/>
      <c r="BL39" s="66"/>
      <c r="BM39" s="6"/>
      <c r="BN39" s="6"/>
      <c r="BO39" s="2"/>
      <c r="BP39" s="6"/>
      <c r="BQ39" s="6"/>
      <c r="BR39" s="67"/>
      <c r="BS39" s="65"/>
      <c r="BT39" s="6"/>
      <c r="BU39" s="66"/>
      <c r="BV39" s="6"/>
      <c r="BW39" s="6"/>
      <c r="BX39" s="2"/>
      <c r="BY39" s="6"/>
      <c r="BZ39" s="6"/>
      <c r="CA39" s="5"/>
      <c r="CB39" s="6"/>
      <c r="CC39" s="6"/>
      <c r="CD39" s="2"/>
    </row>
    <row r="40" spans="1:82" x14ac:dyDescent="0.25">
      <c r="B40" s="43" t="s">
        <v>142</v>
      </c>
      <c r="I40" s="113">
        <v>-0.27325581395348836</v>
      </c>
      <c r="J40" s="113"/>
      <c r="L40" s="112"/>
      <c r="N40" s="112"/>
      <c r="O40" s="112"/>
    </row>
    <row r="41" spans="1:82" x14ac:dyDescent="0.25">
      <c r="B41" s="43"/>
      <c r="I41" s="115"/>
      <c r="J41" s="114"/>
      <c r="K41" s="112"/>
      <c r="L41" s="112"/>
      <c r="N41" s="112"/>
      <c r="O41" s="112"/>
    </row>
    <row r="42" spans="1:82" x14ac:dyDescent="0.25">
      <c r="B42" s="72"/>
      <c r="I42" s="111"/>
      <c r="J42" s="114"/>
      <c r="K42" s="112"/>
      <c r="L42" s="112"/>
      <c r="M42" s="115"/>
      <c r="N42" s="112"/>
      <c r="O42" s="112"/>
    </row>
    <row r="43" spans="1:82" x14ac:dyDescent="0.25">
      <c r="B43" s="43"/>
      <c r="I43" s="111"/>
      <c r="J43" s="114"/>
      <c r="K43" s="112"/>
      <c r="L43" s="112"/>
      <c r="M43" s="115"/>
      <c r="N43" s="112"/>
      <c r="O43" s="112"/>
    </row>
  </sheetData>
  <mergeCells count="34">
    <mergeCell ref="BW2:BX2"/>
    <mergeCell ref="Z1:AG1"/>
    <mergeCell ref="AI1:AP1"/>
    <mergeCell ref="AB2:AC2"/>
    <mergeCell ref="AD2:AE2"/>
    <mergeCell ref="AF2:AG2"/>
    <mergeCell ref="AK2:AL2"/>
    <mergeCell ref="AM2:AN2"/>
    <mergeCell ref="AR1:AY1"/>
    <mergeCell ref="AO2:AP2"/>
    <mergeCell ref="BA1:BH1"/>
    <mergeCell ref="BJ1:BQ1"/>
    <mergeCell ref="BS1:BZ1"/>
    <mergeCell ref="BY2:BZ2"/>
    <mergeCell ref="AT2:AU2"/>
    <mergeCell ref="AV2:AW2"/>
    <mergeCell ref="U2:V2"/>
    <mergeCell ref="W2:X2"/>
    <mergeCell ref="C1:F1"/>
    <mergeCell ref="H1:O1"/>
    <mergeCell ref="Q1:X1"/>
    <mergeCell ref="C2:F2"/>
    <mergeCell ref="J2:K2"/>
    <mergeCell ref="L2:M2"/>
    <mergeCell ref="N2:O2"/>
    <mergeCell ref="S2:T2"/>
    <mergeCell ref="BN2:BO2"/>
    <mergeCell ref="BP2:BQ2"/>
    <mergeCell ref="BU2:BV2"/>
    <mergeCell ref="AX2:AY2"/>
    <mergeCell ref="BC2:BD2"/>
    <mergeCell ref="BE2:BF2"/>
    <mergeCell ref="BG2:BH2"/>
    <mergeCell ref="BL2:BM2"/>
  </mergeCells>
  <printOptions gridLines="1"/>
  <pageMargins left="0.2" right="0.2" top="0.75" bottom="0.75" header="0.3" footer="0.3"/>
  <pageSetup scale="67" fitToWidth="12" fitToHeight="5" orientation="portrait" r:id="rId1"/>
  <colBreaks count="8" manualBreakCount="8">
    <brk id="6" max="60" man="1"/>
    <brk id="15" max="60" man="1"/>
    <brk id="24" max="60" man="1"/>
    <brk id="33" max="60" man="1"/>
    <brk id="42" max="60" man="1"/>
    <brk id="51" max="60" man="1"/>
    <brk id="60" max="60" man="1"/>
    <brk id="69" max="60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2"/>
  <sheetViews>
    <sheetView zoomScale="90" zoomScaleNormal="90" workbookViewId="0">
      <selection activeCell="K26" sqref="K26"/>
    </sheetView>
  </sheetViews>
  <sheetFormatPr defaultRowHeight="15" x14ac:dyDescent="0.25"/>
  <cols>
    <col min="1" max="1" width="9.140625" style="125"/>
    <col min="2" max="2" width="82.28515625" style="125" bestFit="1" customWidth="1"/>
    <col min="3" max="5" width="9.140625" style="125"/>
    <col min="6" max="6" width="11.85546875" style="125" bestFit="1" customWidth="1"/>
    <col min="7" max="8" width="9.140625" style="125"/>
    <col min="9" max="9" width="10.28515625" style="125" customWidth="1"/>
    <col min="10" max="10" width="9.140625" style="125"/>
    <col min="11" max="11" width="8.5703125" style="125" bestFit="1" customWidth="1"/>
    <col min="12" max="12" width="9.140625" style="125"/>
    <col min="13" max="13" width="8.42578125" style="125" bestFit="1" customWidth="1"/>
    <col min="14" max="14" width="9.140625" style="125"/>
    <col min="15" max="15" width="11.7109375" style="125" bestFit="1" customWidth="1"/>
    <col min="16" max="16" width="9.140625" style="125"/>
    <col min="17" max="17" width="10.140625" style="125" bestFit="1" customWidth="1"/>
    <col min="18" max="19" width="9.140625" style="125"/>
    <col min="20" max="20" width="105.140625" style="125" bestFit="1" customWidth="1"/>
    <col min="21" max="32" width="9.140625" style="125"/>
    <col min="33" max="33" width="9.7109375" style="125" bestFit="1" customWidth="1"/>
    <col min="34" max="34" width="4.5703125" style="125" bestFit="1" customWidth="1"/>
    <col min="35" max="35" width="9.7109375" style="125" bestFit="1" customWidth="1"/>
    <col min="36" max="16384" width="9.140625" style="125"/>
  </cols>
  <sheetData>
    <row r="1" spans="1:36" x14ac:dyDescent="0.25">
      <c r="A1" s="1"/>
      <c r="B1" s="2"/>
      <c r="C1" s="60"/>
      <c r="D1" s="61"/>
      <c r="E1" s="62"/>
      <c r="F1" s="63" t="e">
        <f>#REF!+#REF!+#REF!</f>
        <v>#REF!</v>
      </c>
      <c r="G1" s="64"/>
      <c r="H1" s="65"/>
      <c r="I1" s="60"/>
      <c r="J1" s="66"/>
      <c r="K1" s="6"/>
      <c r="L1" s="6"/>
      <c r="M1" s="2"/>
      <c r="N1" s="6"/>
      <c r="O1" s="6"/>
      <c r="P1" s="6"/>
      <c r="Q1" s="2"/>
      <c r="R1" s="64"/>
      <c r="S1" s="65"/>
      <c r="T1" s="6"/>
      <c r="U1" s="66"/>
      <c r="V1" s="6"/>
      <c r="W1" s="6"/>
      <c r="X1" s="2"/>
      <c r="Y1" s="6"/>
      <c r="Z1" s="6"/>
      <c r="AA1" s="6"/>
      <c r="AB1" s="2"/>
      <c r="AC1" s="67"/>
      <c r="AD1" s="65"/>
      <c r="AE1" s="6"/>
      <c r="AF1" s="66"/>
      <c r="AG1" s="6"/>
      <c r="AH1" s="6"/>
      <c r="AI1" s="2"/>
      <c r="AJ1" s="6"/>
    </row>
    <row r="2" spans="1:36" x14ac:dyDescent="0.25">
      <c r="A2" s="1"/>
      <c r="B2" s="2"/>
      <c r="C2" s="60"/>
      <c r="D2" s="61"/>
      <c r="E2" s="62"/>
      <c r="F2" s="63">
        <v>11328802</v>
      </c>
      <c r="G2" s="64"/>
      <c r="H2" s="65"/>
      <c r="I2" s="60"/>
      <c r="J2" s="66"/>
      <c r="K2" s="6"/>
      <c r="L2" s="6"/>
      <c r="M2" s="2"/>
      <c r="N2" s="6"/>
      <c r="O2" s="126">
        <v>42314</v>
      </c>
      <c r="P2" s="6"/>
      <c r="Q2" s="126">
        <f>O2</f>
        <v>42314</v>
      </c>
      <c r="R2" s="64"/>
      <c r="S2" s="65"/>
      <c r="T2" s="6"/>
      <c r="U2" s="66"/>
      <c r="V2" s="6"/>
      <c r="W2" s="6"/>
      <c r="X2" s="2"/>
      <c r="Y2" s="6"/>
      <c r="Z2" s="6"/>
      <c r="AA2" s="6"/>
      <c r="AB2" s="2"/>
      <c r="AC2" s="67"/>
      <c r="AD2" s="65"/>
      <c r="AE2" s="6"/>
      <c r="AF2" s="66"/>
      <c r="AG2" s="126">
        <v>42369</v>
      </c>
      <c r="AH2" s="6"/>
      <c r="AI2" s="126">
        <v>42369</v>
      </c>
      <c r="AJ2" s="6"/>
    </row>
    <row r="3" spans="1:36" x14ac:dyDescent="0.25">
      <c r="A3" s="1"/>
      <c r="B3" s="45"/>
      <c r="C3" s="51"/>
      <c r="D3" s="68"/>
      <c r="E3" s="69"/>
      <c r="F3" s="69" t="e">
        <f>F1-F2</f>
        <v>#REF!</v>
      </c>
      <c r="G3" s="52"/>
      <c r="H3" s="53"/>
      <c r="I3" s="107" t="s">
        <v>131</v>
      </c>
      <c r="J3" s="66"/>
      <c r="K3" s="6"/>
      <c r="L3" s="6"/>
      <c r="M3" s="2"/>
      <c r="N3" s="6"/>
      <c r="O3" s="107" t="s">
        <v>131</v>
      </c>
      <c r="P3" s="6"/>
      <c r="Q3" s="127" t="s">
        <v>157</v>
      </c>
      <c r="R3" s="64"/>
      <c r="S3" s="65"/>
      <c r="T3" s="6"/>
      <c r="U3" s="66"/>
      <c r="V3" s="6"/>
      <c r="W3" s="6"/>
      <c r="X3" s="2"/>
      <c r="Y3" s="6"/>
      <c r="Z3" s="6"/>
      <c r="AA3" s="6"/>
      <c r="AB3" s="2"/>
      <c r="AC3" s="67"/>
      <c r="AD3" s="65"/>
      <c r="AE3" s="6"/>
      <c r="AF3" s="66"/>
      <c r="AG3" s="107" t="s">
        <v>131</v>
      </c>
      <c r="AH3" s="6"/>
      <c r="AI3" s="107" t="s">
        <v>157</v>
      </c>
      <c r="AJ3" s="6"/>
    </row>
    <row r="4" spans="1:36" x14ac:dyDescent="0.25">
      <c r="A4" s="1"/>
      <c r="B4" s="2"/>
      <c r="C4" s="60"/>
      <c r="D4" s="61"/>
      <c r="E4" s="62"/>
      <c r="F4" s="63"/>
      <c r="G4" s="64"/>
      <c r="H4" s="65"/>
      <c r="I4" s="124" t="s">
        <v>132</v>
      </c>
      <c r="J4" s="66"/>
      <c r="K4" s="6"/>
      <c r="L4" s="6"/>
      <c r="M4" s="2" t="s">
        <v>158</v>
      </c>
      <c r="N4" s="6"/>
      <c r="O4" s="124" t="s">
        <v>132</v>
      </c>
      <c r="P4" s="6"/>
      <c r="Q4" s="127" t="s">
        <v>132</v>
      </c>
      <c r="R4" s="64"/>
      <c r="S4" s="65"/>
      <c r="T4" s="128" t="s">
        <v>159</v>
      </c>
      <c r="U4" s="66"/>
      <c r="V4" s="6"/>
      <c r="W4" s="6"/>
      <c r="X4" s="2"/>
      <c r="Y4" s="6"/>
      <c r="Z4" s="6"/>
      <c r="AA4" s="6"/>
      <c r="AB4" s="2"/>
      <c r="AC4" s="67"/>
      <c r="AD4" s="65"/>
      <c r="AE4" s="6"/>
      <c r="AF4" s="66"/>
      <c r="AG4" s="124" t="s">
        <v>132</v>
      </c>
      <c r="AH4" s="6"/>
      <c r="AI4" s="124" t="s">
        <v>132</v>
      </c>
      <c r="AJ4" s="6"/>
    </row>
    <row r="5" spans="1:36" x14ac:dyDescent="0.25">
      <c r="A5" s="1"/>
      <c r="B5" s="72" t="s">
        <v>133</v>
      </c>
      <c r="C5" s="60"/>
      <c r="D5" s="61"/>
      <c r="E5" s="62"/>
      <c r="F5" s="129">
        <v>245</v>
      </c>
      <c r="G5" s="64"/>
      <c r="H5" s="65"/>
      <c r="I5" s="122">
        <v>-180.52631578947367</v>
      </c>
      <c r="J5" s="66"/>
      <c r="K5" s="130">
        <f>-I5/F5</f>
        <v>0.73684210526315785</v>
      </c>
      <c r="L5" s="131"/>
      <c r="M5" s="132">
        <f>I5-Q5</f>
        <v>-56.736315789473664</v>
      </c>
      <c r="N5" s="6"/>
      <c r="O5" s="133">
        <v>168</v>
      </c>
      <c r="P5" s="6"/>
      <c r="Q5" s="129">
        <f t="shared" ref="Q5:Q6" si="0">IF(O5="","",ROUND(O5*-K5,2))</f>
        <v>-123.79</v>
      </c>
      <c r="R5" s="64"/>
      <c r="S5" s="65"/>
      <c r="T5" s="134" t="s">
        <v>160</v>
      </c>
      <c r="U5" s="66"/>
      <c r="V5" s="6"/>
      <c r="W5" s="6"/>
      <c r="X5" s="2"/>
      <c r="Y5" s="6"/>
      <c r="Z5" s="6"/>
      <c r="AA5" s="6"/>
      <c r="AB5" s="2"/>
      <c r="AC5" s="67"/>
      <c r="AD5" s="65"/>
      <c r="AE5" s="6"/>
      <c r="AF5" s="66"/>
      <c r="AG5" s="135">
        <f>0.092*2000</f>
        <v>184</v>
      </c>
      <c r="AH5" s="6" t="s">
        <v>161</v>
      </c>
      <c r="AI5" s="129">
        <f>AG5*K5</f>
        <v>135.57894736842104</v>
      </c>
      <c r="AJ5" s="6"/>
    </row>
    <row r="6" spans="1:36" x14ac:dyDescent="0.25">
      <c r="A6" s="1"/>
      <c r="B6" s="72" t="s">
        <v>134</v>
      </c>
      <c r="C6" s="60"/>
      <c r="D6" s="61"/>
      <c r="E6" s="62"/>
      <c r="F6" s="129">
        <v>0.69</v>
      </c>
      <c r="G6" s="64"/>
      <c r="H6" s="65"/>
      <c r="I6" s="123">
        <v>-0.39039473684210513</v>
      </c>
      <c r="J6" s="66"/>
      <c r="K6" s="130">
        <f t="shared" ref="K6:K14" si="1">-I6/F6</f>
        <v>0.5657894736842104</v>
      </c>
      <c r="L6" s="131"/>
      <c r="M6" s="132">
        <f t="shared" ref="M6:M14" si="2">I6-Q6</f>
        <v>-1.0394736842105123E-2</v>
      </c>
      <c r="N6" s="6"/>
      <c r="O6" s="133">
        <v>0.67</v>
      </c>
      <c r="P6" s="6"/>
      <c r="Q6" s="129">
        <f t="shared" si="0"/>
        <v>-0.38</v>
      </c>
      <c r="R6" s="64"/>
      <c r="S6" s="65"/>
      <c r="T6" s="134" t="s">
        <v>162</v>
      </c>
      <c r="U6" s="66"/>
      <c r="V6" s="6"/>
      <c r="W6" s="6"/>
      <c r="X6" s="2"/>
      <c r="Y6" s="6"/>
      <c r="Z6" s="6"/>
      <c r="AA6" s="6"/>
      <c r="AB6" s="2"/>
      <c r="AC6" s="67"/>
      <c r="AD6" s="65"/>
      <c r="AE6" s="6"/>
      <c r="AF6" s="66"/>
      <c r="AG6" s="133">
        <v>0.68289999999999995</v>
      </c>
      <c r="AH6" s="6"/>
      <c r="AI6" s="129">
        <f t="shared" ref="AI6:AI14" si="3">AG6*K6</f>
        <v>0.38637763157894728</v>
      </c>
      <c r="AJ6" s="6"/>
    </row>
    <row r="7" spans="1:36" x14ac:dyDescent="0.25">
      <c r="A7" s="1"/>
      <c r="B7" s="72" t="s">
        <v>135</v>
      </c>
      <c r="C7" s="60"/>
      <c r="D7" s="61"/>
      <c r="E7" s="62"/>
      <c r="F7" s="129">
        <v>2.27</v>
      </c>
      <c r="G7" s="64"/>
      <c r="H7" s="65"/>
      <c r="I7" s="123">
        <v>-0.37018461538461545</v>
      </c>
      <c r="J7" s="66"/>
      <c r="K7" s="130">
        <f t="shared" si="1"/>
        <v>0.16307692307692309</v>
      </c>
      <c r="L7" s="131"/>
      <c r="M7" s="132">
        <f t="shared" si="2"/>
        <v>-1.8461538461544968E-4</v>
      </c>
      <c r="N7" s="6"/>
      <c r="O7" s="133">
        <v>2.29</v>
      </c>
      <c r="P7" s="6"/>
      <c r="Q7" s="129">
        <f>IF(O7="","",ROUND(O7*-K7,2))</f>
        <v>-0.37</v>
      </c>
      <c r="R7" s="64"/>
      <c r="S7" s="65"/>
      <c r="T7" s="134" t="s">
        <v>163</v>
      </c>
      <c r="U7" s="66"/>
      <c r="V7" s="6"/>
      <c r="W7" s="6"/>
      <c r="X7" s="2"/>
      <c r="Y7" s="6"/>
      <c r="Z7" s="6"/>
      <c r="AA7" s="6"/>
      <c r="AB7" s="2"/>
      <c r="AC7" s="67"/>
      <c r="AD7" s="65"/>
      <c r="AE7" s="6"/>
      <c r="AF7" s="66"/>
      <c r="AG7" s="133">
        <v>2.2759</v>
      </c>
      <c r="AH7" s="6" t="s">
        <v>161</v>
      </c>
      <c r="AI7" s="129">
        <f t="shared" si="3"/>
        <v>0.37114676923076928</v>
      </c>
      <c r="AJ7" s="6"/>
    </row>
    <row r="8" spans="1:36" x14ac:dyDescent="0.25">
      <c r="A8" s="1"/>
      <c r="B8" s="43" t="s">
        <v>136</v>
      </c>
      <c r="C8" s="60"/>
      <c r="D8" s="61"/>
      <c r="E8" s="62"/>
      <c r="F8" s="129">
        <v>0.5</v>
      </c>
      <c r="G8" s="64"/>
      <c r="H8" s="65"/>
      <c r="I8" s="123">
        <v>-0.18394000674081565</v>
      </c>
      <c r="J8" s="66"/>
      <c r="K8" s="130">
        <f t="shared" si="1"/>
        <v>0.3678800134816313</v>
      </c>
      <c r="L8" s="131"/>
      <c r="M8" s="132">
        <f t="shared" si="2"/>
        <v>-2.3940006740815645E-2</v>
      </c>
      <c r="N8" s="6"/>
      <c r="O8" s="133">
        <v>0.44</v>
      </c>
      <c r="P8" s="6"/>
      <c r="Q8" s="129">
        <f t="shared" ref="Q8:Q14" si="4">IF(O8="","",ROUND(O8*-K8,2))</f>
        <v>-0.16</v>
      </c>
      <c r="R8" s="64"/>
      <c r="S8" s="65"/>
      <c r="T8" s="134" t="s">
        <v>164</v>
      </c>
      <c r="U8" s="66"/>
      <c r="V8" s="6"/>
      <c r="W8" s="6"/>
      <c r="X8" s="2"/>
      <c r="Y8" s="6"/>
      <c r="Z8" s="6"/>
      <c r="AA8" s="6"/>
      <c r="AB8" s="2"/>
      <c r="AC8" s="67"/>
      <c r="AD8" s="65"/>
      <c r="AE8" s="6"/>
      <c r="AF8" s="66"/>
      <c r="AG8" s="135"/>
      <c r="AH8" s="6"/>
      <c r="AI8" s="129">
        <f t="shared" si="3"/>
        <v>0</v>
      </c>
      <c r="AJ8" s="6"/>
    </row>
    <row r="9" spans="1:36" x14ac:dyDescent="0.25">
      <c r="A9" s="1"/>
      <c r="B9" s="43" t="s">
        <v>137</v>
      </c>
      <c r="C9" s="60"/>
      <c r="D9" s="61"/>
      <c r="E9" s="62"/>
      <c r="F9" s="129">
        <v>0.5</v>
      </c>
      <c r="G9" s="64"/>
      <c r="H9" s="65"/>
      <c r="I9" s="113">
        <v>-0.22371081900910006</v>
      </c>
      <c r="J9" s="66"/>
      <c r="K9" s="130">
        <f t="shared" si="1"/>
        <v>0.44742163801820012</v>
      </c>
      <c r="L9" s="131"/>
      <c r="M9" s="132">
        <f t="shared" si="2"/>
        <v>-2.3710819009100048E-2</v>
      </c>
      <c r="N9" s="6"/>
      <c r="O9" s="133">
        <v>0.44</v>
      </c>
      <c r="P9" s="6"/>
      <c r="Q9" s="129">
        <f t="shared" si="4"/>
        <v>-0.2</v>
      </c>
      <c r="R9" s="64"/>
      <c r="S9" s="65"/>
      <c r="T9" s="134" t="s">
        <v>164</v>
      </c>
      <c r="U9" s="66"/>
      <c r="V9" s="6"/>
      <c r="W9" s="6"/>
      <c r="X9" s="2"/>
      <c r="Y9" s="6"/>
      <c r="Z9" s="6"/>
      <c r="AA9" s="6"/>
      <c r="AB9" s="2"/>
      <c r="AC9" s="67"/>
      <c r="AD9" s="65"/>
      <c r="AE9" s="6"/>
      <c r="AF9" s="66"/>
      <c r="AG9" s="135"/>
      <c r="AH9" s="6"/>
      <c r="AI9" s="129">
        <f t="shared" si="3"/>
        <v>0</v>
      </c>
      <c r="AJ9" s="6"/>
    </row>
    <row r="10" spans="1:36" x14ac:dyDescent="0.25">
      <c r="A10" s="1"/>
      <c r="B10" s="43" t="s">
        <v>138</v>
      </c>
      <c r="C10" s="60"/>
      <c r="D10" s="61"/>
      <c r="E10" s="62"/>
      <c r="F10" s="129"/>
      <c r="G10" s="64"/>
      <c r="H10" s="65"/>
      <c r="I10" s="69">
        <v>-460.98461538461538</v>
      </c>
      <c r="J10" s="66"/>
      <c r="K10" s="130"/>
      <c r="L10" s="131"/>
      <c r="M10" s="132"/>
      <c r="N10" s="6"/>
      <c r="O10" s="133"/>
      <c r="P10" s="6"/>
      <c r="Q10" s="129" t="str">
        <f t="shared" si="4"/>
        <v/>
      </c>
      <c r="R10" s="64"/>
      <c r="S10" s="65"/>
      <c r="T10" s="6"/>
      <c r="U10" s="66"/>
      <c r="V10" s="6"/>
      <c r="W10" s="6"/>
      <c r="X10" s="2"/>
      <c r="Y10" s="6"/>
      <c r="Z10" s="6"/>
      <c r="AA10" s="6"/>
      <c r="AB10" s="2"/>
      <c r="AC10" s="67"/>
      <c r="AD10" s="65"/>
      <c r="AE10" s="6"/>
      <c r="AF10" s="66"/>
      <c r="AG10" s="135"/>
      <c r="AH10" s="6"/>
      <c r="AI10" s="129">
        <f t="shared" si="3"/>
        <v>0</v>
      </c>
      <c r="AJ10" s="6"/>
    </row>
    <row r="11" spans="1:36" x14ac:dyDescent="0.25">
      <c r="A11" s="1"/>
      <c r="B11" s="43" t="s">
        <v>139</v>
      </c>
      <c r="C11" s="60"/>
      <c r="D11" s="61"/>
      <c r="E11" s="62"/>
      <c r="F11" s="129">
        <v>0.55000000000000004</v>
      </c>
      <c r="G11" s="64"/>
      <c r="H11" s="65"/>
      <c r="I11" s="113">
        <v>-0.36</v>
      </c>
      <c r="J11" s="66"/>
      <c r="K11" s="130">
        <f t="shared" si="1"/>
        <v>0.65454545454545443</v>
      </c>
      <c r="L11" s="131"/>
      <c r="M11" s="132">
        <f t="shared" si="2"/>
        <v>-0.10999999999999999</v>
      </c>
      <c r="N11" s="6"/>
      <c r="O11" s="133">
        <v>0.375</v>
      </c>
      <c r="P11" s="6"/>
      <c r="Q11" s="129">
        <f t="shared" si="4"/>
        <v>-0.25</v>
      </c>
      <c r="R11" s="64"/>
      <c r="S11" s="65"/>
      <c r="T11" s="134" t="s">
        <v>165</v>
      </c>
      <c r="U11" s="66"/>
      <c r="V11" s="6"/>
      <c r="W11" s="6"/>
      <c r="X11" s="2"/>
      <c r="Y11" s="6"/>
      <c r="Z11" s="6"/>
      <c r="AA11" s="6"/>
      <c r="AB11" s="2"/>
      <c r="AC11" s="67"/>
      <c r="AD11" s="65"/>
      <c r="AE11" s="6"/>
      <c r="AF11" s="66"/>
      <c r="AG11" s="135"/>
      <c r="AH11" s="6"/>
      <c r="AI11" s="129">
        <f t="shared" si="3"/>
        <v>0</v>
      </c>
      <c r="AJ11" s="6"/>
    </row>
    <row r="12" spans="1:36" x14ac:dyDescent="0.25">
      <c r="A12" s="1"/>
      <c r="B12" s="43" t="s">
        <v>140</v>
      </c>
      <c r="C12" s="60"/>
      <c r="D12" s="61"/>
      <c r="E12" s="62"/>
      <c r="F12" s="129">
        <v>1.66</v>
      </c>
      <c r="G12" s="64"/>
      <c r="H12" s="65"/>
      <c r="I12" s="113">
        <v>-1.7512999999999999</v>
      </c>
      <c r="J12" s="66"/>
      <c r="K12" s="130">
        <f t="shared" si="1"/>
        <v>1.0549999999999999</v>
      </c>
      <c r="L12" s="131"/>
      <c r="M12" s="132">
        <f t="shared" si="2"/>
        <v>-5.1299999999999901E-2</v>
      </c>
      <c r="N12" s="6"/>
      <c r="O12" s="133">
        <v>1.61</v>
      </c>
      <c r="P12" s="6"/>
      <c r="Q12" s="129">
        <f t="shared" si="4"/>
        <v>-1.7</v>
      </c>
      <c r="R12" s="64"/>
      <c r="S12" s="65"/>
      <c r="T12" s="134" t="s">
        <v>166</v>
      </c>
      <c r="U12" s="66"/>
      <c r="V12" s="6"/>
      <c r="W12" s="6"/>
      <c r="X12" s="2"/>
      <c r="Y12" s="6"/>
      <c r="Z12" s="6"/>
      <c r="AA12" s="6"/>
      <c r="AB12" s="2"/>
      <c r="AC12" s="67"/>
      <c r="AD12" s="65"/>
      <c r="AE12" s="6"/>
      <c r="AF12" s="66"/>
      <c r="AG12" s="135"/>
      <c r="AH12" s="6"/>
      <c r="AI12" s="129">
        <f t="shared" si="3"/>
        <v>0</v>
      </c>
      <c r="AJ12" s="6"/>
    </row>
    <row r="13" spans="1:36" x14ac:dyDescent="0.25">
      <c r="A13" s="1"/>
      <c r="B13" s="43" t="s">
        <v>141</v>
      </c>
      <c r="C13" s="60"/>
      <c r="D13" s="61"/>
      <c r="E13" s="62"/>
      <c r="F13" s="129">
        <v>2.0699999999999998</v>
      </c>
      <c r="G13" s="64"/>
      <c r="H13" s="65"/>
      <c r="I13" s="123">
        <v>-1.5825</v>
      </c>
      <c r="J13" s="66"/>
      <c r="K13" s="130">
        <f t="shared" si="1"/>
        <v>0.76449275362318847</v>
      </c>
      <c r="L13" s="131"/>
      <c r="M13" s="132">
        <f t="shared" si="2"/>
        <v>-6.25E-2</v>
      </c>
      <c r="N13" s="6"/>
      <c r="O13" s="133">
        <v>1.99</v>
      </c>
      <c r="P13" s="6"/>
      <c r="Q13" s="129">
        <f t="shared" si="4"/>
        <v>-1.52</v>
      </c>
      <c r="R13" s="64"/>
      <c r="S13" s="65"/>
      <c r="T13" s="134" t="s">
        <v>167</v>
      </c>
      <c r="U13" s="66"/>
      <c r="V13" s="6"/>
      <c r="W13" s="6"/>
      <c r="X13" s="2"/>
      <c r="Y13" s="6"/>
      <c r="Z13" s="6"/>
      <c r="AA13" s="6"/>
      <c r="AB13" s="2"/>
      <c r="AC13" s="67"/>
      <c r="AD13" s="65"/>
      <c r="AE13" s="6"/>
      <c r="AF13" s="66"/>
      <c r="AG13" s="135"/>
      <c r="AH13" s="6"/>
      <c r="AI13" s="129">
        <f t="shared" si="3"/>
        <v>0</v>
      </c>
      <c r="AJ13" s="6"/>
    </row>
    <row r="14" spans="1:36" x14ac:dyDescent="0.25">
      <c r="A14" s="1"/>
      <c r="B14" s="43" t="s">
        <v>142</v>
      </c>
      <c r="C14" s="60"/>
      <c r="D14" s="61"/>
      <c r="E14" s="62"/>
      <c r="F14" s="129">
        <v>0.5</v>
      </c>
      <c r="G14" s="64"/>
      <c r="H14" s="65"/>
      <c r="I14" s="113">
        <v>-0.27325581395348836</v>
      </c>
      <c r="J14" s="66"/>
      <c r="K14" s="130">
        <f t="shared" si="1"/>
        <v>0.54651162790697672</v>
      </c>
      <c r="L14" s="131"/>
      <c r="M14" s="132">
        <f t="shared" si="2"/>
        <v>-3.3255813953488367E-2</v>
      </c>
      <c r="N14" s="6"/>
      <c r="O14" s="133">
        <v>0.44</v>
      </c>
      <c r="P14" s="6"/>
      <c r="Q14" s="129">
        <f t="shared" si="4"/>
        <v>-0.24</v>
      </c>
      <c r="R14" s="64"/>
      <c r="S14" s="65"/>
      <c r="T14" s="134" t="s">
        <v>164</v>
      </c>
      <c r="U14" s="66"/>
      <c r="V14" s="6"/>
      <c r="W14" s="6"/>
      <c r="X14" s="2"/>
      <c r="Y14" s="6"/>
      <c r="Z14" s="6"/>
      <c r="AA14" s="6"/>
      <c r="AB14" s="2"/>
      <c r="AC14" s="67"/>
      <c r="AD14" s="65"/>
      <c r="AE14" s="6"/>
      <c r="AF14" s="66"/>
      <c r="AG14" s="135"/>
      <c r="AH14" s="6"/>
      <c r="AI14" s="129">
        <f t="shared" si="3"/>
        <v>0</v>
      </c>
      <c r="AJ14" s="6"/>
    </row>
    <row r="15" spans="1:36" x14ac:dyDescent="0.25">
      <c r="A15" s="1"/>
      <c r="B15" s="2"/>
      <c r="C15" s="60"/>
      <c r="D15" s="61"/>
      <c r="E15" s="62"/>
      <c r="F15" s="63"/>
      <c r="G15" s="64"/>
      <c r="H15" s="65"/>
      <c r="I15" s="60"/>
      <c r="J15" s="66"/>
      <c r="K15" s="6"/>
      <c r="L15" s="6"/>
      <c r="M15" s="2"/>
      <c r="N15" s="6"/>
      <c r="O15" s="6"/>
      <c r="P15" s="6"/>
      <c r="Q15" s="2"/>
      <c r="R15" s="64"/>
      <c r="S15" s="65"/>
      <c r="T15" s="6"/>
      <c r="U15" s="66"/>
      <c r="V15" s="6"/>
      <c r="W15" s="6"/>
      <c r="X15" s="2"/>
      <c r="Y15" s="6"/>
      <c r="Z15" s="6"/>
      <c r="AA15" s="6"/>
      <c r="AB15" s="2"/>
      <c r="AC15" s="67"/>
      <c r="AD15" s="65"/>
      <c r="AE15" s="6"/>
      <c r="AF15" s="66"/>
      <c r="AG15" s="6"/>
      <c r="AH15" s="6"/>
      <c r="AI15" s="2"/>
      <c r="AJ15" s="6"/>
    </row>
    <row r="16" spans="1:36" x14ac:dyDescent="0.25">
      <c r="A16" s="1"/>
      <c r="B16" s="2"/>
      <c r="C16" s="60"/>
      <c r="D16" s="61"/>
      <c r="E16" s="62"/>
      <c r="F16" s="63"/>
      <c r="G16" s="64"/>
      <c r="H16" s="65"/>
      <c r="I16" s="60"/>
      <c r="J16" s="66"/>
      <c r="K16" s="6"/>
      <c r="L16" s="6"/>
      <c r="M16" s="2"/>
      <c r="N16" s="6"/>
      <c r="O16" s="6"/>
      <c r="P16" s="6"/>
      <c r="Q16" s="2"/>
      <c r="R16" s="64"/>
      <c r="S16" s="65"/>
      <c r="T16" s="6"/>
      <c r="U16" s="66"/>
      <c r="V16" s="6"/>
      <c r="W16" s="6"/>
      <c r="X16" s="2"/>
      <c r="Y16" s="6"/>
      <c r="Z16" s="6"/>
      <c r="AA16" s="6"/>
      <c r="AB16" s="2"/>
      <c r="AC16" s="67"/>
      <c r="AD16" s="65"/>
      <c r="AE16" s="6"/>
      <c r="AF16" s="66"/>
      <c r="AG16" s="6"/>
      <c r="AH16" s="6"/>
      <c r="AI16" s="2"/>
      <c r="AJ16" s="6"/>
    </row>
    <row r="17" spans="1:36" x14ac:dyDescent="0.25">
      <c r="A17" s="1"/>
      <c r="B17" s="2"/>
      <c r="C17" s="60"/>
      <c r="D17" s="61"/>
      <c r="E17" s="62"/>
      <c r="F17" s="63"/>
      <c r="G17" s="64"/>
      <c r="H17" s="65"/>
      <c r="I17" s="60"/>
      <c r="J17" s="66"/>
      <c r="K17" s="6"/>
      <c r="L17" s="6"/>
      <c r="M17" s="2"/>
      <c r="N17" s="6"/>
      <c r="O17" s="6"/>
      <c r="P17" s="6"/>
      <c r="Q17" s="2"/>
      <c r="R17" s="64"/>
      <c r="S17" s="65"/>
      <c r="T17" s="6"/>
      <c r="U17" s="66"/>
      <c r="V17" s="6"/>
      <c r="W17" s="6"/>
      <c r="X17" s="2"/>
      <c r="Y17" s="6"/>
      <c r="Z17" s="6"/>
      <c r="AA17" s="6"/>
      <c r="AB17" s="2"/>
      <c r="AC17" s="67"/>
      <c r="AD17" s="65"/>
      <c r="AE17" s="6"/>
      <c r="AF17" s="66"/>
      <c r="AG17" s="6"/>
      <c r="AH17" s="6"/>
      <c r="AI17" s="2"/>
      <c r="AJ17" s="6"/>
    </row>
    <row r="18" spans="1:36" x14ac:dyDescent="0.25">
      <c r="A18" s="1"/>
      <c r="B18" s="2"/>
      <c r="C18" s="60"/>
      <c r="D18" s="61"/>
      <c r="E18" s="62"/>
      <c r="F18" s="126">
        <v>42314</v>
      </c>
      <c r="G18" s="64"/>
      <c r="H18" s="65"/>
      <c r="I18" s="126">
        <v>42314</v>
      </c>
      <c r="J18" s="66"/>
      <c r="K18" s="6"/>
      <c r="L18" s="6"/>
      <c r="M18" s="2"/>
      <c r="N18" s="6"/>
      <c r="O18" s="6"/>
      <c r="P18" s="6"/>
      <c r="Q18" s="2"/>
      <c r="R18" s="64"/>
      <c r="S18" s="65"/>
      <c r="T18" s="6"/>
      <c r="U18" s="66"/>
      <c r="V18" s="6"/>
      <c r="W18" s="6"/>
      <c r="X18" s="2"/>
      <c r="Y18" s="6"/>
      <c r="Z18" s="6"/>
      <c r="AA18" s="6"/>
      <c r="AB18" s="2"/>
      <c r="AC18" s="67"/>
      <c r="AD18" s="65"/>
      <c r="AE18" s="6"/>
      <c r="AF18" s="66"/>
      <c r="AG18" s="6"/>
      <c r="AH18" s="6"/>
      <c r="AI18" s="2"/>
      <c r="AJ18" s="6"/>
    </row>
    <row r="19" spans="1:36" x14ac:dyDescent="0.25">
      <c r="A19" s="1"/>
      <c r="B19" s="2"/>
      <c r="C19" s="60"/>
      <c r="D19" s="61"/>
      <c r="E19" s="62"/>
      <c r="F19" s="107" t="s">
        <v>131</v>
      </c>
      <c r="G19" s="64"/>
      <c r="H19" s="65"/>
      <c r="I19" s="127" t="s">
        <v>157</v>
      </c>
      <c r="J19" s="66"/>
      <c r="K19" s="6"/>
      <c r="L19" s="6"/>
      <c r="M19" s="2"/>
      <c r="N19" s="6"/>
      <c r="O19" s="6"/>
      <c r="P19" s="6"/>
      <c r="Q19" s="2"/>
      <c r="R19" s="64"/>
      <c r="S19" s="65"/>
      <c r="T19" s="6"/>
      <c r="U19" s="66"/>
      <c r="V19" s="6"/>
      <c r="W19" s="6"/>
      <c r="X19" s="2"/>
      <c r="Y19" s="6"/>
      <c r="Z19" s="6"/>
      <c r="AA19" s="6"/>
      <c r="AB19" s="2"/>
      <c r="AC19" s="67"/>
      <c r="AD19" s="65"/>
      <c r="AE19" s="6"/>
      <c r="AF19" s="66"/>
      <c r="AG19" s="6"/>
      <c r="AH19" s="6"/>
      <c r="AI19" s="2"/>
      <c r="AJ19" s="6"/>
    </row>
    <row r="20" spans="1:36" x14ac:dyDescent="0.25">
      <c r="A20" s="1"/>
      <c r="B20" s="2"/>
      <c r="C20" s="60"/>
      <c r="D20" s="61"/>
      <c r="E20" s="62"/>
      <c r="F20" s="124" t="s">
        <v>132</v>
      </c>
      <c r="G20" s="64"/>
      <c r="H20" s="65"/>
      <c r="I20" s="127" t="s">
        <v>132</v>
      </c>
      <c r="J20" s="66"/>
      <c r="K20" s="6"/>
      <c r="L20" s="6"/>
      <c r="M20" s="2"/>
      <c r="N20" s="6"/>
      <c r="O20" s="6"/>
      <c r="P20" s="6"/>
      <c r="Q20" s="2"/>
      <c r="R20" s="64"/>
      <c r="S20" s="65"/>
      <c r="T20" s="6"/>
      <c r="U20" s="66"/>
      <c r="V20" s="6"/>
      <c r="W20" s="6"/>
      <c r="X20" s="2"/>
      <c r="Y20" s="6"/>
      <c r="Z20" s="6"/>
      <c r="AA20" s="6"/>
      <c r="AB20" s="2"/>
      <c r="AC20" s="67"/>
      <c r="AD20" s="65"/>
      <c r="AE20" s="6"/>
      <c r="AF20" s="66"/>
      <c r="AG20" s="6"/>
      <c r="AH20" s="6"/>
      <c r="AI20" s="2"/>
      <c r="AJ20" s="6"/>
    </row>
    <row r="21" spans="1:36" x14ac:dyDescent="0.25">
      <c r="A21" s="1"/>
      <c r="B21" s="72" t="s">
        <v>168</v>
      </c>
      <c r="C21" s="60"/>
      <c r="D21" s="61"/>
      <c r="E21" s="62"/>
      <c r="F21" s="133">
        <v>168</v>
      </c>
      <c r="G21" s="64"/>
      <c r="H21" s="65"/>
      <c r="I21" s="122">
        <v>-123.79</v>
      </c>
      <c r="J21" s="66"/>
      <c r="K21" s="130">
        <f>-I21/F21</f>
        <v>0.73684523809523816</v>
      </c>
      <c r="L21" s="6"/>
      <c r="M21" s="2"/>
      <c r="N21" s="6"/>
      <c r="O21" s="6"/>
      <c r="P21" s="6"/>
      <c r="Q21" s="2"/>
      <c r="R21" s="64"/>
      <c r="S21" s="65"/>
      <c r="T21" s="6"/>
      <c r="U21" s="66"/>
      <c r="V21" s="6"/>
      <c r="W21" s="6"/>
      <c r="X21" s="2"/>
      <c r="Y21" s="6"/>
      <c r="Z21" s="6"/>
      <c r="AA21" s="6"/>
      <c r="AB21" s="2"/>
      <c r="AC21" s="67"/>
      <c r="AD21" s="65"/>
      <c r="AE21" s="6"/>
      <c r="AF21" s="66"/>
      <c r="AG21" s="6"/>
      <c r="AH21" s="6"/>
      <c r="AI21" s="2"/>
      <c r="AJ21" s="6"/>
    </row>
    <row r="22" spans="1:36" x14ac:dyDescent="0.25">
      <c r="A22" s="1"/>
      <c r="B22" s="72" t="s">
        <v>169</v>
      </c>
      <c r="C22" s="60"/>
      <c r="D22" s="61"/>
      <c r="E22" s="62"/>
      <c r="F22" s="133">
        <v>0.67</v>
      </c>
      <c r="G22" s="64"/>
      <c r="H22" s="65"/>
      <c r="I22" s="123">
        <v>-0.38</v>
      </c>
      <c r="J22" s="66"/>
      <c r="K22" s="130">
        <f t="shared" ref="K22:K30" si="5">-I22/F22</f>
        <v>0.56716417910447758</v>
      </c>
      <c r="L22" s="6"/>
      <c r="M22" s="2"/>
      <c r="N22" s="6"/>
      <c r="O22" s="6"/>
      <c r="P22" s="6"/>
      <c r="Q22" s="2"/>
      <c r="R22" s="64"/>
      <c r="S22" s="65"/>
      <c r="T22" s="6"/>
      <c r="U22" s="66"/>
      <c r="V22" s="6"/>
      <c r="W22" s="6"/>
      <c r="X22" s="2"/>
      <c r="Y22" s="6"/>
      <c r="Z22" s="6"/>
      <c r="AA22" s="6"/>
      <c r="AB22" s="2"/>
      <c r="AC22" s="67"/>
      <c r="AD22" s="65"/>
      <c r="AE22" s="6"/>
      <c r="AF22" s="66"/>
      <c r="AG22" s="6"/>
      <c r="AH22" s="6"/>
      <c r="AI22" s="2"/>
      <c r="AJ22" s="6"/>
    </row>
    <row r="23" spans="1:36" x14ac:dyDescent="0.25">
      <c r="A23" s="1"/>
      <c r="B23" s="72" t="s">
        <v>170</v>
      </c>
      <c r="C23" s="60"/>
      <c r="D23" s="61"/>
      <c r="E23" s="62"/>
      <c r="F23" s="133">
        <v>2.29</v>
      </c>
      <c r="G23" s="64"/>
      <c r="H23" s="65"/>
      <c r="I23" s="123">
        <v>-0.37</v>
      </c>
      <c r="J23" s="66"/>
      <c r="K23" s="130">
        <f t="shared" si="5"/>
        <v>0.16157205240174671</v>
      </c>
      <c r="L23" s="6"/>
      <c r="M23" s="2"/>
      <c r="N23" s="6"/>
      <c r="O23" s="6"/>
      <c r="P23" s="6"/>
      <c r="Q23" s="2"/>
      <c r="R23" s="64"/>
      <c r="S23" s="65"/>
      <c r="T23" s="6"/>
      <c r="U23" s="66"/>
      <c r="V23" s="6"/>
      <c r="W23" s="6"/>
      <c r="X23" s="2"/>
      <c r="Y23" s="6"/>
      <c r="Z23" s="6"/>
      <c r="AA23" s="6"/>
      <c r="AB23" s="2"/>
      <c r="AC23" s="67"/>
      <c r="AD23" s="65"/>
      <c r="AE23" s="6"/>
      <c r="AF23" s="66"/>
      <c r="AG23" s="6"/>
      <c r="AH23" s="6"/>
      <c r="AI23" s="2"/>
      <c r="AJ23" s="6"/>
    </row>
    <row r="24" spans="1:36" x14ac:dyDescent="0.25">
      <c r="A24" s="1"/>
      <c r="B24" s="43" t="s">
        <v>171</v>
      </c>
      <c r="C24" s="60"/>
      <c r="D24" s="61"/>
      <c r="E24" s="62"/>
      <c r="F24" s="133">
        <v>0.44</v>
      </c>
      <c r="G24" s="64"/>
      <c r="H24" s="65"/>
      <c r="I24" s="123">
        <v>-0.16</v>
      </c>
      <c r="J24" s="66"/>
      <c r="K24" s="130">
        <f t="shared" si="5"/>
        <v>0.36363636363636365</v>
      </c>
      <c r="L24" s="6"/>
      <c r="M24" s="2"/>
      <c r="N24" s="6"/>
      <c r="O24" s="6"/>
      <c r="P24" s="6"/>
      <c r="Q24" s="2"/>
      <c r="R24" s="64"/>
      <c r="S24" s="65"/>
      <c r="T24" s="6"/>
      <c r="U24" s="66"/>
      <c r="V24" s="6"/>
      <c r="W24" s="6"/>
      <c r="X24" s="2"/>
      <c r="Y24" s="6"/>
      <c r="Z24" s="6"/>
      <c r="AA24" s="6"/>
      <c r="AB24" s="2"/>
      <c r="AC24" s="67"/>
      <c r="AD24" s="65"/>
      <c r="AE24" s="6"/>
      <c r="AF24" s="66"/>
      <c r="AG24" s="6"/>
      <c r="AH24" s="6"/>
      <c r="AI24" s="2"/>
      <c r="AJ24" s="6"/>
    </row>
    <row r="25" spans="1:36" x14ac:dyDescent="0.25">
      <c r="A25" s="1"/>
      <c r="B25" s="43" t="s">
        <v>172</v>
      </c>
      <c r="C25" s="60"/>
      <c r="D25" s="61"/>
      <c r="E25" s="62"/>
      <c r="F25" s="133">
        <v>0.44</v>
      </c>
      <c r="G25" s="64"/>
      <c r="H25" s="65"/>
      <c r="I25" s="113">
        <v>-0.2</v>
      </c>
      <c r="J25" s="66"/>
      <c r="K25" s="130">
        <f t="shared" si="5"/>
        <v>0.45454545454545459</v>
      </c>
      <c r="L25" s="6"/>
      <c r="M25" s="2"/>
      <c r="N25" s="6"/>
      <c r="O25" s="6"/>
      <c r="P25" s="6"/>
      <c r="Q25" s="2"/>
      <c r="R25" s="64"/>
      <c r="S25" s="65"/>
      <c r="T25" s="6"/>
      <c r="U25" s="66"/>
      <c r="V25" s="6"/>
      <c r="W25" s="6"/>
      <c r="X25" s="2"/>
      <c r="Y25" s="6"/>
      <c r="Z25" s="6"/>
      <c r="AA25" s="6"/>
      <c r="AB25" s="2"/>
      <c r="AC25" s="67"/>
      <c r="AD25" s="65"/>
      <c r="AE25" s="6"/>
      <c r="AF25" s="66"/>
      <c r="AG25" s="6"/>
      <c r="AH25" s="6"/>
      <c r="AI25" s="2"/>
      <c r="AJ25" s="6"/>
    </row>
    <row r="26" spans="1:36" x14ac:dyDescent="0.25">
      <c r="A26" s="1"/>
      <c r="B26" s="43" t="s">
        <v>173</v>
      </c>
      <c r="C26" s="60"/>
      <c r="D26" s="61"/>
      <c r="E26" s="62"/>
      <c r="F26" s="133"/>
      <c r="G26" s="64"/>
      <c r="H26" s="65"/>
      <c r="I26" s="69" t="s">
        <v>51</v>
      </c>
      <c r="J26" s="66"/>
      <c r="K26" s="130"/>
      <c r="L26" s="6"/>
      <c r="M26" s="2"/>
      <c r="N26" s="6"/>
      <c r="O26" s="6"/>
      <c r="P26" s="6"/>
      <c r="Q26" s="2"/>
      <c r="R26" s="64"/>
      <c r="S26" s="65"/>
      <c r="T26" s="6"/>
      <c r="U26" s="66"/>
      <c r="V26" s="6"/>
      <c r="W26" s="6"/>
      <c r="X26" s="2"/>
      <c r="Y26" s="6"/>
      <c r="Z26" s="6"/>
      <c r="AA26" s="6"/>
      <c r="AB26" s="2"/>
      <c r="AC26" s="67"/>
      <c r="AD26" s="65"/>
      <c r="AE26" s="6"/>
      <c r="AF26" s="66"/>
      <c r="AG26" s="6"/>
      <c r="AH26" s="6"/>
      <c r="AI26" s="2"/>
      <c r="AJ26" s="6"/>
    </row>
    <row r="27" spans="1:36" x14ac:dyDescent="0.25">
      <c r="A27" s="1"/>
      <c r="B27" s="43" t="s">
        <v>174</v>
      </c>
      <c r="C27" s="60"/>
      <c r="D27" s="61"/>
      <c r="E27" s="62"/>
      <c r="F27" s="133">
        <v>0.375</v>
      </c>
      <c r="G27" s="64"/>
      <c r="H27" s="65"/>
      <c r="I27" s="113">
        <v>-0.25</v>
      </c>
      <c r="J27" s="66"/>
      <c r="K27" s="130">
        <f t="shared" si="5"/>
        <v>0.66666666666666663</v>
      </c>
      <c r="L27" s="6"/>
      <c r="M27" s="2"/>
      <c r="N27" s="6"/>
      <c r="O27" s="6"/>
      <c r="P27" s="6"/>
      <c r="Q27" s="2"/>
      <c r="R27" s="64"/>
      <c r="S27" s="65"/>
      <c r="T27" s="6"/>
      <c r="U27" s="66"/>
      <c r="V27" s="6"/>
      <c r="W27" s="6"/>
      <c r="X27" s="2"/>
      <c r="Y27" s="6"/>
      <c r="Z27" s="6"/>
      <c r="AA27" s="6"/>
      <c r="AB27" s="2"/>
      <c r="AC27" s="67"/>
      <c r="AD27" s="65"/>
      <c r="AE27" s="6"/>
      <c r="AF27" s="66"/>
      <c r="AG27" s="6"/>
      <c r="AH27" s="6"/>
      <c r="AI27" s="2"/>
      <c r="AJ27" s="6"/>
    </row>
    <row r="28" spans="1:36" x14ac:dyDescent="0.25">
      <c r="A28" s="1"/>
      <c r="B28" s="43" t="s">
        <v>175</v>
      </c>
      <c r="C28" s="60"/>
      <c r="D28" s="61"/>
      <c r="E28" s="62"/>
      <c r="F28" s="133">
        <v>1.61</v>
      </c>
      <c r="G28" s="64"/>
      <c r="H28" s="65"/>
      <c r="I28" s="113">
        <v>-1.7</v>
      </c>
      <c r="J28" s="66"/>
      <c r="K28" s="130">
        <f t="shared" si="5"/>
        <v>1.0559006211180124</v>
      </c>
      <c r="L28" s="6"/>
      <c r="M28" s="2"/>
      <c r="N28" s="6"/>
      <c r="O28" s="6"/>
      <c r="P28" s="6"/>
      <c r="Q28" s="2"/>
      <c r="R28" s="64"/>
      <c r="S28" s="65"/>
      <c r="T28" s="6"/>
      <c r="U28" s="66"/>
      <c r="V28" s="6"/>
      <c r="W28" s="6"/>
      <c r="X28" s="2"/>
      <c r="Y28" s="6"/>
      <c r="Z28" s="6"/>
      <c r="AA28" s="6"/>
      <c r="AB28" s="2"/>
      <c r="AC28" s="67"/>
      <c r="AD28" s="65"/>
      <c r="AE28" s="6"/>
      <c r="AF28" s="66"/>
      <c r="AG28" s="6"/>
      <c r="AH28" s="6"/>
      <c r="AI28" s="2"/>
      <c r="AJ28" s="6"/>
    </row>
    <row r="29" spans="1:36" x14ac:dyDescent="0.25">
      <c r="A29" s="1"/>
      <c r="B29" s="43" t="s">
        <v>176</v>
      </c>
      <c r="C29" s="60"/>
      <c r="D29" s="61"/>
      <c r="E29" s="62"/>
      <c r="F29" s="133">
        <v>1.99</v>
      </c>
      <c r="G29" s="64"/>
      <c r="H29" s="65"/>
      <c r="I29" s="123">
        <v>-1.52</v>
      </c>
      <c r="J29" s="66"/>
      <c r="K29" s="130">
        <f t="shared" si="5"/>
        <v>0.76381909547738691</v>
      </c>
      <c r="L29" s="6"/>
      <c r="M29" s="2"/>
      <c r="N29" s="6"/>
      <c r="O29" s="6"/>
      <c r="P29" s="6"/>
      <c r="Q29" s="2"/>
      <c r="R29" s="64"/>
      <c r="S29" s="65"/>
      <c r="T29" s="6"/>
      <c r="U29" s="66"/>
      <c r="V29" s="6"/>
      <c r="W29" s="6"/>
      <c r="X29" s="2"/>
      <c r="Y29" s="6"/>
      <c r="Z29" s="6"/>
      <c r="AA29" s="6"/>
      <c r="AB29" s="2"/>
      <c r="AC29" s="67"/>
      <c r="AD29" s="65"/>
      <c r="AE29" s="6"/>
      <c r="AF29" s="66"/>
      <c r="AG29" s="6"/>
      <c r="AH29" s="6"/>
      <c r="AI29" s="2"/>
      <c r="AJ29" s="6"/>
    </row>
    <row r="30" spans="1:36" x14ac:dyDescent="0.25">
      <c r="A30" s="1"/>
      <c r="B30" s="43" t="s">
        <v>177</v>
      </c>
      <c r="C30" s="60"/>
      <c r="D30" s="61"/>
      <c r="E30" s="62"/>
      <c r="F30" s="133">
        <v>0.44</v>
      </c>
      <c r="G30" s="64"/>
      <c r="H30" s="65"/>
      <c r="I30" s="113">
        <v>-0.24</v>
      </c>
      <c r="J30" s="66"/>
      <c r="K30" s="130">
        <f t="shared" si="5"/>
        <v>0.54545454545454541</v>
      </c>
      <c r="L30" s="6"/>
      <c r="M30" s="2"/>
      <c r="N30" s="6"/>
      <c r="O30" s="6"/>
      <c r="P30" s="6"/>
      <c r="Q30" s="2"/>
      <c r="R30" s="64"/>
      <c r="S30" s="65"/>
      <c r="T30" s="6"/>
      <c r="U30" s="66"/>
      <c r="V30" s="6"/>
      <c r="W30" s="6"/>
      <c r="X30" s="2"/>
      <c r="Y30" s="6"/>
      <c r="Z30" s="6"/>
      <c r="AA30" s="6"/>
      <c r="AB30" s="2"/>
      <c r="AC30" s="67"/>
      <c r="AD30" s="65"/>
      <c r="AE30" s="6"/>
      <c r="AF30" s="66"/>
      <c r="AG30" s="6"/>
      <c r="AH30" s="6"/>
      <c r="AI30" s="2"/>
      <c r="AJ30" s="6"/>
    </row>
    <row r="31" spans="1:36" x14ac:dyDescent="0.25">
      <c r="A31" s="1"/>
      <c r="B31" s="2"/>
      <c r="C31" s="60"/>
      <c r="D31" s="61"/>
      <c r="E31" s="62"/>
      <c r="F31" s="63"/>
      <c r="G31" s="64"/>
      <c r="H31" s="65"/>
      <c r="I31" s="60"/>
      <c r="J31" s="66"/>
      <c r="K31" s="6"/>
      <c r="L31" s="6"/>
      <c r="M31" s="2"/>
      <c r="N31" s="6"/>
      <c r="O31" s="6"/>
      <c r="P31" s="6"/>
      <c r="Q31" s="2"/>
      <c r="R31" s="64"/>
      <c r="S31" s="65"/>
      <c r="T31" s="6"/>
      <c r="U31" s="66"/>
      <c r="V31" s="6"/>
      <c r="W31" s="6"/>
      <c r="X31" s="2"/>
      <c r="Y31" s="6"/>
      <c r="Z31" s="6"/>
      <c r="AA31" s="6"/>
      <c r="AB31" s="2"/>
      <c r="AC31" s="67"/>
      <c r="AD31" s="65"/>
      <c r="AE31" s="6"/>
      <c r="AF31" s="66"/>
      <c r="AG31" s="6"/>
      <c r="AH31" s="6"/>
      <c r="AI31" s="2"/>
      <c r="AJ31" s="6"/>
    </row>
    <row r="32" spans="1:36" x14ac:dyDescent="0.25">
      <c r="A32" s="1"/>
      <c r="B32" s="2"/>
      <c r="C32" s="60"/>
      <c r="D32" s="61"/>
      <c r="E32" s="62"/>
      <c r="F32" s="63"/>
      <c r="G32" s="64"/>
      <c r="H32" s="65"/>
      <c r="I32" s="60"/>
      <c r="J32" s="66"/>
      <c r="K32" s="6"/>
      <c r="L32" s="6"/>
      <c r="M32" s="2"/>
      <c r="N32" s="6"/>
      <c r="O32" s="6"/>
      <c r="P32" s="6"/>
      <c r="Q32" s="2"/>
      <c r="R32" s="64"/>
      <c r="S32" s="65"/>
      <c r="T32" s="6"/>
      <c r="U32" s="66"/>
      <c r="V32" s="6"/>
      <c r="W32" s="6"/>
      <c r="X32" s="2"/>
      <c r="Y32" s="6"/>
      <c r="Z32" s="6"/>
      <c r="AA32" s="6"/>
      <c r="AB32" s="2"/>
      <c r="AC32" s="67"/>
      <c r="AD32" s="65"/>
      <c r="AE32" s="6"/>
      <c r="AF32" s="66"/>
      <c r="AG32" s="6"/>
      <c r="AH32" s="6"/>
      <c r="AI32" s="2"/>
      <c r="AJ32" s="6"/>
    </row>
  </sheetData>
  <hyperlinks>
    <hyperlink ref="T5" r:id="rId1"/>
    <hyperlink ref="T6" r:id="rId2"/>
    <hyperlink ref="T7" r:id="rId3"/>
    <hyperlink ref="T8" r:id="rId4"/>
    <hyperlink ref="T9" r:id="rId5"/>
    <hyperlink ref="T12" r:id="rId6"/>
    <hyperlink ref="T14" r:id="rId7"/>
    <hyperlink ref="T13" r:id="rId8"/>
    <hyperlink ref="T11" r:id="rId9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Pea Ridge Data</vt:lpstr>
      <vt:lpstr>Pea Ridge Import</vt:lpstr>
      <vt:lpstr>Pea Ridge Estimate</vt:lpstr>
      <vt:lpstr>Scrap Values</vt:lpstr>
      <vt:lpstr>'Pea Ridge Data'!Print_Area</vt:lpstr>
      <vt:lpstr>'Pea Ridge Estimate'!Print_Area</vt:lpstr>
      <vt:lpstr>'Pea Ridge Data'!Print_Titles</vt:lpstr>
      <vt:lpstr>'Pea Ridge Estimate'!Print_Titles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bastim</dc:creator>
  <cp:lastModifiedBy>Richard Cornelius</cp:lastModifiedBy>
  <dcterms:created xsi:type="dcterms:W3CDTF">2014-05-01T12:31:08Z</dcterms:created>
  <dcterms:modified xsi:type="dcterms:W3CDTF">2016-04-21T13:27:00Z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754137511</vt:i4>
  </property>
  <property fmtid="{D5CDD505-2E9C-101B-9397-08002B2CF9AE}" pid="3" name="_NewReviewCycle">
    <vt:lpwstr/>
  </property>
  <property fmtid="{D5CDD505-2E9C-101B-9397-08002B2CF9AE}" pid="4" name="_EmailSubject">
    <vt:lpwstr>Docket No. 160170 Depreciation &amp; Dismantlement 3 of 4</vt:lpwstr>
  </property>
  <property fmtid="{D5CDD505-2E9C-101B-9397-08002B2CF9AE}" pid="5" name="_AuthorEmail">
    <vt:lpwstr>MBROADWA@SOUTHERNCO.COM</vt:lpwstr>
  </property>
  <property fmtid="{D5CDD505-2E9C-101B-9397-08002B2CF9AE}" pid="6" name="_AuthorEmailDisplayName">
    <vt:lpwstr>Broadway, Mike</vt:lpwstr>
  </property>
</Properties>
</file>