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395" yWindow="-15" windowWidth="28320" windowHeight="10785" activeTab="1"/>
  </bookViews>
  <sheets>
    <sheet name="Perdido Data" sheetId="1" r:id="rId1"/>
    <sheet name="Perdido Import" sheetId="2" r:id="rId2"/>
    <sheet name="Perdido Estimate" sheetId="4" r:id="rId3"/>
    <sheet name="Scrap Values" sheetId="5" r:id="rId4"/>
  </sheets>
  <definedNames>
    <definedName name="_xlnm._FilterDatabase" localSheetId="1" hidden="1">'Perdido Import'!$A$2:$AB$35</definedName>
    <definedName name="_xlnm.Print_Area" localSheetId="0">'Perdido Data'!$A$1:$BL$51</definedName>
    <definedName name="_xlnm.Print_Area" localSheetId="2">'Perdido Estimate'!$A$1:$BJ$33</definedName>
    <definedName name="_xlnm.Print_Titles" localSheetId="0">'Perdido Data'!$A:$B</definedName>
    <definedName name="_xlnm.Print_Titles" localSheetId="2">'Perdido Estimate'!$A:$B</definedName>
  </definedNames>
  <calcPr calcId="145621" iterate="1" calcOnSave="0"/>
</workbook>
</file>

<file path=xl/calcChain.xml><?xml version="1.0" encoding="utf-8"?>
<calcChain xmlns="http://schemas.openxmlformats.org/spreadsheetml/2006/main">
  <c r="H13" i="2" l="1"/>
  <c r="N3" i="2" l="1"/>
  <c r="E25" i="1" l="1"/>
  <c r="E23" i="1"/>
  <c r="E18" i="1"/>
  <c r="E17" i="1"/>
  <c r="E14" i="1"/>
  <c r="E11" i="1"/>
  <c r="AI14" i="5" l="1"/>
  <c r="Q14" i="5"/>
  <c r="M14" i="5" s="1"/>
  <c r="K14" i="5"/>
  <c r="AI13" i="5"/>
  <c r="Q13" i="5"/>
  <c r="M13" i="5" s="1"/>
  <c r="K13" i="5"/>
  <c r="AI12" i="5"/>
  <c r="Q12" i="5"/>
  <c r="M12" i="5" s="1"/>
  <c r="K12" i="5"/>
  <c r="AI11" i="5"/>
  <c r="Q11" i="5"/>
  <c r="M11" i="5" s="1"/>
  <c r="K11" i="5"/>
  <c r="AI10" i="5"/>
  <c r="Q10" i="5"/>
  <c r="K9" i="5"/>
  <c r="AI9" i="5" s="1"/>
  <c r="K8" i="5"/>
  <c r="AI8" i="5" s="1"/>
  <c r="K7" i="5"/>
  <c r="AI7" i="5" s="1"/>
  <c r="K6" i="5"/>
  <c r="AI6" i="5" s="1"/>
  <c r="AG5" i="5"/>
  <c r="K5" i="5"/>
  <c r="AI5" i="5" s="1"/>
  <c r="Q2" i="5"/>
  <c r="F1" i="5"/>
  <c r="F3" i="5" s="1"/>
  <c r="Q5" i="5" l="1"/>
  <c r="M5" i="5" s="1"/>
  <c r="Q6" i="5"/>
  <c r="M6" i="5" s="1"/>
  <c r="Q7" i="5"/>
  <c r="M7" i="5" s="1"/>
  <c r="Q8" i="5"/>
  <c r="M8" i="5" s="1"/>
  <c r="Q9" i="5"/>
  <c r="M9" i="5" s="1"/>
  <c r="O4" i="2"/>
  <c r="O28" i="2"/>
  <c r="O5" i="2"/>
  <c r="N4" i="2"/>
  <c r="N28" i="2"/>
  <c r="N5" i="2"/>
  <c r="N13" i="2"/>
  <c r="N18" i="2"/>
  <c r="N29" i="2"/>
  <c r="E19" i="1" l="1"/>
  <c r="E16" i="1"/>
  <c r="E24" i="1"/>
  <c r="E20" i="1"/>
  <c r="E15" i="1"/>
  <c r="F23" i="2" l="1"/>
  <c r="F15" i="2"/>
  <c r="F21" i="2"/>
  <c r="F22" i="2"/>
  <c r="F14" i="2"/>
  <c r="F20" i="2"/>
  <c r="I21" i="2"/>
  <c r="O21" i="2" s="1"/>
  <c r="I20" i="2"/>
  <c r="O20" i="2" s="1"/>
  <c r="BH25" i="1"/>
  <c r="BJ25" i="1" s="1"/>
  <c r="BA25" i="1"/>
  <c r="BE25" i="1" s="1"/>
  <c r="AX25" i="1"/>
  <c r="AT25" i="1"/>
  <c r="AV25" i="1" s="1"/>
  <c r="AQ25" i="1"/>
  <c r="AM25" i="1"/>
  <c r="AO25" i="1" s="1"/>
  <c r="AF25" i="1"/>
  <c r="AJ25" i="1" s="1"/>
  <c r="Y25" i="1"/>
  <c r="AC25" i="1" s="1"/>
  <c r="V25" i="1"/>
  <c r="R25" i="1"/>
  <c r="T25" i="1" s="1"/>
  <c r="K25" i="1"/>
  <c r="M25" i="1" s="1"/>
  <c r="BH24" i="1"/>
  <c r="BL24" i="1" s="1"/>
  <c r="BA24" i="1"/>
  <c r="BE24" i="1" s="1"/>
  <c r="AX24" i="1"/>
  <c r="AT24" i="1"/>
  <c r="AV24" i="1" s="1"/>
  <c r="AM24" i="1"/>
  <c r="AQ24" i="1" s="1"/>
  <c r="AF24" i="1"/>
  <c r="AJ24" i="1" s="1"/>
  <c r="Y24" i="1"/>
  <c r="AC24" i="1" s="1"/>
  <c r="R24" i="1"/>
  <c r="T24" i="1" s="1"/>
  <c r="O24" i="1"/>
  <c r="M24" i="1"/>
  <c r="K24" i="1"/>
  <c r="BH23" i="1"/>
  <c r="BJ23" i="1" s="1"/>
  <c r="BA23" i="1"/>
  <c r="BE23" i="1" s="1"/>
  <c r="AX23" i="1"/>
  <c r="AT23" i="1"/>
  <c r="AV23" i="1" s="1"/>
  <c r="AM23" i="1"/>
  <c r="AQ23" i="1" s="1"/>
  <c r="AF23" i="1"/>
  <c r="AJ23" i="1" s="1"/>
  <c r="Y23" i="1"/>
  <c r="AC23" i="1" s="1"/>
  <c r="R23" i="1"/>
  <c r="T23" i="1" s="1"/>
  <c r="M23" i="1"/>
  <c r="K23" i="1"/>
  <c r="O23" i="1" s="1"/>
  <c r="BH22" i="1"/>
  <c r="BJ22" i="1" s="1"/>
  <c r="BA22" i="1"/>
  <c r="BE22" i="1" s="1"/>
  <c r="AT22" i="1"/>
  <c r="AV22" i="1" s="1"/>
  <c r="AQ22" i="1"/>
  <c r="AM22" i="1"/>
  <c r="AO22" i="1" s="1"/>
  <c r="AF22" i="1"/>
  <c r="AJ22" i="1" s="1"/>
  <c r="Y22" i="1"/>
  <c r="AC22" i="1" s="1"/>
  <c r="R22" i="1"/>
  <c r="T22" i="1" s="1"/>
  <c r="O22" i="1"/>
  <c r="M22" i="1"/>
  <c r="K22" i="1"/>
  <c r="D15" i="1"/>
  <c r="D14" i="1"/>
  <c r="F14" i="1" s="1"/>
  <c r="I14" i="2" s="1"/>
  <c r="O14" i="2" s="1"/>
  <c r="F15" i="1"/>
  <c r="BA15" i="1" s="1"/>
  <c r="BE15" i="1" s="1"/>
  <c r="BH19" i="1"/>
  <c r="BL19" i="1" s="1"/>
  <c r="BA19" i="1"/>
  <c r="BE19" i="1" s="1"/>
  <c r="AX19" i="1"/>
  <c r="AT19" i="1"/>
  <c r="AV19" i="1" s="1"/>
  <c r="AQ19" i="1"/>
  <c r="AM19" i="1"/>
  <c r="AO19" i="1" s="1"/>
  <c r="AF19" i="1"/>
  <c r="AJ19" i="1" s="1"/>
  <c r="Y19" i="1"/>
  <c r="AC19" i="1" s="1"/>
  <c r="R19" i="1"/>
  <c r="T19" i="1" s="1"/>
  <c r="M19" i="1"/>
  <c r="K19" i="1"/>
  <c r="O19" i="1" s="1"/>
  <c r="BH17" i="1"/>
  <c r="BJ17" i="1" s="1"/>
  <c r="BA17" i="1"/>
  <c r="BE17" i="1" s="1"/>
  <c r="AX17" i="1"/>
  <c r="AT17" i="1"/>
  <c r="AV17" i="1" s="1"/>
  <c r="AM17" i="1"/>
  <c r="AQ17" i="1" s="1"/>
  <c r="AF17" i="1"/>
  <c r="AJ17" i="1" s="1"/>
  <c r="Y17" i="1"/>
  <c r="AC17" i="1" s="1"/>
  <c r="R17" i="1"/>
  <c r="T17" i="1" s="1"/>
  <c r="O17" i="1"/>
  <c r="M17" i="1"/>
  <c r="K17" i="1"/>
  <c r="BH16" i="1"/>
  <c r="BL16" i="1" s="1"/>
  <c r="BA16" i="1"/>
  <c r="BC16" i="1" s="1"/>
  <c r="AX16" i="1"/>
  <c r="AT16" i="1"/>
  <c r="AV16" i="1" s="1"/>
  <c r="AQ16" i="1"/>
  <c r="AM16" i="1"/>
  <c r="AO16" i="1" s="1"/>
  <c r="AF16" i="1"/>
  <c r="AH16" i="1" s="1"/>
  <c r="Y16" i="1"/>
  <c r="AC16" i="1" s="1"/>
  <c r="R16" i="1"/>
  <c r="T16" i="1" s="1"/>
  <c r="M16" i="1"/>
  <c r="K16" i="1"/>
  <c r="O16" i="1" s="1"/>
  <c r="BH13" i="1"/>
  <c r="BJ13" i="1" s="1"/>
  <c r="BA13" i="1"/>
  <c r="BE13" i="1" s="1"/>
  <c r="AT13" i="1"/>
  <c r="AV13" i="1" s="1"/>
  <c r="AO13" i="1"/>
  <c r="AM13" i="1"/>
  <c r="AQ13" i="1" s="1"/>
  <c r="AF13" i="1"/>
  <c r="AH13" i="1" s="1"/>
  <c r="Y13" i="1"/>
  <c r="AA13" i="1" s="1"/>
  <c r="V13" i="1"/>
  <c r="R13" i="1"/>
  <c r="T13" i="1" s="1"/>
  <c r="K13" i="1"/>
  <c r="O13" i="1" s="1"/>
  <c r="BH11" i="1"/>
  <c r="BJ11" i="1" s="1"/>
  <c r="BA11" i="1"/>
  <c r="BE11" i="1" s="1"/>
  <c r="AT11" i="1"/>
  <c r="AV11" i="1" s="1"/>
  <c r="AQ11" i="1"/>
  <c r="AO11" i="1"/>
  <c r="AM11" i="1"/>
  <c r="AH11" i="1"/>
  <c r="AF11" i="1"/>
  <c r="AJ11" i="1" s="1"/>
  <c r="Y11" i="1"/>
  <c r="AC11" i="1" s="1"/>
  <c r="R11" i="1"/>
  <c r="T11" i="1" s="1"/>
  <c r="O11" i="1"/>
  <c r="M11" i="1"/>
  <c r="K11" i="1"/>
  <c r="BH10" i="1"/>
  <c r="BJ10" i="1" s="1"/>
  <c r="BA10" i="1"/>
  <c r="BE10" i="1" s="1"/>
  <c r="AX10" i="1"/>
  <c r="AT10" i="1"/>
  <c r="AV10" i="1" s="1"/>
  <c r="AM10" i="1"/>
  <c r="AQ10" i="1" s="1"/>
  <c r="AF10" i="1"/>
  <c r="AJ10" i="1" s="1"/>
  <c r="Y10" i="1"/>
  <c r="AC10" i="1" s="1"/>
  <c r="R10" i="1"/>
  <c r="T10" i="1" s="1"/>
  <c r="M10" i="1"/>
  <c r="K10" i="1"/>
  <c r="O10" i="1" s="1"/>
  <c r="BH9" i="1"/>
  <c r="BL9" i="1" s="1"/>
  <c r="BA9" i="1"/>
  <c r="BE9" i="1" s="1"/>
  <c r="AT9" i="1"/>
  <c r="AV9" i="1" s="1"/>
  <c r="AQ9" i="1"/>
  <c r="AM9" i="1"/>
  <c r="AO9" i="1" s="1"/>
  <c r="AF9" i="1"/>
  <c r="AJ9" i="1" s="1"/>
  <c r="Y9" i="1"/>
  <c r="AC9" i="1" s="1"/>
  <c r="R9" i="1"/>
  <c r="T9" i="1" s="1"/>
  <c r="O9" i="1"/>
  <c r="M9" i="1"/>
  <c r="K9" i="1"/>
  <c r="BH8" i="1"/>
  <c r="BL8" i="1" s="1"/>
  <c r="BA8" i="1"/>
  <c r="BE8" i="1" s="1"/>
  <c r="AX8" i="1"/>
  <c r="AT8" i="1"/>
  <c r="AV8" i="1" s="1"/>
  <c r="AM8" i="1"/>
  <c r="AQ8" i="1" s="1"/>
  <c r="AF8" i="1"/>
  <c r="AJ8" i="1" s="1"/>
  <c r="Y8" i="1"/>
  <c r="AA8" i="1" s="1"/>
  <c r="R8" i="1"/>
  <c r="T8" i="1" s="1"/>
  <c r="K8" i="1"/>
  <c r="M8" i="1" s="1"/>
  <c r="BH7" i="1"/>
  <c r="BJ7" i="1" s="1"/>
  <c r="BA7" i="1"/>
  <c r="BE7" i="1" s="1"/>
  <c r="AT7" i="1"/>
  <c r="AV7" i="1" s="1"/>
  <c r="AQ7" i="1"/>
  <c r="AM7" i="1"/>
  <c r="AO7" i="1" s="1"/>
  <c r="AF7" i="1"/>
  <c r="AH7" i="1" s="1"/>
  <c r="Y7" i="1"/>
  <c r="AC7" i="1" s="1"/>
  <c r="R7" i="1"/>
  <c r="T7" i="1" s="1"/>
  <c r="O7" i="1"/>
  <c r="M7" i="1"/>
  <c r="K7" i="1"/>
  <c r="BH6" i="1"/>
  <c r="BJ6" i="1" s="1"/>
  <c r="BA6" i="1"/>
  <c r="BE6" i="1" s="1"/>
  <c r="AX6" i="1"/>
  <c r="AT6" i="1"/>
  <c r="AV6" i="1" s="1"/>
  <c r="AM6" i="1"/>
  <c r="AO6" i="1" s="1"/>
  <c r="AF6" i="1"/>
  <c r="AJ6" i="1" s="1"/>
  <c r="Y6" i="1"/>
  <c r="AC6" i="1" s="1"/>
  <c r="R6" i="1"/>
  <c r="T6" i="1" s="1"/>
  <c r="K6" i="1"/>
  <c r="M6" i="1" s="1"/>
  <c r="BH5" i="1"/>
  <c r="BL5" i="1" s="1"/>
  <c r="BA5" i="1"/>
  <c r="BE5" i="1" s="1"/>
  <c r="AT5" i="1"/>
  <c r="AV5" i="1" s="1"/>
  <c r="AQ5" i="1"/>
  <c r="AM5" i="1"/>
  <c r="AO5" i="1" s="1"/>
  <c r="AF5" i="1"/>
  <c r="AJ5" i="1" s="1"/>
  <c r="Y5" i="1"/>
  <c r="AC5" i="1" s="1"/>
  <c r="R5" i="1"/>
  <c r="T5" i="1" s="1"/>
  <c r="O5" i="1"/>
  <c r="M5" i="1"/>
  <c r="K5" i="1"/>
  <c r="BH4" i="1"/>
  <c r="BJ4" i="1" s="1"/>
  <c r="BA4" i="1"/>
  <c r="BE4" i="1" s="1"/>
  <c r="AX4" i="1"/>
  <c r="AT4" i="1"/>
  <c r="AV4" i="1" s="1"/>
  <c r="AM4" i="1"/>
  <c r="AQ4" i="1" s="1"/>
  <c r="AF4" i="1"/>
  <c r="AH4" i="1" s="1"/>
  <c r="Y4" i="1"/>
  <c r="AC4" i="1" s="1"/>
  <c r="R4" i="1"/>
  <c r="T4" i="1" s="1"/>
  <c r="K4" i="1"/>
  <c r="O4" i="1" s="1"/>
  <c r="I15" i="2" l="1"/>
  <c r="O15" i="2" s="1"/>
  <c r="I23" i="2"/>
  <c r="O23" i="2" s="1"/>
  <c r="I22" i="2"/>
  <c r="O22" i="2" s="1"/>
  <c r="BH15" i="1"/>
  <c r="BL15" i="1" s="1"/>
  <c r="BH14" i="1"/>
  <c r="BL14" i="1" s="1"/>
  <c r="AT14" i="1"/>
  <c r="AV14" i="1" s="1"/>
  <c r="AM14" i="1"/>
  <c r="AQ14" i="1" s="1"/>
  <c r="K14" i="1"/>
  <c r="M14" i="1" s="1"/>
  <c r="AO4" i="1"/>
  <c r="M4" i="1"/>
  <c r="AQ6" i="1"/>
  <c r="AX7" i="1"/>
  <c r="V5" i="1"/>
  <c r="O6" i="1"/>
  <c r="V7" i="1"/>
  <c r="O8" i="1"/>
  <c r="V9" i="1"/>
  <c r="V11" i="1"/>
  <c r="AX11" i="1"/>
  <c r="M13" i="1"/>
  <c r="AT15" i="1"/>
  <c r="AX15" i="1" s="1"/>
  <c r="V17" i="1"/>
  <c r="AO17" i="1"/>
  <c r="V22" i="1"/>
  <c r="V24" i="1"/>
  <c r="AO24" i="1"/>
  <c r="O25" i="1"/>
  <c r="V4" i="1"/>
  <c r="V6" i="1"/>
  <c r="V8" i="1"/>
  <c r="AO8" i="1"/>
  <c r="V10" i="1"/>
  <c r="AO10" i="1"/>
  <c r="AX13" i="1"/>
  <c r="V16" i="1"/>
  <c r="V19" i="1"/>
  <c r="V23" i="1"/>
  <c r="AO23" i="1"/>
  <c r="AX5" i="1"/>
  <c r="AX9" i="1"/>
  <c r="AX22" i="1"/>
  <c r="AH22" i="1"/>
  <c r="AH23" i="1"/>
  <c r="AH24" i="1"/>
  <c r="BJ24" i="1"/>
  <c r="AH25" i="1"/>
  <c r="AA22" i="1"/>
  <c r="BC22" i="1"/>
  <c r="BL22" i="1"/>
  <c r="AA23" i="1"/>
  <c r="BC23" i="1"/>
  <c r="BL23" i="1"/>
  <c r="AA24" i="1"/>
  <c r="BC24" i="1"/>
  <c r="AA25" i="1"/>
  <c r="BC25" i="1"/>
  <c r="BL25" i="1"/>
  <c r="R15" i="1"/>
  <c r="V15" i="1" s="1"/>
  <c r="AF15" i="1"/>
  <c r="AJ15" i="1" s="1"/>
  <c r="O14" i="1"/>
  <c r="R14" i="1"/>
  <c r="T14" i="1" s="1"/>
  <c r="BA14" i="1"/>
  <c r="BC14" i="1" s="1"/>
  <c r="AF14" i="1"/>
  <c r="AJ14" i="1" s="1"/>
  <c r="BJ15" i="1"/>
  <c r="K15" i="1"/>
  <c r="Y15" i="1"/>
  <c r="AC15" i="1" s="1"/>
  <c r="AM15" i="1"/>
  <c r="AO14" i="1"/>
  <c r="Y14" i="1"/>
  <c r="AA14" i="1" s="1"/>
  <c r="AH19" i="1"/>
  <c r="BJ19" i="1"/>
  <c r="AA19" i="1"/>
  <c r="BC19" i="1"/>
  <c r="AH17" i="1"/>
  <c r="AA17" i="1"/>
  <c r="BC17" i="1"/>
  <c r="BL17" i="1"/>
  <c r="BJ16" i="1"/>
  <c r="AA16" i="1"/>
  <c r="AJ16" i="1"/>
  <c r="BE16" i="1"/>
  <c r="BC15" i="1"/>
  <c r="AV15" i="1"/>
  <c r="AJ13" i="1"/>
  <c r="BC13" i="1"/>
  <c r="BL13" i="1"/>
  <c r="AC13" i="1"/>
  <c r="AH14" i="1"/>
  <c r="BJ14" i="1"/>
  <c r="AH8" i="1"/>
  <c r="BJ8" i="1"/>
  <c r="AH9" i="1"/>
  <c r="BJ9" i="1"/>
  <c r="AH10" i="1"/>
  <c r="AA4" i="1"/>
  <c r="AJ4" i="1"/>
  <c r="BC4" i="1"/>
  <c r="BL4" i="1"/>
  <c r="AA5" i="1"/>
  <c r="BC5" i="1"/>
  <c r="AA6" i="1"/>
  <c r="BC6" i="1"/>
  <c r="BL6" i="1"/>
  <c r="AA7" i="1"/>
  <c r="AJ7" i="1"/>
  <c r="BC7" i="1"/>
  <c r="BL7" i="1"/>
  <c r="BC8" i="1"/>
  <c r="AA9" i="1"/>
  <c r="BC9" i="1"/>
  <c r="AA10" i="1"/>
  <c r="BC10" i="1"/>
  <c r="BL10" i="1"/>
  <c r="AA11" i="1"/>
  <c r="BC11" i="1"/>
  <c r="BL11" i="1"/>
  <c r="AC8" i="1"/>
  <c r="BJ5" i="1"/>
  <c r="AH6" i="1"/>
  <c r="AH5" i="1"/>
  <c r="BM27" i="4"/>
  <c r="BK27" i="4"/>
  <c r="I27" i="4"/>
  <c r="BL27" i="4" s="1"/>
  <c r="BN27" i="4" s="1"/>
  <c r="BM26" i="4"/>
  <c r="BK26" i="4"/>
  <c r="BN26" i="4" s="1"/>
  <c r="I26" i="4"/>
  <c r="BL26" i="4" s="1"/>
  <c r="BK25" i="4"/>
  <c r="BD25" i="4"/>
  <c r="AW25" i="4"/>
  <c r="AP25" i="4"/>
  <c r="AI25" i="4"/>
  <c r="AB25" i="4"/>
  <c r="U25" i="4"/>
  <c r="N25" i="4"/>
  <c r="G25" i="4"/>
  <c r="BK24" i="4"/>
  <c r="BF24" i="4"/>
  <c r="BJ24" i="4" s="1"/>
  <c r="BC24" i="4"/>
  <c r="BA24" i="4"/>
  <c r="AY24" i="4"/>
  <c r="AV24" i="4"/>
  <c r="AT24" i="4"/>
  <c r="AR24" i="4"/>
  <c r="AM24" i="4"/>
  <c r="AK24" i="4"/>
  <c r="AO24" i="4" s="1"/>
  <c r="AD24" i="4"/>
  <c r="AH24" i="4" s="1"/>
  <c r="AA24" i="4"/>
  <c r="Y24" i="4"/>
  <c r="W24" i="4"/>
  <c r="T24" i="4"/>
  <c r="R24" i="4"/>
  <c r="P24" i="4"/>
  <c r="K24" i="4"/>
  <c r="I24" i="4"/>
  <c r="BL24" i="4" s="1"/>
  <c r="BK23" i="4"/>
  <c r="BF23" i="4"/>
  <c r="BJ23" i="4" s="1"/>
  <c r="BC23" i="4"/>
  <c r="BA23" i="4"/>
  <c r="AY23" i="4"/>
  <c r="AV23" i="4"/>
  <c r="AT23" i="4"/>
  <c r="AR23" i="4"/>
  <c r="AM23" i="4"/>
  <c r="AK23" i="4"/>
  <c r="AO23" i="4" s="1"/>
  <c r="AD23" i="4"/>
  <c r="AH23" i="4" s="1"/>
  <c r="AA23" i="4"/>
  <c r="Y23" i="4"/>
  <c r="W23" i="4"/>
  <c r="T23" i="4"/>
  <c r="R23" i="4"/>
  <c r="P23" i="4"/>
  <c r="I23" i="4"/>
  <c r="BL23" i="4" s="1"/>
  <c r="BK22" i="4"/>
  <c r="BF22" i="4"/>
  <c r="BJ22" i="4" s="1"/>
  <c r="BC22" i="4"/>
  <c r="BA22" i="4"/>
  <c r="AY22" i="4"/>
  <c r="AV22" i="4"/>
  <c r="AT22" i="4"/>
  <c r="AR22" i="4"/>
  <c r="AK22" i="4"/>
  <c r="AM22" i="4" s="1"/>
  <c r="AD22" i="4"/>
  <c r="AH22" i="4" s="1"/>
  <c r="AA22" i="4"/>
  <c r="Y22" i="4"/>
  <c r="W22" i="4"/>
  <c r="T22" i="4"/>
  <c r="R22" i="4"/>
  <c r="P22" i="4"/>
  <c r="I22" i="4"/>
  <c r="BL22" i="4" s="1"/>
  <c r="BK21" i="4"/>
  <c r="BF21" i="4"/>
  <c r="BJ21" i="4" s="1"/>
  <c r="BC21" i="4"/>
  <c r="BA21" i="4"/>
  <c r="AY21" i="4"/>
  <c r="AV21" i="4"/>
  <c r="AT21" i="4"/>
  <c r="AR21" i="4"/>
  <c r="AK21" i="4"/>
  <c r="AM21" i="4" s="1"/>
  <c r="AD21" i="4"/>
  <c r="AH21" i="4" s="1"/>
  <c r="AA21" i="4"/>
  <c r="Y21" i="4"/>
  <c r="W21" i="4"/>
  <c r="T21" i="4"/>
  <c r="R21" i="4"/>
  <c r="P21" i="4"/>
  <c r="I21" i="4"/>
  <c r="BL21" i="4" s="1"/>
  <c r="BK20" i="4"/>
  <c r="BF20" i="4"/>
  <c r="BJ20" i="4" s="1"/>
  <c r="BC20" i="4"/>
  <c r="BA20" i="4"/>
  <c r="AY20" i="4"/>
  <c r="AV20" i="4"/>
  <c r="AT20" i="4"/>
  <c r="AR20" i="4"/>
  <c r="AK20" i="4"/>
  <c r="AM20" i="4" s="1"/>
  <c r="AD20" i="4"/>
  <c r="AH20" i="4" s="1"/>
  <c r="AA20" i="4"/>
  <c r="Y20" i="4"/>
  <c r="W20" i="4"/>
  <c r="T20" i="4"/>
  <c r="R20" i="4"/>
  <c r="P20" i="4"/>
  <c r="I20" i="4"/>
  <c r="BL20" i="4" s="1"/>
  <c r="BK19" i="4"/>
  <c r="BF19" i="4"/>
  <c r="BJ19" i="4" s="1"/>
  <c r="BC19" i="4"/>
  <c r="BA19" i="4"/>
  <c r="AY19" i="4"/>
  <c r="AV19" i="4"/>
  <c r="AT19" i="4"/>
  <c r="AR19" i="4"/>
  <c r="AK19" i="4"/>
  <c r="AM19" i="4" s="1"/>
  <c r="AD19" i="4"/>
  <c r="AH19" i="4" s="1"/>
  <c r="AA19" i="4"/>
  <c r="Y19" i="4"/>
  <c r="W19" i="4"/>
  <c r="T19" i="4"/>
  <c r="R19" i="4"/>
  <c r="P19" i="4"/>
  <c r="I19" i="4"/>
  <c r="BL19" i="4" s="1"/>
  <c r="BK18" i="4"/>
  <c r="BF18" i="4"/>
  <c r="BJ18" i="4" s="1"/>
  <c r="BC18" i="4"/>
  <c r="BA18" i="4"/>
  <c r="AY18" i="4"/>
  <c r="AV18" i="4"/>
  <c r="AT18" i="4"/>
  <c r="AR18" i="4"/>
  <c r="AK18" i="4"/>
  <c r="AM18" i="4" s="1"/>
  <c r="AD18" i="4"/>
  <c r="AH18" i="4" s="1"/>
  <c r="AA18" i="4"/>
  <c r="Y18" i="4"/>
  <c r="W18" i="4"/>
  <c r="T18" i="4"/>
  <c r="R18" i="4"/>
  <c r="P18" i="4"/>
  <c r="I18" i="4"/>
  <c r="BL18" i="4" s="1"/>
  <c r="BK17" i="4"/>
  <c r="BF17" i="4"/>
  <c r="BJ17" i="4" s="1"/>
  <c r="BC17" i="4"/>
  <c r="BA17" i="4"/>
  <c r="AY17" i="4"/>
  <c r="AV17" i="4"/>
  <c r="AT17" i="4"/>
  <c r="AR17" i="4"/>
  <c r="AK17" i="4"/>
  <c r="AM17" i="4" s="1"/>
  <c r="AD17" i="4"/>
  <c r="AH17" i="4" s="1"/>
  <c r="AA17" i="4"/>
  <c r="Y17" i="4"/>
  <c r="W17" i="4"/>
  <c r="T17" i="4"/>
  <c r="R17" i="4"/>
  <c r="P17" i="4"/>
  <c r="I17" i="4"/>
  <c r="BL17" i="4" s="1"/>
  <c r="BK16" i="4"/>
  <c r="BF16" i="4"/>
  <c r="BJ16" i="4" s="1"/>
  <c r="BC16" i="4"/>
  <c r="BA16" i="4"/>
  <c r="AY16" i="4"/>
  <c r="AV16" i="4"/>
  <c r="AT16" i="4"/>
  <c r="AR16" i="4"/>
  <c r="AK16" i="4"/>
  <c r="AM16" i="4" s="1"/>
  <c r="AD16" i="4"/>
  <c r="AH16" i="4" s="1"/>
  <c r="AA16" i="4"/>
  <c r="Y16" i="4"/>
  <c r="W16" i="4"/>
  <c r="R16" i="4"/>
  <c r="P16" i="4"/>
  <c r="T16" i="4" s="1"/>
  <c r="I16" i="4"/>
  <c r="BL16" i="4" s="1"/>
  <c r="BK15" i="4"/>
  <c r="BF15" i="4"/>
  <c r="BJ15" i="4" s="1"/>
  <c r="BC15" i="4"/>
  <c r="BA15" i="4"/>
  <c r="AY15" i="4"/>
  <c r="AT15" i="4"/>
  <c r="AR15" i="4"/>
  <c r="AV15" i="4" s="1"/>
  <c r="AK15" i="4"/>
  <c r="AM15" i="4" s="1"/>
  <c r="AD15" i="4"/>
  <c r="AH15" i="4" s="1"/>
  <c r="AA15" i="4"/>
  <c r="Y15" i="4"/>
  <c r="W15" i="4"/>
  <c r="R15" i="4"/>
  <c r="P15" i="4"/>
  <c r="T15" i="4" s="1"/>
  <c r="I15" i="4"/>
  <c r="BK14" i="4"/>
  <c r="BF14" i="4"/>
  <c r="BJ14" i="4" s="1"/>
  <c r="BC14" i="4"/>
  <c r="BA14" i="4"/>
  <c r="AY14" i="4"/>
  <c r="AT14" i="4"/>
  <c r="AR14" i="4"/>
  <c r="AV14" i="4" s="1"/>
  <c r="AK14" i="4"/>
  <c r="AD14" i="4"/>
  <c r="AF14" i="4" s="1"/>
  <c r="AA14" i="4"/>
  <c r="Y14" i="4"/>
  <c r="W14" i="4"/>
  <c r="T14" i="4"/>
  <c r="P14" i="4"/>
  <c r="R14" i="4" s="1"/>
  <c r="I14" i="4"/>
  <c r="BK13" i="4"/>
  <c r="BJ13" i="4"/>
  <c r="BF13" i="4"/>
  <c r="BH13" i="4" s="1"/>
  <c r="BC13" i="4"/>
  <c r="BA13" i="4"/>
  <c r="AY13" i="4"/>
  <c r="AR13" i="4"/>
  <c r="AT13" i="4" s="1"/>
  <c r="AM13" i="4"/>
  <c r="AK13" i="4"/>
  <c r="AO13" i="4" s="1"/>
  <c r="AD13" i="4"/>
  <c r="AF13" i="4" s="1"/>
  <c r="AA13" i="4"/>
  <c r="Y13" i="4"/>
  <c r="W13" i="4"/>
  <c r="T13" i="4"/>
  <c r="R13" i="4"/>
  <c r="P13" i="4"/>
  <c r="I13" i="4"/>
  <c r="M13" i="4" s="1"/>
  <c r="BK12" i="4"/>
  <c r="BF12" i="4"/>
  <c r="BH12" i="4" s="1"/>
  <c r="BC12" i="4"/>
  <c r="BA12" i="4"/>
  <c r="AY12" i="4"/>
  <c r="AV12" i="4"/>
  <c r="AR12" i="4"/>
  <c r="AT12" i="4" s="1"/>
  <c r="AK12" i="4"/>
  <c r="AO12" i="4" s="1"/>
  <c r="AD12" i="4"/>
  <c r="AF12" i="4" s="1"/>
  <c r="AA12" i="4"/>
  <c r="Y12" i="4"/>
  <c r="W12" i="4"/>
  <c r="P12" i="4"/>
  <c r="T12" i="4" s="1"/>
  <c r="I12" i="4"/>
  <c r="M12" i="4" s="1"/>
  <c r="BL11" i="4"/>
  <c r="BK11" i="4"/>
  <c r="BF11" i="4"/>
  <c r="BH11" i="4" s="1"/>
  <c r="BC11" i="4"/>
  <c r="BA11" i="4"/>
  <c r="AY11" i="4"/>
  <c r="AV11" i="4"/>
  <c r="AT11" i="4"/>
  <c r="AR11" i="4"/>
  <c r="AK11" i="4"/>
  <c r="AO11" i="4" s="1"/>
  <c r="AH11" i="4"/>
  <c r="AD11" i="4"/>
  <c r="AF11" i="4" s="1"/>
  <c r="AA11" i="4"/>
  <c r="Y11" i="4"/>
  <c r="W11" i="4"/>
  <c r="P11" i="4"/>
  <c r="T11" i="4" s="1"/>
  <c r="K11" i="4"/>
  <c r="I11" i="4"/>
  <c r="M11" i="4" s="1"/>
  <c r="BK10" i="4"/>
  <c r="BF10" i="4"/>
  <c r="BH10" i="4" s="1"/>
  <c r="BC10" i="4"/>
  <c r="BA10" i="4"/>
  <c r="AY10" i="4"/>
  <c r="AR10" i="4"/>
  <c r="AV10" i="4" s="1"/>
  <c r="AK10" i="4"/>
  <c r="AO10" i="4" s="1"/>
  <c r="AD10" i="4"/>
  <c r="AF10" i="4" s="1"/>
  <c r="AA10" i="4"/>
  <c r="Y10" i="4"/>
  <c r="W10" i="4"/>
  <c r="T10" i="4"/>
  <c r="P10" i="4"/>
  <c r="R10" i="4" s="1"/>
  <c r="I10" i="4"/>
  <c r="M10" i="4" s="1"/>
  <c r="BK9" i="4"/>
  <c r="BF9" i="4"/>
  <c r="BJ9" i="4" s="1"/>
  <c r="BC9" i="4"/>
  <c r="AY9" i="4"/>
  <c r="BA9" i="4" s="1"/>
  <c r="AV9" i="4"/>
  <c r="AT9" i="4"/>
  <c r="AR9" i="4"/>
  <c r="AK9" i="4"/>
  <c r="AM9" i="4" s="1"/>
  <c r="AD9" i="4"/>
  <c r="AH9" i="4" s="1"/>
  <c r="AA9" i="4"/>
  <c r="W9" i="4"/>
  <c r="Y9" i="4" s="1"/>
  <c r="T9" i="4"/>
  <c r="R9" i="4"/>
  <c r="P9" i="4"/>
  <c r="I9" i="4"/>
  <c r="BL9" i="4" s="1"/>
  <c r="BK8" i="4"/>
  <c r="BF8" i="4"/>
  <c r="BH8" i="4" s="1"/>
  <c r="BC8" i="4"/>
  <c r="AY8" i="4"/>
  <c r="BA8" i="4" s="1"/>
  <c r="AV8" i="4"/>
  <c r="AT8" i="4"/>
  <c r="AR8" i="4"/>
  <c r="AK8" i="4"/>
  <c r="AM8" i="4" s="1"/>
  <c r="AD8" i="4"/>
  <c r="AH8" i="4" s="1"/>
  <c r="AA8" i="4"/>
  <c r="W8" i="4"/>
  <c r="Y8" i="4" s="1"/>
  <c r="T8" i="4"/>
  <c r="R8" i="4"/>
  <c r="P8" i="4"/>
  <c r="I8" i="4"/>
  <c r="BL8" i="4" s="1"/>
  <c r="BK7" i="4"/>
  <c r="BF7" i="4"/>
  <c r="BJ7" i="4" s="1"/>
  <c r="BC7" i="4"/>
  <c r="AY7" i="4"/>
  <c r="BA7" i="4" s="1"/>
  <c r="AV7" i="4"/>
  <c r="AT7" i="4"/>
  <c r="AR7" i="4"/>
  <c r="AK7" i="4"/>
  <c r="AM7" i="4" s="1"/>
  <c r="AD7" i="4"/>
  <c r="AF7" i="4" s="1"/>
  <c r="AA7" i="4"/>
  <c r="W7" i="4"/>
  <c r="Y7" i="4" s="1"/>
  <c r="T7" i="4"/>
  <c r="R7" i="4"/>
  <c r="P7" i="4"/>
  <c r="I7" i="4"/>
  <c r="BL7" i="4" s="1"/>
  <c r="BK6" i="4"/>
  <c r="BF6" i="4"/>
  <c r="BJ6" i="4" s="1"/>
  <c r="BC6" i="4"/>
  <c r="AY6" i="4"/>
  <c r="BA6" i="4" s="1"/>
  <c r="AV6" i="4"/>
  <c r="AT6" i="4"/>
  <c r="AR6" i="4"/>
  <c r="AK6" i="4"/>
  <c r="AM6" i="4" s="1"/>
  <c r="AD6" i="4"/>
  <c r="AF6" i="4" s="1"/>
  <c r="AA6" i="4"/>
  <c r="W6" i="4"/>
  <c r="Y6" i="4" s="1"/>
  <c r="T6" i="4"/>
  <c r="R6" i="4"/>
  <c r="P6" i="4"/>
  <c r="I6" i="4"/>
  <c r="BL6" i="4" s="1"/>
  <c r="BK5" i="4"/>
  <c r="BF5" i="4"/>
  <c r="BJ5" i="4" s="1"/>
  <c r="BC5" i="4"/>
  <c r="AY5" i="4"/>
  <c r="BA5" i="4" s="1"/>
  <c r="AV5" i="4"/>
  <c r="AT5" i="4"/>
  <c r="AR5" i="4"/>
  <c r="AK5" i="4"/>
  <c r="AO5" i="4" s="1"/>
  <c r="AD5" i="4"/>
  <c r="AH5" i="4" s="1"/>
  <c r="AA5" i="4"/>
  <c r="W5" i="4"/>
  <c r="Y5" i="4" s="1"/>
  <c r="T5" i="4"/>
  <c r="R5" i="4"/>
  <c r="P5" i="4"/>
  <c r="I5" i="4"/>
  <c r="M5" i="4" s="1"/>
  <c r="BK4" i="4"/>
  <c r="BF4" i="4"/>
  <c r="BF25" i="4" s="1"/>
  <c r="BC4" i="4"/>
  <c r="BC25" i="4" s="1"/>
  <c r="AY4" i="4"/>
  <c r="AY25" i="4" s="1"/>
  <c r="AV4" i="4"/>
  <c r="AT4" i="4"/>
  <c r="AR4" i="4"/>
  <c r="AK4" i="4"/>
  <c r="AK25" i="4" s="1"/>
  <c r="AD4" i="4"/>
  <c r="AD25" i="4" s="1"/>
  <c r="AA4" i="4"/>
  <c r="AA25" i="4" s="1"/>
  <c r="W4" i="4"/>
  <c r="W25" i="4" s="1"/>
  <c r="T4" i="4"/>
  <c r="R4" i="4"/>
  <c r="P4" i="4"/>
  <c r="I4" i="4"/>
  <c r="I25" i="4" s="1"/>
  <c r="V14" i="1" l="1"/>
  <c r="T15" i="1"/>
  <c r="AX14" i="1"/>
  <c r="AA15" i="1"/>
  <c r="AH15" i="1"/>
  <c r="BE14" i="1"/>
  <c r="AC14" i="1"/>
  <c r="O15" i="1"/>
  <c r="M15" i="1"/>
  <c r="AQ15" i="1"/>
  <c r="AO15" i="1"/>
  <c r="T25" i="4"/>
  <c r="AF4" i="4"/>
  <c r="AO4" i="4"/>
  <c r="AF5" i="4"/>
  <c r="BH5" i="4"/>
  <c r="M6" i="4"/>
  <c r="AO6" i="4"/>
  <c r="BH6" i="4"/>
  <c r="BM6" i="4" s="1"/>
  <c r="BN6" i="4" s="1"/>
  <c r="M7" i="4"/>
  <c r="AO7" i="4"/>
  <c r="BH7" i="4"/>
  <c r="BM7" i="4" s="1"/>
  <c r="BN7" i="4" s="1"/>
  <c r="M8" i="4"/>
  <c r="AF8" i="4"/>
  <c r="AO8" i="4"/>
  <c r="M9" i="4"/>
  <c r="AF9" i="4"/>
  <c r="AO9" i="4"/>
  <c r="BH9" i="4"/>
  <c r="BM9" i="4" s="1"/>
  <c r="BN9" i="4" s="1"/>
  <c r="R11" i="4"/>
  <c r="R25" i="4" s="1"/>
  <c r="K13" i="4"/>
  <c r="BM13" i="4" s="1"/>
  <c r="AH13" i="4"/>
  <c r="BL13" i="4"/>
  <c r="BN13" i="4" s="1"/>
  <c r="AM14" i="4"/>
  <c r="BM14" i="4" s="1"/>
  <c r="BN14" i="4" s="1"/>
  <c r="AO14" i="4"/>
  <c r="BL15" i="4"/>
  <c r="K15" i="4"/>
  <c r="M15" i="4"/>
  <c r="P25" i="4"/>
  <c r="Y4" i="4"/>
  <c r="Y25" i="4" s="1"/>
  <c r="AH4" i="4"/>
  <c r="AR25" i="4"/>
  <c r="BA4" i="4"/>
  <c r="BA25" i="4" s="1"/>
  <c r="BJ4" i="4"/>
  <c r="AH6" i="4"/>
  <c r="AH7" i="4"/>
  <c r="BJ8" i="4"/>
  <c r="BM8" i="4" s="1"/>
  <c r="BN8" i="4" s="1"/>
  <c r="AM10" i="4"/>
  <c r="BJ10" i="4"/>
  <c r="K12" i="4"/>
  <c r="AH12" i="4"/>
  <c r="BL12" i="4"/>
  <c r="AV13" i="4"/>
  <c r="AV25" i="4" s="1"/>
  <c r="BL14" i="4"/>
  <c r="M14" i="4"/>
  <c r="K4" i="4"/>
  <c r="AM4" i="4"/>
  <c r="BL4" i="4"/>
  <c r="K5" i="4"/>
  <c r="AM5" i="4"/>
  <c r="BM5" i="4" s="1"/>
  <c r="BN5" i="4" s="1"/>
  <c r="BL5" i="4"/>
  <c r="K6" i="4"/>
  <c r="K7" i="4"/>
  <c r="K8" i="4"/>
  <c r="K9" i="4"/>
  <c r="K10" i="4"/>
  <c r="AH10" i="4"/>
  <c r="AT10" i="4"/>
  <c r="AT25" i="4" s="1"/>
  <c r="BL10" i="4"/>
  <c r="R12" i="4"/>
  <c r="AM12" i="4"/>
  <c r="BJ12" i="4"/>
  <c r="K14" i="4"/>
  <c r="AH14" i="4"/>
  <c r="BL25" i="4"/>
  <c r="M4" i="4"/>
  <c r="BH4" i="4"/>
  <c r="AM11" i="4"/>
  <c r="BJ11" i="4"/>
  <c r="BH14" i="4"/>
  <c r="AF15" i="4"/>
  <c r="AO15" i="4"/>
  <c r="BM15" i="4" s="1"/>
  <c r="BN15" i="4" s="1"/>
  <c r="BH15" i="4"/>
  <c r="M16" i="4"/>
  <c r="AF16" i="4"/>
  <c r="AO16" i="4"/>
  <c r="BM16" i="4" s="1"/>
  <c r="BN16" i="4" s="1"/>
  <c r="BH16" i="4"/>
  <c r="M17" i="4"/>
  <c r="AF17" i="4"/>
  <c r="BM17" i="4" s="1"/>
  <c r="BN17" i="4" s="1"/>
  <c r="AO17" i="4"/>
  <c r="BH17" i="4"/>
  <c r="M18" i="4"/>
  <c r="AF18" i="4"/>
  <c r="AO18" i="4"/>
  <c r="BH18" i="4"/>
  <c r="BM18" i="4" s="1"/>
  <c r="BN18" i="4" s="1"/>
  <c r="M19" i="4"/>
  <c r="AF19" i="4"/>
  <c r="AO19" i="4"/>
  <c r="BM19" i="4" s="1"/>
  <c r="BN19" i="4" s="1"/>
  <c r="BH19" i="4"/>
  <c r="M20" i="4"/>
  <c r="AF20" i="4"/>
  <c r="AO20" i="4"/>
  <c r="BH20" i="4"/>
  <c r="BM20" i="4" s="1"/>
  <c r="BN20" i="4" s="1"/>
  <c r="M21" i="4"/>
  <c r="AF21" i="4"/>
  <c r="AO21" i="4"/>
  <c r="BH21" i="4"/>
  <c r="BM21" i="4" s="1"/>
  <c r="BN21" i="4" s="1"/>
  <c r="M22" i="4"/>
  <c r="AF22" i="4"/>
  <c r="BM22" i="4" s="1"/>
  <c r="BN22" i="4" s="1"/>
  <c r="AO22" i="4"/>
  <c r="BH22" i="4"/>
  <c r="M23" i="4"/>
  <c r="AF23" i="4"/>
  <c r="BH23" i="4"/>
  <c r="BM23" i="4" s="1"/>
  <c r="BN23" i="4" s="1"/>
  <c r="M24" i="4"/>
  <c r="AF24" i="4"/>
  <c r="BH24" i="4"/>
  <c r="BM24" i="4" s="1"/>
  <c r="BN24" i="4" s="1"/>
  <c r="K16" i="4"/>
  <c r="K17" i="4"/>
  <c r="K18" i="4"/>
  <c r="K19" i="4"/>
  <c r="K20" i="4"/>
  <c r="K21" i="4"/>
  <c r="K22" i="4"/>
  <c r="K23" i="4"/>
  <c r="BH25" i="4" l="1"/>
  <c r="AF25" i="4"/>
  <c r="M25" i="4"/>
  <c r="AM25" i="4"/>
  <c r="BM10" i="4"/>
  <c r="BN10" i="4" s="1"/>
  <c r="AH25" i="4"/>
  <c r="BM11" i="4"/>
  <c r="BN11" i="4" s="1"/>
  <c r="BM12" i="4"/>
  <c r="K25" i="4"/>
  <c r="BN12" i="4"/>
  <c r="BJ25" i="4"/>
  <c r="BM4" i="4"/>
  <c r="BN4" i="4" s="1"/>
  <c r="AO25" i="4"/>
  <c r="BM25" i="4" l="1"/>
  <c r="BN25" i="4" s="1"/>
  <c r="V3" i="2" l="1"/>
  <c r="V4" i="2"/>
  <c r="V5" i="2"/>
  <c r="V18" i="2"/>
  <c r="V29" i="2"/>
  <c r="V28" i="2"/>
  <c r="F27" i="2"/>
  <c r="F11" i="2"/>
  <c r="F26" i="2"/>
  <c r="I25" i="2"/>
  <c r="O25" i="2" s="1"/>
  <c r="I24" i="2"/>
  <c r="O24" i="2" s="1"/>
  <c r="F10" i="2"/>
  <c r="H24" i="2"/>
  <c r="N24" i="2" s="1"/>
  <c r="F20" i="1"/>
  <c r="H10" i="2"/>
  <c r="N10" i="2" s="1"/>
  <c r="F34" i="2"/>
  <c r="I27" i="2" l="1"/>
  <c r="O27" i="2" s="1"/>
  <c r="I26" i="2"/>
  <c r="O26" i="2" s="1"/>
  <c r="BH20" i="1"/>
  <c r="H11" i="2"/>
  <c r="N11" i="2" s="1"/>
  <c r="H25" i="2"/>
  <c r="N25" i="2" s="1"/>
  <c r="H27" i="2"/>
  <c r="D19" i="1"/>
  <c r="F18" i="1"/>
  <c r="H26" i="2"/>
  <c r="V10" i="2"/>
  <c r="K20" i="1"/>
  <c r="Y20" i="1"/>
  <c r="AM20" i="1"/>
  <c r="BA20" i="1"/>
  <c r="BM20" i="1"/>
  <c r="AT18" i="1"/>
  <c r="R20" i="1"/>
  <c r="AF20" i="1"/>
  <c r="AT20" i="1"/>
  <c r="AM18" i="1"/>
  <c r="V26" i="2" l="1"/>
  <c r="N26" i="2"/>
  <c r="V27" i="2"/>
  <c r="N27" i="2"/>
  <c r="Y18" i="1"/>
  <c r="AC18" i="1" s="1"/>
  <c r="F27" i="1"/>
  <c r="F30" i="1" s="1"/>
  <c r="K18" i="1"/>
  <c r="M18" i="1" s="1"/>
  <c r="BA18" i="1"/>
  <c r="BH18" i="1"/>
  <c r="BJ18" i="1" s="1"/>
  <c r="BL20" i="1"/>
  <c r="V11" i="2"/>
  <c r="F25" i="2"/>
  <c r="V25" i="2" s="1"/>
  <c r="F24" i="2"/>
  <c r="V24" i="2" s="1"/>
  <c r="BJ20" i="1"/>
  <c r="AF18" i="1"/>
  <c r="I11" i="2"/>
  <c r="O11" i="2" s="1"/>
  <c r="I10" i="2"/>
  <c r="O10" i="2" s="1"/>
  <c r="BM18" i="1"/>
  <c r="R18" i="1"/>
  <c r="T18" i="1" s="1"/>
  <c r="AQ18" i="1"/>
  <c r="AO18" i="1"/>
  <c r="V20" i="1"/>
  <c r="T20" i="1"/>
  <c r="O20" i="1"/>
  <c r="BN20" i="1"/>
  <c r="M20" i="1"/>
  <c r="O18" i="1"/>
  <c r="AX18" i="1"/>
  <c r="AV18" i="1"/>
  <c r="BE20" i="1"/>
  <c r="BC20" i="1"/>
  <c r="AX20" i="1"/>
  <c r="AV20" i="1"/>
  <c r="AQ20" i="1"/>
  <c r="AO20" i="1"/>
  <c r="AJ20" i="1"/>
  <c r="AH20" i="1"/>
  <c r="AC20" i="1"/>
  <c r="AA20" i="1"/>
  <c r="AA18" i="1" l="1"/>
  <c r="P1" i="2"/>
  <c r="F33" i="1"/>
  <c r="K33" i="1" s="1"/>
  <c r="BC18" i="1"/>
  <c r="BE18" i="1"/>
  <c r="V18" i="1"/>
  <c r="BL18" i="1"/>
  <c r="AJ18" i="1"/>
  <c r="AH18" i="1"/>
  <c r="BN18" i="1"/>
  <c r="BO20" i="1"/>
  <c r="BP20" i="1" s="1"/>
  <c r="BO18" i="1" l="1"/>
  <c r="BP18" i="1" s="1"/>
  <c r="H21" i="2"/>
  <c r="N21" i="2" s="1"/>
  <c r="H20" i="2"/>
  <c r="BM16" i="1"/>
  <c r="V20" i="2" l="1"/>
  <c r="N20" i="2"/>
  <c r="V21" i="2"/>
  <c r="BN16" i="1" l="1"/>
  <c r="BO16" i="1" l="1"/>
  <c r="BP16" i="1" s="1"/>
  <c r="F32" i="2" l="1"/>
  <c r="H32" i="2"/>
  <c r="N32" i="2" s="1"/>
  <c r="H31" i="2"/>
  <c r="N31" i="2" s="1"/>
  <c r="F31" i="2"/>
  <c r="H23" i="2"/>
  <c r="N23" i="2" s="1"/>
  <c r="H22" i="2"/>
  <c r="N22" i="2" s="1"/>
  <c r="H15" i="2"/>
  <c r="N15" i="2" s="1"/>
  <c r="H14" i="2"/>
  <c r="N14" i="2" s="1"/>
  <c r="H33" i="2"/>
  <c r="N33" i="2" s="1"/>
  <c r="F33" i="2"/>
  <c r="H19" i="2"/>
  <c r="N19" i="2" s="1"/>
  <c r="H8" i="2"/>
  <c r="N8" i="2" s="1"/>
  <c r="F19" i="2"/>
  <c r="F8" i="2"/>
  <c r="H34" i="2"/>
  <c r="F13" i="2"/>
  <c r="V13" i="2" s="1"/>
  <c r="H16" i="2"/>
  <c r="H30" i="2"/>
  <c r="H9" i="2"/>
  <c r="N9" i="2" s="1"/>
  <c r="V34" i="2" l="1"/>
  <c r="N34" i="2"/>
  <c r="V30" i="2"/>
  <c r="N30" i="2"/>
  <c r="V16" i="2"/>
  <c r="N16" i="2"/>
  <c r="V8" i="2"/>
  <c r="V15" i="2"/>
  <c r="V32" i="2"/>
  <c r="V22" i="2"/>
  <c r="V31" i="2"/>
  <c r="V33" i="2"/>
  <c r="V19" i="2"/>
  <c r="V14" i="2"/>
  <c r="V23" i="2"/>
  <c r="I29" i="2"/>
  <c r="O29" i="2" s="1"/>
  <c r="V9" i="2"/>
  <c r="I18" i="2"/>
  <c r="O18" i="2" s="1"/>
  <c r="O3" i="2"/>
  <c r="BM32" i="1" l="1"/>
  <c r="BO32" i="1"/>
  <c r="K32" i="1"/>
  <c r="BN32" i="1" s="1"/>
  <c r="BF27" i="1"/>
  <c r="AY27" i="1"/>
  <c r="AR27" i="1"/>
  <c r="AK27" i="1"/>
  <c r="AD27" i="1"/>
  <c r="W27" i="1"/>
  <c r="P27" i="1"/>
  <c r="G27" i="1"/>
  <c r="BM26" i="1"/>
  <c r="BH26" i="1"/>
  <c r="BA26" i="1"/>
  <c r="AT26" i="1"/>
  <c r="AM26" i="1"/>
  <c r="AF26" i="1"/>
  <c r="Y26" i="1"/>
  <c r="R26" i="1"/>
  <c r="K26" i="1"/>
  <c r="BM24" i="1"/>
  <c r="BM22" i="1"/>
  <c r="BM13" i="1"/>
  <c r="I9" i="2"/>
  <c r="O9" i="2" s="1"/>
  <c r="BM8" i="1"/>
  <c r="BM7" i="1"/>
  <c r="BM4" i="1"/>
  <c r="I8" i="2" l="1"/>
  <c r="O8" i="2" s="1"/>
  <c r="BM23" i="1"/>
  <c r="I33" i="2"/>
  <c r="O33" i="2" s="1"/>
  <c r="I19" i="2"/>
  <c r="O19" i="2" s="1"/>
  <c r="I31" i="2"/>
  <c r="O31" i="2" s="1"/>
  <c r="I32" i="2"/>
  <c r="O32" i="2" s="1"/>
  <c r="BM5" i="1"/>
  <c r="I16" i="2"/>
  <c r="O16" i="2" s="1"/>
  <c r="BN7" i="1"/>
  <c r="BM11" i="1"/>
  <c r="I13" i="2"/>
  <c r="O13" i="2" s="1"/>
  <c r="AO26" i="1"/>
  <c r="I34" i="2"/>
  <c r="O34" i="2" s="1"/>
  <c r="AQ26" i="1"/>
  <c r="BE26" i="1"/>
  <c r="I30" i="2"/>
  <c r="O30" i="2" s="1"/>
  <c r="BM10" i="1"/>
  <c r="O26" i="1"/>
  <c r="BC26" i="1"/>
  <c r="BP32" i="1"/>
  <c r="AA26" i="1"/>
  <c r="M26" i="1"/>
  <c r="AC26" i="1"/>
  <c r="BM17" i="1"/>
  <c r="BM6" i="1"/>
  <c r="BM9" i="1"/>
  <c r="BM19" i="1"/>
  <c r="BM14" i="1"/>
  <c r="BM25" i="1"/>
  <c r="T26" i="1"/>
  <c r="V26" i="1"/>
  <c r="AH26" i="1"/>
  <c r="AJ26" i="1"/>
  <c r="AV26" i="1"/>
  <c r="AX26" i="1"/>
  <c r="BJ26" i="1"/>
  <c r="BL26" i="1"/>
  <c r="BN26" i="1"/>
  <c r="BN6" i="1" l="1"/>
  <c r="BN23" i="1"/>
  <c r="BO26" i="1"/>
  <c r="BP26" i="1" s="1"/>
  <c r="BN17" i="1"/>
  <c r="BN10" i="1"/>
  <c r="BN11" i="1"/>
  <c r="BN24" i="1"/>
  <c r="BN25" i="1"/>
  <c r="BN5" i="1"/>
  <c r="BN22" i="1"/>
  <c r="BN13" i="1"/>
  <c r="BN14" i="1"/>
  <c r="BN19" i="1"/>
  <c r="BN8" i="1"/>
  <c r="BN9" i="1"/>
  <c r="BN4" i="1"/>
  <c r="BM15" i="1"/>
  <c r="BO7" i="1"/>
  <c r="BP7" i="1" s="1"/>
  <c r="BO23" i="1" l="1"/>
  <c r="BP23" i="1" s="1"/>
  <c r="H6" i="2"/>
  <c r="N6" i="2" s="1"/>
  <c r="H12" i="2"/>
  <c r="K1" i="2"/>
  <c r="H7" i="2"/>
  <c r="H35" i="2"/>
  <c r="H17" i="2"/>
  <c r="BO6" i="1"/>
  <c r="BP6" i="1" s="1"/>
  <c r="BO17" i="1"/>
  <c r="BP17" i="1" s="1"/>
  <c r="BO10" i="1"/>
  <c r="BP10" i="1" s="1"/>
  <c r="BO24" i="1"/>
  <c r="BP24" i="1" s="1"/>
  <c r="BO8" i="1"/>
  <c r="BP8" i="1" s="1"/>
  <c r="BO4" i="1"/>
  <c r="BP4" i="1" s="1"/>
  <c r="BO11" i="1"/>
  <c r="BP11" i="1" s="1"/>
  <c r="BO13" i="1"/>
  <c r="BP13" i="1" s="1"/>
  <c r="BO9" i="1"/>
  <c r="BP9" i="1" s="1"/>
  <c r="BO19" i="1"/>
  <c r="BP19" i="1" s="1"/>
  <c r="BO22" i="1"/>
  <c r="BP22" i="1" s="1"/>
  <c r="BN15" i="1"/>
  <c r="BO5" i="1"/>
  <c r="BP5" i="1" s="1"/>
  <c r="BO14" i="1"/>
  <c r="BP14" i="1" s="1"/>
  <c r="BO25" i="1"/>
  <c r="BP25" i="1" s="1"/>
  <c r="V35" i="2" l="1"/>
  <c r="N35" i="2"/>
  <c r="V17" i="2"/>
  <c r="N17" i="2"/>
  <c r="V12" i="2"/>
  <c r="N12" i="2"/>
  <c r="V7" i="2"/>
  <c r="N7" i="2"/>
  <c r="I6" i="2"/>
  <c r="O6" i="2" s="1"/>
  <c r="V6" i="2"/>
  <c r="I17" i="2"/>
  <c r="O17" i="2" s="1"/>
  <c r="I35" i="2"/>
  <c r="O35" i="2" s="1"/>
  <c r="I7" i="2"/>
  <c r="O7" i="2" s="1"/>
  <c r="I12" i="2"/>
  <c r="O12" i="2" s="1"/>
  <c r="I1" i="2"/>
  <c r="BM27" i="1"/>
  <c r="BO15" i="1"/>
  <c r="BP15" i="1" s="1"/>
  <c r="AT27" i="1"/>
  <c r="K27" i="1"/>
  <c r="BH27" i="1"/>
  <c r="AM27" i="1"/>
  <c r="BA27" i="1"/>
  <c r="Y27" i="1"/>
  <c r="R27" i="1"/>
  <c r="AF27" i="1"/>
  <c r="H1" i="2" l="1"/>
  <c r="O1" i="2"/>
  <c r="AA27" i="1"/>
  <c r="BN27" i="1"/>
  <c r="V27" i="1"/>
  <c r="BJ27" i="1"/>
  <c r="AC27" i="1"/>
  <c r="AX27" i="1"/>
  <c r="BC27" i="1"/>
  <c r="AQ27" i="1"/>
  <c r="AH27" i="1"/>
  <c r="M27" i="1"/>
  <c r="AJ27" i="1"/>
  <c r="T27" i="1"/>
  <c r="BE27" i="1"/>
  <c r="AO27" i="1"/>
  <c r="O27" i="1"/>
  <c r="AV27" i="1"/>
  <c r="BL27" i="1"/>
  <c r="BO27" i="1" l="1"/>
  <c r="BN33" i="1" s="1"/>
  <c r="BM33" i="1"/>
</calcChain>
</file>

<file path=xl/sharedStrings.xml><?xml version="1.0" encoding="utf-8"?>
<sst xmlns="http://schemas.openxmlformats.org/spreadsheetml/2006/main" count="800" uniqueCount="188">
  <si>
    <t>Total</t>
  </si>
  <si>
    <t>308 Engineering</t>
  </si>
  <si>
    <t>310 Land and Land Rights</t>
  </si>
  <si>
    <t>311 Structure and Imporvements</t>
  </si>
  <si>
    <t>312 Boiler Plant Equipment</t>
  </si>
  <si>
    <t>314 Turbogenerator Units</t>
  </si>
  <si>
    <t>315 Accesory Electric Equipment</t>
  </si>
  <si>
    <t>316 Miscellaneous Power Plant Equipment</t>
  </si>
  <si>
    <t>343 Prime Movers</t>
  </si>
  <si>
    <t>Unit 1 &amp; 2</t>
  </si>
  <si>
    <t>Unit 3</t>
  </si>
  <si>
    <t>Tasks</t>
  </si>
  <si>
    <t>Units</t>
  </si>
  <si>
    <t>Quantity</t>
  </si>
  <si>
    <t>Unit Cost</t>
  </si>
  <si>
    <t>Cost</t>
  </si>
  <si>
    <t>%</t>
  </si>
  <si>
    <t xml:space="preserve"> wenada
Total</t>
  </si>
  <si>
    <t>FERC 
Totals</t>
  </si>
  <si>
    <t>Unit Totals</t>
  </si>
  <si>
    <t>check</t>
  </si>
  <si>
    <t>Engineering, Design and Survey Work</t>
  </si>
  <si>
    <t>ls</t>
  </si>
  <si>
    <t>Perform environmental survey of above grade structures</t>
  </si>
  <si>
    <t>Storm Water Prevention Plan</t>
  </si>
  <si>
    <t>General</t>
  </si>
  <si>
    <t>Mob./Demob.</t>
  </si>
  <si>
    <t>sf</t>
  </si>
  <si>
    <t>Utility Disconnects</t>
  </si>
  <si>
    <t>Grade and Seeding</t>
  </si>
  <si>
    <t>nt</t>
  </si>
  <si>
    <t>lbs</t>
  </si>
  <si>
    <t>CU Sales</t>
  </si>
  <si>
    <t>Transport &amp;  Dispose of Combustibles</t>
  </si>
  <si>
    <t>Demo FE</t>
  </si>
  <si>
    <t>Fe Sales</t>
  </si>
  <si>
    <t>Unit 6 &amp; 7 Combined Cycle Units</t>
  </si>
  <si>
    <t>Ancillary Buildings</t>
  </si>
  <si>
    <t xml:space="preserve">Demo </t>
  </si>
  <si>
    <t>Sales</t>
  </si>
  <si>
    <t>WBS</t>
  </si>
  <si>
    <t>COEL</t>
  </si>
  <si>
    <t>PLTCODE</t>
  </si>
  <si>
    <t>QTY</t>
  </si>
  <si>
    <t>UM</t>
  </si>
  <si>
    <t>RATE</t>
  </si>
  <si>
    <t>VALUE</t>
  </si>
  <si>
    <t>COMMENT</t>
  </si>
  <si>
    <t>MATERIALS</t>
  </si>
  <si>
    <t>CLASSIFICATION</t>
  </si>
  <si>
    <t>BUCKET</t>
  </si>
  <si>
    <t>3040000</t>
  </si>
  <si>
    <t/>
  </si>
  <si>
    <t>CONTINGENCY</t>
  </si>
  <si>
    <t>SCS</t>
  </si>
  <si>
    <t>C</t>
  </si>
  <si>
    <t>CLR</t>
  </si>
  <si>
    <t>NON</t>
  </si>
  <si>
    <t>3070041</t>
  </si>
  <si>
    <t>MY</t>
  </si>
  <si>
    <t>POWER GENERATION SUPERVISION</t>
  </si>
  <si>
    <t>3070201</t>
  </si>
  <si>
    <t>TEMPORARY CONSTRUCTION SERVICES</t>
  </si>
  <si>
    <t>3070201MO</t>
  </si>
  <si>
    <t>LT</t>
  </si>
  <si>
    <t>CONTRACTOR MOBILIZATION</t>
  </si>
  <si>
    <t>BDG</t>
  </si>
  <si>
    <t>3070221</t>
  </si>
  <si>
    <t>SECURITY SERVICES</t>
  </si>
  <si>
    <t>MH</t>
  </si>
  <si>
    <t>SCS ENGINEERING</t>
  </si>
  <si>
    <t>3080241SW</t>
  </si>
  <si>
    <t>APC ENGINEERING</t>
  </si>
  <si>
    <t>GPC ENGINEERING</t>
  </si>
  <si>
    <t>3080268</t>
  </si>
  <si>
    <t>PERMITS</t>
  </si>
  <si>
    <t>3080268EA</t>
  </si>
  <si>
    <t>3080361</t>
  </si>
  <si>
    <t>WRAP-UP AND ALL-RISK INSURANCE</t>
  </si>
  <si>
    <t>3090481</t>
  </si>
  <si>
    <t>ADMINISTRATIVE &amp; GENERAL OVERHEAD</t>
  </si>
  <si>
    <t>3110001LC</t>
  </si>
  <si>
    <t>MARKUP</t>
  </si>
  <si>
    <t>CLD</t>
  </si>
  <si>
    <t>311UND</t>
  </si>
  <si>
    <t>ANCILLARY BUILDINGS - Demo</t>
  </si>
  <si>
    <t>ANICILLARY BUILDINGS - Demo</t>
  </si>
  <si>
    <t>CMS</t>
  </si>
  <si>
    <t>ANCILLARY BUILDINGS - FE SALES</t>
  </si>
  <si>
    <t>STEEL</t>
  </si>
  <si>
    <t>Main Power Block - DEMO</t>
  </si>
  <si>
    <t>COPPER</t>
  </si>
  <si>
    <t>TRANSFORMER</t>
  </si>
  <si>
    <t>Unit &amp; Service Transformers - Demo</t>
  </si>
  <si>
    <t>Unit &amp; Service Transformers - FE Sales</t>
  </si>
  <si>
    <t>341UND</t>
  </si>
  <si>
    <t>343UND</t>
  </si>
  <si>
    <t>345UND</t>
  </si>
  <si>
    <t>CTs Transformers - CU Sales</t>
  </si>
  <si>
    <t>CCATDESC</t>
  </si>
  <si>
    <t>REMOVAL</t>
  </si>
  <si>
    <t>Unit &amp; Service Transformers- CU Sales</t>
  </si>
  <si>
    <t>SALVAGE</t>
  </si>
  <si>
    <t>DISPOSAL</t>
  </si>
  <si>
    <t>309</t>
  </si>
  <si>
    <t>311</t>
  </si>
  <si>
    <t>308</t>
  </si>
  <si>
    <t>304</t>
  </si>
  <si>
    <t>307</t>
  </si>
  <si>
    <t>345</t>
  </si>
  <si>
    <t>341</t>
  </si>
  <si>
    <t>FERC</t>
  </si>
  <si>
    <t>UNIT</t>
  </si>
  <si>
    <t>2% of FERCs 310 and above less "Install Electrical for Decommisioning Work".</t>
  </si>
  <si>
    <t>OWNER</t>
  </si>
  <si>
    <t>GULF</t>
  </si>
  <si>
    <t>OWNRSHP_PCT</t>
  </si>
  <si>
    <t>Unit 6</t>
  </si>
  <si>
    <t>Unit 7</t>
  </si>
  <si>
    <t>Unit &amp; Service Transformers</t>
  </si>
  <si>
    <t xml:space="preserve">Unit </t>
  </si>
  <si>
    <t>Price</t>
  </si>
  <si>
    <t>* FE is based on the Aug. 7, 2015 Metal Prices Birmingham P&amp;S 5' &amp; under = $245 / GT</t>
  </si>
  <si>
    <t>* AL is based on Aug. 18, 2015 LME Cash Official = $0.69/lb</t>
  </si>
  <si>
    <t>* CU is baesd on Aug. 18, 2015 LME Cash Official =  $2.27/lb</t>
  </si>
  <si>
    <t>* SS is based on Aug. 17, 2015 LME 304 (18-8) Scrap Solids Processor = $0.50 / lb</t>
  </si>
  <si>
    <t>*305 SS - is based on Aug. 17, 2014 LME 304 (18-8) Scrap Solids Processor = $0.50 / lb</t>
  </si>
  <si>
    <t>* Transformers is based on Aug. 18, 2015 LME Cash official for CU = $2.27</t>
  </si>
  <si>
    <t>*Ti is based on Aug. 13, 2015 Secondary Market Tin Bearing &gt;85%  = $0.55 / lb</t>
  </si>
  <si>
    <t>* Ad Brass is based of Aug. 14, 2015 Secondary Market Yellow Brass = $1.66</t>
  </si>
  <si>
    <t>* 90-10 CU-NI is based on Aug. 18, 2015 Secondary Market Cupro-Nickel Scrap 90-10 = $2.07</t>
  </si>
  <si>
    <t>*304 SS - is based on Aug. 17, 2015 LME 304 (18-8) Scrap Solids Processor = $0.50 / lb</t>
  </si>
  <si>
    <t>Generator Set - CU Sales</t>
  </si>
  <si>
    <t>Generator Set - DEMO</t>
  </si>
  <si>
    <t>Generator Set - FE Sales</t>
  </si>
  <si>
    <t>Generator Set Transformers - CU Sales</t>
  </si>
  <si>
    <t>Generator Set Transformers - Demo</t>
  </si>
  <si>
    <t>Generator Set Transformers - FE Sales</t>
  </si>
  <si>
    <t>PERDIDO-NON</t>
  </si>
  <si>
    <t>1GSLR</t>
  </si>
  <si>
    <t>1GSMS</t>
  </si>
  <si>
    <t>1GSLD</t>
  </si>
  <si>
    <t>2GSLR</t>
  </si>
  <si>
    <t>2GSMS</t>
  </si>
  <si>
    <t>2GSLD</t>
  </si>
  <si>
    <t>1GS</t>
  </si>
  <si>
    <t>2GS</t>
  </si>
  <si>
    <t>ADJ Unit</t>
  </si>
  <si>
    <t>Change</t>
  </si>
  <si>
    <t>Historical Links</t>
  </si>
  <si>
    <t>http://www.metalprices.com/historical/database/ferrous-scrap-price-index/fe-spi-5-plate-structural-birmingham</t>
  </si>
  <si>
    <t>LME</t>
  </si>
  <si>
    <t>http://www.metalprices.com/historical/database/aluminum/lme-aluminum-cash-official</t>
  </si>
  <si>
    <t>http://www.metalprices.com/historical/database/copper/lme-copper-cash-official</t>
  </si>
  <si>
    <t>http://www.metalprices.com/historical/database/stainless-steel/stainless-steel-304-s-p</t>
  </si>
  <si>
    <t>http://www.metalprices.com/metal/titanium/titanium-scrap-ferro-ti-quality-turnings-non-tin-bearing-gt-85-ti</t>
  </si>
  <si>
    <t>http://www.metalprices.com/historical/database/brass/brass-yellow-brass</t>
  </si>
  <si>
    <t>http://www.metalprices.com/metal/cupro-nickel/cupro-nickel-c706</t>
  </si>
  <si>
    <t>* FE is based on the 06NOV15, 2015 Metal Prices Birmingham P&amp;S 5' &amp; under = $168 / GT</t>
  </si>
  <si>
    <t>* AL is based on 06NOV15, 2015 LME Cash Official = $0.67/lb</t>
  </si>
  <si>
    <t>* CU is based on 06NOV15, LME Cash Official =  $2.29/lb</t>
  </si>
  <si>
    <t>* SS is based on 06NOV15, LME 304 (18-8) Scrap Solids Processor = $0.44 / lb</t>
  </si>
  <si>
    <t>*305 SS - is based on 06NOV15, LME 304 (18-8) Scrap Solids Processor = $0.44 / lb</t>
  </si>
  <si>
    <t>* Transformers is based on 06NOV15, LME Cash Official =  $2.29/lb</t>
  </si>
  <si>
    <t>*Ti is based on 06NOV15, Secondary Market Tin Bearing &gt;85%  = $0.375 / lb</t>
  </si>
  <si>
    <t>* Ad Brass is based of 06NOV15, Secondary Market Yellow Brass = $1.61</t>
  </si>
  <si>
    <t>* 90-10 CU-NI is based on 06NOV15, Secondary Market Cupro-Nickel Scrap 90-10 = $1.99</t>
  </si>
  <si>
    <t>*304 SS - is based on 06NOV15, LME 304 (18-8) Scrap Solids Processor = $0.44 / lb</t>
  </si>
  <si>
    <t>06NOV15 Scrap Values</t>
  </si>
  <si>
    <t>August '15 Scrap values</t>
  </si>
  <si>
    <t>31DEC16 Scrap Values</t>
  </si>
  <si>
    <t>2015 Costs</t>
  </si>
  <si>
    <t>Note: 2016 Salvage Values were escalated from 2015 based on % from Power Advocate.</t>
  </si>
  <si>
    <t>* Transformers is based on 31DEC15, LME Cash Official =  $2.29/lb</t>
  </si>
  <si>
    <t>Labor Escalation (4Q15 to 4Q16)</t>
  </si>
  <si>
    <t>* FE is based on the 31DEC15, 2015 Metal Prices Birmingham P&amp;S 5' &amp; under = $151.79 / GT and Escalated to 31DEC2016.</t>
  </si>
  <si>
    <t>* AL is based on 31DEC15, 2015 LME Cash Official = $0.68/lb and Escalated to 31DEC2016.</t>
  </si>
  <si>
    <t>* CU is based on 31DEC15, LME Cash Official =  $2.14/lb and Escalated to 31DEC2016.</t>
  </si>
  <si>
    <t>* SS is based on 31DEC15, LME 304 (18-8) Scrap Solids Processor = $0.38 / lb and Escalated to 31DEC2016.</t>
  </si>
  <si>
    <t>*305 SS - is based on 31DEC15, LME 304 (18-8) Scrap Solids Processor = $0.38 / lb and Escalated to 31DEC2016.</t>
  </si>
  <si>
    <t>*Ti is based on 31DEC15, Secondary Market Tin Bearing &gt;85%  = $0..25/ lb and Escalated to 31DEC2016.</t>
  </si>
  <si>
    <t>* Ad Brass is based of 31DEC15, Secondary Market Yellow Brass = $1.51 and Escalated to 31DEC2016.</t>
  </si>
  <si>
    <t>* 90-10 CU-NI is based on 31DEC15, Secondary Market Cupro-Nickel Scrap 90-10 = $1.87 and Escalated to 31DEC2016.</t>
  </si>
  <si>
    <t>*304 SS - is based on 31DEC15, LME 304 (18-8) Scrap Solids Processor = $0.38 / lb and Escalated to 31DEC2016.</t>
  </si>
  <si>
    <t>NOTES2016</t>
  </si>
  <si>
    <t>cRATE2016</t>
  </si>
  <si>
    <t>cVALUE2016</t>
  </si>
  <si>
    <t>Scrap Market Values (MetalPrices.com) as projected to 31DEC16.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</si>
</sst>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#,##0;[Red]\-#,##0"/>
    <numFmt numFmtId="167" formatCode="&quot;$&quot;#,##0;[Red]\-&quot;$&quot;#,##0"/>
    <numFmt numFmtId="168" formatCode="&quot;$&quot;#,##0;[Red]&quot;$&quot;#,##0"/>
    <numFmt numFmtId="169" formatCode="#,##0;[Red]#,##0"/>
    <numFmt numFmtId="170" formatCode="_(* #,##0_);_(* \(#,##0\);_(* &quot;-&quot;??_);_(@_)"/>
    <numFmt numFmtId="171" formatCode="_(&quot;$&quot;* #,##0.0000_);_(&quot;$&quot;* \(#,##0.0000\);_(&quot;$&quot;* &quot;-&quot;??_);_(@_)"/>
    <numFmt numFmtId="172" formatCode="0.000%"/>
    <numFmt numFmtId="173" formatCode="#,##0.0000_);[Red]\(#,##0.0000\)"/>
    <numFmt numFmtId="174" formatCode="#,##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74999237037263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55">
    <xf numFmtId="0" fontId="0" fillId="0" borderId="0"/>
    <xf numFmtId="166" fontId="4" fillId="0" borderId="9">
      <alignment horizontal="right" vertical="top" wrapText="1"/>
    </xf>
    <xf numFmtId="166" fontId="4" fillId="4" borderId="9">
      <alignment horizontal="right" vertical="top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" fillId="5" borderId="9">
      <alignment horizontal="right" vertical="top" wrapText="1"/>
    </xf>
    <xf numFmtId="167" fontId="4" fillId="0" borderId="9">
      <alignment horizontal="right" vertical="top" wrapText="1"/>
    </xf>
    <xf numFmtId="167" fontId="4" fillId="0" borderId="7">
      <alignment vertical="top"/>
      <protection locked="0"/>
    </xf>
    <xf numFmtId="44" fontId="1" fillId="0" borderId="0" applyFont="0" applyFill="0" applyBorder="0" applyAlignment="0" applyProtection="0"/>
    <xf numFmtId="8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4" fillId="0" borderId="7">
      <alignment vertical="top"/>
      <protection locked="0"/>
    </xf>
    <xf numFmtId="166" fontId="4" fillId="6" borderId="7">
      <alignment vertical="top"/>
      <protection locked="0"/>
    </xf>
    <xf numFmtId="166" fontId="4" fillId="0" borderId="9">
      <alignment vertical="top"/>
    </xf>
    <xf numFmtId="166" fontId="4" fillId="7" borderId="9">
      <alignment vertical="top"/>
    </xf>
    <xf numFmtId="166" fontId="4" fillId="0" borderId="9">
      <alignment vertical="top"/>
    </xf>
    <xf numFmtId="166" fontId="4" fillId="0" borderId="7">
      <alignment vertical="top" wrapText="1"/>
      <protection locked="0"/>
    </xf>
    <xf numFmtId="0" fontId="1" fillId="0" borderId="0"/>
    <xf numFmtId="0" fontId="1" fillId="0" borderId="0"/>
    <xf numFmtId="0" fontId="7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6" fontId="8" fillId="0" borderId="0">
      <alignment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68" fontId="8" fillId="8" borderId="10">
      <alignment horizontal="right"/>
      <protection locked="0"/>
    </xf>
    <xf numFmtId="169" fontId="4" fillId="9" borderId="9">
      <alignment horizontal="right" vertical="top" wrapText="1"/>
    </xf>
    <xf numFmtId="169" fontId="4" fillId="0" borderId="9">
      <alignment horizontal="right" vertical="top" wrapText="1"/>
    </xf>
    <xf numFmtId="166" fontId="4" fillId="0" borderId="7">
      <alignment vertical="top"/>
      <protection locked="0"/>
    </xf>
    <xf numFmtId="167" fontId="4" fillId="10" borderId="9">
      <alignment horizontal="right" vertical="top" wrapText="1"/>
    </xf>
    <xf numFmtId="167" fontId="4" fillId="0" borderId="9">
      <alignment horizontal="right" vertical="top" wrapText="1"/>
    </xf>
    <xf numFmtId="167" fontId="4" fillId="0" borderId="7">
      <alignment vertical="top"/>
      <protection locked="0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93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2" fillId="2" borderId="0" xfId="0" applyFont="1" applyFill="1" applyBorder="1" applyAlignment="1"/>
    <xf numFmtId="0" fontId="2" fillId="2" borderId="2" xfId="0" applyFont="1" applyFill="1" applyBorder="1" applyAlignment="1">
      <alignment horizontal="center"/>
    </xf>
    <xf numFmtId="6" fontId="0" fillId="0" borderId="0" xfId="0" applyNumberFormat="1" applyAlignment="1">
      <alignment horizontal="right"/>
    </xf>
    <xf numFmtId="0" fontId="0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2" borderId="0" xfId="0" applyFill="1" applyBorder="1" applyAlignment="1">
      <alignment wrapText="1"/>
    </xf>
    <xf numFmtId="0" fontId="2" fillId="0" borderId="4" xfId="0" quotePrefix="1" applyFont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6" fontId="0" fillId="0" borderId="0" xfId="0" applyNumberFormat="1" applyFont="1" applyAlignment="1" applyProtection="1">
      <alignment horizontal="right" wrapText="1"/>
      <protection locked="0"/>
    </xf>
    <xf numFmtId="0" fontId="0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3" fontId="2" fillId="0" borderId="7" xfId="0" applyNumberFormat="1" applyFont="1" applyBorder="1" applyAlignment="1" applyProtection="1">
      <alignment horizontal="center" wrapText="1"/>
      <protection locked="0"/>
    </xf>
    <xf numFmtId="164" fontId="2" fillId="0" borderId="7" xfId="0" applyNumberFormat="1" applyFont="1" applyBorder="1" applyAlignment="1" applyProtection="1">
      <alignment horizontal="center" wrapText="1"/>
      <protection locked="0"/>
    </xf>
    <xf numFmtId="6" fontId="2" fillId="0" borderId="7" xfId="0" applyNumberFormat="1" applyFont="1" applyBorder="1" applyAlignment="1" applyProtection="1">
      <alignment horizontal="center" wrapText="1"/>
      <protection locked="0"/>
    </xf>
    <xf numFmtId="6" fontId="2" fillId="2" borderId="3" xfId="0" applyNumberFormat="1" applyFont="1" applyFill="1" applyBorder="1" applyAlignment="1" applyProtection="1">
      <alignment horizontal="center" wrapText="1"/>
      <protection locked="0"/>
    </xf>
    <xf numFmtId="9" fontId="2" fillId="0" borderId="3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9" fontId="2" fillId="0" borderId="3" xfId="0" applyNumberFormat="1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6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3" fontId="0" fillId="0" borderId="9" xfId="0" applyNumberFormat="1" applyFont="1" applyBorder="1" applyAlignment="1" applyProtection="1">
      <alignment horizontal="right" wrapText="1"/>
      <protection locked="0"/>
    </xf>
    <xf numFmtId="164" fontId="0" fillId="0" borderId="9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Protection="1">
      <protection locked="0"/>
    </xf>
    <xf numFmtId="6" fontId="0" fillId="2" borderId="3" xfId="0" applyNumberFormat="1" applyFont="1" applyFill="1" applyBorder="1" applyAlignment="1" applyProtection="1">
      <alignment horizontal="right" wrapText="1"/>
      <protection locked="0"/>
    </xf>
    <xf numFmtId="9" fontId="0" fillId="0" borderId="3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Alignment="1" applyProtection="1">
      <alignment horizontal="center"/>
      <protection locked="0"/>
    </xf>
    <xf numFmtId="9" fontId="0" fillId="0" borderId="3" xfId="0" applyNumberFormat="1" applyFont="1" applyBorder="1" applyAlignment="1" applyProtection="1">
      <alignment horizontal="center" wrapText="1"/>
    </xf>
    <xf numFmtId="6" fontId="0" fillId="0" borderId="9" xfId="0" applyNumberFormat="1" applyFont="1" applyBorder="1" applyAlignment="1" applyProtection="1">
      <alignment horizontal="right"/>
      <protection locked="0"/>
    </xf>
    <xf numFmtId="6" fontId="0" fillId="2" borderId="3" xfId="0" applyNumberFormat="1" applyFont="1" applyFill="1" applyBorder="1" applyAlignment="1" applyProtection="1">
      <alignment horizontal="right"/>
      <protection locked="0"/>
    </xf>
    <xf numFmtId="6" fontId="2" fillId="0" borderId="0" xfId="0" applyNumberFormat="1" applyFont="1" applyAlignment="1" applyProtection="1">
      <alignment horizontal="right" wrapText="1"/>
      <protection locked="0"/>
    </xf>
    <xf numFmtId="0" fontId="0" fillId="0" borderId="9" xfId="0" applyBorder="1" applyAlignment="1" applyProtection="1">
      <alignment horizontal="center"/>
      <protection locked="0"/>
    </xf>
    <xf numFmtId="3" fontId="0" fillId="0" borderId="9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9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8" fontId="0" fillId="0" borderId="9" xfId="0" applyNumberFormat="1" applyFont="1" applyBorder="1" applyProtection="1">
      <protection locked="0"/>
    </xf>
    <xf numFmtId="165" fontId="0" fillId="0" borderId="9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3" fontId="0" fillId="0" borderId="9" xfId="0" applyNumberFormat="1" applyFont="1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6" fontId="0" fillId="2" borderId="0" xfId="0" applyNumberFormat="1" applyFont="1" applyFill="1" applyBorder="1" applyAlignment="1" applyProtection="1">
      <alignment horizontal="right"/>
      <protection locked="0"/>
    </xf>
    <xf numFmtId="9" fontId="0" fillId="0" borderId="0" xfId="0" applyNumberFormat="1" applyFont="1" applyBorder="1" applyAlignment="1" applyProtection="1">
      <alignment horizontal="center" wrapText="1"/>
      <protection locked="0"/>
    </xf>
    <xf numFmtId="9" fontId="0" fillId="0" borderId="0" xfId="0" applyNumberFormat="1" applyFont="1" applyBorder="1" applyAlignment="1" applyProtection="1">
      <alignment horizontal="center" wrapText="1"/>
    </xf>
    <xf numFmtId="0" fontId="2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3" fontId="0" fillId="3" borderId="9" xfId="0" applyNumberFormat="1" applyFont="1" applyFill="1" applyBorder="1" applyAlignment="1" applyProtection="1">
      <alignment horizontal="right" wrapText="1"/>
      <protection locked="0"/>
    </xf>
    <xf numFmtId="164" fontId="0" fillId="3" borderId="9" xfId="0" applyNumberFormat="1" applyFont="1" applyFill="1" applyBorder="1" applyAlignment="1" applyProtection="1">
      <alignment horizontal="center" wrapText="1"/>
      <protection locked="0"/>
    </xf>
    <xf numFmtId="6" fontId="2" fillId="3" borderId="9" xfId="0" applyNumberFormat="1" applyFont="1" applyFill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3" fontId="0" fillId="0" borderId="0" xfId="0" applyNumberFormat="1" applyFont="1" applyProtection="1">
      <protection locked="0"/>
    </xf>
    <xf numFmtId="164" fontId="0" fillId="0" borderId="0" xfId="0" applyNumberFormat="1" applyFont="1" applyProtection="1">
      <protection locked="0"/>
    </xf>
    <xf numFmtId="6" fontId="0" fillId="0" borderId="0" xfId="0" applyNumberFormat="1" applyFont="1" applyProtection="1">
      <protection locked="0"/>
    </xf>
    <xf numFmtId="6" fontId="0" fillId="2" borderId="0" xfId="0" applyNumberFormat="1" applyFont="1" applyFill="1" applyAlignment="1" applyProtection="1">
      <alignment horizontal="right"/>
      <protection locked="0"/>
    </xf>
    <xf numFmtId="9" fontId="0" fillId="0" borderId="0" xfId="0" applyNumberFormat="1" applyFont="1" applyFill="1" applyProtection="1">
      <protection locked="0"/>
    </xf>
    <xf numFmtId="9" fontId="0" fillId="0" borderId="0" xfId="0" applyNumberFormat="1" applyFont="1" applyAlignment="1" applyProtection="1">
      <alignment horizontal="center"/>
      <protection locked="0"/>
    </xf>
    <xf numFmtId="0" fontId="0" fillId="2" borderId="0" xfId="0" applyFont="1" applyFill="1" applyProtection="1">
      <protection locked="0"/>
    </xf>
    <xf numFmtId="3" fontId="0" fillId="0" borderId="0" xfId="0" applyNumberFormat="1" applyFont="1" applyBorder="1" applyProtection="1">
      <protection locked="0"/>
    </xf>
    <xf numFmtId="6" fontId="0" fillId="0" borderId="0" xfId="0" applyNumberFormat="1" applyFont="1" applyBorder="1" applyProtection="1">
      <protection locked="0"/>
    </xf>
    <xf numFmtId="6" fontId="0" fillId="0" borderId="0" xfId="0" applyNumberFormat="1" applyFont="1" applyBorder="1" applyAlignment="1" applyProtection="1">
      <alignment horizontal="center"/>
      <protection locked="0"/>
    </xf>
    <xf numFmtId="6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/>
    <xf numFmtId="0" fontId="0" fillId="0" borderId="0" xfId="0"/>
    <xf numFmtId="0" fontId="0" fillId="0" borderId="0" xfId="0"/>
    <xf numFmtId="8" fontId="0" fillId="0" borderId="0" xfId="0" applyNumberFormat="1"/>
    <xf numFmtId="44" fontId="0" fillId="0" borderId="0" xfId="50" applyFont="1"/>
    <xf numFmtId="6" fontId="0" fillId="0" borderId="0" xfId="0" applyNumberFormat="1"/>
    <xf numFmtId="0" fontId="9" fillId="11" borderId="7" xfId="0" applyFont="1" applyFill="1" applyBorder="1" applyAlignment="1" applyProtection="1">
      <alignment horizontal="center" vertical="center"/>
    </xf>
    <xf numFmtId="0" fontId="9" fillId="12" borderId="7" xfId="0" applyFont="1" applyFill="1" applyBorder="1" applyAlignment="1" applyProtection="1">
      <alignment horizontal="center" vertical="center"/>
    </xf>
    <xf numFmtId="0" fontId="9" fillId="11" borderId="0" xfId="0" applyFont="1" applyFill="1" applyBorder="1" applyAlignment="1" applyProtection="1">
      <alignment horizontal="center" vertical="center"/>
    </xf>
    <xf numFmtId="0" fontId="0" fillId="0" borderId="0" xfId="0" applyAlignment="1"/>
    <xf numFmtId="0" fontId="0" fillId="0" borderId="0" xfId="0" applyFill="1" applyBorder="1" applyAlignment="1"/>
    <xf numFmtId="0" fontId="10" fillId="0" borderId="11" xfId="0" applyFont="1" applyFill="1" applyBorder="1" applyAlignment="1" applyProtection="1">
      <alignment vertical="center"/>
    </xf>
    <xf numFmtId="0" fontId="10" fillId="3" borderId="11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right" vertical="center"/>
    </xf>
    <xf numFmtId="8" fontId="10" fillId="0" borderId="11" xfId="0" applyNumberFormat="1" applyFont="1" applyFill="1" applyBorder="1" applyAlignment="1" applyProtection="1">
      <alignment horizontal="right" vertical="center"/>
    </xf>
    <xf numFmtId="170" fontId="10" fillId="0" borderId="11" xfId="49" applyNumberFormat="1" applyFont="1" applyFill="1" applyBorder="1" applyAlignment="1" applyProtection="1">
      <alignment horizontal="right" vertical="center"/>
    </xf>
    <xf numFmtId="0" fontId="9" fillId="12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0" fillId="0" borderId="0" xfId="0"/>
    <xf numFmtId="0" fontId="10" fillId="0" borderId="0" xfId="0" applyFont="1" applyFill="1" applyBorder="1" applyAlignment="1" applyProtection="1">
      <alignment vertical="center"/>
    </xf>
    <xf numFmtId="0" fontId="0" fillId="13" borderId="0" xfId="0" applyFill="1" applyAlignment="1" applyProtection="1">
      <alignment horizontal="left"/>
      <protection locked="0"/>
    </xf>
    <xf numFmtId="0" fontId="0" fillId="13" borderId="9" xfId="0" applyFill="1" applyBorder="1" applyAlignment="1" applyProtection="1">
      <alignment horizontal="center"/>
      <protection locked="0"/>
    </xf>
    <xf numFmtId="3" fontId="0" fillId="13" borderId="9" xfId="0" applyNumberFormat="1" applyFont="1" applyFill="1" applyBorder="1" applyProtection="1">
      <protection locked="0"/>
    </xf>
    <xf numFmtId="6" fontId="0" fillId="0" borderId="9" xfId="0" applyNumberFormat="1" applyFont="1" applyFill="1" applyBorder="1" applyProtection="1">
      <protection locked="0"/>
    </xf>
    <xf numFmtId="8" fontId="10" fillId="0" borderId="0" xfId="0" applyNumberFormat="1" applyFont="1" applyFill="1" applyBorder="1" applyAlignment="1" applyProtection="1">
      <alignment horizontal="right" vertical="center"/>
    </xf>
    <xf numFmtId="0" fontId="10" fillId="13" borderId="11" xfId="0" applyFont="1" applyFill="1" applyBorder="1" applyAlignment="1" applyProtection="1">
      <alignment horizontal="right" vertical="center"/>
    </xf>
    <xf numFmtId="0" fontId="10" fillId="14" borderId="11" xfId="0" applyFont="1" applyFill="1" applyBorder="1" applyAlignment="1" applyProtection="1">
      <alignment vertical="center"/>
    </xf>
    <xf numFmtId="0" fontId="12" fillId="13" borderId="11" xfId="0" applyFont="1" applyFill="1" applyBorder="1" applyAlignment="1" applyProtection="1">
      <alignment vertical="center"/>
    </xf>
    <xf numFmtId="49" fontId="10" fillId="13" borderId="11" xfId="0" applyNumberFormat="1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3" fontId="0" fillId="0" borderId="9" xfId="0" applyNumberFormat="1" applyFill="1" applyBorder="1" applyProtection="1">
      <protection locked="0"/>
    </xf>
    <xf numFmtId="6" fontId="2" fillId="0" borderId="0" xfId="0" applyNumberFormat="1" applyFont="1" applyBorder="1" applyAlignment="1" applyProtection="1">
      <alignment horizontal="center"/>
      <protection locked="0"/>
    </xf>
    <xf numFmtId="16" fontId="0" fillId="0" borderId="0" xfId="0" applyNumberFormat="1" applyFont="1" applyBorder="1" applyAlignment="1" applyProtection="1">
      <alignment horizontal="center" wrapText="1"/>
    </xf>
    <xf numFmtId="6" fontId="0" fillId="0" borderId="0" xfId="0" applyNumberFormat="1" applyBorder="1" applyAlignment="1" applyProtection="1">
      <alignment horizontal="center"/>
      <protection locked="0"/>
    </xf>
    <xf numFmtId="9" fontId="0" fillId="0" borderId="0" xfId="0" applyNumberForma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right"/>
      <protection locked="0"/>
    </xf>
    <xf numFmtId="8" fontId="0" fillId="0" borderId="0" xfId="0" applyNumberFormat="1" applyFont="1" applyBorder="1" applyProtection="1">
      <protection locked="0"/>
    </xf>
    <xf numFmtId="9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  <xf numFmtId="6" fontId="0" fillId="0" borderId="0" xfId="0" applyNumberFormat="1" applyAlignment="1">
      <alignment horizontal="center"/>
    </xf>
    <xf numFmtId="0" fontId="10" fillId="0" borderId="0" xfId="0" applyFont="1" applyFill="1" applyBorder="1" applyAlignment="1" applyProtection="1">
      <alignment horizontal="center" vertical="center"/>
    </xf>
    <xf numFmtId="6" fontId="0" fillId="15" borderId="0" xfId="0" applyNumberFormat="1" applyFont="1" applyFill="1" applyBorder="1" applyProtection="1">
      <protection locked="0"/>
    </xf>
    <xf numFmtId="8" fontId="0" fillId="15" borderId="0" xfId="0" applyNumberFormat="1" applyFont="1" applyFill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/>
    <xf numFmtId="15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44" fontId="0" fillId="0" borderId="0" xfId="50" applyFont="1" applyProtection="1">
      <protection locked="0"/>
    </xf>
    <xf numFmtId="10" fontId="0" fillId="0" borderId="0" xfId="53" applyNumberFormat="1" applyFont="1" applyAlignment="1" applyProtection="1">
      <alignment horizontal="right"/>
      <protection locked="0"/>
    </xf>
    <xf numFmtId="0" fontId="0" fillId="16" borderId="0" xfId="0" applyFont="1" applyFill="1" applyAlignment="1" applyProtection="1">
      <alignment horizontal="right"/>
      <protection locked="0"/>
    </xf>
    <xf numFmtId="8" fontId="0" fillId="0" borderId="0" xfId="0" applyNumberFormat="1" applyFont="1" applyProtection="1">
      <protection locked="0"/>
    </xf>
    <xf numFmtId="171" fontId="0" fillId="0" borderId="0" xfId="50" applyNumberFormat="1" applyFont="1" applyAlignment="1" applyProtection="1">
      <alignment horizontal="right"/>
      <protection locked="0"/>
    </xf>
    <xf numFmtId="0" fontId="14" fillId="0" borderId="0" xfId="54" applyAlignment="1" applyProtection="1">
      <alignment horizontal="left"/>
      <protection locked="0"/>
    </xf>
    <xf numFmtId="44" fontId="0" fillId="0" borderId="0" xfId="50" applyFont="1" applyAlignment="1" applyProtection="1">
      <alignment horizontal="right"/>
      <protection locked="0"/>
    </xf>
    <xf numFmtId="0" fontId="2" fillId="0" borderId="0" xfId="0" applyFont="1" applyFill="1" applyProtection="1">
      <protection locked="0"/>
    </xf>
    <xf numFmtId="0" fontId="0" fillId="0" borderId="0" xfId="0" applyFont="1" applyFill="1" applyAlignment="1" applyProtection="1">
      <alignment horizontal="center"/>
      <protection locked="0"/>
    </xf>
    <xf numFmtId="3" fontId="0" fillId="0" borderId="0" xfId="0" applyNumberFormat="1" applyFont="1" applyFill="1" applyBorder="1" applyAlignment="1" applyProtection="1">
      <alignment horizontal="right" wrapText="1"/>
      <protection locked="0"/>
    </xf>
    <xf numFmtId="164" fontId="0" fillId="0" borderId="0" xfId="0" applyNumberFormat="1" applyFont="1" applyFill="1" applyBorder="1" applyAlignment="1" applyProtection="1">
      <alignment horizontal="center" wrapText="1"/>
      <protection locked="0"/>
    </xf>
    <xf numFmtId="6" fontId="2" fillId="0" borderId="0" xfId="0" applyNumberFormat="1" applyFont="1" applyFill="1" applyBorder="1" applyProtection="1">
      <protection locked="0"/>
    </xf>
    <xf numFmtId="6" fontId="2" fillId="0" borderId="9" xfId="0" applyNumberFormat="1" applyFont="1" applyFill="1" applyBorder="1" applyProtection="1">
      <protection locked="0"/>
    </xf>
    <xf numFmtId="6" fontId="2" fillId="0" borderId="0" xfId="0" applyNumberFormat="1" applyFont="1" applyFill="1" applyAlignment="1" applyProtection="1">
      <alignment horizontal="right" wrapText="1"/>
      <protection locked="0"/>
    </xf>
    <xf numFmtId="0" fontId="2" fillId="0" borderId="0" xfId="0" applyFont="1" applyFill="1" applyAlignment="1" applyProtection="1">
      <alignment horizontal="center" wrapText="1"/>
      <protection locked="0"/>
    </xf>
    <xf numFmtId="0" fontId="0" fillId="0" borderId="0" xfId="0" applyFont="1" applyFill="1" applyProtection="1">
      <protection locked="0"/>
    </xf>
    <xf numFmtId="6" fontId="0" fillId="0" borderId="0" xfId="0" applyNumberFormat="1" applyFont="1" applyFill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/>
    <xf numFmtId="0" fontId="0" fillId="0" borderId="0" xfId="0" applyFill="1" applyBorder="1" applyAlignment="1">
      <alignment wrapText="1"/>
    </xf>
    <xf numFmtId="6" fontId="2" fillId="0" borderId="3" xfId="0" applyNumberFormat="1" applyFont="1" applyFill="1" applyBorder="1" applyAlignment="1" applyProtection="1">
      <alignment horizontal="center" wrapText="1"/>
      <protection locked="0"/>
    </xf>
    <xf numFmtId="6" fontId="0" fillId="0" borderId="3" xfId="0" applyNumberFormat="1" applyFont="1" applyFill="1" applyBorder="1" applyAlignment="1" applyProtection="1">
      <alignment horizontal="right" wrapText="1"/>
      <protection locked="0"/>
    </xf>
    <xf numFmtId="6" fontId="0" fillId="0" borderId="0" xfId="0" applyNumberFormat="1" applyFont="1" applyFill="1" applyBorder="1" applyAlignment="1" applyProtection="1">
      <alignment horizontal="right"/>
      <protection locked="0"/>
    </xf>
    <xf numFmtId="6" fontId="0" fillId="0" borderId="0" xfId="0" applyNumberFormat="1" applyFont="1" applyFill="1" applyAlignment="1" applyProtection="1">
      <alignment horizontal="right"/>
      <protection locked="0"/>
    </xf>
    <xf numFmtId="0" fontId="15" fillId="0" borderId="12" xfId="0" applyFont="1" applyBorder="1" applyProtection="1">
      <protection locked="0"/>
    </xf>
    <xf numFmtId="0" fontId="0" fillId="0" borderId="13" xfId="0" applyFont="1" applyBorder="1" applyAlignment="1" applyProtection="1">
      <alignment horizontal="center"/>
      <protection locked="0"/>
    </xf>
    <xf numFmtId="3" fontId="0" fillId="0" borderId="13" xfId="0" applyNumberFormat="1" applyFont="1" applyBorder="1" applyProtection="1">
      <protection locked="0"/>
    </xf>
    <xf numFmtId="164" fontId="0" fillId="0" borderId="13" xfId="0" applyNumberFormat="1" applyFont="1" applyBorder="1" applyProtection="1">
      <protection locked="0"/>
    </xf>
    <xf numFmtId="15" fontId="2" fillId="0" borderId="13" xfId="0" applyNumberFormat="1" applyFont="1" applyBorder="1" applyAlignment="1" applyProtection="1">
      <alignment horizontal="center"/>
      <protection locked="0"/>
    </xf>
    <xf numFmtId="6" fontId="0" fillId="2" borderId="13" xfId="0" applyNumberFormat="1" applyFont="1" applyFill="1" applyBorder="1" applyAlignment="1" applyProtection="1">
      <alignment horizontal="right"/>
      <protection locked="0"/>
    </xf>
    <xf numFmtId="6" fontId="0" fillId="0" borderId="13" xfId="0" applyNumberFormat="1" applyFont="1" applyFill="1" applyBorder="1" applyAlignment="1" applyProtection="1">
      <alignment horizontal="right"/>
      <protection locked="0"/>
    </xf>
    <xf numFmtId="9" fontId="0" fillId="0" borderId="13" xfId="0" applyNumberFormat="1" applyFont="1" applyFill="1" applyBorder="1" applyProtection="1">
      <protection locked="0"/>
    </xf>
    <xf numFmtId="15" fontId="2" fillId="0" borderId="14" xfId="0" applyNumberFormat="1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left"/>
      <protection locked="0"/>
    </xf>
    <xf numFmtId="9" fontId="0" fillId="0" borderId="0" xfId="0" applyNumberFormat="1" applyFont="1" applyFill="1" applyBorder="1" applyProtection="1"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0" fillId="0" borderId="15" xfId="0" applyFont="1" applyBorder="1" applyProtection="1">
      <protection locked="0"/>
    </xf>
    <xf numFmtId="164" fontId="0" fillId="0" borderId="0" xfId="0" applyNumberFormat="1" applyFont="1" applyBorder="1" applyProtection="1">
      <protection locked="0"/>
    </xf>
    <xf numFmtId="0" fontId="3" fillId="0" borderId="15" xfId="0" applyFont="1" applyBorder="1"/>
    <xf numFmtId="44" fontId="0" fillId="0" borderId="0" xfId="11" applyFont="1" applyBorder="1" applyProtection="1">
      <protection locked="0"/>
    </xf>
    <xf numFmtId="8" fontId="0" fillId="15" borderId="16" xfId="0" applyNumberFormat="1" applyFont="1" applyFill="1" applyBorder="1" applyProtection="1">
      <protection locked="0"/>
    </xf>
    <xf numFmtId="0" fontId="5" fillId="0" borderId="15" xfId="0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Font="1" applyBorder="1" applyAlignment="1" applyProtection="1">
      <alignment horizontal="center"/>
      <protection locked="0"/>
    </xf>
    <xf numFmtId="0" fontId="0" fillId="0" borderId="17" xfId="0" applyFont="1" applyBorder="1" applyProtection="1">
      <protection locked="0"/>
    </xf>
    <xf numFmtId="0" fontId="0" fillId="0" borderId="18" xfId="0" applyFont="1" applyBorder="1" applyAlignment="1" applyProtection="1">
      <alignment horizontal="center"/>
      <protection locked="0"/>
    </xf>
    <xf numFmtId="172" fontId="0" fillId="0" borderId="18" xfId="53" applyNumberFormat="1" applyFont="1" applyBorder="1" applyProtection="1">
      <protection locked="0"/>
    </xf>
    <xf numFmtId="164" fontId="0" fillId="0" borderId="18" xfId="0" applyNumberFormat="1" applyFont="1" applyBorder="1" applyProtection="1">
      <protection locked="0"/>
    </xf>
    <xf numFmtId="6" fontId="0" fillId="2" borderId="18" xfId="0" applyNumberFormat="1" applyFont="1" applyFill="1" applyBorder="1" applyAlignment="1" applyProtection="1">
      <alignment horizontal="right"/>
      <protection locked="0"/>
    </xf>
    <xf numFmtId="6" fontId="0" fillId="0" borderId="18" xfId="0" applyNumberFormat="1" applyFont="1" applyFill="1" applyBorder="1" applyAlignment="1" applyProtection="1">
      <alignment horizontal="right"/>
      <protection locked="0"/>
    </xf>
    <xf numFmtId="9" fontId="0" fillId="0" borderId="18" xfId="0" applyNumberFormat="1" applyFont="1" applyFill="1" applyBorder="1" applyProtection="1">
      <protection locked="0"/>
    </xf>
    <xf numFmtId="173" fontId="0" fillId="0" borderId="19" xfId="0" applyNumberFormat="1" applyFont="1" applyBorder="1" applyProtection="1">
      <protection locked="0"/>
    </xf>
    <xf numFmtId="165" fontId="0" fillId="14" borderId="9" xfId="0" applyNumberFormat="1" applyFont="1" applyFill="1" applyBorder="1" applyProtection="1">
      <protection locked="0"/>
    </xf>
    <xf numFmtId="8" fontId="0" fillId="0" borderId="3" xfId="0" applyNumberFormat="1" applyFont="1" applyFill="1" applyBorder="1" applyAlignment="1" applyProtection="1">
      <alignment horizontal="right"/>
      <protection locked="0"/>
    </xf>
    <xf numFmtId="174" fontId="0" fillId="0" borderId="0" xfId="0" applyNumberFormat="1" applyAlignment="1"/>
    <xf numFmtId="174" fontId="10" fillId="0" borderId="11" xfId="0" applyNumberFormat="1" applyFont="1" applyFill="1" applyBorder="1" applyAlignment="1" applyProtection="1">
      <alignment horizontal="right" vertical="center"/>
    </xf>
    <xf numFmtId="8" fontId="10" fillId="13" borderId="11" xfId="0" applyNumberFormat="1" applyFont="1" applyFill="1" applyBorder="1" applyAlignment="1" applyProtection="1">
      <alignment horizontal="right" vertical="center"/>
    </xf>
    <xf numFmtId="3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vertical="center"/>
    </xf>
    <xf numFmtId="170" fontId="10" fillId="0" borderId="0" xfId="49" applyNumberFormat="1" applyFont="1" applyFill="1" applyBorder="1" applyAlignment="1" applyProtection="1">
      <alignment horizontal="right" vertical="center"/>
    </xf>
    <xf numFmtId="8" fontId="0" fillId="0" borderId="11" xfId="0" applyNumberFormat="1" applyBorder="1" applyAlignment="1"/>
    <xf numFmtId="8" fontId="10" fillId="13" borderId="0" xfId="0" applyNumberFormat="1" applyFont="1" applyFill="1" applyBorder="1" applyAlignment="1" applyProtection="1">
      <alignment horizontal="right" vertical="center"/>
    </xf>
    <xf numFmtId="0" fontId="10" fillId="14" borderId="0" xfId="0" applyFont="1" applyFill="1" applyBorder="1" applyAlignment="1" applyProtection="1">
      <alignment vertical="center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9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3" xfId="0" applyFont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/>
  </cellXfs>
  <cellStyles count="55">
    <cellStyle name="Analysis-" xfId="1"/>
    <cellStyle name="Analysis_" xfId="2"/>
    <cellStyle name="Comma" xfId="49" builtinId="3"/>
    <cellStyle name="Comma 2" xfId="3"/>
    <cellStyle name="Comma 2 2" xfId="4"/>
    <cellStyle name="Comma 3" xfId="5"/>
    <cellStyle name="Cost_Display" xfId="6"/>
    <cellStyle name="Cost-Display" xfId="7"/>
    <cellStyle name="Cost-Entry" xfId="8"/>
    <cellStyle name="Currency" xfId="50" builtinId="4"/>
    <cellStyle name="Currency 2" xfId="9"/>
    <cellStyle name="Currency 2 2" xfId="10"/>
    <cellStyle name="Currency 3" xfId="11"/>
    <cellStyle name="Days-" xfId="12"/>
    <cellStyle name="Days_" xfId="13"/>
    <cellStyle name="Days-Display" xfId="14"/>
    <cellStyle name="Hyperlink" xfId="54" builtinId="8"/>
    <cellStyle name="Info_Display" xfId="15"/>
    <cellStyle name="Info-Display" xfId="16"/>
    <cellStyle name="Info-Entry" xfId="17"/>
    <cellStyle name="Normal" xfId="0" builtinId="0"/>
    <cellStyle name="Normal 10" xfId="18"/>
    <cellStyle name="Normal 11" xfId="19"/>
    <cellStyle name="Normal 12" xfId="51"/>
    <cellStyle name="Normal 13" xfId="52"/>
    <cellStyle name="Normal 2" xfId="20"/>
    <cellStyle name="Normal 2 2" xfId="21"/>
    <cellStyle name="Normal 2 3" xfId="22"/>
    <cellStyle name="Normal 3" xfId="23"/>
    <cellStyle name="Normal 3 2" xfId="24"/>
    <cellStyle name="Normal 3 2 2" xfId="25"/>
    <cellStyle name="Normal 3 3" xfId="26"/>
    <cellStyle name="Normal 3 4" xfId="27"/>
    <cellStyle name="Normal 3 5" xfId="28"/>
    <cellStyle name="Normal 4" xfId="29"/>
    <cellStyle name="Normal 4 2" xfId="30"/>
    <cellStyle name="Normal 4 2 2" xfId="31"/>
    <cellStyle name="Normal 4 3" xfId="32"/>
    <cellStyle name="Normal 4 4" xfId="33"/>
    <cellStyle name="Normal 4 5" xfId="34"/>
    <cellStyle name="Normal 5" xfId="35"/>
    <cellStyle name="Normal 6" xfId="36"/>
    <cellStyle name="Normal 6 2" xfId="37"/>
    <cellStyle name="Normal 7" xfId="38"/>
    <cellStyle name="Normal 7 2" xfId="39"/>
    <cellStyle name="Normal 8" xfId="40"/>
    <cellStyle name="Normal 9" xfId="41"/>
    <cellStyle name="Percent" xfId="53" builtinId="5"/>
    <cellStyle name="Price" xfId="42"/>
    <cellStyle name="Quant_Display" xfId="43"/>
    <cellStyle name="Quant-Display" xfId="44"/>
    <cellStyle name="Quant-Entry" xfId="45"/>
    <cellStyle name="Revenue_Display" xfId="46"/>
    <cellStyle name="Revenue-Display" xfId="47"/>
    <cellStyle name="Revenue-Entry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talprices.com/metal/cupro-nickel/cupro-nickel-c706" TargetMode="External"/><Relationship Id="rId3" Type="http://schemas.openxmlformats.org/officeDocument/2006/relationships/hyperlink" Target="http://www.metalprices.com/historical/database/copper/lme-copper-cash-official" TargetMode="External"/><Relationship Id="rId7" Type="http://schemas.openxmlformats.org/officeDocument/2006/relationships/hyperlink" Target="http://www.metalprices.com/historical/database/stainless-steel/stainless-steel-304-s-p" TargetMode="External"/><Relationship Id="rId2" Type="http://schemas.openxmlformats.org/officeDocument/2006/relationships/hyperlink" Target="http://www.metalprices.com/historical/database/aluminum/lme-aluminum-cash-official" TargetMode="External"/><Relationship Id="rId1" Type="http://schemas.openxmlformats.org/officeDocument/2006/relationships/hyperlink" Target="http://www.metalprices.com/historical/database/ferrous-scrap-price-index/fe-spi-5-plate-structural-birmingham" TargetMode="External"/><Relationship Id="rId6" Type="http://schemas.openxmlformats.org/officeDocument/2006/relationships/hyperlink" Target="http://www.metalprices.com/historical/database/brass/brass-yellow-brass" TargetMode="External"/><Relationship Id="rId5" Type="http://schemas.openxmlformats.org/officeDocument/2006/relationships/hyperlink" Target="http://www.metalprices.com/historical/database/stainless-steel/stainless-steel-304-s-p" TargetMode="External"/><Relationship Id="rId4" Type="http://schemas.openxmlformats.org/officeDocument/2006/relationships/hyperlink" Target="http://www.metalprices.com/historical/database/stainless-steel/stainless-steel-304-s-p" TargetMode="External"/><Relationship Id="rId9" Type="http://schemas.openxmlformats.org/officeDocument/2006/relationships/hyperlink" Target="http://www.metalprices.com/metal/titanium/titanium-scrap-ferro-ti-quality-turnings-non-tin-bearing-gt-85-t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54"/>
  <sheetViews>
    <sheetView showZeros="0" zoomScale="85" zoomScaleNormal="85" zoomScaleSheetLayoutView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E11" sqref="E11"/>
    </sheetView>
  </sheetViews>
  <sheetFormatPr defaultRowHeight="15" x14ac:dyDescent="0.25"/>
  <cols>
    <col min="1" max="1" width="2.42578125" style="1" customWidth="1"/>
    <col min="2" max="2" width="51.7109375" style="2" customWidth="1"/>
    <col min="3" max="3" width="4.85546875" style="60" bestFit="1" customWidth="1"/>
    <col min="4" max="4" width="10.140625" style="61" bestFit="1" customWidth="1"/>
    <col min="5" max="5" width="11.85546875" style="62" bestFit="1" customWidth="1"/>
    <col min="6" max="6" width="12.5703125" style="63" bestFit="1" customWidth="1"/>
    <col min="7" max="7" width="1.85546875" style="64" customWidth="1"/>
    <col min="8" max="8" width="15.42578125" style="145" customWidth="1"/>
    <col min="9" max="9" width="1.85546875" style="64" customWidth="1"/>
    <col min="10" max="10" width="5.5703125" style="65" bestFit="1" customWidth="1"/>
    <col min="11" max="11" width="9.5703125" style="60" customWidth="1"/>
    <col min="12" max="12" width="5.5703125" style="66" bestFit="1" customWidth="1"/>
    <col min="13" max="13" width="10" style="6" customWidth="1"/>
    <col min="14" max="14" width="4.5703125" style="6" bestFit="1" customWidth="1"/>
    <col min="15" max="15" width="9.28515625" style="2" customWidth="1"/>
    <col min="16" max="16" width="2" style="64" customWidth="1"/>
    <col min="17" max="17" width="5.7109375" style="65" bestFit="1" customWidth="1"/>
    <col min="18" max="18" width="10.85546875" style="6" bestFit="1" customWidth="1"/>
    <col min="19" max="19" width="5.5703125" style="66" bestFit="1" customWidth="1"/>
    <col min="20" max="20" width="10.85546875" style="6" bestFit="1" customWidth="1"/>
    <col min="21" max="21" width="5.5703125" style="6" bestFit="1" customWidth="1"/>
    <col min="22" max="22" width="10.85546875" style="2" bestFit="1" customWidth="1"/>
    <col min="23" max="23" width="1.42578125" style="67" customWidth="1"/>
    <col min="24" max="24" width="5.5703125" style="65" bestFit="1" customWidth="1"/>
    <col min="25" max="25" width="12.5703125" style="6" bestFit="1" customWidth="1"/>
    <col min="26" max="26" width="5.5703125" style="66" bestFit="1" customWidth="1"/>
    <col min="27" max="27" width="11.5703125" style="6" bestFit="1" customWidth="1"/>
    <col min="28" max="28" width="5.5703125" style="6" bestFit="1" customWidth="1"/>
    <col min="29" max="29" width="11.5703125" style="2" bestFit="1" customWidth="1"/>
    <col min="30" max="30" width="1.28515625" style="67" customWidth="1"/>
    <col min="31" max="31" width="5.5703125" style="65" bestFit="1" customWidth="1"/>
    <col min="32" max="32" width="11.5703125" style="6" customWidth="1"/>
    <col min="33" max="33" width="5.7109375" style="66" bestFit="1" customWidth="1"/>
    <col min="34" max="34" width="11.5703125" style="6" bestFit="1" customWidth="1"/>
    <col min="35" max="35" width="5.7109375" style="6" bestFit="1" customWidth="1"/>
    <col min="36" max="36" width="11.5703125" style="2" bestFit="1" customWidth="1"/>
    <col min="37" max="37" width="1.7109375" style="67" customWidth="1"/>
    <col min="38" max="38" width="5.5703125" style="65" bestFit="1" customWidth="1"/>
    <col min="39" max="39" width="11.5703125" style="6" customWidth="1"/>
    <col min="40" max="40" width="5.5703125" style="66" bestFit="1" customWidth="1"/>
    <col min="41" max="41" width="11.5703125" style="6" bestFit="1" customWidth="1"/>
    <col min="42" max="42" width="5.5703125" style="6" bestFit="1" customWidth="1"/>
    <col min="43" max="43" width="11.5703125" style="2" bestFit="1" customWidth="1"/>
    <col min="44" max="44" width="1.28515625" style="67" customWidth="1"/>
    <col min="45" max="45" width="5.7109375" style="65" bestFit="1" customWidth="1"/>
    <col min="46" max="46" width="11.5703125" style="6" customWidth="1"/>
    <col min="47" max="47" width="5.5703125" style="66" bestFit="1" customWidth="1"/>
    <col min="48" max="48" width="11.5703125" style="6" bestFit="1" customWidth="1"/>
    <col min="49" max="49" width="5.5703125" style="6" bestFit="1" customWidth="1"/>
    <col min="50" max="50" width="11.5703125" style="2" bestFit="1" customWidth="1"/>
    <col min="51" max="51" width="2.42578125" style="67" customWidth="1"/>
    <col min="52" max="52" width="4.7109375" style="65" bestFit="1" customWidth="1"/>
    <col min="53" max="53" width="11.85546875" style="6" bestFit="1" customWidth="1"/>
    <col min="54" max="54" width="5.5703125" style="66" bestFit="1" customWidth="1"/>
    <col min="55" max="55" width="8.28515625" style="6" bestFit="1" customWidth="1"/>
    <col min="56" max="56" width="6.5703125" style="6" bestFit="1" customWidth="1"/>
    <col min="57" max="57" width="8.28515625" style="2" bestFit="1" customWidth="1"/>
    <col min="58" max="58" width="1.85546875" style="67" customWidth="1"/>
    <col min="59" max="59" width="5.5703125" style="65" bestFit="1" customWidth="1"/>
    <col min="60" max="60" width="11.5703125" style="6" customWidth="1"/>
    <col min="61" max="61" width="5.5703125" style="66" bestFit="1" customWidth="1"/>
    <col min="62" max="62" width="11.5703125" style="6" bestFit="1" customWidth="1"/>
    <col min="63" max="63" width="5.5703125" style="6" bestFit="1" customWidth="1"/>
    <col min="64" max="64" width="11.5703125" style="2" bestFit="1" customWidth="1"/>
    <col min="65" max="65" width="36.42578125" style="5" bestFit="1" customWidth="1"/>
    <col min="66" max="67" width="36.42578125" style="6" bestFit="1" customWidth="1"/>
    <col min="68" max="16384" width="9.140625" style="2"/>
  </cols>
  <sheetData>
    <row r="1" spans="1:68" x14ac:dyDescent="0.25">
      <c r="C1" s="191" t="s">
        <v>0</v>
      </c>
      <c r="D1" s="192"/>
      <c r="E1" s="192"/>
      <c r="F1" s="192"/>
      <c r="G1" s="3"/>
      <c r="H1" s="140"/>
      <c r="I1" s="3"/>
      <c r="J1" s="187" t="s">
        <v>1</v>
      </c>
      <c r="K1" s="188"/>
      <c r="L1" s="188"/>
      <c r="M1" s="188"/>
      <c r="N1" s="188"/>
      <c r="O1" s="188"/>
      <c r="P1" s="3"/>
      <c r="Q1" s="187" t="s">
        <v>2</v>
      </c>
      <c r="R1" s="188"/>
      <c r="S1" s="188"/>
      <c r="T1" s="188"/>
      <c r="U1" s="188"/>
      <c r="V1" s="188"/>
      <c r="W1" s="4"/>
      <c r="X1" s="187" t="s">
        <v>3</v>
      </c>
      <c r="Y1" s="188"/>
      <c r="Z1" s="188"/>
      <c r="AA1" s="188"/>
      <c r="AB1" s="188"/>
      <c r="AC1" s="188"/>
      <c r="AD1" s="4"/>
      <c r="AE1" s="187" t="s">
        <v>4</v>
      </c>
      <c r="AF1" s="188"/>
      <c r="AG1" s="188"/>
      <c r="AH1" s="188"/>
      <c r="AI1" s="188"/>
      <c r="AJ1" s="188"/>
      <c r="AK1" s="4"/>
      <c r="AL1" s="187" t="s">
        <v>5</v>
      </c>
      <c r="AM1" s="188"/>
      <c r="AN1" s="188"/>
      <c r="AO1" s="188"/>
      <c r="AP1" s="188"/>
      <c r="AQ1" s="188"/>
      <c r="AR1" s="4"/>
      <c r="AS1" s="187" t="s">
        <v>6</v>
      </c>
      <c r="AT1" s="188"/>
      <c r="AU1" s="188"/>
      <c r="AV1" s="188"/>
      <c r="AW1" s="188"/>
      <c r="AX1" s="188"/>
      <c r="AY1" s="4"/>
      <c r="AZ1" s="187" t="s">
        <v>7</v>
      </c>
      <c r="BA1" s="188"/>
      <c r="BB1" s="188"/>
      <c r="BC1" s="188"/>
      <c r="BD1" s="188"/>
      <c r="BE1" s="188"/>
      <c r="BF1" s="4"/>
      <c r="BG1" s="187" t="s">
        <v>8</v>
      </c>
      <c r="BH1" s="188"/>
      <c r="BI1" s="188"/>
      <c r="BJ1" s="188"/>
      <c r="BK1" s="188"/>
      <c r="BL1" s="188"/>
    </row>
    <row r="2" spans="1:68" s="8" customFormat="1" ht="57.75" customHeight="1" x14ac:dyDescent="0.25">
      <c r="A2" s="7"/>
      <c r="C2" s="189"/>
      <c r="D2" s="190"/>
      <c r="E2" s="190"/>
      <c r="F2" s="190"/>
      <c r="G2" s="9"/>
      <c r="H2" s="141"/>
      <c r="I2" s="9"/>
      <c r="J2" s="10"/>
      <c r="K2" s="11"/>
      <c r="L2" s="185" t="s">
        <v>9</v>
      </c>
      <c r="M2" s="186"/>
      <c r="N2" s="185" t="s">
        <v>10</v>
      </c>
      <c r="O2" s="186"/>
      <c r="P2" s="9"/>
      <c r="Q2" s="10"/>
      <c r="R2" s="11"/>
      <c r="S2" s="185" t="s">
        <v>9</v>
      </c>
      <c r="T2" s="186"/>
      <c r="U2" s="185" t="s">
        <v>10</v>
      </c>
      <c r="V2" s="186"/>
      <c r="W2" s="12"/>
      <c r="X2" s="10"/>
      <c r="Y2" s="11"/>
      <c r="Z2" s="185" t="s">
        <v>9</v>
      </c>
      <c r="AA2" s="186"/>
      <c r="AB2" s="185" t="s">
        <v>10</v>
      </c>
      <c r="AC2" s="186"/>
      <c r="AD2" s="12"/>
      <c r="AE2" s="10"/>
      <c r="AF2" s="11"/>
      <c r="AG2" s="185" t="s">
        <v>9</v>
      </c>
      <c r="AH2" s="186"/>
      <c r="AI2" s="185" t="s">
        <v>10</v>
      </c>
      <c r="AJ2" s="186"/>
      <c r="AK2" s="12"/>
      <c r="AL2" s="10"/>
      <c r="AM2" s="11"/>
      <c r="AN2" s="185" t="s">
        <v>9</v>
      </c>
      <c r="AO2" s="186"/>
      <c r="AP2" s="185" t="s">
        <v>10</v>
      </c>
      <c r="AQ2" s="186"/>
      <c r="AR2" s="12"/>
      <c r="AS2" s="10"/>
      <c r="AT2" s="11"/>
      <c r="AU2" s="185" t="s">
        <v>9</v>
      </c>
      <c r="AV2" s="186"/>
      <c r="AW2" s="185" t="s">
        <v>10</v>
      </c>
      <c r="AX2" s="186"/>
      <c r="AY2" s="12"/>
      <c r="AZ2" s="10"/>
      <c r="BA2" s="11"/>
      <c r="BB2" s="185" t="s">
        <v>9</v>
      </c>
      <c r="BC2" s="186"/>
      <c r="BD2" s="185" t="s">
        <v>10</v>
      </c>
      <c r="BE2" s="186"/>
      <c r="BF2" s="12"/>
      <c r="BG2" s="10"/>
      <c r="BH2" s="11"/>
      <c r="BI2" s="185" t="s">
        <v>9</v>
      </c>
      <c r="BJ2" s="186"/>
      <c r="BK2" s="185" t="s">
        <v>10</v>
      </c>
      <c r="BL2" s="186"/>
      <c r="BM2" s="13"/>
      <c r="BN2" s="14"/>
      <c r="BO2" s="14"/>
    </row>
    <row r="3" spans="1:68" s="15" customFormat="1" ht="30" x14ac:dyDescent="0.25">
      <c r="B3" s="15" t="s">
        <v>11</v>
      </c>
      <c r="C3" s="16" t="s">
        <v>12</v>
      </c>
      <c r="D3" s="17" t="s">
        <v>13</v>
      </c>
      <c r="E3" s="18" t="s">
        <v>14</v>
      </c>
      <c r="F3" s="19" t="s">
        <v>15</v>
      </c>
      <c r="G3" s="20"/>
      <c r="H3" s="142" t="s">
        <v>171</v>
      </c>
      <c r="I3" s="20"/>
      <c r="J3" s="21" t="s">
        <v>16</v>
      </c>
      <c r="K3" s="22" t="s">
        <v>0</v>
      </c>
      <c r="L3" s="23" t="s">
        <v>16</v>
      </c>
      <c r="M3" s="24" t="s">
        <v>15</v>
      </c>
      <c r="N3" s="25" t="s">
        <v>16</v>
      </c>
      <c r="O3" s="24" t="s">
        <v>15</v>
      </c>
      <c r="P3" s="20"/>
      <c r="Q3" s="21" t="s">
        <v>16</v>
      </c>
      <c r="R3" s="22" t="s">
        <v>0</v>
      </c>
      <c r="S3" s="23" t="s">
        <v>16</v>
      </c>
      <c r="T3" s="24" t="s">
        <v>15</v>
      </c>
      <c r="U3" s="25" t="s">
        <v>16</v>
      </c>
      <c r="V3" s="24" t="s">
        <v>15</v>
      </c>
      <c r="W3" s="26"/>
      <c r="X3" s="21" t="s">
        <v>16</v>
      </c>
      <c r="Y3" s="22" t="s">
        <v>0</v>
      </c>
      <c r="Z3" s="23" t="s">
        <v>16</v>
      </c>
      <c r="AA3" s="24" t="s">
        <v>15</v>
      </c>
      <c r="AB3" s="25" t="s">
        <v>16</v>
      </c>
      <c r="AC3" s="24" t="s">
        <v>15</v>
      </c>
      <c r="AD3" s="26"/>
      <c r="AE3" s="21" t="s">
        <v>16</v>
      </c>
      <c r="AF3" s="22" t="s">
        <v>0</v>
      </c>
      <c r="AG3" s="23" t="s">
        <v>16</v>
      </c>
      <c r="AH3" s="24" t="s">
        <v>15</v>
      </c>
      <c r="AI3" s="25" t="s">
        <v>16</v>
      </c>
      <c r="AJ3" s="24" t="s">
        <v>15</v>
      </c>
      <c r="AK3" s="26"/>
      <c r="AL3" s="21" t="s">
        <v>16</v>
      </c>
      <c r="AM3" s="22" t="s">
        <v>0</v>
      </c>
      <c r="AN3" s="23" t="s">
        <v>16</v>
      </c>
      <c r="AO3" s="24" t="s">
        <v>15</v>
      </c>
      <c r="AP3" s="25" t="s">
        <v>16</v>
      </c>
      <c r="AQ3" s="24" t="s">
        <v>15</v>
      </c>
      <c r="AR3" s="26"/>
      <c r="AS3" s="21" t="s">
        <v>16</v>
      </c>
      <c r="AT3" s="22" t="s">
        <v>0</v>
      </c>
      <c r="AU3" s="23" t="s">
        <v>16</v>
      </c>
      <c r="AV3" s="24" t="s">
        <v>15</v>
      </c>
      <c r="AW3" s="25" t="s">
        <v>16</v>
      </c>
      <c r="AX3" s="24" t="s">
        <v>15</v>
      </c>
      <c r="AY3" s="26"/>
      <c r="AZ3" s="21" t="s">
        <v>16</v>
      </c>
      <c r="BA3" s="22" t="s">
        <v>0</v>
      </c>
      <c r="BB3" s="23" t="s">
        <v>16</v>
      </c>
      <c r="BC3" s="24" t="s">
        <v>15</v>
      </c>
      <c r="BD3" s="25" t="s">
        <v>16</v>
      </c>
      <c r="BE3" s="24" t="s">
        <v>15</v>
      </c>
      <c r="BF3" s="26"/>
      <c r="BG3" s="21" t="s">
        <v>16</v>
      </c>
      <c r="BH3" s="22" t="s">
        <v>0</v>
      </c>
      <c r="BI3" s="23" t="s">
        <v>16</v>
      </c>
      <c r="BJ3" s="24" t="s">
        <v>15</v>
      </c>
      <c r="BK3" s="25" t="s">
        <v>16</v>
      </c>
      <c r="BL3" s="24" t="s">
        <v>15</v>
      </c>
      <c r="BM3" s="27" t="s">
        <v>17</v>
      </c>
      <c r="BN3" s="28" t="s">
        <v>18</v>
      </c>
      <c r="BO3" s="28" t="s">
        <v>19</v>
      </c>
      <c r="BP3" s="15" t="s">
        <v>20</v>
      </c>
    </row>
    <row r="4" spans="1:68" s="15" customFormat="1" x14ac:dyDescent="0.25">
      <c r="A4" s="29" t="s">
        <v>21</v>
      </c>
      <c r="C4" s="30"/>
      <c r="D4" s="31"/>
      <c r="E4" s="32"/>
      <c r="F4" s="33">
        <v>0</v>
      </c>
      <c r="G4" s="34"/>
      <c r="H4" s="143"/>
      <c r="I4" s="34"/>
      <c r="J4" s="35"/>
      <c r="K4" s="36">
        <f>J4*$F4</f>
        <v>0</v>
      </c>
      <c r="L4" s="37"/>
      <c r="M4" s="38">
        <f>L4*K4</f>
        <v>0</v>
      </c>
      <c r="N4" s="37"/>
      <c r="O4" s="38">
        <f>N4*K4</f>
        <v>0</v>
      </c>
      <c r="P4" s="34"/>
      <c r="Q4" s="35"/>
      <c r="R4" s="36">
        <f>Q4*$F4</f>
        <v>0</v>
      </c>
      <c r="S4" s="37"/>
      <c r="T4" s="38">
        <f>S4*R4</f>
        <v>0</v>
      </c>
      <c r="U4" s="37"/>
      <c r="V4" s="38">
        <f>U4*R4</f>
        <v>0</v>
      </c>
      <c r="W4" s="39"/>
      <c r="X4" s="35"/>
      <c r="Y4" s="36">
        <f>X4*$F4</f>
        <v>0</v>
      </c>
      <c r="Z4" s="37"/>
      <c r="AA4" s="38">
        <f>Z4*Y4</f>
        <v>0</v>
      </c>
      <c r="AB4" s="37"/>
      <c r="AC4" s="38">
        <f>AB4*Y4</f>
        <v>0</v>
      </c>
      <c r="AD4" s="39"/>
      <c r="AE4" s="35"/>
      <c r="AF4" s="36">
        <f>AE4*$F4</f>
        <v>0</v>
      </c>
      <c r="AG4" s="37"/>
      <c r="AH4" s="38">
        <f>AG4*AF4</f>
        <v>0</v>
      </c>
      <c r="AI4" s="37"/>
      <c r="AJ4" s="38">
        <f>AI4*AF4</f>
        <v>0</v>
      </c>
      <c r="AK4" s="39"/>
      <c r="AL4" s="35"/>
      <c r="AM4" s="36">
        <f>AL4*$F4</f>
        <v>0</v>
      </c>
      <c r="AN4" s="37"/>
      <c r="AO4" s="38">
        <f>AN4*AM4</f>
        <v>0</v>
      </c>
      <c r="AP4" s="37"/>
      <c r="AQ4" s="38">
        <f>AP4*AM4</f>
        <v>0</v>
      </c>
      <c r="AR4" s="39"/>
      <c r="AS4" s="35"/>
      <c r="AT4" s="36">
        <f>AS4*$F4</f>
        <v>0</v>
      </c>
      <c r="AU4" s="37"/>
      <c r="AV4" s="38">
        <f>AU4*AT4</f>
        <v>0</v>
      </c>
      <c r="AW4" s="37"/>
      <c r="AX4" s="38">
        <f>AW4*AT4</f>
        <v>0</v>
      </c>
      <c r="AY4" s="39"/>
      <c r="AZ4" s="35"/>
      <c r="BA4" s="36">
        <f>AZ4*$F4</f>
        <v>0</v>
      </c>
      <c r="BB4" s="37"/>
      <c r="BC4" s="38">
        <f>BB4*BA4</f>
        <v>0</v>
      </c>
      <c r="BD4" s="37"/>
      <c r="BE4" s="38">
        <f>BD4*BA4</f>
        <v>0</v>
      </c>
      <c r="BF4" s="39"/>
      <c r="BG4" s="35"/>
      <c r="BH4" s="36">
        <f>BG4*$F4</f>
        <v>0</v>
      </c>
      <c r="BI4" s="37"/>
      <c r="BJ4" s="38">
        <f>BI4*BH4</f>
        <v>0</v>
      </c>
      <c r="BK4" s="37"/>
      <c r="BL4" s="38">
        <f>BK4*BH4</f>
        <v>0</v>
      </c>
      <c r="BM4" s="40">
        <f t="shared" ref="BM4:BM11" si="0">F4</f>
        <v>0</v>
      </c>
      <c r="BN4" s="40">
        <f t="shared" ref="BN4:BN11" si="1">K4+R4+Y4+AF4+AM4+AT4+BA4+BH4</f>
        <v>0</v>
      </c>
      <c r="BO4" s="40" t="e">
        <f>M4+O4+#REF!+#REF!+#REF!+T4+V4+#REF!+#REF!+#REF!+AA4+AC4+#REF!+#REF!+#REF!+AH4+AJ4+#REF!+#REF!+#REF!+AO4+AQ4+#REF!+#REF!+#REF!+AV4+AX4+#REF!+#REF!+#REF!+BC4+BE4+#REF!+#REF!+#REF!+BJ4+BL4+#REF!+#REF!+#REF!</f>
        <v>#REF!</v>
      </c>
      <c r="BP4" s="15" t="e">
        <f>IF(AND(BM4=BN4,BN4=BO4,BM4=BO4),0,1)</f>
        <v>#REF!</v>
      </c>
    </row>
    <row r="5" spans="1:68" s="15" customFormat="1" x14ac:dyDescent="0.25">
      <c r="B5" s="2" t="s">
        <v>23</v>
      </c>
      <c r="C5" s="41" t="s">
        <v>22</v>
      </c>
      <c r="D5" s="42">
        <v>1</v>
      </c>
      <c r="E5" s="33">
        <v>25000</v>
      </c>
      <c r="F5" s="33">
        <v>25000</v>
      </c>
      <c r="G5" s="39"/>
      <c r="H5" s="175">
        <v>25000</v>
      </c>
      <c r="I5" s="39"/>
      <c r="J5" s="35">
        <v>1</v>
      </c>
      <c r="K5" s="36">
        <f t="shared" ref="K5:K11" si="2">J5*$F5</f>
        <v>25000</v>
      </c>
      <c r="L5" s="37">
        <v>0.5</v>
      </c>
      <c r="M5" s="38">
        <f t="shared" ref="M5:M11" si="3">L5*K5</f>
        <v>12500</v>
      </c>
      <c r="N5" s="37">
        <v>0.5</v>
      </c>
      <c r="O5" s="38">
        <f t="shared" ref="O5:O11" si="4">N5*K5</f>
        <v>12500</v>
      </c>
      <c r="P5" s="39"/>
      <c r="Q5" s="35"/>
      <c r="R5" s="36">
        <f t="shared" ref="R5:R11" si="5">Q5*$F5</f>
        <v>0</v>
      </c>
      <c r="S5" s="37"/>
      <c r="T5" s="38">
        <f t="shared" ref="T5:T11" si="6">S5*R5</f>
        <v>0</v>
      </c>
      <c r="U5" s="37"/>
      <c r="V5" s="38">
        <f t="shared" ref="V5:V11" si="7">U5*R5</f>
        <v>0</v>
      </c>
      <c r="W5" s="39"/>
      <c r="X5" s="35"/>
      <c r="Y5" s="36">
        <f t="shared" ref="Y5:Y11" si="8">X5*$F5</f>
        <v>0</v>
      </c>
      <c r="Z5" s="37"/>
      <c r="AA5" s="38">
        <f t="shared" ref="AA5:AA11" si="9">Z5*Y5</f>
        <v>0</v>
      </c>
      <c r="AB5" s="37"/>
      <c r="AC5" s="38">
        <f t="shared" ref="AC5:AC11" si="10">AB5*Y5</f>
        <v>0</v>
      </c>
      <c r="AD5" s="39"/>
      <c r="AE5" s="35"/>
      <c r="AF5" s="36">
        <f t="shared" ref="AF5:AF11" si="11">AE5*$F5</f>
        <v>0</v>
      </c>
      <c r="AG5" s="37"/>
      <c r="AH5" s="38">
        <f t="shared" ref="AH5:AH11" si="12">AG5*AF5</f>
        <v>0</v>
      </c>
      <c r="AI5" s="37"/>
      <c r="AJ5" s="38">
        <f t="shared" ref="AJ5:AJ11" si="13">AI5*AF5</f>
        <v>0</v>
      </c>
      <c r="AK5" s="39"/>
      <c r="AL5" s="35"/>
      <c r="AM5" s="36">
        <f t="shared" ref="AM5:AM11" si="14">AL5*$F5</f>
        <v>0</v>
      </c>
      <c r="AN5" s="37"/>
      <c r="AO5" s="38">
        <f t="shared" ref="AO5:AO11" si="15">AN5*AM5</f>
        <v>0</v>
      </c>
      <c r="AP5" s="37"/>
      <c r="AQ5" s="38">
        <f t="shared" ref="AQ5:AQ11" si="16">AP5*AM5</f>
        <v>0</v>
      </c>
      <c r="AR5" s="39"/>
      <c r="AS5" s="35"/>
      <c r="AT5" s="36">
        <f t="shared" ref="AT5:AT11" si="17">AS5*$F5</f>
        <v>0</v>
      </c>
      <c r="AU5" s="37"/>
      <c r="AV5" s="38">
        <f t="shared" ref="AV5:AV11" si="18">AU5*AT5</f>
        <v>0</v>
      </c>
      <c r="AW5" s="37"/>
      <c r="AX5" s="38">
        <f t="shared" ref="AX5:AX11" si="19">AW5*AT5</f>
        <v>0</v>
      </c>
      <c r="AY5" s="39"/>
      <c r="AZ5" s="35"/>
      <c r="BA5" s="36">
        <f t="shared" ref="BA5:BA11" si="20">AZ5*$F5</f>
        <v>0</v>
      </c>
      <c r="BB5" s="37"/>
      <c r="BC5" s="38">
        <f t="shared" ref="BC5:BC11" si="21">BB5*BA5</f>
        <v>0</v>
      </c>
      <c r="BD5" s="37"/>
      <c r="BE5" s="38">
        <f t="shared" ref="BE5:BE11" si="22">BD5*BA5</f>
        <v>0</v>
      </c>
      <c r="BF5" s="39"/>
      <c r="BG5" s="35"/>
      <c r="BH5" s="36">
        <f t="shared" ref="BH5:BH11" si="23">BG5*$F5</f>
        <v>0</v>
      </c>
      <c r="BI5" s="37"/>
      <c r="BJ5" s="38">
        <f t="shared" ref="BJ5:BJ11" si="24">BI5*BH5</f>
        <v>0</v>
      </c>
      <c r="BK5" s="37"/>
      <c r="BL5" s="38">
        <f t="shared" ref="BL5:BL11" si="25">BK5*BH5</f>
        <v>0</v>
      </c>
      <c r="BM5" s="40">
        <f t="shared" si="0"/>
        <v>25000</v>
      </c>
      <c r="BN5" s="40">
        <f t="shared" si="1"/>
        <v>25000</v>
      </c>
      <c r="BO5" s="40" t="e">
        <f>M5+O5+#REF!+#REF!+#REF!+T5+V5+#REF!+#REF!+#REF!+AA5+AC5+#REF!+#REF!+#REF!+AH5+AJ5+#REF!+#REF!+#REF!+AO5+AQ5+#REF!+#REF!+#REF!+AV5+AX5+#REF!+#REF!+#REF!+BC5+BE5+#REF!+#REF!+#REF!+BJ5+BL5+#REF!+#REF!+#REF!</f>
        <v>#REF!</v>
      </c>
      <c r="BP5" s="15" t="e">
        <f t="shared" ref="BP5:BP32" si="26">IF(AND(BM5=BN5,BN5=BO5,BM5=BO5),0,1)</f>
        <v>#REF!</v>
      </c>
    </row>
    <row r="6" spans="1:68" s="15" customFormat="1" x14ac:dyDescent="0.25">
      <c r="B6" s="43" t="s">
        <v>24</v>
      </c>
      <c r="C6" s="41" t="s">
        <v>22</v>
      </c>
      <c r="D6" s="42">
        <v>1</v>
      </c>
      <c r="E6" s="33">
        <v>25000</v>
      </c>
      <c r="F6" s="33">
        <v>25000</v>
      </c>
      <c r="G6" s="39"/>
      <c r="H6" s="175">
        <v>25000</v>
      </c>
      <c r="I6" s="39"/>
      <c r="J6" s="35">
        <v>1</v>
      </c>
      <c r="K6" s="36">
        <f t="shared" si="2"/>
        <v>25000</v>
      </c>
      <c r="L6" s="37">
        <v>0.5</v>
      </c>
      <c r="M6" s="38">
        <f t="shared" si="3"/>
        <v>12500</v>
      </c>
      <c r="N6" s="37">
        <v>0.5</v>
      </c>
      <c r="O6" s="38">
        <f t="shared" si="4"/>
        <v>12500</v>
      </c>
      <c r="P6" s="39"/>
      <c r="Q6" s="35"/>
      <c r="R6" s="36">
        <f t="shared" si="5"/>
        <v>0</v>
      </c>
      <c r="S6" s="37"/>
      <c r="T6" s="38">
        <f t="shared" si="6"/>
        <v>0</v>
      </c>
      <c r="U6" s="37"/>
      <c r="V6" s="38">
        <f t="shared" si="7"/>
        <v>0</v>
      </c>
      <c r="W6" s="39"/>
      <c r="X6" s="35"/>
      <c r="Y6" s="36">
        <f t="shared" si="8"/>
        <v>0</v>
      </c>
      <c r="Z6" s="37"/>
      <c r="AA6" s="38">
        <f t="shared" si="9"/>
        <v>0</v>
      </c>
      <c r="AB6" s="37"/>
      <c r="AC6" s="38">
        <f t="shared" si="10"/>
        <v>0</v>
      </c>
      <c r="AD6" s="39"/>
      <c r="AE6" s="35"/>
      <c r="AF6" s="36">
        <f t="shared" si="11"/>
        <v>0</v>
      </c>
      <c r="AG6" s="37"/>
      <c r="AH6" s="38">
        <f t="shared" si="12"/>
        <v>0</v>
      </c>
      <c r="AI6" s="37"/>
      <c r="AJ6" s="38">
        <f t="shared" si="13"/>
        <v>0</v>
      </c>
      <c r="AK6" s="39"/>
      <c r="AL6" s="35"/>
      <c r="AM6" s="36">
        <f t="shared" si="14"/>
        <v>0</v>
      </c>
      <c r="AN6" s="37"/>
      <c r="AO6" s="38">
        <f t="shared" si="15"/>
        <v>0</v>
      </c>
      <c r="AP6" s="37"/>
      <c r="AQ6" s="38">
        <f t="shared" si="16"/>
        <v>0</v>
      </c>
      <c r="AR6" s="39"/>
      <c r="AS6" s="35"/>
      <c r="AT6" s="36">
        <f t="shared" si="17"/>
        <v>0</v>
      </c>
      <c r="AU6" s="37"/>
      <c r="AV6" s="38">
        <f t="shared" si="18"/>
        <v>0</v>
      </c>
      <c r="AW6" s="37"/>
      <c r="AX6" s="38">
        <f t="shared" si="19"/>
        <v>0</v>
      </c>
      <c r="AY6" s="39"/>
      <c r="AZ6" s="35"/>
      <c r="BA6" s="36">
        <f t="shared" si="20"/>
        <v>0</v>
      </c>
      <c r="BB6" s="37"/>
      <c r="BC6" s="38">
        <f t="shared" si="21"/>
        <v>0</v>
      </c>
      <c r="BD6" s="37"/>
      <c r="BE6" s="38">
        <f t="shared" si="22"/>
        <v>0</v>
      </c>
      <c r="BF6" s="39"/>
      <c r="BG6" s="35"/>
      <c r="BH6" s="36">
        <f t="shared" si="23"/>
        <v>0</v>
      </c>
      <c r="BI6" s="37"/>
      <c r="BJ6" s="38">
        <f t="shared" si="24"/>
        <v>0</v>
      </c>
      <c r="BK6" s="37"/>
      <c r="BL6" s="38">
        <f t="shared" si="25"/>
        <v>0</v>
      </c>
      <c r="BM6" s="40">
        <f t="shared" si="0"/>
        <v>25000</v>
      </c>
      <c r="BN6" s="40">
        <f t="shared" si="1"/>
        <v>25000</v>
      </c>
      <c r="BO6" s="40" t="e">
        <f>M6+O6+#REF!+#REF!+#REF!+T6+V6+#REF!+#REF!+#REF!+AA6+AC6+#REF!+#REF!+#REF!+AH6+AJ6+#REF!+#REF!+#REF!+AO6+AQ6+#REF!+#REF!+#REF!+AV6+AX6+#REF!+#REF!+#REF!+BC6+BE6+#REF!+#REF!+#REF!+BJ6+BL6+#REF!+#REF!+#REF!</f>
        <v>#REF!</v>
      </c>
      <c r="BP6" s="15" t="e">
        <f t="shared" si="26"/>
        <v>#REF!</v>
      </c>
    </row>
    <row r="7" spans="1:68" s="15" customFormat="1" x14ac:dyDescent="0.25">
      <c r="B7" s="2"/>
      <c r="C7" s="44"/>
      <c r="D7" s="42"/>
      <c r="E7" s="33"/>
      <c r="F7" s="33"/>
      <c r="G7" s="39"/>
      <c r="H7" s="175">
        <v>0</v>
      </c>
      <c r="I7" s="39"/>
      <c r="J7" s="35"/>
      <c r="K7" s="36">
        <f t="shared" si="2"/>
        <v>0</v>
      </c>
      <c r="L7" s="37"/>
      <c r="M7" s="38">
        <f t="shared" si="3"/>
        <v>0</v>
      </c>
      <c r="N7" s="37"/>
      <c r="O7" s="38">
        <f t="shared" si="4"/>
        <v>0</v>
      </c>
      <c r="P7" s="39"/>
      <c r="Q7" s="35"/>
      <c r="R7" s="36">
        <f t="shared" si="5"/>
        <v>0</v>
      </c>
      <c r="S7" s="37"/>
      <c r="T7" s="38">
        <f t="shared" si="6"/>
        <v>0</v>
      </c>
      <c r="U7" s="37"/>
      <c r="V7" s="38">
        <f t="shared" si="7"/>
        <v>0</v>
      </c>
      <c r="W7" s="39"/>
      <c r="X7" s="35"/>
      <c r="Y7" s="36">
        <f t="shared" si="8"/>
        <v>0</v>
      </c>
      <c r="Z7" s="37"/>
      <c r="AA7" s="38">
        <f t="shared" si="9"/>
        <v>0</v>
      </c>
      <c r="AB7" s="37"/>
      <c r="AC7" s="38">
        <f t="shared" si="10"/>
        <v>0</v>
      </c>
      <c r="AD7" s="39"/>
      <c r="AE7" s="35"/>
      <c r="AF7" s="36">
        <f t="shared" si="11"/>
        <v>0</v>
      </c>
      <c r="AG7" s="37"/>
      <c r="AH7" s="38">
        <f t="shared" si="12"/>
        <v>0</v>
      </c>
      <c r="AI7" s="37"/>
      <c r="AJ7" s="38">
        <f t="shared" si="13"/>
        <v>0</v>
      </c>
      <c r="AK7" s="39"/>
      <c r="AL7" s="35"/>
      <c r="AM7" s="36">
        <f t="shared" si="14"/>
        <v>0</v>
      </c>
      <c r="AN7" s="37"/>
      <c r="AO7" s="38">
        <f t="shared" si="15"/>
        <v>0</v>
      </c>
      <c r="AP7" s="37"/>
      <c r="AQ7" s="38">
        <f t="shared" si="16"/>
        <v>0</v>
      </c>
      <c r="AR7" s="39"/>
      <c r="AS7" s="35"/>
      <c r="AT7" s="36">
        <f t="shared" si="17"/>
        <v>0</v>
      </c>
      <c r="AU7" s="37"/>
      <c r="AV7" s="38">
        <f t="shared" si="18"/>
        <v>0</v>
      </c>
      <c r="AW7" s="37"/>
      <c r="AX7" s="38">
        <f t="shared" si="19"/>
        <v>0</v>
      </c>
      <c r="AY7" s="39"/>
      <c r="AZ7" s="35"/>
      <c r="BA7" s="36">
        <f t="shared" si="20"/>
        <v>0</v>
      </c>
      <c r="BB7" s="37"/>
      <c r="BC7" s="38">
        <f t="shared" si="21"/>
        <v>0</v>
      </c>
      <c r="BD7" s="37"/>
      <c r="BE7" s="38">
        <f t="shared" si="22"/>
        <v>0</v>
      </c>
      <c r="BF7" s="39"/>
      <c r="BG7" s="35"/>
      <c r="BH7" s="36">
        <f t="shared" si="23"/>
        <v>0</v>
      </c>
      <c r="BI7" s="37"/>
      <c r="BJ7" s="38">
        <f t="shared" si="24"/>
        <v>0</v>
      </c>
      <c r="BK7" s="37"/>
      <c r="BL7" s="38">
        <f t="shared" si="25"/>
        <v>0</v>
      </c>
      <c r="BM7" s="40">
        <f t="shared" si="0"/>
        <v>0</v>
      </c>
      <c r="BN7" s="40">
        <f t="shared" si="1"/>
        <v>0</v>
      </c>
      <c r="BO7" s="40" t="e">
        <f>M7+O7+#REF!+#REF!+#REF!+T7+V7+#REF!+#REF!+#REF!+AA7+AC7+#REF!+#REF!+#REF!+AH7+AJ7+#REF!+#REF!+#REF!+AO7+AQ7+#REF!+#REF!+#REF!+AV7+AX7+#REF!+#REF!+#REF!+BC7+BE7+#REF!+#REF!+#REF!+BJ7+BL7+#REF!+#REF!+#REF!</f>
        <v>#REF!</v>
      </c>
      <c r="BP7" s="15" t="e">
        <f t="shared" si="26"/>
        <v>#REF!</v>
      </c>
    </row>
    <row r="8" spans="1:68" x14ac:dyDescent="0.25">
      <c r="A8" s="1" t="s">
        <v>25</v>
      </c>
      <c r="C8" s="44"/>
      <c r="D8" s="50"/>
      <c r="E8" s="33"/>
      <c r="F8" s="33">
        <v>0</v>
      </c>
      <c r="G8" s="39"/>
      <c r="H8" s="175">
        <v>0</v>
      </c>
      <c r="I8" s="39"/>
      <c r="J8" s="35"/>
      <c r="K8" s="36">
        <f t="shared" si="2"/>
        <v>0</v>
      </c>
      <c r="L8" s="37"/>
      <c r="M8" s="38">
        <f t="shared" si="3"/>
        <v>0</v>
      </c>
      <c r="N8" s="37"/>
      <c r="O8" s="38">
        <f t="shared" si="4"/>
        <v>0</v>
      </c>
      <c r="P8" s="39"/>
      <c r="Q8" s="35"/>
      <c r="R8" s="36">
        <f t="shared" si="5"/>
        <v>0</v>
      </c>
      <c r="S8" s="37"/>
      <c r="T8" s="38">
        <f t="shared" si="6"/>
        <v>0</v>
      </c>
      <c r="U8" s="37"/>
      <c r="V8" s="38">
        <f t="shared" si="7"/>
        <v>0</v>
      </c>
      <c r="W8" s="39"/>
      <c r="X8" s="35"/>
      <c r="Y8" s="36">
        <f t="shared" si="8"/>
        <v>0</v>
      </c>
      <c r="Z8" s="37"/>
      <c r="AA8" s="38">
        <f t="shared" si="9"/>
        <v>0</v>
      </c>
      <c r="AB8" s="37"/>
      <c r="AC8" s="38">
        <f t="shared" si="10"/>
        <v>0</v>
      </c>
      <c r="AD8" s="39"/>
      <c r="AE8" s="35"/>
      <c r="AF8" s="36">
        <f t="shared" si="11"/>
        <v>0</v>
      </c>
      <c r="AG8" s="37"/>
      <c r="AH8" s="38">
        <f t="shared" si="12"/>
        <v>0</v>
      </c>
      <c r="AI8" s="37"/>
      <c r="AJ8" s="38">
        <f t="shared" si="13"/>
        <v>0</v>
      </c>
      <c r="AK8" s="39"/>
      <c r="AL8" s="35"/>
      <c r="AM8" s="36">
        <f t="shared" si="14"/>
        <v>0</v>
      </c>
      <c r="AN8" s="37"/>
      <c r="AO8" s="38">
        <f t="shared" si="15"/>
        <v>0</v>
      </c>
      <c r="AP8" s="37"/>
      <c r="AQ8" s="38">
        <f t="shared" si="16"/>
        <v>0</v>
      </c>
      <c r="AR8" s="39"/>
      <c r="AS8" s="35"/>
      <c r="AT8" s="36">
        <f t="shared" si="17"/>
        <v>0</v>
      </c>
      <c r="AU8" s="37"/>
      <c r="AV8" s="38">
        <f t="shared" si="18"/>
        <v>0</v>
      </c>
      <c r="AW8" s="37"/>
      <c r="AX8" s="38">
        <f t="shared" si="19"/>
        <v>0</v>
      </c>
      <c r="AY8" s="39"/>
      <c r="AZ8" s="35"/>
      <c r="BA8" s="36">
        <f t="shared" si="20"/>
        <v>0</v>
      </c>
      <c r="BB8" s="37"/>
      <c r="BC8" s="38">
        <f t="shared" si="21"/>
        <v>0</v>
      </c>
      <c r="BD8" s="37"/>
      <c r="BE8" s="38">
        <f t="shared" si="22"/>
        <v>0</v>
      </c>
      <c r="BF8" s="39"/>
      <c r="BG8" s="35"/>
      <c r="BH8" s="36">
        <f t="shared" si="23"/>
        <v>0</v>
      </c>
      <c r="BI8" s="37"/>
      <c r="BJ8" s="38">
        <f t="shared" si="24"/>
        <v>0</v>
      </c>
      <c r="BK8" s="37"/>
      <c r="BL8" s="38">
        <f t="shared" si="25"/>
        <v>0</v>
      </c>
      <c r="BM8" s="40">
        <f t="shared" si="0"/>
        <v>0</v>
      </c>
      <c r="BN8" s="40">
        <f t="shared" si="1"/>
        <v>0</v>
      </c>
      <c r="BO8" s="40" t="e">
        <f>M8+O8+#REF!+#REF!+#REF!+T8+V8+#REF!+#REF!+#REF!+AA8+AC8+#REF!+#REF!+#REF!+AH8+AJ8+#REF!+#REF!+#REF!+AO8+AQ8+#REF!+#REF!+#REF!+AV8+AX8+#REF!+#REF!+#REF!+BC8+BE8+#REF!+#REF!+#REF!+BJ8+BL8+#REF!+#REF!+#REF!</f>
        <v>#REF!</v>
      </c>
      <c r="BP8" s="15" t="e">
        <f t="shared" si="26"/>
        <v>#REF!</v>
      </c>
    </row>
    <row r="9" spans="1:68" x14ac:dyDescent="0.25">
      <c r="A9" s="2"/>
      <c r="B9" s="2" t="s">
        <v>26</v>
      </c>
      <c r="C9" s="41" t="s">
        <v>22</v>
      </c>
      <c r="D9" s="50">
        <v>1</v>
      </c>
      <c r="E9" s="33">
        <v>45000</v>
      </c>
      <c r="F9" s="33">
        <v>45000</v>
      </c>
      <c r="G9" s="39"/>
      <c r="H9" s="175">
        <v>45000</v>
      </c>
      <c r="I9" s="39"/>
      <c r="J9" s="35">
        <v>0.125</v>
      </c>
      <c r="K9" s="36">
        <f t="shared" si="2"/>
        <v>5625</v>
      </c>
      <c r="L9" s="37">
        <v>0.5</v>
      </c>
      <c r="M9" s="38">
        <f t="shared" si="3"/>
        <v>2812.5</v>
      </c>
      <c r="N9" s="37">
        <v>0.5</v>
      </c>
      <c r="O9" s="38">
        <f t="shared" si="4"/>
        <v>2812.5</v>
      </c>
      <c r="P9" s="39"/>
      <c r="Q9" s="35">
        <v>0.125</v>
      </c>
      <c r="R9" s="36">
        <f t="shared" si="5"/>
        <v>5625</v>
      </c>
      <c r="S9" s="37">
        <v>0.5</v>
      </c>
      <c r="T9" s="38">
        <f t="shared" si="6"/>
        <v>2812.5</v>
      </c>
      <c r="U9" s="37">
        <v>0.5</v>
      </c>
      <c r="V9" s="38">
        <f t="shared" si="7"/>
        <v>2812.5</v>
      </c>
      <c r="W9" s="39"/>
      <c r="X9" s="35">
        <v>0.125</v>
      </c>
      <c r="Y9" s="36">
        <f t="shared" si="8"/>
        <v>5625</v>
      </c>
      <c r="Z9" s="37">
        <v>0.5</v>
      </c>
      <c r="AA9" s="38">
        <f t="shared" si="9"/>
        <v>2812.5</v>
      </c>
      <c r="AB9" s="37">
        <v>0.5</v>
      </c>
      <c r="AC9" s="38">
        <f t="shared" si="10"/>
        <v>2812.5</v>
      </c>
      <c r="AD9" s="39"/>
      <c r="AE9" s="35">
        <v>0.125</v>
      </c>
      <c r="AF9" s="36">
        <f t="shared" si="11"/>
        <v>5625</v>
      </c>
      <c r="AG9" s="37">
        <v>0.5</v>
      </c>
      <c r="AH9" s="38">
        <f t="shared" si="12"/>
        <v>2812.5</v>
      </c>
      <c r="AI9" s="37">
        <v>0.5</v>
      </c>
      <c r="AJ9" s="38">
        <f t="shared" si="13"/>
        <v>2812.5</v>
      </c>
      <c r="AK9" s="39"/>
      <c r="AL9" s="35">
        <v>0.125</v>
      </c>
      <c r="AM9" s="36">
        <f t="shared" si="14"/>
        <v>5625</v>
      </c>
      <c r="AN9" s="37">
        <v>0.5</v>
      </c>
      <c r="AO9" s="38">
        <f t="shared" si="15"/>
        <v>2812.5</v>
      </c>
      <c r="AP9" s="37">
        <v>0.5</v>
      </c>
      <c r="AQ9" s="38">
        <f t="shared" si="16"/>
        <v>2812.5</v>
      </c>
      <c r="AR9" s="39"/>
      <c r="AS9" s="35">
        <v>0.125</v>
      </c>
      <c r="AT9" s="36">
        <f t="shared" si="17"/>
        <v>5625</v>
      </c>
      <c r="AU9" s="37">
        <v>0.5</v>
      </c>
      <c r="AV9" s="38">
        <f t="shared" si="18"/>
        <v>2812.5</v>
      </c>
      <c r="AW9" s="37">
        <v>0.5</v>
      </c>
      <c r="AX9" s="38">
        <f t="shared" si="19"/>
        <v>2812.5</v>
      </c>
      <c r="AY9" s="39"/>
      <c r="AZ9" s="35">
        <v>0.125</v>
      </c>
      <c r="BA9" s="36">
        <f t="shared" si="20"/>
        <v>5625</v>
      </c>
      <c r="BB9" s="37">
        <v>0.5</v>
      </c>
      <c r="BC9" s="38">
        <f t="shared" si="21"/>
        <v>2812.5</v>
      </c>
      <c r="BD9" s="37">
        <v>0.5</v>
      </c>
      <c r="BE9" s="38">
        <f t="shared" si="22"/>
        <v>2812.5</v>
      </c>
      <c r="BF9" s="39"/>
      <c r="BG9" s="35">
        <v>0.125</v>
      </c>
      <c r="BH9" s="36">
        <f t="shared" si="23"/>
        <v>5625</v>
      </c>
      <c r="BI9" s="37">
        <v>0.5</v>
      </c>
      <c r="BJ9" s="38">
        <f t="shared" si="24"/>
        <v>2812.5</v>
      </c>
      <c r="BK9" s="37">
        <v>0.5</v>
      </c>
      <c r="BL9" s="38">
        <f t="shared" si="25"/>
        <v>2812.5</v>
      </c>
      <c r="BM9" s="40">
        <f t="shared" si="0"/>
        <v>45000</v>
      </c>
      <c r="BN9" s="40">
        <f t="shared" si="1"/>
        <v>45000</v>
      </c>
      <c r="BO9" s="40" t="e">
        <f>M9+O9+#REF!+#REF!+#REF!+T9+V9+#REF!+#REF!+#REF!+AA9+AC9+#REF!+#REF!+#REF!+AH9+AJ9+#REF!+#REF!+#REF!+AO9+AQ9+#REF!+#REF!+#REF!+AV9+AX9+#REF!+#REF!+#REF!+BC9+BE9+#REF!+#REF!+#REF!+BJ9+BL9+#REF!+#REF!+#REF!</f>
        <v>#REF!</v>
      </c>
      <c r="BP9" s="15" t="e">
        <f t="shared" si="26"/>
        <v>#REF!</v>
      </c>
    </row>
    <row r="10" spans="1:68" x14ac:dyDescent="0.25">
      <c r="B10" s="45" t="s">
        <v>28</v>
      </c>
      <c r="C10" s="41" t="s">
        <v>22</v>
      </c>
      <c r="D10" s="50">
        <v>1</v>
      </c>
      <c r="E10" s="33">
        <v>15000</v>
      </c>
      <c r="F10" s="33">
        <v>15000</v>
      </c>
      <c r="G10" s="39"/>
      <c r="H10" s="175">
        <v>15000</v>
      </c>
      <c r="I10" s="39"/>
      <c r="J10" s="35">
        <v>0.125</v>
      </c>
      <c r="K10" s="36">
        <f t="shared" si="2"/>
        <v>1875</v>
      </c>
      <c r="L10" s="37">
        <v>0.5</v>
      </c>
      <c r="M10" s="38">
        <f t="shared" si="3"/>
        <v>937.5</v>
      </c>
      <c r="N10" s="37">
        <v>0.5</v>
      </c>
      <c r="O10" s="38">
        <f t="shared" si="4"/>
        <v>937.5</v>
      </c>
      <c r="P10" s="39"/>
      <c r="Q10" s="35">
        <v>0.125</v>
      </c>
      <c r="R10" s="36">
        <f t="shared" si="5"/>
        <v>1875</v>
      </c>
      <c r="S10" s="37">
        <v>0.5</v>
      </c>
      <c r="T10" s="38">
        <f t="shared" si="6"/>
        <v>937.5</v>
      </c>
      <c r="U10" s="37">
        <v>0.5</v>
      </c>
      <c r="V10" s="38">
        <f t="shared" si="7"/>
        <v>937.5</v>
      </c>
      <c r="W10" s="39"/>
      <c r="X10" s="35">
        <v>0.125</v>
      </c>
      <c r="Y10" s="36">
        <f t="shared" si="8"/>
        <v>1875</v>
      </c>
      <c r="Z10" s="37">
        <v>0.5</v>
      </c>
      <c r="AA10" s="38">
        <f t="shared" si="9"/>
        <v>937.5</v>
      </c>
      <c r="AB10" s="37">
        <v>0.5</v>
      </c>
      <c r="AC10" s="38">
        <f t="shared" si="10"/>
        <v>937.5</v>
      </c>
      <c r="AD10" s="39"/>
      <c r="AE10" s="35">
        <v>0.125</v>
      </c>
      <c r="AF10" s="36">
        <f t="shared" si="11"/>
        <v>1875</v>
      </c>
      <c r="AG10" s="37">
        <v>0.5</v>
      </c>
      <c r="AH10" s="38">
        <f t="shared" si="12"/>
        <v>937.5</v>
      </c>
      <c r="AI10" s="37">
        <v>0.5</v>
      </c>
      <c r="AJ10" s="38">
        <f t="shared" si="13"/>
        <v>937.5</v>
      </c>
      <c r="AK10" s="39"/>
      <c r="AL10" s="35">
        <v>0.125</v>
      </c>
      <c r="AM10" s="36">
        <f t="shared" si="14"/>
        <v>1875</v>
      </c>
      <c r="AN10" s="37">
        <v>0.5</v>
      </c>
      <c r="AO10" s="38">
        <f t="shared" si="15"/>
        <v>937.5</v>
      </c>
      <c r="AP10" s="37">
        <v>0.5</v>
      </c>
      <c r="AQ10" s="38">
        <f t="shared" si="16"/>
        <v>937.5</v>
      </c>
      <c r="AR10" s="39"/>
      <c r="AS10" s="35">
        <v>0.125</v>
      </c>
      <c r="AT10" s="36">
        <f t="shared" si="17"/>
        <v>1875</v>
      </c>
      <c r="AU10" s="37">
        <v>0.5</v>
      </c>
      <c r="AV10" s="38">
        <f t="shared" si="18"/>
        <v>937.5</v>
      </c>
      <c r="AW10" s="37">
        <v>0.5</v>
      </c>
      <c r="AX10" s="38">
        <f t="shared" si="19"/>
        <v>937.5</v>
      </c>
      <c r="AY10" s="39"/>
      <c r="AZ10" s="35">
        <v>0.125</v>
      </c>
      <c r="BA10" s="36">
        <f t="shared" si="20"/>
        <v>1875</v>
      </c>
      <c r="BB10" s="37">
        <v>0.5</v>
      </c>
      <c r="BC10" s="38">
        <f t="shared" si="21"/>
        <v>937.5</v>
      </c>
      <c r="BD10" s="37">
        <v>0.5</v>
      </c>
      <c r="BE10" s="38">
        <f t="shared" si="22"/>
        <v>937.5</v>
      </c>
      <c r="BF10" s="39"/>
      <c r="BG10" s="35">
        <v>0.125</v>
      </c>
      <c r="BH10" s="36">
        <f t="shared" si="23"/>
        <v>1875</v>
      </c>
      <c r="BI10" s="37">
        <v>0.5</v>
      </c>
      <c r="BJ10" s="38">
        <f t="shared" si="24"/>
        <v>937.5</v>
      </c>
      <c r="BK10" s="37">
        <v>0.5</v>
      </c>
      <c r="BL10" s="38">
        <f t="shared" si="25"/>
        <v>937.5</v>
      </c>
      <c r="BM10" s="40">
        <f t="shared" si="0"/>
        <v>15000</v>
      </c>
      <c r="BN10" s="40">
        <f t="shared" si="1"/>
        <v>15000</v>
      </c>
      <c r="BO10" s="40" t="e">
        <f>M10+O10+#REF!+#REF!+#REF!+T10+V10+#REF!+#REF!+#REF!+AA10+AC10+#REF!+#REF!+#REF!+AH10+AJ10+#REF!+#REF!+#REF!+AO10+AQ10+#REF!+#REF!+#REF!+AV10+AX10+#REF!+#REF!+#REF!+BC10+BE10+#REF!+#REF!+#REF!+BJ10+BL10+#REF!+#REF!+#REF!</f>
        <v>#REF!</v>
      </c>
      <c r="BP10" s="15" t="e">
        <f t="shared" si="26"/>
        <v>#REF!</v>
      </c>
    </row>
    <row r="11" spans="1:68" x14ac:dyDescent="0.25">
      <c r="A11" s="2"/>
      <c r="B11" s="2" t="s">
        <v>29</v>
      </c>
      <c r="C11" s="41" t="s">
        <v>27</v>
      </c>
      <c r="D11" s="50">
        <v>45000</v>
      </c>
      <c r="E11" s="174">
        <f>H11*$K$53</f>
        <v>0.25509999999999999</v>
      </c>
      <c r="F11" s="33">
        <v>11250</v>
      </c>
      <c r="G11" s="39"/>
      <c r="H11" s="175">
        <v>0.25</v>
      </c>
      <c r="I11" s="39"/>
      <c r="J11" s="35"/>
      <c r="K11" s="36">
        <f t="shared" si="2"/>
        <v>0</v>
      </c>
      <c r="L11" s="37"/>
      <c r="M11" s="38">
        <f t="shared" si="3"/>
        <v>0</v>
      </c>
      <c r="N11" s="37"/>
      <c r="O11" s="38">
        <f t="shared" si="4"/>
        <v>0</v>
      </c>
      <c r="P11" s="39"/>
      <c r="Q11" s="35">
        <v>1</v>
      </c>
      <c r="R11" s="36">
        <f t="shared" si="5"/>
        <v>11250</v>
      </c>
      <c r="S11" s="37">
        <v>0.5</v>
      </c>
      <c r="T11" s="38">
        <f t="shared" si="6"/>
        <v>5625</v>
      </c>
      <c r="U11" s="37">
        <v>0.5</v>
      </c>
      <c r="V11" s="38">
        <f t="shared" si="7"/>
        <v>5625</v>
      </c>
      <c r="W11" s="39"/>
      <c r="X11" s="35"/>
      <c r="Y11" s="36">
        <f t="shared" si="8"/>
        <v>0</v>
      </c>
      <c r="Z11" s="37"/>
      <c r="AA11" s="38">
        <f t="shared" si="9"/>
        <v>0</v>
      </c>
      <c r="AB11" s="37"/>
      <c r="AC11" s="38">
        <f t="shared" si="10"/>
        <v>0</v>
      </c>
      <c r="AD11" s="39"/>
      <c r="AE11" s="35"/>
      <c r="AF11" s="36">
        <f t="shared" si="11"/>
        <v>0</v>
      </c>
      <c r="AG11" s="37"/>
      <c r="AH11" s="38">
        <f t="shared" si="12"/>
        <v>0</v>
      </c>
      <c r="AI11" s="37"/>
      <c r="AJ11" s="38">
        <f t="shared" si="13"/>
        <v>0</v>
      </c>
      <c r="AK11" s="39"/>
      <c r="AL11" s="35"/>
      <c r="AM11" s="36">
        <f t="shared" si="14"/>
        <v>0</v>
      </c>
      <c r="AN11" s="37"/>
      <c r="AO11" s="38">
        <f t="shared" si="15"/>
        <v>0</v>
      </c>
      <c r="AP11" s="37"/>
      <c r="AQ11" s="38">
        <f t="shared" si="16"/>
        <v>0</v>
      </c>
      <c r="AR11" s="39"/>
      <c r="AS11" s="35"/>
      <c r="AT11" s="36">
        <f t="shared" si="17"/>
        <v>0</v>
      </c>
      <c r="AU11" s="37"/>
      <c r="AV11" s="38">
        <f t="shared" si="18"/>
        <v>0</v>
      </c>
      <c r="AW11" s="37"/>
      <c r="AX11" s="38">
        <f t="shared" si="19"/>
        <v>0</v>
      </c>
      <c r="AY11" s="39"/>
      <c r="AZ11" s="35"/>
      <c r="BA11" s="36">
        <f t="shared" si="20"/>
        <v>0</v>
      </c>
      <c r="BB11" s="37"/>
      <c r="BC11" s="38">
        <f t="shared" si="21"/>
        <v>0</v>
      </c>
      <c r="BD11" s="37"/>
      <c r="BE11" s="38">
        <f t="shared" si="22"/>
        <v>0</v>
      </c>
      <c r="BF11" s="39"/>
      <c r="BG11" s="35"/>
      <c r="BH11" s="36">
        <f t="shared" si="23"/>
        <v>0</v>
      </c>
      <c r="BI11" s="37"/>
      <c r="BJ11" s="38">
        <f t="shared" si="24"/>
        <v>0</v>
      </c>
      <c r="BK11" s="37"/>
      <c r="BL11" s="38">
        <f t="shared" si="25"/>
        <v>0</v>
      </c>
      <c r="BM11" s="40">
        <f t="shared" si="0"/>
        <v>11250</v>
      </c>
      <c r="BN11" s="40">
        <f t="shared" si="1"/>
        <v>11250</v>
      </c>
      <c r="BO11" s="40" t="e">
        <f>M11+O11+#REF!+#REF!+#REF!+T11+V11+#REF!+#REF!+#REF!+AA11+AC11+#REF!+#REF!+#REF!+AH11+AJ11+#REF!+#REF!+#REF!+AO11+AQ11+#REF!+#REF!+#REF!+AV11+AX11+#REF!+#REF!+#REF!+BC11+BE11+#REF!+#REF!+#REF!+BJ11+BL11+#REF!+#REF!+#REF!</f>
        <v>#REF!</v>
      </c>
      <c r="BP11" s="15" t="e">
        <f t="shared" si="26"/>
        <v>#REF!</v>
      </c>
    </row>
    <row r="12" spans="1:68" x14ac:dyDescent="0.25">
      <c r="B12" s="45"/>
      <c r="C12" s="41"/>
      <c r="D12" s="42"/>
      <c r="E12" s="33"/>
      <c r="F12" s="95"/>
      <c r="G12" s="39"/>
      <c r="H12" s="175">
        <v>0</v>
      </c>
      <c r="I12" s="39"/>
      <c r="J12" s="35"/>
      <c r="K12" s="36"/>
      <c r="L12" s="37"/>
      <c r="M12" s="38"/>
      <c r="N12" s="37"/>
      <c r="O12" s="38"/>
      <c r="P12" s="39"/>
      <c r="Q12" s="35"/>
      <c r="R12" s="36"/>
      <c r="S12" s="37"/>
      <c r="T12" s="38"/>
      <c r="U12" s="37"/>
      <c r="V12" s="38"/>
      <c r="W12" s="39"/>
      <c r="X12" s="35"/>
      <c r="Y12" s="36"/>
      <c r="Z12" s="37"/>
      <c r="AA12" s="38"/>
      <c r="AB12" s="37"/>
      <c r="AC12" s="38"/>
      <c r="AD12" s="39"/>
      <c r="AE12" s="35"/>
      <c r="AF12" s="36"/>
      <c r="AG12" s="37"/>
      <c r="AH12" s="38"/>
      <c r="AI12" s="37"/>
      <c r="AJ12" s="38"/>
      <c r="AK12" s="39"/>
      <c r="AL12" s="35"/>
      <c r="AM12" s="36"/>
      <c r="AN12" s="37"/>
      <c r="AO12" s="38"/>
      <c r="AP12" s="37"/>
      <c r="AQ12" s="38"/>
      <c r="AR12" s="39"/>
      <c r="AS12" s="35"/>
      <c r="AT12" s="36"/>
      <c r="AU12" s="37"/>
      <c r="AV12" s="38"/>
      <c r="AW12" s="37"/>
      <c r="AX12" s="38"/>
      <c r="AY12" s="39"/>
      <c r="AZ12" s="35"/>
      <c r="BA12" s="36"/>
      <c r="BB12" s="37"/>
      <c r="BC12" s="38"/>
      <c r="BD12" s="37"/>
      <c r="BE12" s="38"/>
      <c r="BF12" s="39"/>
      <c r="BG12" s="35"/>
      <c r="BH12" s="36"/>
      <c r="BI12" s="37"/>
      <c r="BJ12" s="38"/>
      <c r="BK12" s="37"/>
      <c r="BL12" s="38"/>
      <c r="BM12" s="40"/>
      <c r="BN12" s="40"/>
      <c r="BO12" s="40"/>
      <c r="BP12" s="15"/>
    </row>
    <row r="13" spans="1:68" x14ac:dyDescent="0.25">
      <c r="A13" s="1" t="s">
        <v>36</v>
      </c>
      <c r="C13" s="44"/>
      <c r="D13" s="50"/>
      <c r="E13" s="48"/>
      <c r="F13" s="33">
        <v>0</v>
      </c>
      <c r="G13" s="39"/>
      <c r="H13" s="175">
        <v>0</v>
      </c>
      <c r="I13" s="39"/>
      <c r="J13" s="35"/>
      <c r="K13" s="36">
        <f t="shared" ref="K13:K17" si="27">J13*$F13</f>
        <v>0</v>
      </c>
      <c r="L13" s="37"/>
      <c r="M13" s="38">
        <f t="shared" ref="M13:M17" si="28">L13*K13</f>
        <v>0</v>
      </c>
      <c r="N13" s="37"/>
      <c r="O13" s="38">
        <f t="shared" ref="O13:O17" si="29">N13*K13</f>
        <v>0</v>
      </c>
      <c r="P13" s="39"/>
      <c r="Q13" s="35"/>
      <c r="R13" s="36">
        <f t="shared" ref="R13:R17" si="30">Q13*$F13</f>
        <v>0</v>
      </c>
      <c r="S13" s="37"/>
      <c r="T13" s="38">
        <f t="shared" ref="T13:T17" si="31">S13*R13</f>
        <v>0</v>
      </c>
      <c r="U13" s="37"/>
      <c r="V13" s="38">
        <f t="shared" ref="V13:V17" si="32">U13*R13</f>
        <v>0</v>
      </c>
      <c r="W13" s="39"/>
      <c r="X13" s="35"/>
      <c r="Y13" s="36">
        <f t="shared" ref="Y13:Y17" si="33">X13*$F13</f>
        <v>0</v>
      </c>
      <c r="Z13" s="37"/>
      <c r="AA13" s="38">
        <f t="shared" ref="AA13:AA17" si="34">Z13*Y13</f>
        <v>0</v>
      </c>
      <c r="AB13" s="37"/>
      <c r="AC13" s="38">
        <f t="shared" ref="AC13:AC17" si="35">AB13*Y13</f>
        <v>0</v>
      </c>
      <c r="AD13" s="39"/>
      <c r="AE13" s="35"/>
      <c r="AF13" s="36">
        <f t="shared" ref="AF13:AF17" si="36">AE13*$F13</f>
        <v>0</v>
      </c>
      <c r="AG13" s="37"/>
      <c r="AH13" s="38">
        <f t="shared" ref="AH13:AH17" si="37">AG13*AF13</f>
        <v>0</v>
      </c>
      <c r="AI13" s="37"/>
      <c r="AJ13" s="38">
        <f t="shared" ref="AJ13:AJ17" si="38">AI13*AF13</f>
        <v>0</v>
      </c>
      <c r="AK13" s="39"/>
      <c r="AL13" s="35"/>
      <c r="AM13" s="36">
        <f t="shared" ref="AM13:AM17" si="39">AL13*$F13</f>
        <v>0</v>
      </c>
      <c r="AN13" s="37"/>
      <c r="AO13" s="38">
        <f t="shared" ref="AO13:AO17" si="40">AN13*AM13</f>
        <v>0</v>
      </c>
      <c r="AP13" s="37"/>
      <c r="AQ13" s="38">
        <f t="shared" ref="AQ13:AQ17" si="41">AP13*AM13</f>
        <v>0</v>
      </c>
      <c r="AR13" s="39"/>
      <c r="AS13" s="35"/>
      <c r="AT13" s="36">
        <f t="shared" ref="AT13:AT17" si="42">AS13*$F13</f>
        <v>0</v>
      </c>
      <c r="AU13" s="37"/>
      <c r="AV13" s="38">
        <f t="shared" ref="AV13:AV17" si="43">AU13*AT13</f>
        <v>0</v>
      </c>
      <c r="AW13" s="37"/>
      <c r="AX13" s="38">
        <f t="shared" ref="AX13:AX17" si="44">AW13*AT13</f>
        <v>0</v>
      </c>
      <c r="AY13" s="39"/>
      <c r="AZ13" s="35"/>
      <c r="BA13" s="36">
        <f t="shared" ref="BA13:BA17" si="45">AZ13*$F13</f>
        <v>0</v>
      </c>
      <c r="BB13" s="37"/>
      <c r="BC13" s="38">
        <f t="shared" ref="BC13:BC17" si="46">BB13*BA13</f>
        <v>0</v>
      </c>
      <c r="BD13" s="37"/>
      <c r="BE13" s="38">
        <f t="shared" ref="BE13:BE17" si="47">BD13*BA13</f>
        <v>0</v>
      </c>
      <c r="BF13" s="39"/>
      <c r="BG13" s="35"/>
      <c r="BH13" s="36">
        <f t="shared" ref="BH13:BH17" si="48">BG13*$F13</f>
        <v>0</v>
      </c>
      <c r="BI13" s="37"/>
      <c r="BJ13" s="38">
        <f t="shared" ref="BJ13:BJ17" si="49">BI13*BH13</f>
        <v>0</v>
      </c>
      <c r="BK13" s="37"/>
      <c r="BL13" s="38">
        <f t="shared" ref="BL13:BL17" si="50">BK13*BH13</f>
        <v>0</v>
      </c>
      <c r="BM13" s="40">
        <f t="shared" ref="BM13:BM20" si="51">F13</f>
        <v>0</v>
      </c>
      <c r="BN13" s="40">
        <f t="shared" ref="BN13:BN20" si="52">K13+R13+Y13+AF13+AM13+AT13+BA13+BH13</f>
        <v>0</v>
      </c>
      <c r="BO13" s="40" t="e">
        <f>M13+O13+#REF!+#REF!+#REF!+T13+V13+#REF!+#REF!+#REF!+AA13+AC13+#REF!+#REF!+#REF!+AH13+AJ13+#REF!+#REF!+#REF!+AO13+AQ13+#REF!+#REF!+#REF!+AV13+AX13+#REF!+#REF!+#REF!+BC13+BE13+#REF!+#REF!+#REF!+BJ13+BL13+#REF!+#REF!+#REF!</f>
        <v>#REF!</v>
      </c>
      <c r="BP13" s="15" t="e">
        <f t="shared" ref="BP13:BP26" si="53">IF(AND(BM13=BN13,BN13=BO13,BM13=BO13),0,1)</f>
        <v>#REF!</v>
      </c>
    </row>
    <row r="14" spans="1:68" x14ac:dyDescent="0.25">
      <c r="B14" s="43" t="s">
        <v>34</v>
      </c>
      <c r="C14" s="41" t="s">
        <v>30</v>
      </c>
      <c r="D14" s="50">
        <f>70-D18</f>
        <v>66</v>
      </c>
      <c r="E14" s="174">
        <f>H14*$K$53</f>
        <v>663.26</v>
      </c>
      <c r="F14" s="33">
        <f>D14*E14</f>
        <v>43775.159999999996</v>
      </c>
      <c r="G14" s="39"/>
      <c r="H14" s="175">
        <v>650</v>
      </c>
      <c r="I14" s="39"/>
      <c r="J14" s="35"/>
      <c r="K14" s="36">
        <f t="shared" si="27"/>
        <v>0</v>
      </c>
      <c r="L14" s="37"/>
      <c r="M14" s="38">
        <f t="shared" si="28"/>
        <v>0</v>
      </c>
      <c r="N14" s="37"/>
      <c r="O14" s="38">
        <f t="shared" si="29"/>
        <v>0</v>
      </c>
      <c r="P14" s="39"/>
      <c r="Q14" s="35"/>
      <c r="R14" s="36">
        <f t="shared" si="30"/>
        <v>0</v>
      </c>
      <c r="S14" s="37"/>
      <c r="T14" s="38">
        <f t="shared" si="31"/>
        <v>0</v>
      </c>
      <c r="U14" s="37"/>
      <c r="V14" s="38">
        <f t="shared" si="32"/>
        <v>0</v>
      </c>
      <c r="W14" s="39"/>
      <c r="X14" s="35"/>
      <c r="Y14" s="36">
        <f t="shared" si="33"/>
        <v>0</v>
      </c>
      <c r="Z14" s="37"/>
      <c r="AA14" s="38">
        <f t="shared" si="34"/>
        <v>0</v>
      </c>
      <c r="AB14" s="37"/>
      <c r="AC14" s="38">
        <f t="shared" si="35"/>
        <v>0</v>
      </c>
      <c r="AD14" s="39"/>
      <c r="AE14" s="35">
        <v>0.95</v>
      </c>
      <c r="AF14" s="36">
        <f t="shared" si="36"/>
        <v>41586.401999999995</v>
      </c>
      <c r="AG14" s="37">
        <v>0.5</v>
      </c>
      <c r="AH14" s="38">
        <f t="shared" si="37"/>
        <v>20793.200999999997</v>
      </c>
      <c r="AI14" s="37">
        <v>0.5</v>
      </c>
      <c r="AJ14" s="38">
        <f t="shared" si="38"/>
        <v>20793.200999999997</v>
      </c>
      <c r="AK14" s="39"/>
      <c r="AL14" s="35"/>
      <c r="AM14" s="36">
        <f t="shared" si="39"/>
        <v>0</v>
      </c>
      <c r="AN14" s="37"/>
      <c r="AO14" s="38">
        <f t="shared" si="40"/>
        <v>0</v>
      </c>
      <c r="AP14" s="37"/>
      <c r="AQ14" s="38">
        <f t="shared" si="41"/>
        <v>0</v>
      </c>
      <c r="AR14" s="39"/>
      <c r="AS14" s="35">
        <v>0.05</v>
      </c>
      <c r="AT14" s="36">
        <f t="shared" si="42"/>
        <v>2188.7579999999998</v>
      </c>
      <c r="AU14" s="37">
        <v>0.5</v>
      </c>
      <c r="AV14" s="38">
        <f t="shared" si="43"/>
        <v>1094.3789999999999</v>
      </c>
      <c r="AW14" s="37">
        <v>0.5</v>
      </c>
      <c r="AX14" s="38">
        <f t="shared" si="44"/>
        <v>1094.3789999999999</v>
      </c>
      <c r="AY14" s="39"/>
      <c r="AZ14" s="35"/>
      <c r="BA14" s="36">
        <f t="shared" si="45"/>
        <v>0</v>
      </c>
      <c r="BB14" s="37"/>
      <c r="BC14" s="38">
        <f t="shared" si="46"/>
        <v>0</v>
      </c>
      <c r="BD14" s="37"/>
      <c r="BE14" s="38">
        <f t="shared" si="47"/>
        <v>0</v>
      </c>
      <c r="BF14" s="39"/>
      <c r="BG14" s="35"/>
      <c r="BH14" s="36">
        <f t="shared" si="48"/>
        <v>0</v>
      </c>
      <c r="BI14" s="37"/>
      <c r="BJ14" s="38">
        <f t="shared" si="49"/>
        <v>0</v>
      </c>
      <c r="BK14" s="37"/>
      <c r="BL14" s="38">
        <f t="shared" si="50"/>
        <v>0</v>
      </c>
      <c r="BM14" s="40">
        <f t="shared" si="51"/>
        <v>43775.159999999996</v>
      </c>
      <c r="BN14" s="40">
        <f t="shared" si="52"/>
        <v>43775.159999999996</v>
      </c>
      <c r="BO14" s="40" t="e">
        <f>M14+O14+#REF!+#REF!+#REF!+T14+V14+#REF!+#REF!+#REF!+AA14+AC14+#REF!+#REF!+#REF!+AH14+AJ14+#REF!+#REF!+#REF!+AO14+AQ14+#REF!+#REF!+#REF!+AV14+AX14+#REF!+#REF!+#REF!+BC14+BE14+#REF!+#REF!+#REF!+BJ14+BL14+#REF!+#REF!+#REF!</f>
        <v>#REF!</v>
      </c>
      <c r="BP14" s="15" t="e">
        <f t="shared" si="53"/>
        <v>#REF!</v>
      </c>
    </row>
    <row r="15" spans="1:68" x14ac:dyDescent="0.25">
      <c r="B15" s="43" t="s">
        <v>35</v>
      </c>
      <c r="C15" s="41" t="s">
        <v>30</v>
      </c>
      <c r="D15" s="50">
        <f>70-D20</f>
        <v>66</v>
      </c>
      <c r="E15" s="33">
        <f>$K$42</f>
        <v>-108.3695731319762</v>
      </c>
      <c r="F15" s="33">
        <f>D15*E15</f>
        <v>-7152.3918267104291</v>
      </c>
      <c r="G15" s="39"/>
      <c r="H15" s="175">
        <v>-123.79</v>
      </c>
      <c r="I15" s="39"/>
      <c r="J15" s="35"/>
      <c r="K15" s="36">
        <f t="shared" si="27"/>
        <v>0</v>
      </c>
      <c r="L15" s="37"/>
      <c r="M15" s="38">
        <f t="shared" si="28"/>
        <v>0</v>
      </c>
      <c r="N15" s="37"/>
      <c r="O15" s="38">
        <f t="shared" si="29"/>
        <v>0</v>
      </c>
      <c r="P15" s="39"/>
      <c r="Q15" s="35"/>
      <c r="R15" s="36">
        <f t="shared" si="30"/>
        <v>0</v>
      </c>
      <c r="S15" s="37"/>
      <c r="T15" s="38">
        <f t="shared" si="31"/>
        <v>0</v>
      </c>
      <c r="U15" s="37"/>
      <c r="V15" s="38">
        <f t="shared" si="32"/>
        <v>0</v>
      </c>
      <c r="W15" s="39"/>
      <c r="X15" s="35"/>
      <c r="Y15" s="36">
        <f t="shared" si="33"/>
        <v>0</v>
      </c>
      <c r="Z15" s="37"/>
      <c r="AA15" s="38">
        <f t="shared" si="34"/>
        <v>0</v>
      </c>
      <c r="AB15" s="37"/>
      <c r="AC15" s="38">
        <f t="shared" si="35"/>
        <v>0</v>
      </c>
      <c r="AD15" s="39"/>
      <c r="AE15" s="35">
        <v>0.95</v>
      </c>
      <c r="AF15" s="36">
        <f t="shared" si="36"/>
        <v>-6794.7722353749077</v>
      </c>
      <c r="AG15" s="37">
        <v>0.5</v>
      </c>
      <c r="AH15" s="38">
        <f t="shared" si="37"/>
        <v>-3397.3861176874539</v>
      </c>
      <c r="AI15" s="37">
        <v>0.5</v>
      </c>
      <c r="AJ15" s="38">
        <f t="shared" si="38"/>
        <v>-3397.3861176874539</v>
      </c>
      <c r="AK15" s="39"/>
      <c r="AL15" s="35"/>
      <c r="AM15" s="36">
        <f t="shared" si="39"/>
        <v>0</v>
      </c>
      <c r="AN15" s="37"/>
      <c r="AO15" s="38">
        <f t="shared" si="40"/>
        <v>0</v>
      </c>
      <c r="AP15" s="37"/>
      <c r="AQ15" s="38">
        <f t="shared" si="41"/>
        <v>0</v>
      </c>
      <c r="AR15" s="39"/>
      <c r="AS15" s="35">
        <v>0.05</v>
      </c>
      <c r="AT15" s="36">
        <f t="shared" si="42"/>
        <v>-357.61959133552148</v>
      </c>
      <c r="AU15" s="37">
        <v>0.5</v>
      </c>
      <c r="AV15" s="38">
        <f t="shared" si="43"/>
        <v>-178.80979566776074</v>
      </c>
      <c r="AW15" s="37">
        <v>0.5</v>
      </c>
      <c r="AX15" s="38">
        <f t="shared" si="44"/>
        <v>-178.80979566776074</v>
      </c>
      <c r="AY15" s="39"/>
      <c r="AZ15" s="35"/>
      <c r="BA15" s="36">
        <f t="shared" si="45"/>
        <v>0</v>
      </c>
      <c r="BB15" s="37"/>
      <c r="BC15" s="38">
        <f t="shared" si="46"/>
        <v>0</v>
      </c>
      <c r="BD15" s="37"/>
      <c r="BE15" s="38">
        <f t="shared" si="47"/>
        <v>0</v>
      </c>
      <c r="BF15" s="39"/>
      <c r="BG15" s="35"/>
      <c r="BH15" s="36">
        <f t="shared" si="48"/>
        <v>0</v>
      </c>
      <c r="BI15" s="37"/>
      <c r="BJ15" s="38">
        <f t="shared" si="49"/>
        <v>0</v>
      </c>
      <c r="BK15" s="37"/>
      <c r="BL15" s="38">
        <f t="shared" si="50"/>
        <v>0</v>
      </c>
      <c r="BM15" s="40">
        <f t="shared" si="51"/>
        <v>-7152.3918267104291</v>
      </c>
      <c r="BN15" s="40">
        <f t="shared" si="52"/>
        <v>-7152.3918267104291</v>
      </c>
      <c r="BO15" s="40" t="e">
        <f>M15+O15+#REF!+#REF!+#REF!+T15+V15+#REF!+#REF!+#REF!+AA15+AC15+#REF!+#REF!+#REF!+AH15+AJ15+#REF!+#REF!+#REF!+AO15+AQ15+#REF!+#REF!+#REF!+AV15+AX15+#REF!+#REF!+#REF!+BC15+BE15+#REF!+#REF!+#REF!+BJ15+BL15+#REF!+#REF!+#REF!</f>
        <v>#REF!</v>
      </c>
      <c r="BP15" s="15" t="e">
        <f t="shared" si="53"/>
        <v>#REF!</v>
      </c>
    </row>
    <row r="16" spans="1:68" x14ac:dyDescent="0.25">
      <c r="B16" s="45" t="s">
        <v>32</v>
      </c>
      <c r="C16" s="51" t="s">
        <v>31</v>
      </c>
      <c r="D16" s="103">
        <v>5950</v>
      </c>
      <c r="E16" s="46">
        <f>$K$44</f>
        <v>-0.31414430979039298</v>
      </c>
      <c r="F16" s="33">
        <v>-2202.5984615384618</v>
      </c>
      <c r="G16" s="52"/>
      <c r="H16" s="175">
        <v>-0.37</v>
      </c>
      <c r="I16" s="52"/>
      <c r="J16" s="35"/>
      <c r="K16" s="36">
        <f t="shared" si="27"/>
        <v>0</v>
      </c>
      <c r="L16" s="37"/>
      <c r="M16" s="38">
        <f t="shared" si="28"/>
        <v>0</v>
      </c>
      <c r="N16" s="37"/>
      <c r="O16" s="38">
        <f t="shared" si="29"/>
        <v>0</v>
      </c>
      <c r="P16" s="52"/>
      <c r="Q16" s="53"/>
      <c r="R16" s="36">
        <f t="shared" si="30"/>
        <v>0</v>
      </c>
      <c r="S16" s="54"/>
      <c r="T16" s="38">
        <f t="shared" si="31"/>
        <v>0</v>
      </c>
      <c r="U16" s="54"/>
      <c r="V16" s="38">
        <f t="shared" si="32"/>
        <v>0</v>
      </c>
      <c r="W16" s="52"/>
      <c r="X16" s="53"/>
      <c r="Y16" s="36">
        <f t="shared" si="33"/>
        <v>0</v>
      </c>
      <c r="Z16" s="54"/>
      <c r="AA16" s="38">
        <f t="shared" si="34"/>
        <v>0</v>
      </c>
      <c r="AB16" s="54"/>
      <c r="AC16" s="38">
        <f t="shared" si="35"/>
        <v>0</v>
      </c>
      <c r="AD16" s="52"/>
      <c r="AE16" s="53">
        <v>0.2</v>
      </c>
      <c r="AF16" s="36">
        <f t="shared" si="36"/>
        <v>-440.51969230769237</v>
      </c>
      <c r="AG16" s="54">
        <v>0.5</v>
      </c>
      <c r="AH16" s="38">
        <f t="shared" si="37"/>
        <v>-220.25984615384618</v>
      </c>
      <c r="AI16" s="54">
        <v>0.5</v>
      </c>
      <c r="AJ16" s="38">
        <f t="shared" si="38"/>
        <v>-220.25984615384618</v>
      </c>
      <c r="AK16" s="52"/>
      <c r="AL16" s="53"/>
      <c r="AM16" s="36">
        <f t="shared" si="39"/>
        <v>0</v>
      </c>
      <c r="AN16" s="54"/>
      <c r="AO16" s="38">
        <f t="shared" si="40"/>
        <v>0</v>
      </c>
      <c r="AP16" s="54"/>
      <c r="AQ16" s="38">
        <f t="shared" si="41"/>
        <v>0</v>
      </c>
      <c r="AR16" s="52"/>
      <c r="AS16" s="53">
        <v>0.8</v>
      </c>
      <c r="AT16" s="36">
        <f t="shared" si="42"/>
        <v>-1762.0787692307695</v>
      </c>
      <c r="AU16" s="54">
        <v>0.5</v>
      </c>
      <c r="AV16" s="38">
        <f t="shared" si="43"/>
        <v>-881.03938461538473</v>
      </c>
      <c r="AW16" s="54">
        <v>0.5</v>
      </c>
      <c r="AX16" s="38">
        <f t="shared" si="44"/>
        <v>-881.03938461538473</v>
      </c>
      <c r="AY16" s="52"/>
      <c r="AZ16" s="53"/>
      <c r="BA16" s="36">
        <f t="shared" si="45"/>
        <v>0</v>
      </c>
      <c r="BB16" s="54"/>
      <c r="BC16" s="38">
        <f t="shared" si="46"/>
        <v>0</v>
      </c>
      <c r="BD16" s="54"/>
      <c r="BE16" s="38">
        <f t="shared" si="47"/>
        <v>0</v>
      </c>
      <c r="BF16" s="52"/>
      <c r="BG16" s="53"/>
      <c r="BH16" s="36">
        <f t="shared" si="48"/>
        <v>0</v>
      </c>
      <c r="BI16" s="54"/>
      <c r="BJ16" s="38">
        <f t="shared" si="49"/>
        <v>0</v>
      </c>
      <c r="BK16" s="54"/>
      <c r="BL16" s="38">
        <f t="shared" si="50"/>
        <v>0</v>
      </c>
      <c r="BM16" s="40">
        <f t="shared" si="51"/>
        <v>-2202.5984615384618</v>
      </c>
      <c r="BN16" s="40">
        <f t="shared" si="52"/>
        <v>-2202.5984615384618</v>
      </c>
      <c r="BO16" s="40" t="e">
        <f>M16+O16+#REF!+#REF!+#REF!+T16+V16+#REF!+#REF!+#REF!+AA16+AC16+#REF!+#REF!+#REF!+AH16+AJ16+#REF!+#REF!+#REF!+AO16+AQ16+#REF!+#REF!+#REF!+AV16+AX16+#REF!+#REF!+#REF!+BC16+BE16+#REF!+#REF!+#REF!+BJ16+BL16+#REF!+#REF!+#REF!</f>
        <v>#REF!</v>
      </c>
      <c r="BP16" s="15" t="e">
        <f t="shared" ref="BP16" si="54">IF(AND(BM16=BN16,BN16=BO16,BM16=BO16),0,1)</f>
        <v>#REF!</v>
      </c>
    </row>
    <row r="17" spans="1:68" x14ac:dyDescent="0.25">
      <c r="B17" s="49" t="s">
        <v>33</v>
      </c>
      <c r="C17" s="51" t="s">
        <v>30</v>
      </c>
      <c r="D17" s="50">
        <v>25</v>
      </c>
      <c r="E17" s="174">
        <f>H17*$K$53</f>
        <v>102.03999999999999</v>
      </c>
      <c r="F17" s="33">
        <v>2500</v>
      </c>
      <c r="G17" s="52"/>
      <c r="H17" s="175">
        <v>100</v>
      </c>
      <c r="I17" s="52"/>
      <c r="J17" s="35"/>
      <c r="K17" s="36">
        <f t="shared" si="27"/>
        <v>0</v>
      </c>
      <c r="L17" s="37"/>
      <c r="M17" s="38">
        <f t="shared" si="28"/>
        <v>0</v>
      </c>
      <c r="N17" s="37"/>
      <c r="O17" s="38">
        <f t="shared" si="29"/>
        <v>0</v>
      </c>
      <c r="P17" s="52"/>
      <c r="Q17" s="53">
        <v>0.14285714285714288</v>
      </c>
      <c r="R17" s="36">
        <f t="shared" si="30"/>
        <v>357.14285714285717</v>
      </c>
      <c r="S17" s="54">
        <v>0.5</v>
      </c>
      <c r="T17" s="38">
        <f t="shared" si="31"/>
        <v>178.57142857142858</v>
      </c>
      <c r="U17" s="54">
        <v>0.5</v>
      </c>
      <c r="V17" s="38">
        <f t="shared" si="32"/>
        <v>178.57142857142858</v>
      </c>
      <c r="W17" s="52"/>
      <c r="X17" s="53">
        <v>0.14285714285714288</v>
      </c>
      <c r="Y17" s="36">
        <f t="shared" si="33"/>
        <v>357.14285714285717</v>
      </c>
      <c r="Z17" s="54">
        <v>0.5</v>
      </c>
      <c r="AA17" s="38">
        <f t="shared" si="34"/>
        <v>178.57142857142858</v>
      </c>
      <c r="AB17" s="54">
        <v>0.5</v>
      </c>
      <c r="AC17" s="38">
        <f t="shared" si="35"/>
        <v>178.57142857142858</v>
      </c>
      <c r="AD17" s="52"/>
      <c r="AE17" s="53">
        <v>0.14285714285714288</v>
      </c>
      <c r="AF17" s="36">
        <f t="shared" si="36"/>
        <v>357.14285714285717</v>
      </c>
      <c r="AG17" s="54">
        <v>0.5</v>
      </c>
      <c r="AH17" s="38">
        <f t="shared" si="37"/>
        <v>178.57142857142858</v>
      </c>
      <c r="AI17" s="54">
        <v>0.5</v>
      </c>
      <c r="AJ17" s="38">
        <f t="shared" si="38"/>
        <v>178.57142857142858</v>
      </c>
      <c r="AK17" s="52"/>
      <c r="AL17" s="53">
        <v>0.14285714285714288</v>
      </c>
      <c r="AM17" s="36">
        <f t="shared" si="39"/>
        <v>357.14285714285717</v>
      </c>
      <c r="AN17" s="54">
        <v>0.5</v>
      </c>
      <c r="AO17" s="38">
        <f t="shared" si="40"/>
        <v>178.57142857142858</v>
      </c>
      <c r="AP17" s="54">
        <v>0.5</v>
      </c>
      <c r="AQ17" s="38">
        <f t="shared" si="41"/>
        <v>178.57142857142858</v>
      </c>
      <c r="AR17" s="52"/>
      <c r="AS17" s="53">
        <v>0.14285714285714288</v>
      </c>
      <c r="AT17" s="36">
        <f t="shared" si="42"/>
        <v>357.14285714285717</v>
      </c>
      <c r="AU17" s="54">
        <v>0.5</v>
      </c>
      <c r="AV17" s="38">
        <f t="shared" si="43"/>
        <v>178.57142857142858</v>
      </c>
      <c r="AW17" s="54">
        <v>0.5</v>
      </c>
      <c r="AX17" s="38">
        <f t="shared" si="44"/>
        <v>178.57142857142858</v>
      </c>
      <c r="AY17" s="52"/>
      <c r="AZ17" s="53">
        <v>0.14285714285714288</v>
      </c>
      <c r="BA17" s="36">
        <f t="shared" si="45"/>
        <v>357.14285714285717</v>
      </c>
      <c r="BB17" s="54">
        <v>0.5</v>
      </c>
      <c r="BC17" s="38">
        <f t="shared" si="46"/>
        <v>178.57142857142858</v>
      </c>
      <c r="BD17" s="54">
        <v>0.5</v>
      </c>
      <c r="BE17" s="38">
        <f t="shared" si="47"/>
        <v>178.57142857142858</v>
      </c>
      <c r="BF17" s="52"/>
      <c r="BG17" s="53">
        <v>0.14285714285714288</v>
      </c>
      <c r="BH17" s="36">
        <f t="shared" si="48"/>
        <v>357.14285714285717</v>
      </c>
      <c r="BI17" s="54">
        <v>0.5</v>
      </c>
      <c r="BJ17" s="38">
        <f t="shared" si="49"/>
        <v>178.57142857142858</v>
      </c>
      <c r="BK17" s="54">
        <v>0.5</v>
      </c>
      <c r="BL17" s="38">
        <f t="shared" si="50"/>
        <v>178.57142857142858</v>
      </c>
      <c r="BM17" s="40">
        <f t="shared" si="51"/>
        <v>2500</v>
      </c>
      <c r="BN17" s="40">
        <f t="shared" si="52"/>
        <v>2500.0000000000005</v>
      </c>
      <c r="BO17" s="40" t="e">
        <f>M17+O17+#REF!+#REF!+#REF!+T17+V17+#REF!+#REF!+#REF!+AA17+AC17+#REF!+#REF!+#REF!+AH17+AJ17+#REF!+#REF!+#REF!+AO17+AQ17+#REF!+#REF!+#REF!+AV17+AX17+#REF!+#REF!+#REF!+BC17+BE17+#REF!+#REF!+#REF!+BJ17+BL17+#REF!+#REF!+#REF!</f>
        <v>#REF!</v>
      </c>
      <c r="BP17" s="15" t="e">
        <f t="shared" si="53"/>
        <v>#REF!</v>
      </c>
    </row>
    <row r="18" spans="1:68" x14ac:dyDescent="0.25">
      <c r="B18" s="92" t="s">
        <v>93</v>
      </c>
      <c r="C18" s="93" t="s">
        <v>30</v>
      </c>
      <c r="D18" s="94">
        <v>4</v>
      </c>
      <c r="E18" s="174">
        <f>H18*$K$53</f>
        <v>663.26</v>
      </c>
      <c r="F18" s="95">
        <f>D18*E18</f>
        <v>2653.04</v>
      </c>
      <c r="G18" s="52"/>
      <c r="H18" s="175">
        <v>650</v>
      </c>
      <c r="I18" s="52"/>
      <c r="J18" s="35"/>
      <c r="K18" s="36">
        <f t="shared" ref="K18:K19" si="55">J18*$F18</f>
        <v>0</v>
      </c>
      <c r="L18" s="37"/>
      <c r="M18" s="38">
        <f t="shared" ref="M18:M19" si="56">L18*K18</f>
        <v>0</v>
      </c>
      <c r="N18" s="37"/>
      <c r="O18" s="38">
        <f t="shared" ref="O18:O19" si="57">N18*K18</f>
        <v>0</v>
      </c>
      <c r="P18" s="52"/>
      <c r="Q18" s="53"/>
      <c r="R18" s="36">
        <f t="shared" ref="R18:R19" si="58">Q18*$F18</f>
        <v>0</v>
      </c>
      <c r="S18" s="54"/>
      <c r="T18" s="38">
        <f t="shared" ref="T18:T19" si="59">S18*R18</f>
        <v>0</v>
      </c>
      <c r="U18" s="54"/>
      <c r="V18" s="38">
        <f t="shared" ref="V18:V19" si="60">U18*R18</f>
        <v>0</v>
      </c>
      <c r="W18" s="52"/>
      <c r="X18" s="53"/>
      <c r="Y18" s="36">
        <f t="shared" ref="Y18:Y19" si="61">X18*$F18</f>
        <v>0</v>
      </c>
      <c r="Z18" s="54"/>
      <c r="AA18" s="38">
        <f t="shared" ref="AA18:AA19" si="62">Z18*Y18</f>
        <v>0</v>
      </c>
      <c r="AB18" s="54"/>
      <c r="AC18" s="38">
        <f t="shared" ref="AC18:AC19" si="63">AB18*Y18</f>
        <v>0</v>
      </c>
      <c r="AD18" s="52"/>
      <c r="AE18" s="53"/>
      <c r="AF18" s="36">
        <f t="shared" ref="AF18:AF19" si="64">AE18*$F18</f>
        <v>0</v>
      </c>
      <c r="AG18" s="54"/>
      <c r="AH18" s="38">
        <f t="shared" ref="AH18:AH19" si="65">AG18*AF18</f>
        <v>0</v>
      </c>
      <c r="AI18" s="54"/>
      <c r="AJ18" s="38">
        <f t="shared" ref="AJ18:AJ19" si="66">AI18*AF18</f>
        <v>0</v>
      </c>
      <c r="AK18" s="52"/>
      <c r="AL18" s="53"/>
      <c r="AM18" s="36">
        <f t="shared" ref="AM18:AM19" si="67">AL18*$F18</f>
        <v>0</v>
      </c>
      <c r="AN18" s="54"/>
      <c r="AO18" s="38">
        <f t="shared" ref="AO18:AO19" si="68">AN18*AM18</f>
        <v>0</v>
      </c>
      <c r="AP18" s="54"/>
      <c r="AQ18" s="38">
        <f t="shared" ref="AQ18:AQ19" si="69">AP18*AM18</f>
        <v>0</v>
      </c>
      <c r="AR18" s="52"/>
      <c r="AS18" s="53">
        <v>1</v>
      </c>
      <c r="AT18" s="36">
        <f t="shared" ref="AT18:AT19" si="70">AS18*$F18</f>
        <v>2653.04</v>
      </c>
      <c r="AU18" s="54"/>
      <c r="AV18" s="38">
        <f t="shared" ref="AV18:AV19" si="71">AU18*AT18</f>
        <v>0</v>
      </c>
      <c r="AW18" s="54"/>
      <c r="AX18" s="38">
        <f t="shared" ref="AX18:AX19" si="72">AW18*AT18</f>
        <v>0</v>
      </c>
      <c r="AY18" s="52"/>
      <c r="AZ18" s="53"/>
      <c r="BA18" s="36">
        <f t="shared" ref="BA18:BA19" si="73">AZ18*$F18</f>
        <v>0</v>
      </c>
      <c r="BB18" s="54"/>
      <c r="BC18" s="38">
        <f t="shared" ref="BC18:BC19" si="74">BB18*BA18</f>
        <v>0</v>
      </c>
      <c r="BD18" s="54"/>
      <c r="BE18" s="38">
        <f t="shared" ref="BE18:BE19" si="75">BD18*BA18</f>
        <v>0</v>
      </c>
      <c r="BF18" s="52"/>
      <c r="BG18" s="53"/>
      <c r="BH18" s="36">
        <f t="shared" ref="BH18:BH19" si="76">BG18*$F18</f>
        <v>0</v>
      </c>
      <c r="BI18" s="54"/>
      <c r="BJ18" s="38">
        <f t="shared" ref="BJ18:BJ19" si="77">BI18*BH18</f>
        <v>0</v>
      </c>
      <c r="BK18" s="54"/>
      <c r="BL18" s="38">
        <f t="shared" ref="BL18:BL19" si="78">BK18*BH18</f>
        <v>0</v>
      </c>
      <c r="BM18" s="40">
        <f t="shared" si="51"/>
        <v>2653.04</v>
      </c>
      <c r="BN18" s="40">
        <f t="shared" si="52"/>
        <v>2653.04</v>
      </c>
      <c r="BO18" s="40" t="e">
        <f>M18+O18+#REF!+#REF!+#REF!+T18+V18+#REF!+#REF!+#REF!+AA18+AC18+#REF!+#REF!+#REF!+AH18+AJ18+#REF!+#REF!+#REF!+AO18+AQ18+#REF!+#REF!+#REF!+AV18+AX18+#REF!+#REF!+#REF!+BC18+BE18+#REF!+#REF!+#REF!+BJ18+BL18+#REF!+#REF!+#REF!</f>
        <v>#REF!</v>
      </c>
      <c r="BP18" s="15" t="e">
        <f t="shared" ref="BP18" si="79">IF(AND(BM18=BN18,BN18=BO18,BM18=BO18),0,1)</f>
        <v>#REF!</v>
      </c>
    </row>
    <row r="19" spans="1:68" x14ac:dyDescent="0.25">
      <c r="B19" s="92" t="s">
        <v>101</v>
      </c>
      <c r="C19" s="93" t="s">
        <v>31</v>
      </c>
      <c r="D19" s="94">
        <f>F19/E19</f>
        <v>8403.7810576976281</v>
      </c>
      <c r="E19" s="46">
        <f>$K$44</f>
        <v>-0.31414430979039298</v>
      </c>
      <c r="F19" s="33">
        <v>-2640</v>
      </c>
      <c r="G19" s="52"/>
      <c r="H19" s="175">
        <v>-0.37</v>
      </c>
      <c r="I19" s="52"/>
      <c r="J19" s="35"/>
      <c r="K19" s="36">
        <f t="shared" si="55"/>
        <v>0</v>
      </c>
      <c r="L19" s="37"/>
      <c r="M19" s="38">
        <f t="shared" si="56"/>
        <v>0</v>
      </c>
      <c r="N19" s="37"/>
      <c r="O19" s="38">
        <f t="shared" si="57"/>
        <v>0</v>
      </c>
      <c r="P19" s="52"/>
      <c r="Q19" s="53"/>
      <c r="R19" s="36">
        <f t="shared" si="58"/>
        <v>0</v>
      </c>
      <c r="S19" s="54"/>
      <c r="T19" s="38">
        <f t="shared" si="59"/>
        <v>0</v>
      </c>
      <c r="U19" s="54"/>
      <c r="V19" s="38">
        <f t="shared" si="60"/>
        <v>0</v>
      </c>
      <c r="W19" s="52"/>
      <c r="X19" s="53"/>
      <c r="Y19" s="36">
        <f t="shared" si="61"/>
        <v>0</v>
      </c>
      <c r="Z19" s="54"/>
      <c r="AA19" s="38">
        <f t="shared" si="62"/>
        <v>0</v>
      </c>
      <c r="AB19" s="54"/>
      <c r="AC19" s="38">
        <f t="shared" si="63"/>
        <v>0</v>
      </c>
      <c r="AD19" s="52"/>
      <c r="AE19" s="53"/>
      <c r="AF19" s="36">
        <f t="shared" si="64"/>
        <v>0</v>
      </c>
      <c r="AG19" s="54"/>
      <c r="AH19" s="38">
        <f t="shared" si="65"/>
        <v>0</v>
      </c>
      <c r="AI19" s="54"/>
      <c r="AJ19" s="38">
        <f t="shared" si="66"/>
        <v>0</v>
      </c>
      <c r="AK19" s="52"/>
      <c r="AL19" s="53"/>
      <c r="AM19" s="36">
        <f t="shared" si="67"/>
        <v>0</v>
      </c>
      <c r="AN19" s="54"/>
      <c r="AO19" s="38">
        <f t="shared" si="68"/>
        <v>0</v>
      </c>
      <c r="AP19" s="54"/>
      <c r="AQ19" s="38">
        <f t="shared" si="69"/>
        <v>0</v>
      </c>
      <c r="AR19" s="52"/>
      <c r="AS19" s="53">
        <v>1</v>
      </c>
      <c r="AT19" s="36">
        <f t="shared" si="70"/>
        <v>-2640</v>
      </c>
      <c r="AU19" s="54">
        <v>0.5</v>
      </c>
      <c r="AV19" s="38">
        <f t="shared" si="71"/>
        <v>-1320</v>
      </c>
      <c r="AW19" s="54">
        <v>0.5</v>
      </c>
      <c r="AX19" s="38">
        <f t="shared" si="72"/>
        <v>-1320</v>
      </c>
      <c r="AY19" s="52"/>
      <c r="AZ19" s="53"/>
      <c r="BA19" s="36">
        <f t="shared" si="73"/>
        <v>0</v>
      </c>
      <c r="BB19" s="54"/>
      <c r="BC19" s="38">
        <f t="shared" si="74"/>
        <v>0</v>
      </c>
      <c r="BD19" s="54"/>
      <c r="BE19" s="38">
        <f t="shared" si="75"/>
        <v>0</v>
      </c>
      <c r="BF19" s="52"/>
      <c r="BG19" s="53"/>
      <c r="BH19" s="36">
        <f t="shared" si="76"/>
        <v>0</v>
      </c>
      <c r="BI19" s="54"/>
      <c r="BJ19" s="38">
        <f t="shared" si="77"/>
        <v>0</v>
      </c>
      <c r="BK19" s="54"/>
      <c r="BL19" s="38">
        <f t="shared" si="78"/>
        <v>0</v>
      </c>
      <c r="BM19" s="40">
        <f t="shared" si="51"/>
        <v>-2640</v>
      </c>
      <c r="BN19" s="40">
        <f t="shared" si="52"/>
        <v>-2640</v>
      </c>
      <c r="BO19" s="40" t="e">
        <f>M19+O19+#REF!+#REF!+#REF!+T19+V19+#REF!+#REF!+#REF!+AA19+AC19+#REF!+#REF!+#REF!+AH19+AJ19+#REF!+#REF!+#REF!+AO19+AQ19+#REF!+#REF!+#REF!+AV19+AX19+#REF!+#REF!+#REF!+BC19+BE19+#REF!+#REF!+#REF!+BJ19+BL19+#REF!+#REF!+#REF!</f>
        <v>#REF!</v>
      </c>
      <c r="BP19" s="15" t="e">
        <f t="shared" si="53"/>
        <v>#REF!</v>
      </c>
    </row>
    <row r="20" spans="1:68" x14ac:dyDescent="0.25">
      <c r="B20" s="92" t="s">
        <v>94</v>
      </c>
      <c r="C20" s="93" t="s">
        <v>30</v>
      </c>
      <c r="D20" s="94">
        <v>4</v>
      </c>
      <c r="E20" s="33">
        <f>$K$42</f>
        <v>-108.3695731319762</v>
      </c>
      <c r="F20" s="95">
        <f>D20*E20</f>
        <v>-433.47829252790478</v>
      </c>
      <c r="G20" s="52"/>
      <c r="H20" s="175">
        <v>-123.79</v>
      </c>
      <c r="I20" s="52"/>
      <c r="J20" s="35"/>
      <c r="K20" s="36">
        <f t="shared" ref="K20" si="80">J20*$F20</f>
        <v>0</v>
      </c>
      <c r="L20" s="37"/>
      <c r="M20" s="38">
        <f t="shared" ref="M20" si="81">L20*K20</f>
        <v>0</v>
      </c>
      <c r="N20" s="37"/>
      <c r="O20" s="38">
        <f t="shared" ref="O20" si="82">N20*K20</f>
        <v>0</v>
      </c>
      <c r="P20" s="52"/>
      <c r="Q20" s="53"/>
      <c r="R20" s="36">
        <f t="shared" ref="R20" si="83">Q20*$F20</f>
        <v>0</v>
      </c>
      <c r="S20" s="54"/>
      <c r="T20" s="38">
        <f t="shared" ref="T20" si="84">S20*R20</f>
        <v>0</v>
      </c>
      <c r="U20" s="54"/>
      <c r="V20" s="38">
        <f t="shared" ref="V20" si="85">U20*R20</f>
        <v>0</v>
      </c>
      <c r="W20" s="52"/>
      <c r="X20" s="53"/>
      <c r="Y20" s="36">
        <f t="shared" ref="Y20" si="86">X20*$F20</f>
        <v>0</v>
      </c>
      <c r="Z20" s="54"/>
      <c r="AA20" s="38">
        <f t="shared" ref="AA20" si="87">Z20*Y20</f>
        <v>0</v>
      </c>
      <c r="AB20" s="54"/>
      <c r="AC20" s="38">
        <f t="shared" ref="AC20" si="88">AB20*Y20</f>
        <v>0</v>
      </c>
      <c r="AD20" s="52"/>
      <c r="AE20" s="53"/>
      <c r="AF20" s="36">
        <f t="shared" ref="AF20" si="89">AE20*$F20</f>
        <v>0</v>
      </c>
      <c r="AG20" s="54"/>
      <c r="AH20" s="38">
        <f t="shared" ref="AH20" si="90">AG20*AF20</f>
        <v>0</v>
      </c>
      <c r="AI20" s="54"/>
      <c r="AJ20" s="38">
        <f t="shared" ref="AJ20" si="91">AI20*AF20</f>
        <v>0</v>
      </c>
      <c r="AK20" s="52"/>
      <c r="AL20" s="53"/>
      <c r="AM20" s="36">
        <f t="shared" ref="AM20" si="92">AL20*$F20</f>
        <v>0</v>
      </c>
      <c r="AN20" s="54"/>
      <c r="AO20" s="38">
        <f t="shared" ref="AO20" si="93">AN20*AM20</f>
        <v>0</v>
      </c>
      <c r="AP20" s="54"/>
      <c r="AQ20" s="38">
        <f t="shared" ref="AQ20" si="94">AP20*AM20</f>
        <v>0</v>
      </c>
      <c r="AR20" s="52"/>
      <c r="AS20" s="53">
        <v>1</v>
      </c>
      <c r="AT20" s="36">
        <f t="shared" ref="AT20" si="95">AS20*$F20</f>
        <v>-433.47829252790478</v>
      </c>
      <c r="AU20" s="54"/>
      <c r="AV20" s="38">
        <f t="shared" ref="AV20" si="96">AU20*AT20</f>
        <v>0</v>
      </c>
      <c r="AW20" s="54"/>
      <c r="AX20" s="38">
        <f t="shared" ref="AX20" si="97">AW20*AT20</f>
        <v>0</v>
      </c>
      <c r="AY20" s="52"/>
      <c r="AZ20" s="53"/>
      <c r="BA20" s="36">
        <f t="shared" ref="BA20" si="98">AZ20*$F20</f>
        <v>0</v>
      </c>
      <c r="BB20" s="54"/>
      <c r="BC20" s="38">
        <f t="shared" ref="BC20" si="99">BB20*BA20</f>
        <v>0</v>
      </c>
      <c r="BD20" s="54"/>
      <c r="BE20" s="38">
        <f t="shared" ref="BE20" si="100">BD20*BA20</f>
        <v>0</v>
      </c>
      <c r="BF20" s="52"/>
      <c r="BG20" s="53"/>
      <c r="BH20" s="36">
        <f t="shared" ref="BH20" si="101">BG20*$F20</f>
        <v>0</v>
      </c>
      <c r="BI20" s="54"/>
      <c r="BJ20" s="38">
        <f t="shared" ref="BJ20" si="102">BI20*BH20</f>
        <v>0</v>
      </c>
      <c r="BK20" s="54"/>
      <c r="BL20" s="38">
        <f t="shared" ref="BL20" si="103">BK20*BH20</f>
        <v>0</v>
      </c>
      <c r="BM20" s="40">
        <f t="shared" si="51"/>
        <v>-433.47829252790478</v>
      </c>
      <c r="BN20" s="40">
        <f t="shared" si="52"/>
        <v>-433.47829252790478</v>
      </c>
      <c r="BO20" s="40" t="e">
        <f>M20+O20+#REF!+#REF!+#REF!+T20+V20+#REF!+#REF!+#REF!+AA20+AC20+#REF!+#REF!+#REF!+AH20+AJ20+#REF!+#REF!+#REF!+AO20+AQ20+#REF!+#REF!+#REF!+AV20+AX20+#REF!+#REF!+#REF!+BC20+BE20+#REF!+#REF!+#REF!+BJ20+BL20+#REF!+#REF!+#REF!</f>
        <v>#REF!</v>
      </c>
      <c r="BP20" s="15" t="e">
        <f t="shared" ref="BP20" si="104">IF(AND(BM20=BN20,BN20=BO20,BM20=BO20),0,1)</f>
        <v>#REF!</v>
      </c>
    </row>
    <row r="21" spans="1:68" x14ac:dyDescent="0.25">
      <c r="B21" s="45"/>
      <c r="C21" s="41"/>
      <c r="D21" s="42"/>
      <c r="E21" s="33"/>
      <c r="F21" s="95"/>
      <c r="G21" s="39"/>
      <c r="H21" s="175">
        <v>0</v>
      </c>
      <c r="I21" s="39"/>
      <c r="J21" s="35"/>
      <c r="K21" s="36"/>
      <c r="L21" s="37"/>
      <c r="M21" s="38"/>
      <c r="N21" s="37"/>
      <c r="O21" s="38"/>
      <c r="P21" s="39"/>
      <c r="Q21" s="35"/>
      <c r="R21" s="36"/>
      <c r="S21" s="37"/>
      <c r="T21" s="38"/>
      <c r="U21" s="37"/>
      <c r="V21" s="38"/>
      <c r="W21" s="39"/>
      <c r="X21" s="35"/>
      <c r="Y21" s="36"/>
      <c r="Z21" s="37"/>
      <c r="AA21" s="38"/>
      <c r="AB21" s="37"/>
      <c r="AC21" s="38"/>
      <c r="AD21" s="39"/>
      <c r="AE21" s="35"/>
      <c r="AF21" s="36"/>
      <c r="AG21" s="37"/>
      <c r="AH21" s="38"/>
      <c r="AI21" s="37"/>
      <c r="AJ21" s="38"/>
      <c r="AK21" s="39"/>
      <c r="AL21" s="35"/>
      <c r="AM21" s="36"/>
      <c r="AN21" s="37"/>
      <c r="AO21" s="38"/>
      <c r="AP21" s="37"/>
      <c r="AQ21" s="38"/>
      <c r="AR21" s="39"/>
      <c r="AS21" s="35"/>
      <c r="AT21" s="36"/>
      <c r="AU21" s="37"/>
      <c r="AV21" s="38"/>
      <c r="AW21" s="37"/>
      <c r="AX21" s="38"/>
      <c r="AY21" s="39"/>
      <c r="AZ21" s="35"/>
      <c r="BA21" s="36"/>
      <c r="BB21" s="37"/>
      <c r="BC21" s="38"/>
      <c r="BD21" s="37"/>
      <c r="BE21" s="38"/>
      <c r="BF21" s="39"/>
      <c r="BG21" s="35"/>
      <c r="BH21" s="36"/>
      <c r="BI21" s="37"/>
      <c r="BJ21" s="38"/>
      <c r="BK21" s="37"/>
      <c r="BL21" s="38"/>
      <c r="BM21" s="40"/>
      <c r="BN21" s="40"/>
      <c r="BO21" s="40"/>
      <c r="BP21" s="15"/>
    </row>
    <row r="22" spans="1:68" x14ac:dyDescent="0.25">
      <c r="A22" s="1" t="s">
        <v>37</v>
      </c>
      <c r="B22" s="43"/>
      <c r="C22" s="51"/>
      <c r="D22" s="50"/>
      <c r="E22" s="33"/>
      <c r="F22" s="33">
        <v>0</v>
      </c>
      <c r="G22" s="52"/>
      <c r="H22" s="175">
        <v>0</v>
      </c>
      <c r="I22" s="52"/>
      <c r="J22" s="35"/>
      <c r="K22" s="36">
        <f t="shared" ref="K22:K25" si="105">J22*$F22</f>
        <v>0</v>
      </c>
      <c r="L22" s="37"/>
      <c r="M22" s="38">
        <f t="shared" ref="M22:M25" si="106">L22*K22</f>
        <v>0</v>
      </c>
      <c r="N22" s="37"/>
      <c r="O22" s="38">
        <f t="shared" ref="O22:O25" si="107">N22*K22</f>
        <v>0</v>
      </c>
      <c r="P22" s="52"/>
      <c r="Q22" s="53"/>
      <c r="R22" s="36">
        <f t="shared" ref="R22:R25" si="108">Q22*$F22</f>
        <v>0</v>
      </c>
      <c r="S22" s="54"/>
      <c r="T22" s="38">
        <f t="shared" ref="T22:T25" si="109">S22*R22</f>
        <v>0</v>
      </c>
      <c r="U22" s="54"/>
      <c r="V22" s="38">
        <f t="shared" ref="V22:V25" si="110">U22*R22</f>
        <v>0</v>
      </c>
      <c r="W22" s="52"/>
      <c r="X22" s="53"/>
      <c r="Y22" s="36">
        <f t="shared" ref="Y22:Y25" si="111">X22*$F22</f>
        <v>0</v>
      </c>
      <c r="Z22" s="54"/>
      <c r="AA22" s="38">
        <f t="shared" ref="AA22:AA25" si="112">Z22*Y22</f>
        <v>0</v>
      </c>
      <c r="AB22" s="54"/>
      <c r="AC22" s="38">
        <f t="shared" ref="AC22:AC25" si="113">AB22*Y22</f>
        <v>0</v>
      </c>
      <c r="AD22" s="52"/>
      <c r="AE22" s="53"/>
      <c r="AF22" s="36">
        <f t="shared" ref="AF22:AF25" si="114">AE22*$F22</f>
        <v>0</v>
      </c>
      <c r="AG22" s="54"/>
      <c r="AH22" s="38">
        <f t="shared" ref="AH22:AH25" si="115">AG22*AF22</f>
        <v>0</v>
      </c>
      <c r="AI22" s="54"/>
      <c r="AJ22" s="38">
        <f t="shared" ref="AJ22:AJ25" si="116">AI22*AF22</f>
        <v>0</v>
      </c>
      <c r="AK22" s="52"/>
      <c r="AL22" s="53"/>
      <c r="AM22" s="36">
        <f t="shared" ref="AM22:AM25" si="117">AL22*$F22</f>
        <v>0</v>
      </c>
      <c r="AN22" s="54"/>
      <c r="AO22" s="38">
        <f t="shared" ref="AO22:AO25" si="118">AN22*AM22</f>
        <v>0</v>
      </c>
      <c r="AP22" s="54"/>
      <c r="AQ22" s="38">
        <f t="shared" ref="AQ22:AQ25" si="119">AP22*AM22</f>
        <v>0</v>
      </c>
      <c r="AR22" s="52"/>
      <c r="AS22" s="53"/>
      <c r="AT22" s="36">
        <f t="shared" ref="AT22:AT25" si="120">AS22*$F22</f>
        <v>0</v>
      </c>
      <c r="AU22" s="54"/>
      <c r="AV22" s="38">
        <f t="shared" ref="AV22:AV25" si="121">AU22*AT22</f>
        <v>0</v>
      </c>
      <c r="AW22" s="54"/>
      <c r="AX22" s="38">
        <f t="shared" ref="AX22:AX25" si="122">AW22*AT22</f>
        <v>0</v>
      </c>
      <c r="AY22" s="52"/>
      <c r="AZ22" s="53"/>
      <c r="BA22" s="36">
        <f t="shared" ref="BA22:BA25" si="123">AZ22*$F22</f>
        <v>0</v>
      </c>
      <c r="BB22" s="54"/>
      <c r="BC22" s="38">
        <f t="shared" ref="BC22:BC25" si="124">BB22*BA22</f>
        <v>0</v>
      </c>
      <c r="BD22" s="54"/>
      <c r="BE22" s="38">
        <f t="shared" ref="BE22:BE25" si="125">BD22*BA22</f>
        <v>0</v>
      </c>
      <c r="BF22" s="52"/>
      <c r="BG22" s="53"/>
      <c r="BH22" s="36">
        <f t="shared" ref="BH22:BH25" si="126">BG22*$F22</f>
        <v>0</v>
      </c>
      <c r="BI22" s="54"/>
      <c r="BJ22" s="38">
        <f t="shared" ref="BJ22:BJ25" si="127">BI22*BH22</f>
        <v>0</v>
      </c>
      <c r="BK22" s="54"/>
      <c r="BL22" s="38">
        <f t="shared" ref="BL22:BL25" si="128">BK22*BH22</f>
        <v>0</v>
      </c>
      <c r="BM22" s="40">
        <f t="shared" ref="BM22:BM32" si="129">F22</f>
        <v>0</v>
      </c>
      <c r="BN22" s="40">
        <f t="shared" ref="BN22:BN32" si="130">K22+R22+Y22+AF22+AM22+AT22+BA22+BH22</f>
        <v>0</v>
      </c>
      <c r="BO22" s="40" t="e">
        <f>M22+O22+#REF!+#REF!+#REF!+T22+V22+#REF!+#REF!+#REF!+AA22+AC22+#REF!+#REF!+#REF!+AH22+AJ22+#REF!+#REF!+#REF!+AO22+AQ22+#REF!+#REF!+#REF!+AV22+AX22+#REF!+#REF!+#REF!+BC22+BE22+#REF!+#REF!+#REF!+BJ22+BL22+#REF!+#REF!+#REF!</f>
        <v>#REF!</v>
      </c>
      <c r="BP22" s="15" t="e">
        <f t="shared" si="53"/>
        <v>#REF!</v>
      </c>
    </row>
    <row r="23" spans="1:68" x14ac:dyDescent="0.25">
      <c r="B23" s="43" t="s">
        <v>38</v>
      </c>
      <c r="C23" s="51" t="s">
        <v>30</v>
      </c>
      <c r="D23" s="50">
        <v>7</v>
      </c>
      <c r="E23" s="174">
        <f>H23*$K$53</f>
        <v>663.26</v>
      </c>
      <c r="F23" s="33">
        <v>4550</v>
      </c>
      <c r="G23" s="52"/>
      <c r="H23" s="175">
        <v>650</v>
      </c>
      <c r="I23" s="52"/>
      <c r="J23" s="35"/>
      <c r="K23" s="36">
        <f t="shared" si="105"/>
        <v>0</v>
      </c>
      <c r="L23" s="37"/>
      <c r="M23" s="38">
        <f t="shared" si="106"/>
        <v>0</v>
      </c>
      <c r="N23" s="37"/>
      <c r="O23" s="38">
        <f t="shared" si="107"/>
        <v>0</v>
      </c>
      <c r="P23" s="52"/>
      <c r="Q23" s="53"/>
      <c r="R23" s="36">
        <f t="shared" si="108"/>
        <v>0</v>
      </c>
      <c r="S23" s="54"/>
      <c r="T23" s="38">
        <f t="shared" si="109"/>
        <v>0</v>
      </c>
      <c r="U23" s="54"/>
      <c r="V23" s="38">
        <f t="shared" si="110"/>
        <v>0</v>
      </c>
      <c r="W23" s="52"/>
      <c r="X23" s="53">
        <v>0.6</v>
      </c>
      <c r="Y23" s="36">
        <f t="shared" si="111"/>
        <v>2730</v>
      </c>
      <c r="Z23" s="54">
        <v>0.5</v>
      </c>
      <c r="AA23" s="38">
        <f t="shared" si="112"/>
        <v>1365</v>
      </c>
      <c r="AB23" s="54">
        <v>0.5</v>
      </c>
      <c r="AC23" s="38">
        <f t="shared" si="113"/>
        <v>1365</v>
      </c>
      <c r="AD23" s="52"/>
      <c r="AE23" s="53">
        <v>0.2</v>
      </c>
      <c r="AF23" s="36">
        <f t="shared" si="114"/>
        <v>910</v>
      </c>
      <c r="AG23" s="54">
        <v>0.5</v>
      </c>
      <c r="AH23" s="38">
        <f t="shared" si="115"/>
        <v>455</v>
      </c>
      <c r="AI23" s="54">
        <v>0.5</v>
      </c>
      <c r="AJ23" s="38">
        <f t="shared" si="116"/>
        <v>455</v>
      </c>
      <c r="AK23" s="52"/>
      <c r="AL23" s="53">
        <v>0.15</v>
      </c>
      <c r="AM23" s="36">
        <f t="shared" si="117"/>
        <v>682.5</v>
      </c>
      <c r="AN23" s="54">
        <v>0.5</v>
      </c>
      <c r="AO23" s="38">
        <f t="shared" si="118"/>
        <v>341.25</v>
      </c>
      <c r="AP23" s="54">
        <v>0.5</v>
      </c>
      <c r="AQ23" s="38">
        <f t="shared" si="119"/>
        <v>341.25</v>
      </c>
      <c r="AR23" s="52"/>
      <c r="AS23" s="53">
        <v>0.05</v>
      </c>
      <c r="AT23" s="36">
        <f t="shared" si="120"/>
        <v>227.5</v>
      </c>
      <c r="AU23" s="54">
        <v>0.5</v>
      </c>
      <c r="AV23" s="38">
        <f t="shared" si="121"/>
        <v>113.75</v>
      </c>
      <c r="AW23" s="54">
        <v>0.5</v>
      </c>
      <c r="AX23" s="38">
        <f t="shared" si="122"/>
        <v>113.75</v>
      </c>
      <c r="AY23" s="52"/>
      <c r="AZ23" s="53"/>
      <c r="BA23" s="36">
        <f t="shared" si="123"/>
        <v>0</v>
      </c>
      <c r="BB23" s="54"/>
      <c r="BC23" s="38">
        <f t="shared" si="124"/>
        <v>0</v>
      </c>
      <c r="BD23" s="54"/>
      <c r="BE23" s="38">
        <f t="shared" si="125"/>
        <v>0</v>
      </c>
      <c r="BF23" s="52"/>
      <c r="BG23" s="53"/>
      <c r="BH23" s="36">
        <f t="shared" si="126"/>
        <v>0</v>
      </c>
      <c r="BI23" s="54"/>
      <c r="BJ23" s="38">
        <f t="shared" si="127"/>
        <v>0</v>
      </c>
      <c r="BK23" s="54"/>
      <c r="BL23" s="38">
        <f t="shared" si="128"/>
        <v>0</v>
      </c>
      <c r="BM23" s="40">
        <f t="shared" si="129"/>
        <v>4550</v>
      </c>
      <c r="BN23" s="40">
        <f t="shared" si="130"/>
        <v>4550</v>
      </c>
      <c r="BO23" s="40" t="e">
        <f>M23+O23+#REF!+#REF!+#REF!+T23+V23+#REF!+#REF!+#REF!+AA23+AC23+#REF!+#REF!+#REF!+AH23+AJ23+#REF!+#REF!+#REF!+AO23+AQ23+#REF!+#REF!+#REF!+AV23+AX23+#REF!+#REF!+#REF!+BC23+BE23+#REF!+#REF!+#REF!+BJ23+BL23+#REF!+#REF!+#REF!</f>
        <v>#REF!</v>
      </c>
      <c r="BP23" s="15" t="e">
        <f t="shared" si="53"/>
        <v>#REF!</v>
      </c>
    </row>
    <row r="24" spans="1:68" x14ac:dyDescent="0.25">
      <c r="B24" s="43" t="s">
        <v>39</v>
      </c>
      <c r="C24" s="51" t="s">
        <v>30</v>
      </c>
      <c r="D24" s="50">
        <v>7</v>
      </c>
      <c r="E24" s="33">
        <f>$K$42</f>
        <v>-108.3695731319762</v>
      </c>
      <c r="F24" s="33">
        <v>-1263.6842105263156</v>
      </c>
      <c r="G24" s="52"/>
      <c r="H24" s="175">
        <v>-123.79</v>
      </c>
      <c r="I24" s="52"/>
      <c r="J24" s="35"/>
      <c r="K24" s="36">
        <f t="shared" si="105"/>
        <v>0</v>
      </c>
      <c r="L24" s="37"/>
      <c r="M24" s="38">
        <f t="shared" si="106"/>
        <v>0</v>
      </c>
      <c r="N24" s="37"/>
      <c r="O24" s="38">
        <f t="shared" si="107"/>
        <v>0</v>
      </c>
      <c r="P24" s="52"/>
      <c r="Q24" s="53"/>
      <c r="R24" s="36">
        <f t="shared" si="108"/>
        <v>0</v>
      </c>
      <c r="S24" s="54"/>
      <c r="T24" s="38">
        <f t="shared" si="109"/>
        <v>0</v>
      </c>
      <c r="U24" s="54"/>
      <c r="V24" s="38">
        <f t="shared" si="110"/>
        <v>0</v>
      </c>
      <c r="W24" s="52"/>
      <c r="X24" s="53">
        <v>0.6</v>
      </c>
      <c r="Y24" s="36">
        <f t="shared" si="111"/>
        <v>-758.21052631578937</v>
      </c>
      <c r="Z24" s="54">
        <v>0.5</v>
      </c>
      <c r="AA24" s="38">
        <f t="shared" si="112"/>
        <v>-379.10526315789468</v>
      </c>
      <c r="AB24" s="54">
        <v>0.5</v>
      </c>
      <c r="AC24" s="38">
        <f t="shared" si="113"/>
        <v>-379.10526315789468</v>
      </c>
      <c r="AD24" s="52"/>
      <c r="AE24" s="53">
        <v>0.25</v>
      </c>
      <c r="AF24" s="36">
        <f t="shared" si="114"/>
        <v>-315.9210526315789</v>
      </c>
      <c r="AG24" s="54">
        <v>0.5</v>
      </c>
      <c r="AH24" s="38">
        <f t="shared" si="115"/>
        <v>-157.96052631578945</v>
      </c>
      <c r="AI24" s="54">
        <v>0.5</v>
      </c>
      <c r="AJ24" s="38">
        <f t="shared" si="116"/>
        <v>-157.96052631578945</v>
      </c>
      <c r="AK24" s="52"/>
      <c r="AL24" s="53">
        <v>0.15</v>
      </c>
      <c r="AM24" s="36">
        <f t="shared" si="117"/>
        <v>-189.55263157894734</v>
      </c>
      <c r="AN24" s="54">
        <v>0.5</v>
      </c>
      <c r="AO24" s="38">
        <f t="shared" si="118"/>
        <v>-94.776315789473671</v>
      </c>
      <c r="AP24" s="54">
        <v>0.5</v>
      </c>
      <c r="AQ24" s="38">
        <f t="shared" si="119"/>
        <v>-94.776315789473671</v>
      </c>
      <c r="AR24" s="52"/>
      <c r="AS24" s="53"/>
      <c r="AT24" s="36">
        <f t="shared" si="120"/>
        <v>0</v>
      </c>
      <c r="AU24" s="54"/>
      <c r="AV24" s="38">
        <f t="shared" si="121"/>
        <v>0</v>
      </c>
      <c r="AW24" s="54"/>
      <c r="AX24" s="38">
        <f t="shared" si="122"/>
        <v>0</v>
      </c>
      <c r="AY24" s="52"/>
      <c r="AZ24" s="53"/>
      <c r="BA24" s="36">
        <f t="shared" si="123"/>
        <v>0</v>
      </c>
      <c r="BB24" s="54"/>
      <c r="BC24" s="38">
        <f t="shared" si="124"/>
        <v>0</v>
      </c>
      <c r="BD24" s="54"/>
      <c r="BE24" s="38">
        <f t="shared" si="125"/>
        <v>0</v>
      </c>
      <c r="BF24" s="52"/>
      <c r="BG24" s="53"/>
      <c r="BH24" s="36">
        <f t="shared" si="126"/>
        <v>0</v>
      </c>
      <c r="BI24" s="54"/>
      <c r="BJ24" s="38">
        <f t="shared" si="127"/>
        <v>0</v>
      </c>
      <c r="BK24" s="54"/>
      <c r="BL24" s="38">
        <f t="shared" si="128"/>
        <v>0</v>
      </c>
      <c r="BM24" s="40">
        <f t="shared" si="129"/>
        <v>-1263.6842105263156</v>
      </c>
      <c r="BN24" s="40">
        <f t="shared" si="130"/>
        <v>-1263.6842105263156</v>
      </c>
      <c r="BO24" s="40" t="e">
        <f>M24+O24+#REF!+#REF!+#REF!+T24+V24+#REF!+#REF!+#REF!+AA24+AC24+#REF!+#REF!+#REF!+AH24+AJ24+#REF!+#REF!+#REF!+AO24+AQ24+#REF!+#REF!+#REF!+AV24+AX24+#REF!+#REF!+#REF!+BC24+BE24+#REF!+#REF!+#REF!+BJ24+BL24+#REF!+#REF!+#REF!</f>
        <v>#REF!</v>
      </c>
      <c r="BP24" s="15" t="e">
        <f t="shared" si="53"/>
        <v>#REF!</v>
      </c>
    </row>
    <row r="25" spans="1:68" x14ac:dyDescent="0.25">
      <c r="B25" s="49" t="s">
        <v>33</v>
      </c>
      <c r="C25" s="51" t="s">
        <v>30</v>
      </c>
      <c r="D25" s="50">
        <v>5</v>
      </c>
      <c r="E25" s="174">
        <f>H25*$K$53</f>
        <v>102.03999999999999</v>
      </c>
      <c r="F25" s="33">
        <v>500</v>
      </c>
      <c r="G25" s="52"/>
      <c r="H25" s="175">
        <v>100</v>
      </c>
      <c r="I25" s="52"/>
      <c r="J25" s="35"/>
      <c r="K25" s="36">
        <f t="shared" si="105"/>
        <v>0</v>
      </c>
      <c r="L25" s="37"/>
      <c r="M25" s="38">
        <f t="shared" si="106"/>
        <v>0</v>
      </c>
      <c r="N25" s="37"/>
      <c r="O25" s="38">
        <f t="shared" si="107"/>
        <v>0</v>
      </c>
      <c r="P25" s="52"/>
      <c r="Q25" s="53">
        <v>0.14285714285714288</v>
      </c>
      <c r="R25" s="36">
        <f t="shared" si="108"/>
        <v>71.428571428571445</v>
      </c>
      <c r="S25" s="54">
        <v>0.5</v>
      </c>
      <c r="T25" s="38">
        <f t="shared" si="109"/>
        <v>35.714285714285722</v>
      </c>
      <c r="U25" s="54">
        <v>0.5</v>
      </c>
      <c r="V25" s="38">
        <f t="shared" si="110"/>
        <v>35.714285714285722</v>
      </c>
      <c r="W25" s="52"/>
      <c r="X25" s="53">
        <v>0.14285714285714288</v>
      </c>
      <c r="Y25" s="36">
        <f t="shared" si="111"/>
        <v>71.428571428571445</v>
      </c>
      <c r="Z25" s="54">
        <v>0.5</v>
      </c>
      <c r="AA25" s="38">
        <f t="shared" si="112"/>
        <v>35.714285714285722</v>
      </c>
      <c r="AB25" s="54">
        <v>0.5</v>
      </c>
      <c r="AC25" s="38">
        <f t="shared" si="113"/>
        <v>35.714285714285722</v>
      </c>
      <c r="AD25" s="52"/>
      <c r="AE25" s="53">
        <v>0.14285714285714288</v>
      </c>
      <c r="AF25" s="36">
        <f t="shared" si="114"/>
        <v>71.428571428571445</v>
      </c>
      <c r="AG25" s="54">
        <v>0.5</v>
      </c>
      <c r="AH25" s="38">
        <f t="shared" si="115"/>
        <v>35.714285714285722</v>
      </c>
      <c r="AI25" s="54">
        <v>0.5</v>
      </c>
      <c r="AJ25" s="38">
        <f t="shared" si="116"/>
        <v>35.714285714285722</v>
      </c>
      <c r="AK25" s="52"/>
      <c r="AL25" s="53">
        <v>0.14285714285714288</v>
      </c>
      <c r="AM25" s="36">
        <f t="shared" si="117"/>
        <v>71.428571428571445</v>
      </c>
      <c r="AN25" s="54">
        <v>0.5</v>
      </c>
      <c r="AO25" s="38">
        <f t="shared" si="118"/>
        <v>35.714285714285722</v>
      </c>
      <c r="AP25" s="54">
        <v>0.5</v>
      </c>
      <c r="AQ25" s="38">
        <f t="shared" si="119"/>
        <v>35.714285714285722</v>
      </c>
      <c r="AR25" s="52"/>
      <c r="AS25" s="53">
        <v>0.14285714285714288</v>
      </c>
      <c r="AT25" s="36">
        <f t="shared" si="120"/>
        <v>71.428571428571445</v>
      </c>
      <c r="AU25" s="54">
        <v>0.5</v>
      </c>
      <c r="AV25" s="38">
        <f t="shared" si="121"/>
        <v>35.714285714285722</v>
      </c>
      <c r="AW25" s="54">
        <v>0.5</v>
      </c>
      <c r="AX25" s="38">
        <f t="shared" si="122"/>
        <v>35.714285714285722</v>
      </c>
      <c r="AY25" s="52"/>
      <c r="AZ25" s="53">
        <v>0.14285714285714288</v>
      </c>
      <c r="BA25" s="36">
        <f t="shared" si="123"/>
        <v>71.428571428571445</v>
      </c>
      <c r="BB25" s="54">
        <v>0.5</v>
      </c>
      <c r="BC25" s="38">
        <f t="shared" si="124"/>
        <v>35.714285714285722</v>
      </c>
      <c r="BD25" s="54">
        <v>0.5</v>
      </c>
      <c r="BE25" s="38">
        <f t="shared" si="125"/>
        <v>35.714285714285722</v>
      </c>
      <c r="BF25" s="52"/>
      <c r="BG25" s="53">
        <v>0.14285714285714288</v>
      </c>
      <c r="BH25" s="36">
        <f t="shared" si="126"/>
        <v>71.428571428571445</v>
      </c>
      <c r="BI25" s="54">
        <v>0.5</v>
      </c>
      <c r="BJ25" s="38">
        <f t="shared" si="127"/>
        <v>35.714285714285722</v>
      </c>
      <c r="BK25" s="54">
        <v>0.5</v>
      </c>
      <c r="BL25" s="38">
        <f t="shared" si="128"/>
        <v>35.714285714285722</v>
      </c>
      <c r="BM25" s="40">
        <f t="shared" si="129"/>
        <v>500</v>
      </c>
      <c r="BN25" s="40">
        <f t="shared" si="130"/>
        <v>500.00000000000011</v>
      </c>
      <c r="BO25" s="40" t="e">
        <f>M25+O25+#REF!+#REF!+#REF!+T25+V25+#REF!+#REF!+#REF!+AA25+AC25+#REF!+#REF!+#REF!+AH25+AJ25+#REF!+#REF!+#REF!+AO25+AQ25+#REF!+#REF!+#REF!+AV25+AX25+#REF!+#REF!+#REF!+BC25+BE25+#REF!+#REF!+#REF!+BJ25+BL25+#REF!+#REF!+#REF!</f>
        <v>#REF!</v>
      </c>
      <c r="BP25" s="15" t="e">
        <f t="shared" si="53"/>
        <v>#REF!</v>
      </c>
    </row>
    <row r="26" spans="1:68" x14ac:dyDescent="0.25">
      <c r="B26" s="43"/>
      <c r="C26" s="51"/>
      <c r="D26" s="42"/>
      <c r="E26" s="33"/>
      <c r="F26" s="33"/>
      <c r="G26" s="52"/>
      <c r="H26" s="144"/>
      <c r="I26" s="52"/>
      <c r="J26" s="35"/>
      <c r="K26" s="36">
        <f t="shared" ref="K26" si="131">J26*$F26</f>
        <v>0</v>
      </c>
      <c r="L26" s="37"/>
      <c r="M26" s="38">
        <f t="shared" ref="M26" si="132">L26*K26</f>
        <v>0</v>
      </c>
      <c r="N26" s="37"/>
      <c r="O26" s="38">
        <f t="shared" ref="O26" si="133">N26*K26</f>
        <v>0</v>
      </c>
      <c r="P26" s="52"/>
      <c r="Q26" s="53"/>
      <c r="R26" s="36">
        <f t="shared" ref="R26" si="134">Q26*$F26</f>
        <v>0</v>
      </c>
      <c r="S26" s="54"/>
      <c r="T26" s="38">
        <f t="shared" ref="T26" si="135">S26*R26</f>
        <v>0</v>
      </c>
      <c r="U26" s="54"/>
      <c r="V26" s="38">
        <f t="shared" ref="V26" si="136">U26*R26</f>
        <v>0</v>
      </c>
      <c r="W26" s="52"/>
      <c r="X26" s="53"/>
      <c r="Y26" s="36">
        <f t="shared" ref="Y26" si="137">X26*$F26</f>
        <v>0</v>
      </c>
      <c r="Z26" s="54"/>
      <c r="AA26" s="38">
        <f t="shared" ref="AA26" si="138">Z26*Y26</f>
        <v>0</v>
      </c>
      <c r="AB26" s="54"/>
      <c r="AC26" s="38">
        <f t="shared" ref="AC26" si="139">AB26*Y26</f>
        <v>0</v>
      </c>
      <c r="AD26" s="52"/>
      <c r="AE26" s="53"/>
      <c r="AF26" s="36">
        <f t="shared" ref="AF26" si="140">AE26*$F26</f>
        <v>0</v>
      </c>
      <c r="AG26" s="54"/>
      <c r="AH26" s="38">
        <f t="shared" ref="AH26" si="141">AG26*AF26</f>
        <v>0</v>
      </c>
      <c r="AI26" s="54"/>
      <c r="AJ26" s="38">
        <f t="shared" ref="AJ26" si="142">AI26*AF26</f>
        <v>0</v>
      </c>
      <c r="AK26" s="52"/>
      <c r="AL26" s="53"/>
      <c r="AM26" s="36">
        <f t="shared" ref="AM26" si="143">AL26*$F26</f>
        <v>0</v>
      </c>
      <c r="AN26" s="54"/>
      <c r="AO26" s="38">
        <f t="shared" ref="AO26" si="144">AN26*AM26</f>
        <v>0</v>
      </c>
      <c r="AP26" s="54"/>
      <c r="AQ26" s="38">
        <f t="shared" ref="AQ26" si="145">AP26*AM26</f>
        <v>0</v>
      </c>
      <c r="AR26" s="52"/>
      <c r="AS26" s="53"/>
      <c r="AT26" s="36">
        <f t="shared" ref="AT26" si="146">AS26*$F26</f>
        <v>0</v>
      </c>
      <c r="AU26" s="54"/>
      <c r="AV26" s="38">
        <f t="shared" ref="AV26" si="147">AU26*AT26</f>
        <v>0</v>
      </c>
      <c r="AW26" s="54"/>
      <c r="AX26" s="38">
        <f t="shared" ref="AX26" si="148">AW26*AT26</f>
        <v>0</v>
      </c>
      <c r="AY26" s="52"/>
      <c r="AZ26" s="53"/>
      <c r="BA26" s="36">
        <f t="shared" ref="BA26" si="149">AZ26*$F26</f>
        <v>0</v>
      </c>
      <c r="BB26" s="54"/>
      <c r="BC26" s="38">
        <f t="shared" ref="BC26" si="150">BB26*BA26</f>
        <v>0</v>
      </c>
      <c r="BD26" s="54"/>
      <c r="BE26" s="38">
        <f t="shared" ref="BE26" si="151">BD26*BA26</f>
        <v>0</v>
      </c>
      <c r="BF26" s="52"/>
      <c r="BG26" s="53"/>
      <c r="BH26" s="36">
        <f t="shared" ref="BH26" si="152">BG26*$F26</f>
        <v>0</v>
      </c>
      <c r="BI26" s="54"/>
      <c r="BJ26" s="38">
        <f t="shared" ref="BJ26" si="153">BI26*BH26</f>
        <v>0</v>
      </c>
      <c r="BK26" s="54"/>
      <c r="BL26" s="38">
        <f t="shared" ref="BL26" si="154">BK26*BH26</f>
        <v>0</v>
      </c>
      <c r="BM26" s="40">
        <f t="shared" si="129"/>
        <v>0</v>
      </c>
      <c r="BN26" s="40">
        <f t="shared" si="130"/>
        <v>0</v>
      </c>
      <c r="BO26" s="40" t="e">
        <f>M26+O26+#REF!+#REF!+#REF!+T26+V26+#REF!+#REF!+#REF!+AA26+AC26+#REF!+#REF!+#REF!+AH26+AJ26+#REF!+#REF!+#REF!+AO26+AQ26+#REF!+#REF!+#REF!+AV26+AX26+#REF!+#REF!+#REF!+BC26+BE26+#REF!+#REF!+#REF!+BJ26+BL26+#REF!+#REF!+#REF!</f>
        <v>#REF!</v>
      </c>
      <c r="BP26" s="15" t="e">
        <f t="shared" si="53"/>
        <v>#REF!</v>
      </c>
    </row>
    <row r="27" spans="1:68" x14ac:dyDescent="0.25">
      <c r="B27" s="55" t="s">
        <v>0</v>
      </c>
      <c r="C27" s="56"/>
      <c r="D27" s="57"/>
      <c r="E27" s="58"/>
      <c r="F27" s="59">
        <f>SUM(F4:F26)</f>
        <v>161536.04720869689</v>
      </c>
      <c r="G27" s="59">
        <f>SUM(G4:G26)</f>
        <v>0</v>
      </c>
      <c r="H27" s="134"/>
      <c r="I27" s="59"/>
      <c r="J27" s="59"/>
      <c r="K27" s="59">
        <f>SUM(K4:K26)</f>
        <v>57500</v>
      </c>
      <c r="L27" s="59"/>
      <c r="M27" s="59">
        <f>SUM(M4:M26)</f>
        <v>28750</v>
      </c>
      <c r="N27" s="59"/>
      <c r="O27" s="59">
        <f>SUM(O4:O26)</f>
        <v>28750</v>
      </c>
      <c r="P27" s="59">
        <f>SUM(P4:P26)</f>
        <v>0</v>
      </c>
      <c r="Q27" s="59"/>
      <c r="R27" s="59">
        <f>SUM(R4:R26)</f>
        <v>19178.571428571431</v>
      </c>
      <c r="S27" s="59"/>
      <c r="T27" s="59">
        <f>SUM(T4:T26)</f>
        <v>9589.2857142857156</v>
      </c>
      <c r="U27" s="59"/>
      <c r="V27" s="59">
        <f>SUM(V4:V26)</f>
        <v>9589.2857142857156</v>
      </c>
      <c r="W27" s="59">
        <f>SUM(W4:W26)</f>
        <v>0</v>
      </c>
      <c r="X27" s="59"/>
      <c r="Y27" s="59">
        <f>SUM(Y4:Y26)</f>
        <v>9900.3609022556375</v>
      </c>
      <c r="Z27" s="59"/>
      <c r="AA27" s="59">
        <f>SUM(AA4:AA26)</f>
        <v>4950.1804511278187</v>
      </c>
      <c r="AB27" s="59"/>
      <c r="AC27" s="59">
        <f>SUM(AC4:AC26)</f>
        <v>4950.1804511278187</v>
      </c>
      <c r="AD27" s="59">
        <f>SUM(AD4:AD26)</f>
        <v>0</v>
      </c>
      <c r="AE27" s="59"/>
      <c r="AF27" s="59">
        <f>SUM(AF4:AF26)</f>
        <v>42873.760448257242</v>
      </c>
      <c r="AG27" s="59"/>
      <c r="AH27" s="59">
        <f>SUM(AH4:AH26)</f>
        <v>21436.880224128621</v>
      </c>
      <c r="AI27" s="59"/>
      <c r="AJ27" s="59">
        <f>SUM(AJ4:AJ26)</f>
        <v>21436.880224128621</v>
      </c>
      <c r="AK27" s="59">
        <f>SUM(AK4:AK26)</f>
        <v>0</v>
      </c>
      <c r="AL27" s="59"/>
      <c r="AM27" s="59">
        <f>SUM(AM4:AM26)</f>
        <v>8421.5187969924809</v>
      </c>
      <c r="AN27" s="59"/>
      <c r="AO27" s="59">
        <f>SUM(AO4:AO26)</f>
        <v>4210.7593984962405</v>
      </c>
      <c r="AP27" s="59"/>
      <c r="AQ27" s="59">
        <f>SUM(AQ4:AQ26)</f>
        <v>4210.7593984962405</v>
      </c>
      <c r="AR27" s="59">
        <f>SUM(AR4:AR26)</f>
        <v>0</v>
      </c>
      <c r="AS27" s="59"/>
      <c r="AT27" s="59">
        <f>SUM(AT4:AT26)</f>
        <v>7804.6927754772305</v>
      </c>
      <c r="AU27" s="59"/>
      <c r="AV27" s="59">
        <f>SUM(AV4:AV26)</f>
        <v>2792.5655340025683</v>
      </c>
      <c r="AW27" s="59"/>
      <c r="AX27" s="59">
        <f>SUM(AX4:AX26)</f>
        <v>2792.5655340025683</v>
      </c>
      <c r="AY27" s="59">
        <f>SUM(AY4:AY26)</f>
        <v>0</v>
      </c>
      <c r="AZ27" s="59"/>
      <c r="BA27" s="59">
        <f>SUM(BA4:BA26)</f>
        <v>7928.5714285714284</v>
      </c>
      <c r="BB27" s="59"/>
      <c r="BC27" s="59">
        <f>SUM(BC4:BC26)</f>
        <v>3964.2857142857142</v>
      </c>
      <c r="BD27" s="59"/>
      <c r="BE27" s="59">
        <f>SUM(BE4:BE26)</f>
        <v>3964.2857142857142</v>
      </c>
      <c r="BF27" s="59">
        <f>SUM(BF4:BF26)</f>
        <v>0</v>
      </c>
      <c r="BG27" s="59"/>
      <c r="BH27" s="59">
        <f>SUM(BH4:BH26)</f>
        <v>7928.5714285714284</v>
      </c>
      <c r="BI27" s="59"/>
      <c r="BJ27" s="59">
        <f>SUM(BJ4:BJ26)</f>
        <v>3964.2857142857142</v>
      </c>
      <c r="BK27" s="59"/>
      <c r="BL27" s="59">
        <f>SUM(BL4:BL26)</f>
        <v>3964.2857142857142</v>
      </c>
      <c r="BM27" s="40">
        <f t="shared" si="129"/>
        <v>161536.04720869689</v>
      </c>
      <c r="BN27" s="40">
        <f t="shared" si="130"/>
        <v>161536.04720869687</v>
      </c>
      <c r="BO27" s="40" t="e">
        <f>M27+O27+#REF!+#REF!+#REF!+T27+V27+#REF!+#REF!+#REF!+AA27+AC27+#REF!+#REF!+#REF!+AH27+AJ27+#REF!+#REF!+#REF!+AO27+AQ27+#REF!+#REF!+#REF!+AV27+AX27+#REF!+#REF!+#REF!+BC27+BE27+#REF!+#REF!+#REF!+BJ27+BL27+#REF!+#REF!+#REF!</f>
        <v>#REF!</v>
      </c>
      <c r="BP27" s="15"/>
    </row>
    <row r="28" spans="1:68" s="137" customFormat="1" x14ac:dyDescent="0.25">
      <c r="A28" s="129"/>
      <c r="B28" s="129"/>
      <c r="C28" s="130"/>
      <c r="D28" s="131"/>
      <c r="E28" s="132"/>
      <c r="F28" s="133"/>
      <c r="G28" s="133"/>
      <c r="H28" s="133"/>
      <c r="I28" s="133"/>
      <c r="J28" s="133"/>
      <c r="K28" s="134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  <c r="BM28" s="135"/>
      <c r="BN28" s="135"/>
      <c r="BO28" s="135"/>
      <c r="BP28" s="136"/>
    </row>
    <row r="29" spans="1:68" s="137" customFormat="1" x14ac:dyDescent="0.25">
      <c r="A29" s="129"/>
      <c r="B29" s="129"/>
      <c r="C29" s="130"/>
      <c r="D29" s="131"/>
      <c r="E29" s="132"/>
      <c r="F29" s="133"/>
      <c r="G29" s="133"/>
      <c r="H29" s="133"/>
      <c r="I29" s="133"/>
      <c r="J29" s="133"/>
      <c r="K29" s="134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5"/>
      <c r="BN29" s="135"/>
      <c r="BO29" s="135"/>
      <c r="BP29" s="136"/>
    </row>
    <row r="30" spans="1:68" s="137" customFormat="1" x14ac:dyDescent="0.25">
      <c r="A30" s="129"/>
      <c r="B30" s="129"/>
      <c r="C30" s="130"/>
      <c r="D30" s="131"/>
      <c r="E30" s="71" t="s">
        <v>170</v>
      </c>
      <c r="F30" s="138">
        <f>F27</f>
        <v>161536.04720869689</v>
      </c>
      <c r="G30" s="133"/>
      <c r="H30" s="133"/>
      <c r="I30" s="133"/>
      <c r="J30" s="133"/>
      <c r="K30" s="134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  <c r="BM30" s="135"/>
      <c r="BN30" s="135"/>
      <c r="BO30" s="135"/>
      <c r="BP30" s="136"/>
    </row>
    <row r="31" spans="1:68" s="137" customFormat="1" x14ac:dyDescent="0.25">
      <c r="A31" s="129"/>
      <c r="B31" s="129"/>
      <c r="C31" s="130"/>
      <c r="D31" s="131"/>
      <c r="E31" s="71" t="s">
        <v>168</v>
      </c>
      <c r="F31" s="138">
        <v>159528.4173279352</v>
      </c>
      <c r="G31" s="133"/>
      <c r="H31" s="133"/>
      <c r="I31" s="133"/>
      <c r="J31" s="133"/>
      <c r="K31" s="134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  <c r="BE31" s="133"/>
      <c r="BF31" s="133"/>
      <c r="BG31" s="133"/>
      <c r="BH31" s="133"/>
      <c r="BI31" s="133"/>
      <c r="BJ31" s="133"/>
      <c r="BK31" s="133"/>
      <c r="BL31" s="133"/>
      <c r="BM31" s="135"/>
      <c r="BN31" s="135"/>
      <c r="BO31" s="135"/>
      <c r="BP31" s="136"/>
    </row>
    <row r="32" spans="1:68" x14ac:dyDescent="0.25">
      <c r="E32" s="71" t="s">
        <v>169</v>
      </c>
      <c r="F32" s="63">
        <v>155557</v>
      </c>
      <c r="K32" s="36">
        <f>J32*F32</f>
        <v>0</v>
      </c>
      <c r="BM32" s="40">
        <f t="shared" si="129"/>
        <v>155557</v>
      </c>
      <c r="BN32" s="40">
        <f t="shared" si="130"/>
        <v>0</v>
      </c>
      <c r="BO32" s="40" t="e">
        <f>M32+O32+#REF!+#REF!+#REF!+T32+V32+#REF!+#REF!+#REF!+AA32+AC32+#REF!+#REF!+#REF!+AH32+AJ32+#REF!+#REF!+#REF!+AO32+AQ32+#REF!+#REF!+#REF!+AV32+AX32+#REF!+#REF!+#REF!+BC32+BE32+#REF!+#REF!+#REF!+BJ32+BL32+#REF!+#REF!+#REF!</f>
        <v>#REF!</v>
      </c>
      <c r="BP32" s="15" t="e">
        <f t="shared" si="26"/>
        <v>#REF!</v>
      </c>
    </row>
    <row r="33" spans="2:68" x14ac:dyDescent="0.25">
      <c r="F33" s="63">
        <f>F27-F32</f>
        <v>5979.0472086968948</v>
      </c>
      <c r="K33" s="36">
        <f>J33*F33</f>
        <v>0</v>
      </c>
      <c r="BM33" s="40">
        <f>POWER((BM27-BN27),10000)</f>
        <v>0</v>
      </c>
      <c r="BN33" s="40" t="e">
        <f>POWER((BN27-BO27),10000)</f>
        <v>#REF!</v>
      </c>
      <c r="BO33" s="40"/>
      <c r="BP33" s="15"/>
    </row>
    <row r="34" spans="2:68" x14ac:dyDescent="0.25">
      <c r="K34" s="70"/>
      <c r="BM34" s="40"/>
      <c r="BN34" s="40"/>
      <c r="BO34" s="40"/>
      <c r="BP34" s="15"/>
    </row>
    <row r="35" spans="2:68" x14ac:dyDescent="0.25">
      <c r="K35" s="70"/>
      <c r="BM35" s="40"/>
      <c r="BN35" s="40"/>
      <c r="BO35" s="40"/>
      <c r="BP35" s="15"/>
    </row>
    <row r="36" spans="2:68" x14ac:dyDescent="0.25">
      <c r="K36" s="70"/>
      <c r="BM36" s="40"/>
      <c r="BN36" s="40"/>
      <c r="BO36" s="40"/>
      <c r="BP36" s="15"/>
    </row>
    <row r="37" spans="2:68" x14ac:dyDescent="0.25">
      <c r="K37" s="70"/>
      <c r="BM37" s="40"/>
      <c r="BN37" s="40"/>
      <c r="BO37" s="40"/>
      <c r="BP37" s="15"/>
    </row>
    <row r="38" spans="2:68" ht="15.75" thickBot="1" x14ac:dyDescent="0.3">
      <c r="K38" s="70"/>
      <c r="BM38" s="40"/>
      <c r="BN38" s="40"/>
      <c r="BO38" s="40"/>
      <c r="BP38" s="15"/>
    </row>
    <row r="39" spans="2:68" ht="15.75" thickTop="1" x14ac:dyDescent="0.25">
      <c r="B39" s="146" t="s">
        <v>172</v>
      </c>
      <c r="C39" s="147"/>
      <c r="D39" s="148"/>
      <c r="E39" s="149"/>
      <c r="F39" s="150">
        <v>42735</v>
      </c>
      <c r="G39" s="151"/>
      <c r="H39" s="152"/>
      <c r="I39" s="151"/>
      <c r="J39" s="153"/>
      <c r="K39" s="154">
        <v>42735</v>
      </c>
      <c r="BM39" s="40"/>
      <c r="BN39" s="40"/>
      <c r="BO39" s="40"/>
      <c r="BP39" s="15"/>
    </row>
    <row r="40" spans="2:68" x14ac:dyDescent="0.25">
      <c r="B40" s="155"/>
      <c r="C40" s="51"/>
      <c r="D40" s="68"/>
      <c r="E40" s="69"/>
      <c r="F40" s="104" t="s">
        <v>120</v>
      </c>
      <c r="G40" s="52"/>
      <c r="H40" s="144"/>
      <c r="I40" s="52"/>
      <c r="J40" s="156"/>
      <c r="K40" s="157" t="s">
        <v>147</v>
      </c>
      <c r="BM40" s="40"/>
      <c r="BN40" s="40"/>
      <c r="BO40" s="40"/>
      <c r="BP40" s="15"/>
    </row>
    <row r="41" spans="2:68" x14ac:dyDescent="0.25">
      <c r="B41" s="158"/>
      <c r="C41" s="108"/>
      <c r="D41" s="68"/>
      <c r="E41" s="159"/>
      <c r="F41" s="139" t="s">
        <v>121</v>
      </c>
      <c r="G41" s="52"/>
      <c r="H41" s="144"/>
      <c r="I41" s="52"/>
      <c r="J41" s="156"/>
      <c r="K41" s="157" t="s">
        <v>121</v>
      </c>
      <c r="P41" s="39"/>
      <c r="BM41" s="40"/>
      <c r="BN41" s="40"/>
      <c r="BO41" s="40"/>
      <c r="BP41" s="15"/>
    </row>
    <row r="42" spans="2:68" x14ac:dyDescent="0.25">
      <c r="B42" s="160" t="s">
        <v>175</v>
      </c>
      <c r="C42" s="108"/>
      <c r="D42" s="68"/>
      <c r="E42" s="159"/>
      <c r="F42" s="161">
        <v>147.0723668</v>
      </c>
      <c r="G42" s="52"/>
      <c r="H42" s="144"/>
      <c r="I42" s="52"/>
      <c r="J42" s="156"/>
      <c r="K42" s="162">
        <v>-108.3695731319762</v>
      </c>
      <c r="P42" s="39"/>
      <c r="BM42" s="40"/>
      <c r="BN42" s="40"/>
      <c r="BO42" s="40"/>
      <c r="BP42" s="15"/>
    </row>
    <row r="43" spans="2:68" x14ac:dyDescent="0.25">
      <c r="B43" s="160" t="s">
        <v>176</v>
      </c>
      <c r="C43" s="108"/>
      <c r="D43" s="68"/>
      <c r="E43" s="159"/>
      <c r="F43" s="161">
        <v>0.68398715399999999</v>
      </c>
      <c r="G43" s="52"/>
      <c r="H43" s="144"/>
      <c r="I43" s="52"/>
      <c r="J43" s="156"/>
      <c r="K43" s="162">
        <v>-0.38793301271641789</v>
      </c>
      <c r="P43" s="39"/>
      <c r="BM43" s="40"/>
      <c r="BN43" s="40"/>
      <c r="BO43" s="40"/>
      <c r="BP43" s="15"/>
    </row>
    <row r="44" spans="2:68" x14ac:dyDescent="0.25">
      <c r="B44" s="160" t="s">
        <v>177</v>
      </c>
      <c r="C44" s="108"/>
      <c r="D44" s="68"/>
      <c r="E44" s="159"/>
      <c r="F44" s="161">
        <v>1.9442985659999998</v>
      </c>
      <c r="G44" s="52"/>
      <c r="H44" s="144"/>
      <c r="I44" s="52"/>
      <c r="J44" s="156"/>
      <c r="K44" s="162">
        <v>-0.31414430979039298</v>
      </c>
      <c r="P44" s="39"/>
      <c r="BM44" s="40"/>
      <c r="BN44" s="40"/>
      <c r="BO44" s="40"/>
      <c r="BP44" s="15"/>
    </row>
    <row r="45" spans="2:68" x14ac:dyDescent="0.25">
      <c r="B45" s="163" t="s">
        <v>178</v>
      </c>
      <c r="C45" s="108"/>
      <c r="D45" s="68"/>
      <c r="E45" s="159"/>
      <c r="F45" s="161">
        <v>0.37674735999999998</v>
      </c>
      <c r="G45" s="52"/>
      <c r="H45" s="144"/>
      <c r="I45" s="52"/>
      <c r="J45" s="156"/>
      <c r="K45" s="162">
        <v>-0.13699903999999999</v>
      </c>
      <c r="P45" s="39"/>
      <c r="BM45" s="40"/>
      <c r="BN45" s="40"/>
      <c r="BO45" s="40"/>
      <c r="BP45" s="15"/>
    </row>
    <row r="46" spans="2:68" x14ac:dyDescent="0.25">
      <c r="B46" s="163" t="s">
        <v>179</v>
      </c>
      <c r="C46" s="108"/>
      <c r="D46" s="68"/>
      <c r="E46" s="159"/>
      <c r="F46" s="161">
        <v>0.37674735999999998</v>
      </c>
      <c r="G46" s="52"/>
      <c r="H46" s="144"/>
      <c r="I46" s="52"/>
      <c r="J46" s="156"/>
      <c r="K46" s="162">
        <v>-0.17124880000000001</v>
      </c>
      <c r="P46" s="39"/>
      <c r="BM46" s="40"/>
      <c r="BN46" s="40"/>
      <c r="BO46" s="40"/>
      <c r="BP46" s="15"/>
    </row>
    <row r="47" spans="2:68" x14ac:dyDescent="0.25">
      <c r="B47" s="164" t="s">
        <v>173</v>
      </c>
      <c r="C47" s="108"/>
      <c r="D47" s="68"/>
      <c r="E47" s="159"/>
      <c r="F47" s="161"/>
      <c r="G47" s="52"/>
      <c r="H47" s="144"/>
      <c r="I47" s="52"/>
      <c r="J47" s="156"/>
      <c r="K47" s="157"/>
      <c r="P47" s="39"/>
      <c r="BM47" s="40"/>
      <c r="BN47" s="40"/>
      <c r="BO47" s="40"/>
      <c r="BP47" s="15"/>
    </row>
    <row r="48" spans="2:68" x14ac:dyDescent="0.25">
      <c r="B48" s="163" t="s">
        <v>180</v>
      </c>
      <c r="C48" s="108"/>
      <c r="D48" s="68"/>
      <c r="E48" s="159"/>
      <c r="F48" s="161">
        <v>0.24658749999999999</v>
      </c>
      <c r="G48" s="52"/>
      <c r="H48" s="144"/>
      <c r="I48" s="52"/>
      <c r="J48" s="156"/>
      <c r="K48" s="162">
        <v>-0.16439166666666666</v>
      </c>
      <c r="P48" s="39"/>
      <c r="BM48" s="40"/>
      <c r="BN48" s="40"/>
      <c r="BO48" s="40"/>
      <c r="BP48" s="15"/>
    </row>
    <row r="49" spans="2:68" x14ac:dyDescent="0.25">
      <c r="B49" s="163" t="s">
        <v>181</v>
      </c>
      <c r="C49" s="108"/>
      <c r="D49" s="68"/>
      <c r="E49" s="159"/>
      <c r="F49" s="161">
        <v>1.3714462999999999</v>
      </c>
      <c r="G49" s="52"/>
      <c r="H49" s="144"/>
      <c r="I49" s="52"/>
      <c r="J49" s="156"/>
      <c r="K49" s="162">
        <v>-1.4481109999999999</v>
      </c>
      <c r="P49" s="39"/>
      <c r="BM49" s="40"/>
      <c r="BN49" s="40"/>
      <c r="BO49" s="40"/>
      <c r="BP49" s="15"/>
    </row>
    <row r="50" spans="2:68" x14ac:dyDescent="0.25">
      <c r="B50" s="163" t="s">
        <v>182</v>
      </c>
      <c r="C50" s="108"/>
      <c r="D50" s="68"/>
      <c r="E50" s="159"/>
      <c r="F50" s="161">
        <v>1.99079425</v>
      </c>
      <c r="G50" s="52"/>
      <c r="H50" s="144"/>
      <c r="I50" s="52"/>
      <c r="J50" s="156"/>
      <c r="K50" s="162">
        <v>-1.5206066633165829</v>
      </c>
      <c r="P50" s="39"/>
      <c r="BM50" s="40"/>
      <c r="BN50" s="40"/>
      <c r="BO50" s="40"/>
      <c r="BP50" s="15"/>
    </row>
    <row r="51" spans="2:68" x14ac:dyDescent="0.25">
      <c r="B51" s="163" t="s">
        <v>183</v>
      </c>
      <c r="C51" s="108"/>
      <c r="D51" s="68"/>
      <c r="E51" s="159"/>
      <c r="F51" s="161">
        <v>0.37674735999999998</v>
      </c>
      <c r="G51" s="52"/>
      <c r="H51" s="144"/>
      <c r="I51" s="52"/>
      <c r="J51" s="156"/>
      <c r="K51" s="162">
        <v>-0.20549855999999997</v>
      </c>
      <c r="P51" s="39"/>
      <c r="BM51" s="40"/>
      <c r="BN51" s="40"/>
      <c r="BO51" s="40"/>
      <c r="BP51" s="15"/>
    </row>
    <row r="52" spans="2:68" x14ac:dyDescent="0.25">
      <c r="B52" s="158"/>
      <c r="C52" s="108"/>
      <c r="D52" s="68"/>
      <c r="E52" s="159"/>
      <c r="F52" s="69"/>
      <c r="G52" s="156"/>
      <c r="H52" s="156"/>
      <c r="I52" s="156"/>
      <c r="J52" s="156"/>
      <c r="K52" s="165"/>
    </row>
    <row r="53" spans="2:68" ht="15.75" thickBot="1" x14ac:dyDescent="0.3">
      <c r="B53" s="166" t="s">
        <v>174</v>
      </c>
      <c r="C53" s="167"/>
      <c r="D53" s="168"/>
      <c r="E53" s="169"/>
      <c r="F53" s="168">
        <v>2.0400000000000001E-2</v>
      </c>
      <c r="G53" s="170"/>
      <c r="H53" s="171"/>
      <c r="I53" s="170"/>
      <c r="J53" s="172"/>
      <c r="K53" s="173">
        <v>1.0204</v>
      </c>
    </row>
    <row r="54" spans="2:68" ht="15.75" thickTop="1" x14ac:dyDescent="0.25"/>
  </sheetData>
  <mergeCells count="26">
    <mergeCell ref="AS1:AX1"/>
    <mergeCell ref="AZ1:BE1"/>
    <mergeCell ref="BG1:BL1"/>
    <mergeCell ref="C2:F2"/>
    <mergeCell ref="L2:M2"/>
    <mergeCell ref="N2:O2"/>
    <mergeCell ref="S2:T2"/>
    <mergeCell ref="C1:F1"/>
    <mergeCell ref="J1:O1"/>
    <mergeCell ref="Q1:V1"/>
    <mergeCell ref="X1:AC1"/>
    <mergeCell ref="AE1:AJ1"/>
    <mergeCell ref="AL1:AQ1"/>
    <mergeCell ref="U2:V2"/>
    <mergeCell ref="Z2:AA2"/>
    <mergeCell ref="AB2:AC2"/>
    <mergeCell ref="AG2:AH2"/>
    <mergeCell ref="AI2:AJ2"/>
    <mergeCell ref="BK2:BL2"/>
    <mergeCell ref="BB2:BC2"/>
    <mergeCell ref="BD2:BE2"/>
    <mergeCell ref="BI2:BJ2"/>
    <mergeCell ref="AN2:AO2"/>
    <mergeCell ref="AP2:AQ2"/>
    <mergeCell ref="AU2:AV2"/>
    <mergeCell ref="AW2:AX2"/>
  </mergeCells>
  <printOptions gridLines="1"/>
  <pageMargins left="0.2" right="0.2" top="0.75" bottom="0.75" header="0.3" footer="0.3"/>
  <pageSetup scale="67" fitToWidth="12" fitToHeight="5" orientation="portrait" r:id="rId1"/>
  <colBreaks count="8" manualBreakCount="8">
    <brk id="6" max="60" man="1"/>
    <brk id="15" max="60" man="1"/>
    <brk id="22" max="60" man="1"/>
    <brk id="29" max="60" man="1"/>
    <brk id="36" max="60" man="1"/>
    <brk id="43" max="60" man="1"/>
    <brk id="50" max="60" man="1"/>
    <brk id="57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zoomScaleNormal="100" workbookViewId="0">
      <pane ySplit="2" topLeftCell="A3" activePane="bottomLeft" state="frozen"/>
      <selection pane="bottomLeft" activeCell="M3" sqref="M3:M5"/>
    </sheetView>
  </sheetViews>
  <sheetFormatPr defaultRowHeight="15" x14ac:dyDescent="0.25"/>
  <cols>
    <col min="1" max="1" width="14.7109375" style="73" customWidth="1"/>
    <col min="2" max="2" width="14.7109375" style="90" customWidth="1"/>
    <col min="3" max="3" width="14.7109375" style="73" customWidth="1"/>
    <col min="4" max="4" width="7.140625" style="73" customWidth="1"/>
    <col min="5" max="5" width="12.85546875" style="73" customWidth="1"/>
    <col min="6" max="6" width="10.85546875" style="73" customWidth="1"/>
    <col min="7" max="7" width="6.42578125" style="73" customWidth="1"/>
    <col min="8" max="8" width="15.5703125" style="73" bestFit="1" customWidth="1"/>
    <col min="9" max="9" width="17.7109375" style="73" customWidth="1"/>
    <col min="10" max="10" width="55" style="73" customWidth="1"/>
    <col min="11" max="11" width="24.42578125" style="73" customWidth="1"/>
    <col min="12" max="12" width="18" style="73" customWidth="1"/>
    <col min="13" max="13" width="24.140625" style="73" customWidth="1"/>
    <col min="14" max="15" width="14" style="73" customWidth="1"/>
    <col min="16" max="19" width="14" style="101" customWidth="1"/>
    <col min="20" max="20" width="16" style="101" customWidth="1"/>
    <col min="21" max="21" width="9.140625" style="101"/>
    <col min="22" max="16384" width="9.140625" style="73"/>
  </cols>
  <sheetData>
    <row r="1" spans="1:28" x14ac:dyDescent="0.25">
      <c r="H1" s="75">
        <f>SUBTOTAL(9,$I$3:$I$35)</f>
        <v>354971.96096869692</v>
      </c>
      <c r="I1" s="76">
        <f>SUMIFS($I$3:$I$35,$T$3:$T$35,"BDG")</f>
        <v>161536.04720869689</v>
      </c>
      <c r="J1" s="76"/>
      <c r="K1" s="76">
        <f>SUMIFS($I$3:$I$35,$U$3:$U$35,"MARKUP",$S$3:$S$35,"REMOVAL")</f>
        <v>77228.2</v>
      </c>
      <c r="O1" s="77">
        <f>P1-I1</f>
        <v>0</v>
      </c>
      <c r="P1" s="113">
        <f>'Perdido Data'!F27</f>
        <v>161536.04720869689</v>
      </c>
      <c r="Q1" s="113"/>
      <c r="R1" s="113"/>
      <c r="S1" s="113"/>
      <c r="T1" s="113"/>
    </row>
    <row r="2" spans="1:28" x14ac:dyDescent="0.25">
      <c r="A2" s="78" t="s">
        <v>40</v>
      </c>
      <c r="B2" s="79" t="s">
        <v>111</v>
      </c>
      <c r="C2" s="79" t="s">
        <v>112</v>
      </c>
      <c r="D2" s="78" t="s">
        <v>41</v>
      </c>
      <c r="E2" s="78" t="s">
        <v>42</v>
      </c>
      <c r="F2" s="78" t="s">
        <v>43</v>
      </c>
      <c r="G2" s="78" t="s">
        <v>44</v>
      </c>
      <c r="H2" s="78" t="s">
        <v>45</v>
      </c>
      <c r="I2" s="78" t="s">
        <v>46</v>
      </c>
      <c r="J2" s="78" t="s">
        <v>47</v>
      </c>
      <c r="K2" s="78" t="s">
        <v>48</v>
      </c>
      <c r="L2" s="78" t="s">
        <v>49</v>
      </c>
      <c r="M2" s="78" t="s">
        <v>184</v>
      </c>
      <c r="N2" s="78" t="s">
        <v>185</v>
      </c>
      <c r="O2" s="78" t="s">
        <v>186</v>
      </c>
      <c r="P2" s="80" t="s">
        <v>50</v>
      </c>
      <c r="Q2" s="80" t="s">
        <v>116</v>
      </c>
      <c r="R2" s="80" t="s">
        <v>114</v>
      </c>
      <c r="S2" s="88" t="s">
        <v>99</v>
      </c>
      <c r="T2" s="101">
        <v>1</v>
      </c>
      <c r="U2" s="101">
        <v>2</v>
      </c>
      <c r="V2" s="81">
        <v>3</v>
      </c>
      <c r="W2" s="82">
        <v>4</v>
      </c>
      <c r="X2" s="82">
        <v>5</v>
      </c>
      <c r="Y2" s="82">
        <v>6</v>
      </c>
      <c r="Z2" s="82">
        <v>7</v>
      </c>
      <c r="AA2" s="82">
        <v>8</v>
      </c>
      <c r="AB2" s="82">
        <v>9</v>
      </c>
    </row>
    <row r="3" spans="1:28" s="74" customFormat="1" x14ac:dyDescent="0.25">
      <c r="A3" s="83" t="s">
        <v>51</v>
      </c>
      <c r="B3" s="84" t="s">
        <v>107</v>
      </c>
      <c r="C3" s="84" t="s">
        <v>145</v>
      </c>
      <c r="D3" s="83" t="s">
        <v>139</v>
      </c>
      <c r="E3" s="83" t="s">
        <v>138</v>
      </c>
      <c r="F3" s="85">
        <v>0</v>
      </c>
      <c r="G3" s="83" t="s">
        <v>52</v>
      </c>
      <c r="H3" s="182"/>
      <c r="I3" s="86">
        <v>0</v>
      </c>
      <c r="J3" s="83" t="s">
        <v>53</v>
      </c>
      <c r="K3" s="83" t="s">
        <v>52</v>
      </c>
      <c r="L3" s="83" t="s">
        <v>52</v>
      </c>
      <c r="M3" s="83" t="s">
        <v>53</v>
      </c>
      <c r="N3" s="176">
        <f t="shared" ref="N3:N35" si="0">H3</f>
        <v>0</v>
      </c>
      <c r="O3" s="177">
        <f t="shared" ref="O3:O35" si="1">I3</f>
        <v>0</v>
      </c>
      <c r="P3" s="114" t="s">
        <v>57</v>
      </c>
      <c r="Q3" s="114">
        <v>1</v>
      </c>
      <c r="R3" s="114" t="s">
        <v>115</v>
      </c>
      <c r="S3" s="89" t="s">
        <v>100</v>
      </c>
      <c r="T3" s="101" t="s">
        <v>54</v>
      </c>
      <c r="U3" s="101"/>
      <c r="V3" s="81" t="str">
        <f t="shared" ref="V3:V35" si="2">A3&amp;C3&amp;D3&amp;E3&amp;F3&amp;G3&amp;H3&amp;J3</f>
        <v>30400001GS1GSLRPERDIDO-NON0CONTINGENCY</v>
      </c>
      <c r="W3" s="81"/>
    </row>
    <row r="4" spans="1:28" s="74" customFormat="1" x14ac:dyDescent="0.25">
      <c r="A4" s="83" t="s">
        <v>51</v>
      </c>
      <c r="B4" s="84" t="s">
        <v>107</v>
      </c>
      <c r="C4" s="84" t="s">
        <v>146</v>
      </c>
      <c r="D4" s="83" t="s">
        <v>142</v>
      </c>
      <c r="E4" s="83" t="s">
        <v>138</v>
      </c>
      <c r="F4" s="85">
        <v>0</v>
      </c>
      <c r="G4" s="83" t="s">
        <v>52</v>
      </c>
      <c r="H4" s="182"/>
      <c r="I4" s="86">
        <v>0</v>
      </c>
      <c r="J4" s="83" t="s">
        <v>53</v>
      </c>
      <c r="K4" s="83" t="s">
        <v>52</v>
      </c>
      <c r="L4" s="83" t="s">
        <v>52</v>
      </c>
      <c r="M4" s="83" t="s">
        <v>53</v>
      </c>
      <c r="N4" s="176">
        <f t="shared" si="0"/>
        <v>0</v>
      </c>
      <c r="O4" s="177">
        <f t="shared" si="1"/>
        <v>0</v>
      </c>
      <c r="P4" s="114" t="s">
        <v>57</v>
      </c>
      <c r="Q4" s="114">
        <v>1</v>
      </c>
      <c r="R4" s="114" t="s">
        <v>115</v>
      </c>
      <c r="S4" s="89" t="s">
        <v>100</v>
      </c>
      <c r="T4" s="101" t="s">
        <v>54</v>
      </c>
      <c r="U4" s="101"/>
      <c r="V4" s="81" t="str">
        <f t="shared" si="2"/>
        <v>30400002GS2GSLRPERDIDO-NON0CONTINGENCY</v>
      </c>
      <c r="W4" s="81"/>
    </row>
    <row r="5" spans="1:28" s="74" customFormat="1" x14ac:dyDescent="0.25">
      <c r="A5" s="83" t="s">
        <v>51</v>
      </c>
      <c r="B5" s="84" t="s">
        <v>107</v>
      </c>
      <c r="C5" s="84" t="s">
        <v>55</v>
      </c>
      <c r="D5" s="83" t="s">
        <v>56</v>
      </c>
      <c r="E5" s="83" t="s">
        <v>138</v>
      </c>
      <c r="F5" s="85">
        <v>0</v>
      </c>
      <c r="G5" s="83" t="s">
        <v>52</v>
      </c>
      <c r="H5" s="182"/>
      <c r="I5" s="86">
        <v>0</v>
      </c>
      <c r="J5" s="83" t="s">
        <v>53</v>
      </c>
      <c r="K5" s="83" t="s">
        <v>52</v>
      </c>
      <c r="L5" s="83" t="s">
        <v>52</v>
      </c>
      <c r="M5" s="83" t="s">
        <v>53</v>
      </c>
      <c r="N5" s="176">
        <f t="shared" si="0"/>
        <v>0</v>
      </c>
      <c r="O5" s="177">
        <f t="shared" si="1"/>
        <v>0</v>
      </c>
      <c r="P5" s="114" t="s">
        <v>57</v>
      </c>
      <c r="Q5" s="114">
        <v>1</v>
      </c>
      <c r="R5" s="114" t="s">
        <v>115</v>
      </c>
      <c r="S5" s="89" t="s">
        <v>100</v>
      </c>
      <c r="T5" s="101" t="s">
        <v>54</v>
      </c>
      <c r="U5" s="101"/>
      <c r="V5" s="81" t="str">
        <f t="shared" si="2"/>
        <v>3040000CCLRPERDIDO-NON0CONTINGENCY</v>
      </c>
      <c r="W5" s="81"/>
    </row>
    <row r="6" spans="1:28" x14ac:dyDescent="0.25">
      <c r="A6" s="91" t="s">
        <v>61</v>
      </c>
      <c r="B6" s="84" t="s">
        <v>108</v>
      </c>
      <c r="C6" s="84" t="s">
        <v>55</v>
      </c>
      <c r="D6" s="83" t="s">
        <v>56</v>
      </c>
      <c r="E6" s="91" t="s">
        <v>138</v>
      </c>
      <c r="F6" s="180">
        <v>2</v>
      </c>
      <c r="G6" s="91" t="s">
        <v>16</v>
      </c>
      <c r="H6" s="183">
        <f>SUMIFS($I$3:$I$35,$E$3:$E$35,$E6,$U$3:$U$35,"MARKUP",$S$3:$S$35,"REMOVAL")*0.01</f>
        <v>772.28200000000004</v>
      </c>
      <c r="I6" s="183">
        <f>(F6*H6)-200000</f>
        <v>-198455.43599999999</v>
      </c>
      <c r="J6" s="184" t="s">
        <v>62</v>
      </c>
      <c r="K6" s="91" t="s">
        <v>52</v>
      </c>
      <c r="L6" s="91" t="s">
        <v>52</v>
      </c>
      <c r="M6" s="83" t="s">
        <v>113</v>
      </c>
      <c r="N6" s="176">
        <f t="shared" si="0"/>
        <v>772.28200000000004</v>
      </c>
      <c r="O6" s="177">
        <f t="shared" si="1"/>
        <v>-198455.43599999999</v>
      </c>
      <c r="P6" s="114" t="s">
        <v>57</v>
      </c>
      <c r="Q6" s="114">
        <v>1</v>
      </c>
      <c r="R6" s="114" t="s">
        <v>115</v>
      </c>
      <c r="S6" s="89" t="s">
        <v>100</v>
      </c>
      <c r="T6" s="101" t="s">
        <v>54</v>
      </c>
      <c r="V6" s="81" t="str">
        <f t="shared" si="2"/>
        <v>3070201CCLRPERDIDO-NON2%772.282TEMPORARY CONSTRUCTION SERVICES</v>
      </c>
      <c r="W6" s="81"/>
    </row>
    <row r="7" spans="1:28" x14ac:dyDescent="0.25">
      <c r="A7" s="91" t="s">
        <v>79</v>
      </c>
      <c r="B7" s="84" t="s">
        <v>104</v>
      </c>
      <c r="C7" s="84" t="s">
        <v>55</v>
      </c>
      <c r="D7" s="91" t="s">
        <v>56</v>
      </c>
      <c r="E7" s="91" t="s">
        <v>138</v>
      </c>
      <c r="F7" s="180">
        <v>1</v>
      </c>
      <c r="G7" s="91" t="s">
        <v>16</v>
      </c>
      <c r="H7" s="183">
        <f>SUMIFS($I$3:$I$35,$E$3:$E$35,$E7,$U$3:$U$35,"MARKUP",$S$3:$S$35,"REMOVAL")*0.01</f>
        <v>772.28200000000004</v>
      </c>
      <c r="I7" s="96">
        <f>F7*H7</f>
        <v>772.28200000000004</v>
      </c>
      <c r="J7" s="184" t="s">
        <v>80</v>
      </c>
      <c r="K7" s="91" t="s">
        <v>52</v>
      </c>
      <c r="L7" s="91" t="s">
        <v>52</v>
      </c>
      <c r="M7" s="83" t="s">
        <v>80</v>
      </c>
      <c r="N7" s="176">
        <f t="shared" si="0"/>
        <v>772.28200000000004</v>
      </c>
      <c r="O7" s="177">
        <f t="shared" si="1"/>
        <v>772.28200000000004</v>
      </c>
      <c r="P7" s="114" t="s">
        <v>57</v>
      </c>
      <c r="Q7" s="114">
        <v>1</v>
      </c>
      <c r="R7" s="114" t="s">
        <v>115</v>
      </c>
      <c r="S7" s="89" t="s">
        <v>100</v>
      </c>
      <c r="T7" s="101" t="s">
        <v>54</v>
      </c>
      <c r="V7" s="81" t="str">
        <f t="shared" si="2"/>
        <v>3090481CCLRPERDIDO-NON1%772.282ADMINISTRATIVE &amp; GENERAL OVERHEAD</v>
      </c>
      <c r="W7" s="81"/>
    </row>
    <row r="8" spans="1:28" x14ac:dyDescent="0.25">
      <c r="A8" s="91" t="s">
        <v>84</v>
      </c>
      <c r="B8" s="84" t="s">
        <v>105</v>
      </c>
      <c r="C8" s="84" t="s">
        <v>55</v>
      </c>
      <c r="D8" s="91" t="s">
        <v>56</v>
      </c>
      <c r="E8" s="91" t="s">
        <v>138</v>
      </c>
      <c r="F8" s="181">
        <f>'Perdido Data'!$D$23</f>
        <v>7</v>
      </c>
      <c r="G8" s="91" t="s">
        <v>30</v>
      </c>
      <c r="H8" s="96">
        <f>'Perdido Data'!$E$23</f>
        <v>663.26</v>
      </c>
      <c r="I8" s="96">
        <f>'Perdido Data'!$F$23</f>
        <v>4550</v>
      </c>
      <c r="J8" s="91" t="s">
        <v>85</v>
      </c>
      <c r="K8" s="91" t="s">
        <v>52</v>
      </c>
      <c r="L8" s="91" t="s">
        <v>52</v>
      </c>
      <c r="M8" s="91" t="s">
        <v>86</v>
      </c>
      <c r="N8" s="176">
        <f t="shared" si="0"/>
        <v>663.26</v>
      </c>
      <c r="O8" s="177">
        <f t="shared" si="1"/>
        <v>4550</v>
      </c>
      <c r="P8" s="114" t="s">
        <v>57</v>
      </c>
      <c r="Q8" s="114">
        <v>1</v>
      </c>
      <c r="R8" s="114" t="s">
        <v>115</v>
      </c>
      <c r="S8" s="89" t="s">
        <v>100</v>
      </c>
      <c r="T8" s="101" t="s">
        <v>66</v>
      </c>
      <c r="U8" s="101" t="s">
        <v>82</v>
      </c>
      <c r="V8" s="81" t="str">
        <f t="shared" si="2"/>
        <v>311UNDCCLRPERDIDO-NON7nt663.26ANCILLARY BUILDINGS - Demo</v>
      </c>
      <c r="W8" s="81"/>
    </row>
    <row r="9" spans="1:28" x14ac:dyDescent="0.25">
      <c r="A9" s="91" t="s">
        <v>63</v>
      </c>
      <c r="B9" s="84" t="s">
        <v>108</v>
      </c>
      <c r="C9" s="84" t="s">
        <v>55</v>
      </c>
      <c r="D9" s="91" t="s">
        <v>56</v>
      </c>
      <c r="E9" s="91" t="s">
        <v>138</v>
      </c>
      <c r="F9" s="179">
        <v>1</v>
      </c>
      <c r="G9" s="91" t="s">
        <v>64</v>
      </c>
      <c r="H9" s="96">
        <f>'Perdido Data'!$E$9</f>
        <v>45000</v>
      </c>
      <c r="I9" s="96">
        <f>'Perdido Data'!$F$9</f>
        <v>45000</v>
      </c>
      <c r="J9" s="91" t="s">
        <v>65</v>
      </c>
      <c r="K9" s="91" t="s">
        <v>52</v>
      </c>
      <c r="L9" s="91" t="s">
        <v>52</v>
      </c>
      <c r="M9" s="83" t="s">
        <v>65</v>
      </c>
      <c r="N9" s="176">
        <f t="shared" si="0"/>
        <v>45000</v>
      </c>
      <c r="O9" s="177">
        <f t="shared" si="1"/>
        <v>45000</v>
      </c>
      <c r="P9" s="114" t="s">
        <v>57</v>
      </c>
      <c r="Q9" s="114">
        <v>1</v>
      </c>
      <c r="R9" s="114" t="s">
        <v>115</v>
      </c>
      <c r="S9" s="89" t="s">
        <v>100</v>
      </c>
      <c r="T9" s="101" t="s">
        <v>66</v>
      </c>
      <c r="V9" s="81" t="str">
        <f t="shared" si="2"/>
        <v>3070201MOCCLRPERDIDO-NON1LT45000CONTRACTOR MOBILIZATION</v>
      </c>
      <c r="W9" s="81"/>
    </row>
    <row r="10" spans="1:28" x14ac:dyDescent="0.25">
      <c r="A10" s="91" t="s">
        <v>97</v>
      </c>
      <c r="B10" s="84" t="s">
        <v>109</v>
      </c>
      <c r="C10" s="84" t="s">
        <v>145</v>
      </c>
      <c r="D10" s="91" t="s">
        <v>139</v>
      </c>
      <c r="E10" s="91" t="s">
        <v>138</v>
      </c>
      <c r="F10" s="181">
        <f>'Perdido Data'!$D$18/2</f>
        <v>2</v>
      </c>
      <c r="G10" s="91" t="s">
        <v>31</v>
      </c>
      <c r="H10" s="96">
        <f>'Perdido Data'!$E$18</f>
        <v>663.26</v>
      </c>
      <c r="I10" s="96">
        <f>'Perdido Data'!$F$18/2</f>
        <v>1326.52</v>
      </c>
      <c r="J10" s="91" t="s">
        <v>136</v>
      </c>
      <c r="K10" s="91"/>
      <c r="L10" s="91" t="s">
        <v>92</v>
      </c>
      <c r="M10" s="91" t="s">
        <v>98</v>
      </c>
      <c r="N10" s="176">
        <f t="shared" si="0"/>
        <v>663.26</v>
      </c>
      <c r="O10" s="177">
        <f t="shared" si="1"/>
        <v>1326.52</v>
      </c>
      <c r="P10" s="114" t="s">
        <v>57</v>
      </c>
      <c r="Q10" s="114">
        <v>1</v>
      </c>
      <c r="R10" s="114" t="s">
        <v>115</v>
      </c>
      <c r="S10" s="89" t="s">
        <v>100</v>
      </c>
      <c r="T10" s="101" t="s">
        <v>66</v>
      </c>
      <c r="U10" s="101" t="s">
        <v>82</v>
      </c>
      <c r="V10" s="81" t="str">
        <f t="shared" si="2"/>
        <v>345UND1GS1GSLRPERDIDO-NON2lbs663.26Generator Set Transformers - Demo</v>
      </c>
      <c r="W10" s="81"/>
    </row>
    <row r="11" spans="1:28" x14ac:dyDescent="0.25">
      <c r="A11" s="83" t="s">
        <v>97</v>
      </c>
      <c r="B11" s="84" t="s">
        <v>109</v>
      </c>
      <c r="C11" s="84" t="s">
        <v>146</v>
      </c>
      <c r="D11" s="83" t="s">
        <v>142</v>
      </c>
      <c r="E11" s="83" t="s">
        <v>138</v>
      </c>
      <c r="F11" s="87">
        <f>'Perdido Data'!$D$18/2</f>
        <v>2</v>
      </c>
      <c r="G11" s="83" t="s">
        <v>31</v>
      </c>
      <c r="H11" s="86">
        <f>'Perdido Data'!$E$18</f>
        <v>663.26</v>
      </c>
      <c r="I11" s="86">
        <f>'Perdido Data'!$F$18/2</f>
        <v>1326.52</v>
      </c>
      <c r="J11" s="83" t="s">
        <v>136</v>
      </c>
      <c r="K11" s="83"/>
      <c r="L11" s="83" t="s">
        <v>92</v>
      </c>
      <c r="M11" s="83" t="s">
        <v>98</v>
      </c>
      <c r="N11" s="176">
        <f t="shared" si="0"/>
        <v>663.26</v>
      </c>
      <c r="O11" s="177">
        <f t="shared" si="1"/>
        <v>1326.52</v>
      </c>
      <c r="P11" s="114" t="s">
        <v>57</v>
      </c>
      <c r="Q11" s="114">
        <v>1</v>
      </c>
      <c r="R11" s="114" t="s">
        <v>115</v>
      </c>
      <c r="S11" s="89" t="s">
        <v>100</v>
      </c>
      <c r="T11" s="101" t="s">
        <v>66</v>
      </c>
      <c r="U11" s="101" t="s">
        <v>82</v>
      </c>
      <c r="V11" s="81" t="str">
        <f t="shared" si="2"/>
        <v>345UND2GS2GSLRPERDIDO-NON2lbs663.26Generator Set Transformers - Demo</v>
      </c>
      <c r="W11" s="81"/>
    </row>
    <row r="12" spans="1:28" x14ac:dyDescent="0.25">
      <c r="A12" s="100">
        <v>3080241</v>
      </c>
      <c r="B12" s="84" t="s">
        <v>106</v>
      </c>
      <c r="C12" s="84" t="s">
        <v>55</v>
      </c>
      <c r="D12" s="83" t="s">
        <v>56</v>
      </c>
      <c r="E12" s="83" t="s">
        <v>138</v>
      </c>
      <c r="F12" s="97">
        <v>3</v>
      </c>
      <c r="G12" s="83" t="s">
        <v>16</v>
      </c>
      <c r="H12" s="86">
        <f>SUMIFS($I$3:$I$35,$E$3:$E$35,$E12,$U$3:$U$35,"MARKUP",$S$3:$S$35,"REMOVAL")*0.01</f>
        <v>772.28200000000004</v>
      </c>
      <c r="I12" s="86">
        <f>F12*H12</f>
        <v>2316.846</v>
      </c>
      <c r="J12" s="99" t="s">
        <v>70</v>
      </c>
      <c r="K12" s="83" t="s">
        <v>52</v>
      </c>
      <c r="L12" s="83" t="s">
        <v>52</v>
      </c>
      <c r="M12" s="83" t="s">
        <v>73</v>
      </c>
      <c r="N12" s="176">
        <f t="shared" si="0"/>
        <v>772.28200000000004</v>
      </c>
      <c r="O12" s="177">
        <f t="shared" si="1"/>
        <v>2316.846</v>
      </c>
      <c r="P12" s="114" t="s">
        <v>57</v>
      </c>
      <c r="Q12" s="114">
        <v>1</v>
      </c>
      <c r="R12" s="114" t="s">
        <v>115</v>
      </c>
      <c r="S12" s="89" t="s">
        <v>100</v>
      </c>
      <c r="T12" s="101" t="s">
        <v>54</v>
      </c>
      <c r="V12" s="81" t="str">
        <f t="shared" si="2"/>
        <v>3080241CCLRPERDIDO-NON3%772.282SCS ENGINEERING</v>
      </c>
      <c r="W12" s="81"/>
    </row>
    <row r="13" spans="1:28" x14ac:dyDescent="0.25">
      <c r="A13" s="83" t="s">
        <v>81</v>
      </c>
      <c r="B13" s="84" t="s">
        <v>105</v>
      </c>
      <c r="C13" s="84" t="s">
        <v>55</v>
      </c>
      <c r="D13" s="83" t="s">
        <v>56</v>
      </c>
      <c r="E13" s="83" t="s">
        <v>138</v>
      </c>
      <c r="F13" s="87">
        <f>'Perdido Data'!$D$11</f>
        <v>45000</v>
      </c>
      <c r="G13" s="83" t="s">
        <v>27</v>
      </c>
      <c r="H13" s="86">
        <f>'Perdido Data'!$E$11</f>
        <v>0.25509999999999999</v>
      </c>
      <c r="I13" s="86">
        <f>'Perdido Data'!$F$11</f>
        <v>11250</v>
      </c>
      <c r="J13" s="83" t="s">
        <v>29</v>
      </c>
      <c r="K13" s="83" t="s">
        <v>52</v>
      </c>
      <c r="L13" s="83" t="s">
        <v>52</v>
      </c>
      <c r="M13" s="83" t="s">
        <v>29</v>
      </c>
      <c r="N13" s="176">
        <f t="shared" si="0"/>
        <v>0.25509999999999999</v>
      </c>
      <c r="O13" s="177">
        <f t="shared" si="1"/>
        <v>11250</v>
      </c>
      <c r="P13" s="114" t="s">
        <v>57</v>
      </c>
      <c r="Q13" s="114">
        <v>1</v>
      </c>
      <c r="R13" s="114" t="s">
        <v>115</v>
      </c>
      <c r="S13" s="89" t="s">
        <v>100</v>
      </c>
      <c r="T13" s="101" t="s">
        <v>66</v>
      </c>
      <c r="U13" s="101" t="s">
        <v>82</v>
      </c>
      <c r="V13" s="81" t="str">
        <f t="shared" si="2"/>
        <v>3110001LCCCLRPERDIDO-NON45000sf0.2551Grade and Seeding</v>
      </c>
      <c r="W13" s="81"/>
    </row>
    <row r="14" spans="1:28" x14ac:dyDescent="0.25">
      <c r="A14" s="83" t="s">
        <v>95</v>
      </c>
      <c r="B14" s="84">
        <v>344</v>
      </c>
      <c r="C14" s="84" t="s">
        <v>145</v>
      </c>
      <c r="D14" s="83" t="s">
        <v>139</v>
      </c>
      <c r="E14" s="83" t="s">
        <v>138</v>
      </c>
      <c r="F14" s="87">
        <f>'Perdido Data'!$D$14/2</f>
        <v>33</v>
      </c>
      <c r="G14" s="83" t="s">
        <v>30</v>
      </c>
      <c r="H14" s="86">
        <f>'Perdido Data'!$E$14</f>
        <v>663.26</v>
      </c>
      <c r="I14" s="86">
        <f>'Perdido Data'!$F$14/2</f>
        <v>21887.579999999998</v>
      </c>
      <c r="J14" s="83" t="s">
        <v>133</v>
      </c>
      <c r="K14" s="83" t="s">
        <v>52</v>
      </c>
      <c r="L14" s="83" t="s">
        <v>52</v>
      </c>
      <c r="M14" s="83" t="s">
        <v>90</v>
      </c>
      <c r="N14" s="176">
        <f t="shared" si="0"/>
        <v>663.26</v>
      </c>
      <c r="O14" s="177">
        <f t="shared" si="1"/>
        <v>21887.579999999998</v>
      </c>
      <c r="P14" s="114" t="s">
        <v>57</v>
      </c>
      <c r="Q14" s="114">
        <v>1</v>
      </c>
      <c r="R14" s="114" t="s">
        <v>115</v>
      </c>
      <c r="S14" s="89" t="s">
        <v>100</v>
      </c>
      <c r="T14" s="101" t="s">
        <v>66</v>
      </c>
      <c r="U14" s="101" t="s">
        <v>82</v>
      </c>
      <c r="V14" s="81" t="str">
        <f t="shared" si="2"/>
        <v>341UND1GS1GSLRPERDIDO-NON33nt663.26Generator Set - DEMO</v>
      </c>
      <c r="W14" s="81"/>
    </row>
    <row r="15" spans="1:28" x14ac:dyDescent="0.25">
      <c r="A15" s="83" t="s">
        <v>95</v>
      </c>
      <c r="B15" s="84">
        <v>344</v>
      </c>
      <c r="C15" s="84" t="s">
        <v>146</v>
      </c>
      <c r="D15" s="83" t="s">
        <v>142</v>
      </c>
      <c r="E15" s="83" t="s">
        <v>138</v>
      </c>
      <c r="F15" s="87">
        <f>'Perdido Data'!$D$14/2</f>
        <v>33</v>
      </c>
      <c r="G15" s="83" t="s">
        <v>30</v>
      </c>
      <c r="H15" s="86">
        <f>'Perdido Data'!$E$14</f>
        <v>663.26</v>
      </c>
      <c r="I15" s="86">
        <f>'Perdido Data'!$F$14/2</f>
        <v>21887.579999999998</v>
      </c>
      <c r="J15" s="83" t="s">
        <v>133</v>
      </c>
      <c r="K15" s="83" t="s">
        <v>52</v>
      </c>
      <c r="L15" s="83" t="s">
        <v>52</v>
      </c>
      <c r="M15" s="83" t="s">
        <v>90</v>
      </c>
      <c r="N15" s="176">
        <f t="shared" si="0"/>
        <v>663.26</v>
      </c>
      <c r="O15" s="177">
        <f t="shared" si="1"/>
        <v>21887.579999999998</v>
      </c>
      <c r="P15" s="114" t="s">
        <v>57</v>
      </c>
      <c r="Q15" s="114">
        <v>1</v>
      </c>
      <c r="R15" s="114" t="s">
        <v>115</v>
      </c>
      <c r="S15" s="89" t="s">
        <v>100</v>
      </c>
      <c r="T15" s="101" t="s">
        <v>66</v>
      </c>
      <c r="U15" s="101" t="s">
        <v>82</v>
      </c>
      <c r="V15" s="81" t="str">
        <f t="shared" si="2"/>
        <v>341UND2GS2GSLRPERDIDO-NON33nt663.26Generator Set - DEMO</v>
      </c>
      <c r="W15" s="81"/>
    </row>
    <row r="16" spans="1:28" x14ac:dyDescent="0.25">
      <c r="A16" s="83" t="s">
        <v>76</v>
      </c>
      <c r="B16" s="84" t="s">
        <v>106</v>
      </c>
      <c r="C16" s="84" t="s">
        <v>55</v>
      </c>
      <c r="D16" s="83" t="s">
        <v>56</v>
      </c>
      <c r="E16" s="83" t="s">
        <v>138</v>
      </c>
      <c r="F16" s="85">
        <v>1</v>
      </c>
      <c r="G16" s="83" t="s">
        <v>22</v>
      </c>
      <c r="H16" s="86">
        <f>'Perdido Data'!$E$5</f>
        <v>25000</v>
      </c>
      <c r="I16" s="86">
        <f>'Perdido Data'!$F$5</f>
        <v>25000</v>
      </c>
      <c r="J16" s="83" t="s">
        <v>23</v>
      </c>
      <c r="K16" s="83" t="s">
        <v>52</v>
      </c>
      <c r="L16" s="83" t="s">
        <v>52</v>
      </c>
      <c r="M16" s="83" t="s">
        <v>23</v>
      </c>
      <c r="N16" s="176">
        <f t="shared" si="0"/>
        <v>25000</v>
      </c>
      <c r="O16" s="177">
        <f t="shared" si="1"/>
        <v>25000</v>
      </c>
      <c r="P16" s="114" t="s">
        <v>57</v>
      </c>
      <c r="Q16" s="114">
        <v>1</v>
      </c>
      <c r="R16" s="114" t="s">
        <v>115</v>
      </c>
      <c r="S16" s="89" t="s">
        <v>100</v>
      </c>
      <c r="T16" s="101" t="s">
        <v>66</v>
      </c>
      <c r="V16" s="81" t="str">
        <f t="shared" si="2"/>
        <v>3080268EACCLRPERDIDO-NON1ls25000Perform environmental survey of above grade structures</v>
      </c>
      <c r="W16" s="81"/>
    </row>
    <row r="17" spans="1:23" x14ac:dyDescent="0.25">
      <c r="A17" s="83" t="s">
        <v>74</v>
      </c>
      <c r="B17" s="84" t="s">
        <v>106</v>
      </c>
      <c r="C17" s="84" t="s">
        <v>55</v>
      </c>
      <c r="D17" s="83" t="s">
        <v>56</v>
      </c>
      <c r="E17" s="83" t="s">
        <v>138</v>
      </c>
      <c r="F17" s="85">
        <v>1</v>
      </c>
      <c r="G17" s="83" t="s">
        <v>64</v>
      </c>
      <c r="H17" s="86">
        <f>SUMIFS($I$3:$I$35,$E$3:$E$35,$E17,$U$3:$U$35,"MARKUP",$S$3:$S$35,"REMOVAL")*0.0008</f>
        <v>61.782560000000004</v>
      </c>
      <c r="I17" s="86">
        <f>F17*H17</f>
        <v>61.782560000000004</v>
      </c>
      <c r="J17" s="98" t="s">
        <v>75</v>
      </c>
      <c r="K17" s="83" t="s">
        <v>52</v>
      </c>
      <c r="L17" s="83" t="s">
        <v>52</v>
      </c>
      <c r="M17" s="83" t="s">
        <v>75</v>
      </c>
      <c r="N17" s="176">
        <f t="shared" si="0"/>
        <v>61.782560000000004</v>
      </c>
      <c r="O17" s="177">
        <f t="shared" si="1"/>
        <v>61.782560000000004</v>
      </c>
      <c r="P17" s="114" t="s">
        <v>57</v>
      </c>
      <c r="Q17" s="114">
        <v>1</v>
      </c>
      <c r="R17" s="114" t="s">
        <v>115</v>
      </c>
      <c r="S17" s="89" t="s">
        <v>100</v>
      </c>
      <c r="T17" s="101" t="s">
        <v>54</v>
      </c>
      <c r="V17" s="81" t="str">
        <f t="shared" si="2"/>
        <v>3080268CCLRPERDIDO-NON1LT61.78256PERMITS</v>
      </c>
      <c r="W17" s="81"/>
    </row>
    <row r="18" spans="1:23" x14ac:dyDescent="0.25">
      <c r="A18" s="83" t="s">
        <v>58</v>
      </c>
      <c r="B18" s="84" t="s">
        <v>108</v>
      </c>
      <c r="C18" s="84" t="s">
        <v>55</v>
      </c>
      <c r="D18" s="83" t="s">
        <v>56</v>
      </c>
      <c r="E18" s="83" t="s">
        <v>138</v>
      </c>
      <c r="F18" s="85">
        <v>1</v>
      </c>
      <c r="G18" s="83" t="s">
        <v>59</v>
      </c>
      <c r="H18" s="86">
        <v>135010.76</v>
      </c>
      <c r="I18" s="86">
        <f>F18*H18</f>
        <v>135010.76</v>
      </c>
      <c r="J18" s="83" t="s">
        <v>60</v>
      </c>
      <c r="K18" s="83" t="s">
        <v>52</v>
      </c>
      <c r="L18" s="83" t="s">
        <v>52</v>
      </c>
      <c r="M18" s="83" t="s">
        <v>60</v>
      </c>
      <c r="N18" s="176">
        <f t="shared" si="0"/>
        <v>135010.76</v>
      </c>
      <c r="O18" s="177">
        <f t="shared" si="1"/>
        <v>135010.76</v>
      </c>
      <c r="P18" s="114" t="s">
        <v>57</v>
      </c>
      <c r="Q18" s="114">
        <v>1</v>
      </c>
      <c r="R18" s="114" t="s">
        <v>115</v>
      </c>
      <c r="S18" s="89" t="s">
        <v>100</v>
      </c>
      <c r="T18" s="101" t="s">
        <v>54</v>
      </c>
      <c r="V18" s="81" t="str">
        <f t="shared" si="2"/>
        <v>3070041CCLRPERDIDO-NON1MY135010.76POWER GENERATION SUPERVISION</v>
      </c>
      <c r="W18" s="81"/>
    </row>
    <row r="19" spans="1:23" x14ac:dyDescent="0.25">
      <c r="A19" s="83" t="s">
        <v>84</v>
      </c>
      <c r="B19" s="84" t="s">
        <v>105</v>
      </c>
      <c r="C19" s="84" t="s">
        <v>55</v>
      </c>
      <c r="D19" s="83" t="s">
        <v>87</v>
      </c>
      <c r="E19" s="83" t="s">
        <v>138</v>
      </c>
      <c r="F19" s="87">
        <f>'Perdido Data'!$D$24</f>
        <v>7</v>
      </c>
      <c r="G19" s="83" t="s">
        <v>30</v>
      </c>
      <c r="H19" s="86">
        <f>'Perdido Data'!$E$24</f>
        <v>-108.3695731319762</v>
      </c>
      <c r="I19" s="86">
        <f>'Perdido Data'!$F$24</f>
        <v>-1263.6842105263156</v>
      </c>
      <c r="J19" s="83" t="s">
        <v>88</v>
      </c>
      <c r="K19" s="83" t="s">
        <v>89</v>
      </c>
      <c r="L19" s="83" t="s">
        <v>52</v>
      </c>
      <c r="M19" s="83" t="s">
        <v>187</v>
      </c>
      <c r="N19" s="176">
        <f t="shared" si="0"/>
        <v>-108.3695731319762</v>
      </c>
      <c r="O19" s="177">
        <f t="shared" si="1"/>
        <v>-1263.6842105263156</v>
      </c>
      <c r="P19" s="114" t="s">
        <v>57</v>
      </c>
      <c r="Q19" s="114">
        <v>1</v>
      </c>
      <c r="R19" s="114" t="s">
        <v>115</v>
      </c>
      <c r="S19" s="89" t="s">
        <v>102</v>
      </c>
      <c r="T19" s="101" t="s">
        <v>66</v>
      </c>
      <c r="U19" s="101" t="s">
        <v>82</v>
      </c>
      <c r="V19" s="81" t="str">
        <f t="shared" si="2"/>
        <v>311UNDCCMSPERDIDO-NON7nt-108.369573131976ANCILLARY BUILDINGS - FE SALES</v>
      </c>
      <c r="W19" s="81"/>
    </row>
    <row r="20" spans="1:23" x14ac:dyDescent="0.25">
      <c r="A20" s="83" t="s">
        <v>96</v>
      </c>
      <c r="B20" s="84">
        <v>344</v>
      </c>
      <c r="C20" s="84" t="s">
        <v>145</v>
      </c>
      <c r="D20" s="83" t="s">
        <v>140</v>
      </c>
      <c r="E20" s="83" t="s">
        <v>138</v>
      </c>
      <c r="F20" s="87">
        <f>'Perdido Data'!$D$16/2</f>
        <v>2975</v>
      </c>
      <c r="G20" s="83" t="s">
        <v>31</v>
      </c>
      <c r="H20" s="86">
        <f>'Perdido Data'!$E$16</f>
        <v>-0.31414430979039298</v>
      </c>
      <c r="I20" s="86">
        <f>'Perdido Data'!$F$16/2</f>
        <v>-1101.2992307692309</v>
      </c>
      <c r="J20" s="83" t="s">
        <v>132</v>
      </c>
      <c r="K20" s="83" t="s">
        <v>91</v>
      </c>
      <c r="L20" s="83" t="s">
        <v>52</v>
      </c>
      <c r="M20" s="83" t="s">
        <v>187</v>
      </c>
      <c r="N20" s="176">
        <f t="shared" si="0"/>
        <v>-0.31414430979039298</v>
      </c>
      <c r="O20" s="177">
        <f t="shared" si="1"/>
        <v>-1101.2992307692309</v>
      </c>
      <c r="P20" s="114" t="s">
        <v>57</v>
      </c>
      <c r="Q20" s="114">
        <v>1</v>
      </c>
      <c r="R20" s="114" t="s">
        <v>115</v>
      </c>
      <c r="S20" s="89" t="s">
        <v>102</v>
      </c>
      <c r="T20" s="101" t="s">
        <v>66</v>
      </c>
      <c r="U20" s="101" t="s">
        <v>82</v>
      </c>
      <c r="V20" s="81" t="str">
        <f t="shared" si="2"/>
        <v>343UND1GS1GSMSPERDIDO-NON2975lbs-0.314144309790393Generator Set - CU Sales</v>
      </c>
      <c r="W20" s="81"/>
    </row>
    <row r="21" spans="1:23" x14ac:dyDescent="0.25">
      <c r="A21" s="83" t="s">
        <v>96</v>
      </c>
      <c r="B21" s="84">
        <v>344</v>
      </c>
      <c r="C21" s="84" t="s">
        <v>146</v>
      </c>
      <c r="D21" s="83" t="s">
        <v>143</v>
      </c>
      <c r="E21" s="83" t="s">
        <v>138</v>
      </c>
      <c r="F21" s="87">
        <f>'Perdido Data'!$D$16/2</f>
        <v>2975</v>
      </c>
      <c r="G21" s="83" t="s">
        <v>31</v>
      </c>
      <c r="H21" s="86">
        <f>'Perdido Data'!$E$16</f>
        <v>-0.31414430979039298</v>
      </c>
      <c r="I21" s="86">
        <f>'Perdido Data'!$F$16/2</f>
        <v>-1101.2992307692309</v>
      </c>
      <c r="J21" s="83" t="s">
        <v>132</v>
      </c>
      <c r="K21" s="83" t="s">
        <v>91</v>
      </c>
      <c r="L21" s="83" t="s">
        <v>52</v>
      </c>
      <c r="M21" s="83" t="s">
        <v>187</v>
      </c>
      <c r="N21" s="176">
        <f t="shared" si="0"/>
        <v>-0.31414430979039298</v>
      </c>
      <c r="O21" s="177">
        <f t="shared" si="1"/>
        <v>-1101.2992307692309</v>
      </c>
      <c r="P21" s="114" t="s">
        <v>57</v>
      </c>
      <c r="Q21" s="114">
        <v>1</v>
      </c>
      <c r="R21" s="114" t="s">
        <v>115</v>
      </c>
      <c r="S21" s="89" t="s">
        <v>102</v>
      </c>
      <c r="T21" s="101" t="s">
        <v>66</v>
      </c>
      <c r="U21" s="101" t="s">
        <v>82</v>
      </c>
      <c r="V21" s="81" t="str">
        <f t="shared" si="2"/>
        <v>343UND2GS2GSMSPERDIDO-NON2975lbs-0.314144309790393Generator Set - CU Sales</v>
      </c>
      <c r="W21" s="81"/>
    </row>
    <row r="22" spans="1:23" x14ac:dyDescent="0.25">
      <c r="A22" s="83" t="s">
        <v>95</v>
      </c>
      <c r="B22" s="84">
        <v>344</v>
      </c>
      <c r="C22" s="84" t="s">
        <v>145</v>
      </c>
      <c r="D22" s="83" t="s">
        <v>140</v>
      </c>
      <c r="E22" s="83" t="s">
        <v>138</v>
      </c>
      <c r="F22" s="87">
        <f>'Perdido Data'!$D$15/2</f>
        <v>33</v>
      </c>
      <c r="G22" s="83" t="s">
        <v>30</v>
      </c>
      <c r="H22" s="86">
        <f>'Perdido Data'!$E$15</f>
        <v>-108.3695731319762</v>
      </c>
      <c r="I22" s="86">
        <f>'Perdido Data'!$F$15/2</f>
        <v>-3576.1959133552145</v>
      </c>
      <c r="J22" s="83" t="s">
        <v>134</v>
      </c>
      <c r="K22" s="83" t="s">
        <v>89</v>
      </c>
      <c r="L22" s="83" t="s">
        <v>52</v>
      </c>
      <c r="M22" s="83" t="s">
        <v>187</v>
      </c>
      <c r="N22" s="176">
        <f t="shared" si="0"/>
        <v>-108.3695731319762</v>
      </c>
      <c r="O22" s="177">
        <f t="shared" si="1"/>
        <v>-3576.1959133552145</v>
      </c>
      <c r="P22" s="114" t="s">
        <v>57</v>
      </c>
      <c r="Q22" s="114">
        <v>1</v>
      </c>
      <c r="R22" s="114" t="s">
        <v>115</v>
      </c>
      <c r="S22" s="89" t="s">
        <v>102</v>
      </c>
      <c r="T22" s="101" t="s">
        <v>66</v>
      </c>
      <c r="U22" s="101" t="s">
        <v>82</v>
      </c>
      <c r="V22" s="81" t="str">
        <f t="shared" si="2"/>
        <v>341UND1GS1GSMSPERDIDO-NON33nt-108.369573131976Generator Set - FE Sales</v>
      </c>
      <c r="W22" s="81"/>
    </row>
    <row r="23" spans="1:23" x14ac:dyDescent="0.25">
      <c r="A23" s="83" t="s">
        <v>95</v>
      </c>
      <c r="B23" s="84">
        <v>344</v>
      </c>
      <c r="C23" s="84" t="s">
        <v>146</v>
      </c>
      <c r="D23" s="83" t="s">
        <v>143</v>
      </c>
      <c r="E23" s="83" t="s">
        <v>138</v>
      </c>
      <c r="F23" s="87">
        <f>'Perdido Data'!$D$15/2</f>
        <v>33</v>
      </c>
      <c r="G23" s="83" t="s">
        <v>30</v>
      </c>
      <c r="H23" s="86">
        <f>'Perdido Data'!$E$15</f>
        <v>-108.3695731319762</v>
      </c>
      <c r="I23" s="86">
        <f>'Perdido Data'!$F$15/2</f>
        <v>-3576.1959133552145</v>
      </c>
      <c r="J23" s="83" t="s">
        <v>134</v>
      </c>
      <c r="K23" s="83" t="s">
        <v>89</v>
      </c>
      <c r="L23" s="83" t="s">
        <v>52</v>
      </c>
      <c r="M23" s="83" t="s">
        <v>187</v>
      </c>
      <c r="N23" s="176">
        <f t="shared" si="0"/>
        <v>-108.3695731319762</v>
      </c>
      <c r="O23" s="177">
        <f t="shared" si="1"/>
        <v>-3576.1959133552145</v>
      </c>
      <c r="P23" s="114" t="s">
        <v>57</v>
      </c>
      <c r="Q23" s="114">
        <v>1</v>
      </c>
      <c r="R23" s="114" t="s">
        <v>115</v>
      </c>
      <c r="S23" s="89" t="s">
        <v>102</v>
      </c>
      <c r="T23" s="101" t="s">
        <v>66</v>
      </c>
      <c r="U23" s="101" t="s">
        <v>82</v>
      </c>
      <c r="V23" s="81" t="str">
        <f t="shared" si="2"/>
        <v>341UND2GS2GSMSPERDIDO-NON33nt-108.369573131976Generator Set - FE Sales</v>
      </c>
      <c r="W23" s="81"/>
    </row>
    <row r="24" spans="1:23" x14ac:dyDescent="0.25">
      <c r="A24" s="83" t="s">
        <v>97</v>
      </c>
      <c r="B24" s="84" t="s">
        <v>109</v>
      </c>
      <c r="C24" s="84" t="s">
        <v>145</v>
      </c>
      <c r="D24" s="83" t="s">
        <v>140</v>
      </c>
      <c r="E24" s="83" t="s">
        <v>138</v>
      </c>
      <c r="F24" s="87">
        <f>'Perdido Data'!$D$19/2</f>
        <v>4201.890528848814</v>
      </c>
      <c r="G24" s="83" t="s">
        <v>31</v>
      </c>
      <c r="H24" s="86">
        <f>'Perdido Data'!$E$19</f>
        <v>-0.31414430979039298</v>
      </c>
      <c r="I24" s="86">
        <f>'Perdido Data'!$F$19/2</f>
        <v>-1320</v>
      </c>
      <c r="J24" s="83" t="s">
        <v>135</v>
      </c>
      <c r="K24" s="83" t="s">
        <v>91</v>
      </c>
      <c r="L24" s="83" t="s">
        <v>92</v>
      </c>
      <c r="M24" s="83" t="s">
        <v>187</v>
      </c>
      <c r="N24" s="176">
        <f t="shared" si="0"/>
        <v>-0.31414430979039298</v>
      </c>
      <c r="O24" s="177">
        <f t="shared" si="1"/>
        <v>-1320</v>
      </c>
      <c r="P24" s="114" t="s">
        <v>57</v>
      </c>
      <c r="Q24" s="114">
        <v>1</v>
      </c>
      <c r="R24" s="114" t="s">
        <v>115</v>
      </c>
      <c r="S24" s="89" t="s">
        <v>102</v>
      </c>
      <c r="T24" s="101" t="s">
        <v>66</v>
      </c>
      <c r="U24" s="101" t="s">
        <v>82</v>
      </c>
      <c r="V24" s="81" t="str">
        <f t="shared" si="2"/>
        <v>345UND1GS1GSMSPERDIDO-NON4201.89052884881lbs-0.314144309790393Generator Set Transformers - CU Sales</v>
      </c>
      <c r="W24" s="81"/>
    </row>
    <row r="25" spans="1:23" x14ac:dyDescent="0.25">
      <c r="A25" s="83" t="s">
        <v>97</v>
      </c>
      <c r="B25" s="84" t="s">
        <v>109</v>
      </c>
      <c r="C25" s="84" t="s">
        <v>146</v>
      </c>
      <c r="D25" s="83" t="s">
        <v>143</v>
      </c>
      <c r="E25" s="83" t="s">
        <v>138</v>
      </c>
      <c r="F25" s="87">
        <f>'Perdido Data'!$D$19/2</f>
        <v>4201.890528848814</v>
      </c>
      <c r="G25" s="83" t="s">
        <v>31</v>
      </c>
      <c r="H25" s="86">
        <f>'Perdido Data'!$E$19</f>
        <v>-0.31414430979039298</v>
      </c>
      <c r="I25" s="86">
        <f>'Perdido Data'!$F$19/2</f>
        <v>-1320</v>
      </c>
      <c r="J25" s="83" t="s">
        <v>135</v>
      </c>
      <c r="K25" s="83" t="s">
        <v>91</v>
      </c>
      <c r="L25" s="83" t="s">
        <v>92</v>
      </c>
      <c r="M25" s="83" t="s">
        <v>187</v>
      </c>
      <c r="N25" s="176">
        <f t="shared" si="0"/>
        <v>-0.31414430979039298</v>
      </c>
      <c r="O25" s="177">
        <f t="shared" si="1"/>
        <v>-1320</v>
      </c>
      <c r="P25" s="114" t="s">
        <v>57</v>
      </c>
      <c r="Q25" s="114">
        <v>1</v>
      </c>
      <c r="R25" s="114" t="s">
        <v>115</v>
      </c>
      <c r="S25" s="89" t="s">
        <v>102</v>
      </c>
      <c r="T25" s="101" t="s">
        <v>66</v>
      </c>
      <c r="U25" s="101" t="s">
        <v>82</v>
      </c>
      <c r="V25" s="81" t="str">
        <f t="shared" si="2"/>
        <v>345UND2GS2GSMSPERDIDO-NON4201.89052884881lbs-0.314144309790393Generator Set Transformers - CU Sales</v>
      </c>
      <c r="W25" s="81"/>
    </row>
    <row r="26" spans="1:23" x14ac:dyDescent="0.25">
      <c r="A26" s="83" t="s">
        <v>97</v>
      </c>
      <c r="B26" s="84" t="s">
        <v>109</v>
      </c>
      <c r="C26" s="84" t="s">
        <v>145</v>
      </c>
      <c r="D26" s="83" t="s">
        <v>140</v>
      </c>
      <c r="E26" s="83" t="s">
        <v>138</v>
      </c>
      <c r="F26" s="87">
        <f>'Perdido Data'!$D$20/2</f>
        <v>2</v>
      </c>
      <c r="G26" s="83" t="s">
        <v>31</v>
      </c>
      <c r="H26" s="86">
        <f>'Perdido Data'!$E$20</f>
        <v>-108.3695731319762</v>
      </c>
      <c r="I26" s="86">
        <f>'Perdido Data'!$F$20/2</f>
        <v>-216.73914626395239</v>
      </c>
      <c r="J26" s="83" t="s">
        <v>137</v>
      </c>
      <c r="K26" s="83" t="s">
        <v>89</v>
      </c>
      <c r="L26" s="83" t="s">
        <v>92</v>
      </c>
      <c r="M26" s="83" t="s">
        <v>187</v>
      </c>
      <c r="N26" s="176">
        <f t="shared" si="0"/>
        <v>-108.3695731319762</v>
      </c>
      <c r="O26" s="177">
        <f t="shared" si="1"/>
        <v>-216.73914626395239</v>
      </c>
      <c r="P26" s="114" t="s">
        <v>57</v>
      </c>
      <c r="Q26" s="114">
        <v>1</v>
      </c>
      <c r="R26" s="114" t="s">
        <v>115</v>
      </c>
      <c r="S26" s="89" t="s">
        <v>102</v>
      </c>
      <c r="T26" s="101" t="s">
        <v>66</v>
      </c>
      <c r="U26" s="101" t="s">
        <v>82</v>
      </c>
      <c r="V26" s="81" t="str">
        <f t="shared" si="2"/>
        <v>345UND1GS1GSMSPERDIDO-NON2lbs-108.369573131976Generator Set Transformers - FE Sales</v>
      </c>
      <c r="W26" s="81"/>
    </row>
    <row r="27" spans="1:23" x14ac:dyDescent="0.25">
      <c r="A27" s="83" t="s">
        <v>97</v>
      </c>
      <c r="B27" s="84" t="s">
        <v>109</v>
      </c>
      <c r="C27" s="84" t="s">
        <v>146</v>
      </c>
      <c r="D27" s="83" t="s">
        <v>143</v>
      </c>
      <c r="E27" s="83" t="s">
        <v>138</v>
      </c>
      <c r="F27" s="87">
        <f>'Perdido Data'!$D$20/2</f>
        <v>2</v>
      </c>
      <c r="G27" s="83" t="s">
        <v>31</v>
      </c>
      <c r="H27" s="86">
        <f>'Perdido Data'!$E$20</f>
        <v>-108.3695731319762</v>
      </c>
      <c r="I27" s="86">
        <f>'Perdido Data'!$F$20/2</f>
        <v>-216.73914626395239</v>
      </c>
      <c r="J27" s="83" t="s">
        <v>137</v>
      </c>
      <c r="K27" s="83" t="s">
        <v>89</v>
      </c>
      <c r="L27" s="83" t="s">
        <v>92</v>
      </c>
      <c r="M27" s="83" t="s">
        <v>187</v>
      </c>
      <c r="N27" s="176">
        <f t="shared" si="0"/>
        <v>-108.3695731319762</v>
      </c>
      <c r="O27" s="177">
        <f t="shared" si="1"/>
        <v>-216.73914626395239</v>
      </c>
      <c r="P27" s="114" t="s">
        <v>57</v>
      </c>
      <c r="Q27" s="114">
        <v>1</v>
      </c>
      <c r="R27" s="114" t="s">
        <v>115</v>
      </c>
      <c r="S27" s="89" t="s">
        <v>102</v>
      </c>
      <c r="T27" s="101" t="s">
        <v>66</v>
      </c>
      <c r="U27" s="101" t="s">
        <v>82</v>
      </c>
      <c r="V27" s="81" t="str">
        <f t="shared" si="2"/>
        <v>345UND2GS2GSMSPERDIDO-NON2lbs-108.369573131976Generator Set Transformers - FE Sales</v>
      </c>
      <c r="W27" s="81"/>
    </row>
    <row r="28" spans="1:23" x14ac:dyDescent="0.25">
      <c r="A28" s="100">
        <v>3080261</v>
      </c>
      <c r="B28" s="84" t="s">
        <v>106</v>
      </c>
      <c r="C28" s="84" t="s">
        <v>55</v>
      </c>
      <c r="D28" s="83" t="s">
        <v>56</v>
      </c>
      <c r="E28" s="83" t="s">
        <v>138</v>
      </c>
      <c r="F28" s="85">
        <v>2000</v>
      </c>
      <c r="G28" s="83" t="s">
        <v>69</v>
      </c>
      <c r="H28" s="86">
        <v>101.26</v>
      </c>
      <c r="I28" s="86">
        <v>202516</v>
      </c>
      <c r="J28" s="99" t="s">
        <v>72</v>
      </c>
      <c r="K28" s="83" t="s">
        <v>52</v>
      </c>
      <c r="L28" s="83" t="s">
        <v>52</v>
      </c>
      <c r="M28" s="83" t="s">
        <v>70</v>
      </c>
      <c r="N28" s="176">
        <f t="shared" si="0"/>
        <v>101.26</v>
      </c>
      <c r="O28" s="177">
        <f t="shared" si="1"/>
        <v>202516</v>
      </c>
      <c r="P28" s="114" t="s">
        <v>57</v>
      </c>
      <c r="Q28" s="114">
        <v>1</v>
      </c>
      <c r="R28" s="114" t="s">
        <v>115</v>
      </c>
      <c r="S28" s="89" t="s">
        <v>100</v>
      </c>
      <c r="T28" s="101" t="s">
        <v>54</v>
      </c>
      <c r="V28" s="81" t="str">
        <f t="shared" si="2"/>
        <v>3080261CCLRPERDIDO-NON2000MH101.26APC ENGINEERING</v>
      </c>
      <c r="W28" s="81"/>
    </row>
    <row r="29" spans="1:23" x14ac:dyDescent="0.25">
      <c r="A29" s="83" t="s">
        <v>67</v>
      </c>
      <c r="B29" s="84" t="s">
        <v>108</v>
      </c>
      <c r="C29" s="84" t="s">
        <v>55</v>
      </c>
      <c r="D29" s="83" t="s">
        <v>56</v>
      </c>
      <c r="E29" s="83" t="s">
        <v>138</v>
      </c>
      <c r="F29" s="85">
        <v>1</v>
      </c>
      <c r="G29" s="83" t="s">
        <v>59</v>
      </c>
      <c r="H29" s="86">
        <v>50750.31</v>
      </c>
      <c r="I29" s="86">
        <f>F29*H29</f>
        <v>50750.31</v>
      </c>
      <c r="J29" s="83" t="s">
        <v>68</v>
      </c>
      <c r="K29" s="83" t="s">
        <v>52</v>
      </c>
      <c r="L29" s="83" t="s">
        <v>52</v>
      </c>
      <c r="M29" s="83" t="s">
        <v>68</v>
      </c>
      <c r="N29" s="176">
        <f t="shared" si="0"/>
        <v>50750.31</v>
      </c>
      <c r="O29" s="177">
        <f t="shared" si="1"/>
        <v>50750.31</v>
      </c>
      <c r="P29" s="114" t="s">
        <v>57</v>
      </c>
      <c r="Q29" s="114">
        <v>1</v>
      </c>
      <c r="R29" s="114" t="s">
        <v>115</v>
      </c>
      <c r="S29" s="89" t="s">
        <v>100</v>
      </c>
      <c r="T29" s="101" t="s">
        <v>54</v>
      </c>
      <c r="V29" s="81" t="str">
        <f t="shared" si="2"/>
        <v>3070221CCLRPERDIDO-NON1MY50750.31SECURITY SERVICES</v>
      </c>
      <c r="W29" s="81"/>
    </row>
    <row r="30" spans="1:23" s="74" customFormat="1" x14ac:dyDescent="0.25">
      <c r="A30" s="83" t="s">
        <v>71</v>
      </c>
      <c r="B30" s="84" t="s">
        <v>106</v>
      </c>
      <c r="C30" s="84" t="s">
        <v>55</v>
      </c>
      <c r="D30" s="83" t="s">
        <v>56</v>
      </c>
      <c r="E30" s="83" t="s">
        <v>138</v>
      </c>
      <c r="F30" s="85">
        <v>1</v>
      </c>
      <c r="G30" s="83" t="s">
        <v>22</v>
      </c>
      <c r="H30" s="86">
        <f>'Perdido Data'!$E$6</f>
        <v>25000</v>
      </c>
      <c r="I30" s="86">
        <f>'Perdido Data'!$F$6</f>
        <v>25000</v>
      </c>
      <c r="J30" s="83" t="s">
        <v>24</v>
      </c>
      <c r="K30" s="83" t="s">
        <v>52</v>
      </c>
      <c r="L30" s="83" t="s">
        <v>52</v>
      </c>
      <c r="M30" s="83" t="s">
        <v>24</v>
      </c>
      <c r="N30" s="176">
        <f t="shared" si="0"/>
        <v>25000</v>
      </c>
      <c r="O30" s="177">
        <f t="shared" si="1"/>
        <v>25000</v>
      </c>
      <c r="P30" s="114" t="s">
        <v>57</v>
      </c>
      <c r="Q30" s="114">
        <v>1</v>
      </c>
      <c r="R30" s="114" t="s">
        <v>115</v>
      </c>
      <c r="S30" s="89" t="s">
        <v>100</v>
      </c>
      <c r="T30" s="101" t="s">
        <v>66</v>
      </c>
      <c r="U30" s="101"/>
      <c r="V30" s="81" t="str">
        <f t="shared" si="2"/>
        <v>3080241SWCCLRPERDIDO-NON1ls25000Storm Water Prevention Plan</v>
      </c>
      <c r="W30" s="81"/>
    </row>
    <row r="31" spans="1:23" s="74" customFormat="1" x14ac:dyDescent="0.25">
      <c r="A31" s="83" t="s">
        <v>95</v>
      </c>
      <c r="B31" s="84" t="s">
        <v>110</v>
      </c>
      <c r="C31" s="84" t="s">
        <v>145</v>
      </c>
      <c r="D31" s="83" t="s">
        <v>141</v>
      </c>
      <c r="E31" s="83" t="s">
        <v>138</v>
      </c>
      <c r="F31" s="87">
        <f>'Perdido Data'!$D$17/2</f>
        <v>12.5</v>
      </c>
      <c r="G31" s="83" t="s">
        <v>30</v>
      </c>
      <c r="H31" s="86">
        <f>'Perdido Data'!$E$17</f>
        <v>102.03999999999999</v>
      </c>
      <c r="I31" s="86">
        <f>'Perdido Data'!$F$17/2</f>
        <v>1250</v>
      </c>
      <c r="J31" s="83" t="s">
        <v>33</v>
      </c>
      <c r="K31" s="83" t="s">
        <v>52</v>
      </c>
      <c r="L31" s="83" t="s">
        <v>52</v>
      </c>
      <c r="M31" s="83" t="s">
        <v>33</v>
      </c>
      <c r="N31" s="176">
        <f t="shared" si="0"/>
        <v>102.03999999999999</v>
      </c>
      <c r="O31" s="177">
        <f t="shared" si="1"/>
        <v>1250</v>
      </c>
      <c r="P31" s="114" t="s">
        <v>57</v>
      </c>
      <c r="Q31" s="114">
        <v>1</v>
      </c>
      <c r="R31" s="114" t="s">
        <v>115</v>
      </c>
      <c r="S31" s="89" t="s">
        <v>103</v>
      </c>
      <c r="T31" s="101" t="s">
        <v>66</v>
      </c>
      <c r="U31" s="101" t="s">
        <v>82</v>
      </c>
      <c r="V31" s="81" t="str">
        <f t="shared" si="2"/>
        <v>341UND1GS1GSLDPERDIDO-NON12.5nt102.04Transport &amp;  Dispose of Combustibles</v>
      </c>
      <c r="W31" s="81"/>
    </row>
    <row r="32" spans="1:23" s="74" customFormat="1" x14ac:dyDescent="0.25">
      <c r="A32" s="83" t="s">
        <v>95</v>
      </c>
      <c r="B32" s="84" t="s">
        <v>110</v>
      </c>
      <c r="C32" s="84" t="s">
        <v>146</v>
      </c>
      <c r="D32" s="83" t="s">
        <v>144</v>
      </c>
      <c r="E32" s="83" t="s">
        <v>138</v>
      </c>
      <c r="F32" s="87">
        <f>'Perdido Data'!$D$17/2</f>
        <v>12.5</v>
      </c>
      <c r="G32" s="83" t="s">
        <v>30</v>
      </c>
      <c r="H32" s="86">
        <f>'Perdido Data'!$E$17</f>
        <v>102.03999999999999</v>
      </c>
      <c r="I32" s="86">
        <f>'Perdido Data'!$F$17/2</f>
        <v>1250</v>
      </c>
      <c r="J32" s="83" t="s">
        <v>33</v>
      </c>
      <c r="K32" s="83" t="s">
        <v>52</v>
      </c>
      <c r="L32" s="83" t="s">
        <v>52</v>
      </c>
      <c r="M32" s="83" t="s">
        <v>33</v>
      </c>
      <c r="N32" s="176">
        <f t="shared" si="0"/>
        <v>102.03999999999999</v>
      </c>
      <c r="O32" s="177">
        <f t="shared" si="1"/>
        <v>1250</v>
      </c>
      <c r="P32" s="114" t="s">
        <v>57</v>
      </c>
      <c r="Q32" s="114">
        <v>1</v>
      </c>
      <c r="R32" s="114" t="s">
        <v>115</v>
      </c>
      <c r="S32" s="89" t="s">
        <v>103</v>
      </c>
      <c r="T32" s="101" t="s">
        <v>66</v>
      </c>
      <c r="U32" s="101" t="s">
        <v>82</v>
      </c>
      <c r="V32" s="81" t="str">
        <f t="shared" si="2"/>
        <v>341UND2GS2GSLDPERDIDO-NON12.5nt102.04Transport &amp;  Dispose of Combustibles</v>
      </c>
      <c r="W32" s="81"/>
    </row>
    <row r="33" spans="1:23" s="74" customFormat="1" x14ac:dyDescent="0.25">
      <c r="A33" s="83" t="s">
        <v>95</v>
      </c>
      <c r="B33" s="84" t="s">
        <v>110</v>
      </c>
      <c r="C33" s="84" t="s">
        <v>55</v>
      </c>
      <c r="D33" s="83" t="s">
        <v>83</v>
      </c>
      <c r="E33" s="83" t="s">
        <v>138</v>
      </c>
      <c r="F33" s="87">
        <f>'Perdido Data'!$D$25</f>
        <v>5</v>
      </c>
      <c r="G33" s="83" t="s">
        <v>30</v>
      </c>
      <c r="H33" s="86">
        <f>'Perdido Data'!$E$25</f>
        <v>102.03999999999999</v>
      </c>
      <c r="I33" s="86">
        <f>'Perdido Data'!$F$25</f>
        <v>500</v>
      </c>
      <c r="J33" s="83" t="s">
        <v>33</v>
      </c>
      <c r="K33" s="83" t="s">
        <v>52</v>
      </c>
      <c r="L33" s="83" t="s">
        <v>52</v>
      </c>
      <c r="M33" s="83" t="s">
        <v>33</v>
      </c>
      <c r="N33" s="176">
        <f t="shared" si="0"/>
        <v>102.03999999999999</v>
      </c>
      <c r="O33" s="177">
        <f t="shared" si="1"/>
        <v>500</v>
      </c>
      <c r="P33" s="114" t="s">
        <v>57</v>
      </c>
      <c r="Q33" s="114">
        <v>1</v>
      </c>
      <c r="R33" s="114" t="s">
        <v>115</v>
      </c>
      <c r="S33" s="89" t="s">
        <v>103</v>
      </c>
      <c r="T33" s="101" t="s">
        <v>66</v>
      </c>
      <c r="U33" s="101" t="s">
        <v>82</v>
      </c>
      <c r="V33" s="81" t="str">
        <f t="shared" si="2"/>
        <v>341UNDCCLDPERDIDO-NON5nt102.04Transport &amp;  Dispose of Combustibles</v>
      </c>
      <c r="W33" s="81"/>
    </row>
    <row r="34" spans="1:23" x14ac:dyDescent="0.25">
      <c r="A34" s="83" t="s">
        <v>84</v>
      </c>
      <c r="B34" s="84" t="s">
        <v>105</v>
      </c>
      <c r="C34" s="84" t="s">
        <v>55</v>
      </c>
      <c r="D34" s="83" t="s">
        <v>56</v>
      </c>
      <c r="E34" s="83" t="s">
        <v>138</v>
      </c>
      <c r="F34" s="87">
        <f>'Perdido Data'!$D$10</f>
        <v>1</v>
      </c>
      <c r="G34" s="83" t="s">
        <v>22</v>
      </c>
      <c r="H34" s="86">
        <f>'Perdido Data'!$E$10</f>
        <v>15000</v>
      </c>
      <c r="I34" s="86">
        <f>'Perdido Data'!$F$10</f>
        <v>15000</v>
      </c>
      <c r="J34" s="83" t="s">
        <v>28</v>
      </c>
      <c r="K34" s="83" t="s">
        <v>52</v>
      </c>
      <c r="L34" s="83" t="s">
        <v>52</v>
      </c>
      <c r="M34" s="83" t="s">
        <v>28</v>
      </c>
      <c r="N34" s="176">
        <f t="shared" si="0"/>
        <v>15000</v>
      </c>
      <c r="O34" s="177">
        <f t="shared" si="1"/>
        <v>15000</v>
      </c>
      <c r="P34" s="114" t="s">
        <v>57</v>
      </c>
      <c r="Q34" s="114">
        <v>1</v>
      </c>
      <c r="R34" s="114" t="s">
        <v>115</v>
      </c>
      <c r="S34" s="89" t="s">
        <v>100</v>
      </c>
      <c r="T34" s="101" t="s">
        <v>66</v>
      </c>
      <c r="U34" s="101" t="s">
        <v>82</v>
      </c>
      <c r="V34" s="81" t="str">
        <f t="shared" si="2"/>
        <v>311UNDCCLRPERDIDO-NON1ls15000Utility Disconnects</v>
      </c>
      <c r="W34" s="81"/>
    </row>
    <row r="35" spans="1:23" x14ac:dyDescent="0.25">
      <c r="A35" s="83" t="s">
        <v>77</v>
      </c>
      <c r="B35" s="84" t="s">
        <v>106</v>
      </c>
      <c r="C35" s="84" t="s">
        <v>55</v>
      </c>
      <c r="D35" s="83" t="s">
        <v>56</v>
      </c>
      <c r="E35" s="83" t="s">
        <v>138</v>
      </c>
      <c r="F35" s="85">
        <v>0.6</v>
      </c>
      <c r="G35" s="83" t="s">
        <v>16</v>
      </c>
      <c r="H35" s="178">
        <f>SUMIFS($I$3:$I$35,$E$3:$E$35,$E35,$U$3:$U$35,"MARKUP",$S$3:$S$35,"REMOVAL")*0.01</f>
        <v>772.28200000000004</v>
      </c>
      <c r="I35" s="86">
        <f>F35*H35</f>
        <v>463.36919999999998</v>
      </c>
      <c r="J35" s="98" t="s">
        <v>78</v>
      </c>
      <c r="K35" s="83" t="s">
        <v>52</v>
      </c>
      <c r="L35" s="83" t="s">
        <v>52</v>
      </c>
      <c r="M35" s="83" t="s">
        <v>78</v>
      </c>
      <c r="N35" s="176">
        <f t="shared" si="0"/>
        <v>772.28200000000004</v>
      </c>
      <c r="O35" s="177">
        <f t="shared" si="1"/>
        <v>463.36919999999998</v>
      </c>
      <c r="P35" s="114" t="s">
        <v>57</v>
      </c>
      <c r="Q35" s="114">
        <v>1</v>
      </c>
      <c r="R35" s="114" t="s">
        <v>115</v>
      </c>
      <c r="S35" s="89" t="s">
        <v>100</v>
      </c>
      <c r="T35" s="101" t="s">
        <v>54</v>
      </c>
      <c r="V35" s="81" t="str">
        <f t="shared" si="2"/>
        <v>3080361CCLRPERDIDO-NON0.6%772.282WRAP-UP AND ALL-RISK INSURANCE</v>
      </c>
      <c r="W35" s="81"/>
    </row>
  </sheetData>
  <autoFilter ref="A2:AB35">
    <sortState ref="A3:AB35">
      <sortCondition ref="M2:M35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N42"/>
  <sheetViews>
    <sheetView showZeros="0" zoomScale="85" zoomScaleNormal="85" zoomScaleSheetLayoutView="100" workbookViewId="0">
      <pane xSplit="2" ySplit="3" topLeftCell="C4" activePane="bottomRight" state="frozen"/>
      <selection activeCell="I2" sqref="I2:I3"/>
      <selection pane="topRight" activeCell="I2" sqref="I2:I3"/>
      <selection pane="bottomLeft" activeCell="I2" sqref="I2:I3"/>
      <selection pane="bottomRight" activeCell="F5" sqref="F5:F23"/>
    </sheetView>
  </sheetViews>
  <sheetFormatPr defaultRowHeight="15" x14ac:dyDescent="0.25"/>
  <cols>
    <col min="1" max="1" width="8.5703125" style="1" customWidth="1"/>
    <col min="2" max="2" width="51.7109375" style="2" customWidth="1"/>
    <col min="3" max="3" width="4.85546875" style="60" bestFit="1" customWidth="1"/>
    <col min="4" max="4" width="10.140625" style="61" bestFit="1" customWidth="1"/>
    <col min="5" max="5" width="11.85546875" style="62" bestFit="1" customWidth="1"/>
    <col min="6" max="6" width="12.5703125" style="63" bestFit="1" customWidth="1"/>
    <col min="7" max="7" width="1.85546875" style="64" customWidth="1"/>
    <col min="8" max="8" width="5.5703125" style="65" bestFit="1" customWidth="1"/>
    <col min="9" max="9" width="9.28515625" style="60" bestFit="1" customWidth="1"/>
    <col min="10" max="10" width="7.7109375" style="66" bestFit="1" customWidth="1"/>
    <col min="11" max="11" width="10" style="6" customWidth="1"/>
    <col min="12" max="12" width="4.7109375" style="6" bestFit="1" customWidth="1"/>
    <col min="13" max="13" width="9.28515625" style="2" customWidth="1"/>
    <col min="14" max="14" width="2" style="64" customWidth="1"/>
    <col min="15" max="15" width="5.7109375" style="65" bestFit="1" customWidth="1"/>
    <col min="16" max="16" width="10.85546875" style="6" bestFit="1" customWidth="1"/>
    <col min="17" max="17" width="5.5703125" style="66" bestFit="1" customWidth="1"/>
    <col min="18" max="18" width="10.85546875" style="6" bestFit="1" customWidth="1"/>
    <col min="19" max="19" width="5.5703125" style="6" bestFit="1" customWidth="1"/>
    <col min="20" max="20" width="10.85546875" style="2" bestFit="1" customWidth="1"/>
    <col min="21" max="21" width="1.42578125" style="67" customWidth="1"/>
    <col min="22" max="22" width="5.5703125" style="65" bestFit="1" customWidth="1"/>
    <col min="23" max="23" width="12.5703125" style="6" bestFit="1" customWidth="1"/>
    <col min="24" max="24" width="5.5703125" style="66" bestFit="1" customWidth="1"/>
    <col min="25" max="25" width="11.5703125" style="6" bestFit="1" customWidth="1"/>
    <col min="26" max="26" width="5.5703125" style="6" bestFit="1" customWidth="1"/>
    <col min="27" max="27" width="11.5703125" style="2" bestFit="1" customWidth="1"/>
    <col min="28" max="28" width="1.28515625" style="67" customWidth="1"/>
    <col min="29" max="29" width="5.5703125" style="65" bestFit="1" customWidth="1"/>
    <col min="30" max="30" width="11.5703125" style="6" customWidth="1"/>
    <col min="31" max="31" width="5.7109375" style="66" bestFit="1" customWidth="1"/>
    <col min="32" max="32" width="11.5703125" style="6" bestFit="1" customWidth="1"/>
    <col min="33" max="33" width="5.7109375" style="6" bestFit="1" customWidth="1"/>
    <col min="34" max="34" width="11.5703125" style="2" bestFit="1" customWidth="1"/>
    <col min="35" max="35" width="1.7109375" style="67" customWidth="1"/>
    <col min="36" max="36" width="5.5703125" style="65" bestFit="1" customWidth="1"/>
    <col min="37" max="37" width="11.5703125" style="6" customWidth="1"/>
    <col min="38" max="38" width="5.5703125" style="66" bestFit="1" customWidth="1"/>
    <col min="39" max="39" width="11.5703125" style="6" bestFit="1" customWidth="1"/>
    <col min="40" max="40" width="5.5703125" style="6" bestFit="1" customWidth="1"/>
    <col min="41" max="41" width="11.5703125" style="2" bestFit="1" customWidth="1"/>
    <col min="42" max="42" width="1.28515625" style="67" customWidth="1"/>
    <col min="43" max="43" width="5.7109375" style="65" bestFit="1" customWidth="1"/>
    <col min="44" max="44" width="11.5703125" style="6" customWidth="1"/>
    <col min="45" max="45" width="5.5703125" style="66" bestFit="1" customWidth="1"/>
    <col min="46" max="46" width="11.5703125" style="6" bestFit="1" customWidth="1"/>
    <col min="47" max="47" width="5.5703125" style="6" bestFit="1" customWidth="1"/>
    <col min="48" max="48" width="11.5703125" style="2" bestFit="1" customWidth="1"/>
    <col min="49" max="49" width="2.42578125" style="67" customWidth="1"/>
    <col min="50" max="50" width="4.7109375" style="65" bestFit="1" customWidth="1"/>
    <col min="51" max="51" width="11.85546875" style="6" bestFit="1" customWidth="1"/>
    <col min="52" max="52" width="5.5703125" style="66" bestFit="1" customWidth="1"/>
    <col min="53" max="53" width="8.28515625" style="6" bestFit="1" customWidth="1"/>
    <col min="54" max="54" width="6.5703125" style="6" bestFit="1" customWidth="1"/>
    <col min="55" max="55" width="8.28515625" style="2" bestFit="1" customWidth="1"/>
    <col min="56" max="56" width="1.85546875" style="67" customWidth="1"/>
    <col min="57" max="57" width="5.5703125" style="65" bestFit="1" customWidth="1"/>
    <col min="58" max="58" width="11.5703125" style="6" customWidth="1"/>
    <col min="59" max="59" width="5.5703125" style="66" bestFit="1" customWidth="1"/>
    <col min="60" max="60" width="11.5703125" style="6" bestFit="1" customWidth="1"/>
    <col min="61" max="61" width="5.5703125" style="6" bestFit="1" customWidth="1"/>
    <col min="62" max="62" width="11.5703125" style="2" bestFit="1" customWidth="1"/>
    <col min="63" max="63" width="14.28515625" style="5" bestFit="1" customWidth="1"/>
    <col min="64" max="64" width="13.28515625" style="6" customWidth="1"/>
    <col min="65" max="65" width="12.42578125" style="6" customWidth="1"/>
    <col min="66" max="16384" width="9.140625" style="2"/>
  </cols>
  <sheetData>
    <row r="1" spans="1:66" x14ac:dyDescent="0.25">
      <c r="C1" s="191" t="s">
        <v>0</v>
      </c>
      <c r="D1" s="192"/>
      <c r="E1" s="192"/>
      <c r="F1" s="192"/>
      <c r="G1" s="3"/>
      <c r="H1" s="187" t="s">
        <v>1</v>
      </c>
      <c r="I1" s="188"/>
      <c r="J1" s="188"/>
      <c r="K1" s="188"/>
      <c r="L1" s="188"/>
      <c r="M1" s="188"/>
      <c r="N1" s="3"/>
      <c r="O1" s="187" t="s">
        <v>2</v>
      </c>
      <c r="P1" s="188"/>
      <c r="Q1" s="188"/>
      <c r="R1" s="188"/>
      <c r="S1" s="188"/>
      <c r="T1" s="188"/>
      <c r="U1" s="4"/>
      <c r="V1" s="187" t="s">
        <v>3</v>
      </c>
      <c r="W1" s="188"/>
      <c r="X1" s="188"/>
      <c r="Y1" s="188"/>
      <c r="Z1" s="188"/>
      <c r="AA1" s="188"/>
      <c r="AB1" s="4"/>
      <c r="AC1" s="187" t="s">
        <v>4</v>
      </c>
      <c r="AD1" s="188"/>
      <c r="AE1" s="188"/>
      <c r="AF1" s="188"/>
      <c r="AG1" s="188"/>
      <c r="AH1" s="188"/>
      <c r="AI1" s="4"/>
      <c r="AJ1" s="187" t="s">
        <v>5</v>
      </c>
      <c r="AK1" s="188"/>
      <c r="AL1" s="188"/>
      <c r="AM1" s="188"/>
      <c r="AN1" s="188"/>
      <c r="AO1" s="188"/>
      <c r="AP1" s="4"/>
      <c r="AQ1" s="187" t="s">
        <v>6</v>
      </c>
      <c r="AR1" s="188"/>
      <c r="AS1" s="188"/>
      <c r="AT1" s="188"/>
      <c r="AU1" s="188"/>
      <c r="AV1" s="188"/>
      <c r="AW1" s="4"/>
      <c r="AX1" s="187" t="s">
        <v>7</v>
      </c>
      <c r="AY1" s="188"/>
      <c r="AZ1" s="188"/>
      <c r="BA1" s="188"/>
      <c r="BB1" s="188"/>
      <c r="BC1" s="188"/>
      <c r="BD1" s="4"/>
      <c r="BE1" s="187" t="s">
        <v>8</v>
      </c>
      <c r="BF1" s="188"/>
      <c r="BG1" s="188"/>
      <c r="BH1" s="188"/>
      <c r="BI1" s="188"/>
      <c r="BJ1" s="188"/>
    </row>
    <row r="2" spans="1:66" s="8" customFormat="1" ht="57.75" customHeight="1" x14ac:dyDescent="0.25">
      <c r="A2" s="7"/>
      <c r="C2" s="189"/>
      <c r="D2" s="190"/>
      <c r="E2" s="190"/>
      <c r="F2" s="190"/>
      <c r="G2" s="9"/>
      <c r="H2" s="10"/>
      <c r="I2" s="11"/>
      <c r="J2" s="185" t="s">
        <v>117</v>
      </c>
      <c r="K2" s="186"/>
      <c r="L2" s="185" t="s">
        <v>118</v>
      </c>
      <c r="M2" s="186"/>
      <c r="N2" s="9"/>
      <c r="O2" s="10"/>
      <c r="P2" s="11"/>
      <c r="Q2" s="185" t="s">
        <v>117</v>
      </c>
      <c r="R2" s="186"/>
      <c r="S2" s="185" t="s">
        <v>118</v>
      </c>
      <c r="T2" s="186"/>
      <c r="U2" s="12"/>
      <c r="V2" s="10"/>
      <c r="W2" s="11"/>
      <c r="X2" s="185" t="s">
        <v>117</v>
      </c>
      <c r="Y2" s="186"/>
      <c r="Z2" s="185" t="s">
        <v>118</v>
      </c>
      <c r="AA2" s="186"/>
      <c r="AB2" s="12"/>
      <c r="AC2" s="10"/>
      <c r="AD2" s="11"/>
      <c r="AE2" s="185" t="s">
        <v>117</v>
      </c>
      <c r="AF2" s="186"/>
      <c r="AG2" s="185" t="s">
        <v>118</v>
      </c>
      <c r="AH2" s="186"/>
      <c r="AI2" s="12"/>
      <c r="AJ2" s="10"/>
      <c r="AK2" s="11"/>
      <c r="AL2" s="185" t="s">
        <v>117</v>
      </c>
      <c r="AM2" s="186"/>
      <c r="AN2" s="185" t="s">
        <v>118</v>
      </c>
      <c r="AO2" s="186"/>
      <c r="AP2" s="12"/>
      <c r="AQ2" s="10"/>
      <c r="AR2" s="11"/>
      <c r="AS2" s="185" t="s">
        <v>117</v>
      </c>
      <c r="AT2" s="186"/>
      <c r="AU2" s="185" t="s">
        <v>118</v>
      </c>
      <c r="AV2" s="186"/>
      <c r="AW2" s="12"/>
      <c r="AX2" s="10"/>
      <c r="AY2" s="11"/>
      <c r="AZ2" s="185" t="s">
        <v>117</v>
      </c>
      <c r="BA2" s="186"/>
      <c r="BB2" s="185" t="s">
        <v>118</v>
      </c>
      <c r="BC2" s="186"/>
      <c r="BD2" s="12"/>
      <c r="BE2" s="10"/>
      <c r="BF2" s="11"/>
      <c r="BG2" s="185" t="s">
        <v>117</v>
      </c>
      <c r="BH2" s="186"/>
      <c r="BI2" s="185" t="s">
        <v>118</v>
      </c>
      <c r="BJ2" s="186"/>
      <c r="BK2" s="13"/>
      <c r="BL2" s="14"/>
      <c r="BM2" s="14"/>
    </row>
    <row r="3" spans="1:66" s="15" customFormat="1" ht="30" x14ac:dyDescent="0.25">
      <c r="B3" s="15" t="s">
        <v>11</v>
      </c>
      <c r="C3" s="16" t="s">
        <v>12</v>
      </c>
      <c r="D3" s="17" t="s">
        <v>13</v>
      </c>
      <c r="E3" s="18" t="s">
        <v>14</v>
      </c>
      <c r="F3" s="19" t="s">
        <v>15</v>
      </c>
      <c r="G3" s="20"/>
      <c r="H3" s="21" t="s">
        <v>16</v>
      </c>
      <c r="I3" s="22" t="s">
        <v>0</v>
      </c>
      <c r="J3" s="23" t="s">
        <v>16</v>
      </c>
      <c r="K3" s="24" t="s">
        <v>15</v>
      </c>
      <c r="L3" s="25" t="s">
        <v>16</v>
      </c>
      <c r="M3" s="24" t="s">
        <v>15</v>
      </c>
      <c r="N3" s="20"/>
      <c r="O3" s="21" t="s">
        <v>16</v>
      </c>
      <c r="P3" s="22" t="s">
        <v>0</v>
      </c>
      <c r="Q3" s="23" t="s">
        <v>16</v>
      </c>
      <c r="R3" s="24" t="s">
        <v>15</v>
      </c>
      <c r="S3" s="25" t="s">
        <v>16</v>
      </c>
      <c r="T3" s="24" t="s">
        <v>15</v>
      </c>
      <c r="U3" s="26"/>
      <c r="V3" s="21" t="s">
        <v>16</v>
      </c>
      <c r="W3" s="22" t="s">
        <v>0</v>
      </c>
      <c r="X3" s="23" t="s">
        <v>16</v>
      </c>
      <c r="Y3" s="24" t="s">
        <v>15</v>
      </c>
      <c r="Z3" s="25" t="s">
        <v>16</v>
      </c>
      <c r="AA3" s="24" t="s">
        <v>15</v>
      </c>
      <c r="AB3" s="26"/>
      <c r="AC3" s="21" t="s">
        <v>16</v>
      </c>
      <c r="AD3" s="22" t="s">
        <v>0</v>
      </c>
      <c r="AE3" s="23" t="s">
        <v>16</v>
      </c>
      <c r="AF3" s="24" t="s">
        <v>15</v>
      </c>
      <c r="AG3" s="25" t="s">
        <v>16</v>
      </c>
      <c r="AH3" s="24" t="s">
        <v>15</v>
      </c>
      <c r="AI3" s="26"/>
      <c r="AJ3" s="21" t="s">
        <v>16</v>
      </c>
      <c r="AK3" s="22" t="s">
        <v>0</v>
      </c>
      <c r="AL3" s="23" t="s">
        <v>16</v>
      </c>
      <c r="AM3" s="24" t="s">
        <v>15</v>
      </c>
      <c r="AN3" s="25" t="s">
        <v>16</v>
      </c>
      <c r="AO3" s="24" t="s">
        <v>15</v>
      </c>
      <c r="AP3" s="26"/>
      <c r="AQ3" s="21" t="s">
        <v>16</v>
      </c>
      <c r="AR3" s="22" t="s">
        <v>0</v>
      </c>
      <c r="AS3" s="23" t="s">
        <v>16</v>
      </c>
      <c r="AT3" s="24" t="s">
        <v>15</v>
      </c>
      <c r="AU3" s="25" t="s">
        <v>16</v>
      </c>
      <c r="AV3" s="24" t="s">
        <v>15</v>
      </c>
      <c r="AW3" s="26"/>
      <c r="AX3" s="21" t="s">
        <v>16</v>
      </c>
      <c r="AY3" s="22" t="s">
        <v>0</v>
      </c>
      <c r="AZ3" s="23" t="s">
        <v>16</v>
      </c>
      <c r="BA3" s="24" t="s">
        <v>15</v>
      </c>
      <c r="BB3" s="25" t="s">
        <v>16</v>
      </c>
      <c r="BC3" s="24" t="s">
        <v>15</v>
      </c>
      <c r="BD3" s="26"/>
      <c r="BE3" s="21" t="s">
        <v>16</v>
      </c>
      <c r="BF3" s="22" t="s">
        <v>0</v>
      </c>
      <c r="BG3" s="23" t="s">
        <v>16</v>
      </c>
      <c r="BH3" s="24" t="s">
        <v>15</v>
      </c>
      <c r="BI3" s="25" t="s">
        <v>16</v>
      </c>
      <c r="BJ3" s="24" t="s">
        <v>15</v>
      </c>
      <c r="BK3" s="27" t="s">
        <v>17</v>
      </c>
      <c r="BL3" s="28" t="s">
        <v>18</v>
      </c>
      <c r="BM3" s="28" t="s">
        <v>19</v>
      </c>
      <c r="BN3" s="15" t="s">
        <v>20</v>
      </c>
    </row>
    <row r="4" spans="1:66" s="15" customFormat="1" x14ac:dyDescent="0.25">
      <c r="A4" s="29" t="s">
        <v>21</v>
      </c>
      <c r="C4" s="30"/>
      <c r="D4" s="31"/>
      <c r="E4" s="32"/>
      <c r="F4" s="33">
        <v>0</v>
      </c>
      <c r="G4" s="34"/>
      <c r="H4" s="35"/>
      <c r="I4" s="36">
        <f>H4*$F4</f>
        <v>0</v>
      </c>
      <c r="J4" s="37"/>
      <c r="K4" s="38">
        <f>J4*I4</f>
        <v>0</v>
      </c>
      <c r="L4" s="37"/>
      <c r="M4" s="38">
        <f>L4*I4</f>
        <v>0</v>
      </c>
      <c r="N4" s="34"/>
      <c r="O4" s="35"/>
      <c r="P4" s="36">
        <f>O4*$F4</f>
        <v>0</v>
      </c>
      <c r="Q4" s="37"/>
      <c r="R4" s="38">
        <f>Q4*P4</f>
        <v>0</v>
      </c>
      <c r="S4" s="37"/>
      <c r="T4" s="38">
        <f>S4*P4</f>
        <v>0</v>
      </c>
      <c r="U4" s="39"/>
      <c r="V4" s="35"/>
      <c r="W4" s="36">
        <f>V4*$F4</f>
        <v>0</v>
      </c>
      <c r="X4" s="37"/>
      <c r="Y4" s="38">
        <f>X4*W4</f>
        <v>0</v>
      </c>
      <c r="Z4" s="37"/>
      <c r="AA4" s="38">
        <f>Z4*W4</f>
        <v>0</v>
      </c>
      <c r="AB4" s="39"/>
      <c r="AC4" s="35"/>
      <c r="AD4" s="36">
        <f>AC4*$F4</f>
        <v>0</v>
      </c>
      <c r="AE4" s="37"/>
      <c r="AF4" s="38">
        <f>AE4*AD4</f>
        <v>0</v>
      </c>
      <c r="AG4" s="37"/>
      <c r="AH4" s="38">
        <f>AG4*AD4</f>
        <v>0</v>
      </c>
      <c r="AI4" s="39"/>
      <c r="AJ4" s="35"/>
      <c r="AK4" s="36">
        <f>AJ4*$F4</f>
        <v>0</v>
      </c>
      <c r="AL4" s="37"/>
      <c r="AM4" s="38">
        <f>AL4*AK4</f>
        <v>0</v>
      </c>
      <c r="AN4" s="37"/>
      <c r="AO4" s="38">
        <f>AN4*AK4</f>
        <v>0</v>
      </c>
      <c r="AP4" s="39"/>
      <c r="AQ4" s="35"/>
      <c r="AR4" s="36">
        <f>AQ4*$F4</f>
        <v>0</v>
      </c>
      <c r="AS4" s="37"/>
      <c r="AT4" s="38">
        <f>AS4*AR4</f>
        <v>0</v>
      </c>
      <c r="AU4" s="37"/>
      <c r="AV4" s="38">
        <f>AU4*AR4</f>
        <v>0</v>
      </c>
      <c r="AW4" s="39"/>
      <c r="AX4" s="35"/>
      <c r="AY4" s="36">
        <f>AX4*$F4</f>
        <v>0</v>
      </c>
      <c r="AZ4" s="37"/>
      <c r="BA4" s="38">
        <f>AZ4*AY4</f>
        <v>0</v>
      </c>
      <c r="BB4" s="37"/>
      <c r="BC4" s="38">
        <f>BB4*AY4</f>
        <v>0</v>
      </c>
      <c r="BD4" s="39"/>
      <c r="BE4" s="35"/>
      <c r="BF4" s="36">
        <f>BE4*$F4</f>
        <v>0</v>
      </c>
      <c r="BG4" s="37"/>
      <c r="BH4" s="38">
        <f>BG4*BF4</f>
        <v>0</v>
      </c>
      <c r="BI4" s="37"/>
      <c r="BJ4" s="38">
        <f>BI4*BF4</f>
        <v>0</v>
      </c>
      <c r="BK4" s="40">
        <f t="shared" ref="BK4:BK27" si="0">F4</f>
        <v>0</v>
      </c>
      <c r="BL4" s="40">
        <f t="shared" ref="BL4:BL27" si="1">I4+P4+W4+AD4+AK4+AR4+AY4+BF4</f>
        <v>0</v>
      </c>
      <c r="BM4" s="40">
        <f>SUM(BJ4,BH4,BC4,BA4,AV4,AT4,AO4,AM4,AH4,AF4,AA4,Y4,T4,R4,M4,K4)</f>
        <v>0</v>
      </c>
      <c r="BN4" s="15">
        <f>IF(AND(BK4=BL4,BL4=BM4,BK4=BM4),0,1)</f>
        <v>0</v>
      </c>
    </row>
    <row r="5" spans="1:66" s="15" customFormat="1" x14ac:dyDescent="0.25">
      <c r="B5" s="2" t="s">
        <v>23</v>
      </c>
      <c r="C5" s="41" t="s">
        <v>22</v>
      </c>
      <c r="D5" s="42">
        <v>1</v>
      </c>
      <c r="E5" s="33">
        <v>25000</v>
      </c>
      <c r="F5" s="95">
        <v>25000</v>
      </c>
      <c r="G5" s="39"/>
      <c r="H5" s="35">
        <v>1</v>
      </c>
      <c r="I5" s="36">
        <f t="shared" ref="I5:I24" si="2">H5*$F5</f>
        <v>25000</v>
      </c>
      <c r="J5" s="37">
        <v>0.5</v>
      </c>
      <c r="K5" s="38">
        <f t="shared" ref="K5:K24" si="3">J5*I5</f>
        <v>12500</v>
      </c>
      <c r="L5" s="37">
        <v>0.5</v>
      </c>
      <c r="M5" s="38">
        <f t="shared" ref="M5:M24" si="4">L5*I5</f>
        <v>12500</v>
      </c>
      <c r="N5" s="39"/>
      <c r="O5" s="35"/>
      <c r="P5" s="36">
        <f t="shared" ref="P5:P24" si="5">O5*$F5</f>
        <v>0</v>
      </c>
      <c r="Q5" s="37"/>
      <c r="R5" s="38">
        <f t="shared" ref="R5:R24" si="6">Q5*P5</f>
        <v>0</v>
      </c>
      <c r="S5" s="37"/>
      <c r="T5" s="38">
        <f t="shared" ref="T5:T24" si="7">S5*P5</f>
        <v>0</v>
      </c>
      <c r="U5" s="39"/>
      <c r="V5" s="35"/>
      <c r="W5" s="36">
        <f t="shared" ref="W5:W24" si="8">V5*$F5</f>
        <v>0</v>
      </c>
      <c r="X5" s="37"/>
      <c r="Y5" s="38">
        <f t="shared" ref="Y5:Y24" si="9">X5*W5</f>
        <v>0</v>
      </c>
      <c r="Z5" s="37"/>
      <c r="AA5" s="38">
        <f t="shared" ref="AA5:AA24" si="10">Z5*W5</f>
        <v>0</v>
      </c>
      <c r="AB5" s="39"/>
      <c r="AC5" s="35"/>
      <c r="AD5" s="36">
        <f t="shared" ref="AD5:AD24" si="11">AC5*$F5</f>
        <v>0</v>
      </c>
      <c r="AE5" s="37"/>
      <c r="AF5" s="38">
        <f t="shared" ref="AF5:AF24" si="12">AE5*AD5</f>
        <v>0</v>
      </c>
      <c r="AG5" s="37"/>
      <c r="AH5" s="38">
        <f t="shared" ref="AH5:AH24" si="13">AG5*AD5</f>
        <v>0</v>
      </c>
      <c r="AI5" s="39"/>
      <c r="AJ5" s="35"/>
      <c r="AK5" s="36">
        <f t="shared" ref="AK5:AK24" si="14">AJ5*$F5</f>
        <v>0</v>
      </c>
      <c r="AL5" s="37"/>
      <c r="AM5" s="38">
        <f t="shared" ref="AM5:AM24" si="15">AL5*AK5</f>
        <v>0</v>
      </c>
      <c r="AN5" s="37"/>
      <c r="AO5" s="38">
        <f t="shared" ref="AO5:AO24" si="16">AN5*AK5</f>
        <v>0</v>
      </c>
      <c r="AP5" s="39"/>
      <c r="AQ5" s="35"/>
      <c r="AR5" s="36">
        <f t="shared" ref="AR5:AR24" si="17">AQ5*$F5</f>
        <v>0</v>
      </c>
      <c r="AS5" s="37"/>
      <c r="AT5" s="38">
        <f t="shared" ref="AT5:AT24" si="18">AS5*AR5</f>
        <v>0</v>
      </c>
      <c r="AU5" s="37"/>
      <c r="AV5" s="38">
        <f t="shared" ref="AV5:AV24" si="19">AU5*AR5</f>
        <v>0</v>
      </c>
      <c r="AW5" s="39"/>
      <c r="AX5" s="35"/>
      <c r="AY5" s="36">
        <f t="shared" ref="AY5:AY24" si="20">AX5*$F5</f>
        <v>0</v>
      </c>
      <c r="AZ5" s="37"/>
      <c r="BA5" s="38">
        <f t="shared" ref="BA5:BA24" si="21">AZ5*AY5</f>
        <v>0</v>
      </c>
      <c r="BB5" s="37"/>
      <c r="BC5" s="38">
        <f t="shared" ref="BC5:BC24" si="22">BB5*AY5</f>
        <v>0</v>
      </c>
      <c r="BD5" s="39"/>
      <c r="BE5" s="35"/>
      <c r="BF5" s="36">
        <f t="shared" ref="BF5:BF24" si="23">BE5*$F5</f>
        <v>0</v>
      </c>
      <c r="BG5" s="37"/>
      <c r="BH5" s="38">
        <f t="shared" ref="BH5:BH24" si="24">BG5*BF5</f>
        <v>0</v>
      </c>
      <c r="BI5" s="37"/>
      <c r="BJ5" s="38">
        <f t="shared" ref="BJ5:BJ24" si="25">BI5*BF5</f>
        <v>0</v>
      </c>
      <c r="BK5" s="40">
        <f t="shared" si="0"/>
        <v>25000</v>
      </c>
      <c r="BL5" s="40">
        <f t="shared" si="1"/>
        <v>25000</v>
      </c>
      <c r="BM5" s="40">
        <f t="shared" ref="BM5:BM27" si="26">SUM(BJ5,BH5,BC5,BA5,AV5,AT5,AO5,AM5,AH5,AF5,AA5,Y5,T5,R5,M5,K5)</f>
        <v>25000</v>
      </c>
      <c r="BN5" s="15">
        <f t="shared" ref="BN5:BN27" si="27">IF(AND(BK5=BL5,BL5=BM5,BK5=BM5),0,1)</f>
        <v>0</v>
      </c>
    </row>
    <row r="6" spans="1:66" s="15" customFormat="1" x14ac:dyDescent="0.25">
      <c r="B6" s="43" t="s">
        <v>24</v>
      </c>
      <c r="C6" s="41" t="s">
        <v>22</v>
      </c>
      <c r="D6" s="42">
        <v>1</v>
      </c>
      <c r="E6" s="33">
        <v>25000</v>
      </c>
      <c r="F6" s="95">
        <v>25000</v>
      </c>
      <c r="G6" s="39"/>
      <c r="H6" s="35">
        <v>1</v>
      </c>
      <c r="I6" s="36">
        <f t="shared" si="2"/>
        <v>25000</v>
      </c>
      <c r="J6" s="37">
        <v>0.5</v>
      </c>
      <c r="K6" s="38">
        <f t="shared" si="3"/>
        <v>12500</v>
      </c>
      <c r="L6" s="37">
        <v>0.5</v>
      </c>
      <c r="M6" s="38">
        <f t="shared" si="4"/>
        <v>12500</v>
      </c>
      <c r="N6" s="39"/>
      <c r="O6" s="35"/>
      <c r="P6" s="36">
        <f t="shared" si="5"/>
        <v>0</v>
      </c>
      <c r="Q6" s="37"/>
      <c r="R6" s="38">
        <f t="shared" si="6"/>
        <v>0</v>
      </c>
      <c r="S6" s="37"/>
      <c r="T6" s="38">
        <f t="shared" si="7"/>
        <v>0</v>
      </c>
      <c r="U6" s="39"/>
      <c r="V6" s="35"/>
      <c r="W6" s="36">
        <f t="shared" si="8"/>
        <v>0</v>
      </c>
      <c r="X6" s="37"/>
      <c r="Y6" s="38">
        <f t="shared" si="9"/>
        <v>0</v>
      </c>
      <c r="Z6" s="37"/>
      <c r="AA6" s="38">
        <f t="shared" si="10"/>
        <v>0</v>
      </c>
      <c r="AB6" s="39"/>
      <c r="AC6" s="35"/>
      <c r="AD6" s="36">
        <f t="shared" si="11"/>
        <v>0</v>
      </c>
      <c r="AE6" s="37"/>
      <c r="AF6" s="38">
        <f t="shared" si="12"/>
        <v>0</v>
      </c>
      <c r="AG6" s="37"/>
      <c r="AH6" s="38">
        <f t="shared" si="13"/>
        <v>0</v>
      </c>
      <c r="AI6" s="39"/>
      <c r="AJ6" s="35"/>
      <c r="AK6" s="36">
        <f t="shared" si="14"/>
        <v>0</v>
      </c>
      <c r="AL6" s="37"/>
      <c r="AM6" s="38">
        <f t="shared" si="15"/>
        <v>0</v>
      </c>
      <c r="AN6" s="37"/>
      <c r="AO6" s="38">
        <f t="shared" si="16"/>
        <v>0</v>
      </c>
      <c r="AP6" s="39"/>
      <c r="AQ6" s="35"/>
      <c r="AR6" s="36">
        <f t="shared" si="17"/>
        <v>0</v>
      </c>
      <c r="AS6" s="37"/>
      <c r="AT6" s="38">
        <f t="shared" si="18"/>
        <v>0</v>
      </c>
      <c r="AU6" s="37"/>
      <c r="AV6" s="38">
        <f t="shared" si="19"/>
        <v>0</v>
      </c>
      <c r="AW6" s="39"/>
      <c r="AX6" s="35"/>
      <c r="AY6" s="36">
        <f t="shared" si="20"/>
        <v>0</v>
      </c>
      <c r="AZ6" s="37"/>
      <c r="BA6" s="38">
        <f t="shared" si="21"/>
        <v>0</v>
      </c>
      <c r="BB6" s="37"/>
      <c r="BC6" s="38">
        <f t="shared" si="22"/>
        <v>0</v>
      </c>
      <c r="BD6" s="39"/>
      <c r="BE6" s="35"/>
      <c r="BF6" s="36">
        <f t="shared" si="23"/>
        <v>0</v>
      </c>
      <c r="BG6" s="37"/>
      <c r="BH6" s="38">
        <f t="shared" si="24"/>
        <v>0</v>
      </c>
      <c r="BI6" s="37"/>
      <c r="BJ6" s="38">
        <f t="shared" si="25"/>
        <v>0</v>
      </c>
      <c r="BK6" s="40">
        <f t="shared" si="0"/>
        <v>25000</v>
      </c>
      <c r="BL6" s="40">
        <f t="shared" si="1"/>
        <v>25000</v>
      </c>
      <c r="BM6" s="40">
        <f t="shared" si="26"/>
        <v>25000</v>
      </c>
      <c r="BN6" s="15">
        <f t="shared" si="27"/>
        <v>0</v>
      </c>
    </row>
    <row r="7" spans="1:66" s="15" customFormat="1" x14ac:dyDescent="0.25">
      <c r="B7" s="2"/>
      <c r="C7" s="44"/>
      <c r="D7" s="42"/>
      <c r="E7" s="33"/>
      <c r="F7" s="95"/>
      <c r="G7" s="39"/>
      <c r="H7" s="35"/>
      <c r="I7" s="36">
        <f t="shared" si="2"/>
        <v>0</v>
      </c>
      <c r="J7" s="37"/>
      <c r="K7" s="38">
        <f t="shared" si="3"/>
        <v>0</v>
      </c>
      <c r="L7" s="37"/>
      <c r="M7" s="38">
        <f t="shared" si="4"/>
        <v>0</v>
      </c>
      <c r="N7" s="39"/>
      <c r="O7" s="35"/>
      <c r="P7" s="36">
        <f t="shared" si="5"/>
        <v>0</v>
      </c>
      <c r="Q7" s="37"/>
      <c r="R7" s="38">
        <f t="shared" si="6"/>
        <v>0</v>
      </c>
      <c r="S7" s="37"/>
      <c r="T7" s="38">
        <f t="shared" si="7"/>
        <v>0</v>
      </c>
      <c r="U7" s="39"/>
      <c r="V7" s="35"/>
      <c r="W7" s="36">
        <f t="shared" si="8"/>
        <v>0</v>
      </c>
      <c r="X7" s="37"/>
      <c r="Y7" s="38">
        <f t="shared" si="9"/>
        <v>0</v>
      </c>
      <c r="Z7" s="37"/>
      <c r="AA7" s="38">
        <f t="shared" si="10"/>
        <v>0</v>
      </c>
      <c r="AB7" s="39"/>
      <c r="AC7" s="35"/>
      <c r="AD7" s="36">
        <f t="shared" si="11"/>
        <v>0</v>
      </c>
      <c r="AE7" s="37"/>
      <c r="AF7" s="38">
        <f t="shared" si="12"/>
        <v>0</v>
      </c>
      <c r="AG7" s="37"/>
      <c r="AH7" s="38">
        <f t="shared" si="13"/>
        <v>0</v>
      </c>
      <c r="AI7" s="39"/>
      <c r="AJ7" s="35"/>
      <c r="AK7" s="36">
        <f t="shared" si="14"/>
        <v>0</v>
      </c>
      <c r="AL7" s="37"/>
      <c r="AM7" s="38">
        <f t="shared" si="15"/>
        <v>0</v>
      </c>
      <c r="AN7" s="37"/>
      <c r="AO7" s="38">
        <f t="shared" si="16"/>
        <v>0</v>
      </c>
      <c r="AP7" s="39"/>
      <c r="AQ7" s="35"/>
      <c r="AR7" s="36">
        <f t="shared" si="17"/>
        <v>0</v>
      </c>
      <c r="AS7" s="37"/>
      <c r="AT7" s="38">
        <f t="shared" si="18"/>
        <v>0</v>
      </c>
      <c r="AU7" s="37"/>
      <c r="AV7" s="38">
        <f t="shared" si="19"/>
        <v>0</v>
      </c>
      <c r="AW7" s="39"/>
      <c r="AX7" s="35"/>
      <c r="AY7" s="36">
        <f t="shared" si="20"/>
        <v>0</v>
      </c>
      <c r="AZ7" s="37"/>
      <c r="BA7" s="38">
        <f t="shared" si="21"/>
        <v>0</v>
      </c>
      <c r="BB7" s="37"/>
      <c r="BC7" s="38">
        <f t="shared" si="22"/>
        <v>0</v>
      </c>
      <c r="BD7" s="39"/>
      <c r="BE7" s="35"/>
      <c r="BF7" s="36">
        <f t="shared" si="23"/>
        <v>0</v>
      </c>
      <c r="BG7" s="37"/>
      <c r="BH7" s="38">
        <f t="shared" si="24"/>
        <v>0</v>
      </c>
      <c r="BI7" s="37"/>
      <c r="BJ7" s="38">
        <f t="shared" si="25"/>
        <v>0</v>
      </c>
      <c r="BK7" s="40">
        <f t="shared" si="0"/>
        <v>0</v>
      </c>
      <c r="BL7" s="40">
        <f t="shared" si="1"/>
        <v>0</v>
      </c>
      <c r="BM7" s="40">
        <f t="shared" si="26"/>
        <v>0</v>
      </c>
      <c r="BN7" s="15">
        <f t="shared" si="27"/>
        <v>0</v>
      </c>
    </row>
    <row r="8" spans="1:66" x14ac:dyDescent="0.25">
      <c r="A8" s="1" t="s">
        <v>25</v>
      </c>
      <c r="C8" s="44"/>
      <c r="D8" s="50"/>
      <c r="E8" s="33"/>
      <c r="F8" s="95">
        <v>0</v>
      </c>
      <c r="G8" s="39"/>
      <c r="H8" s="35"/>
      <c r="I8" s="36">
        <f t="shared" si="2"/>
        <v>0</v>
      </c>
      <c r="J8" s="37"/>
      <c r="K8" s="38">
        <f t="shared" si="3"/>
        <v>0</v>
      </c>
      <c r="L8" s="37"/>
      <c r="M8" s="38">
        <f t="shared" si="4"/>
        <v>0</v>
      </c>
      <c r="N8" s="39"/>
      <c r="O8" s="35"/>
      <c r="P8" s="36">
        <f t="shared" si="5"/>
        <v>0</v>
      </c>
      <c r="Q8" s="37"/>
      <c r="R8" s="38">
        <f t="shared" si="6"/>
        <v>0</v>
      </c>
      <c r="S8" s="37"/>
      <c r="T8" s="38">
        <f t="shared" si="7"/>
        <v>0</v>
      </c>
      <c r="U8" s="39"/>
      <c r="V8" s="35"/>
      <c r="W8" s="36">
        <f t="shared" si="8"/>
        <v>0</v>
      </c>
      <c r="X8" s="37"/>
      <c r="Y8" s="38">
        <f t="shared" si="9"/>
        <v>0</v>
      </c>
      <c r="Z8" s="37"/>
      <c r="AA8" s="38">
        <f t="shared" si="10"/>
        <v>0</v>
      </c>
      <c r="AB8" s="39"/>
      <c r="AC8" s="35"/>
      <c r="AD8" s="36">
        <f t="shared" si="11"/>
        <v>0</v>
      </c>
      <c r="AE8" s="37"/>
      <c r="AF8" s="38">
        <f t="shared" si="12"/>
        <v>0</v>
      </c>
      <c r="AG8" s="37"/>
      <c r="AH8" s="38">
        <f t="shared" si="13"/>
        <v>0</v>
      </c>
      <c r="AI8" s="39"/>
      <c r="AJ8" s="35"/>
      <c r="AK8" s="36">
        <f t="shared" si="14"/>
        <v>0</v>
      </c>
      <c r="AL8" s="37"/>
      <c r="AM8" s="38">
        <f t="shared" si="15"/>
        <v>0</v>
      </c>
      <c r="AN8" s="37"/>
      <c r="AO8" s="38">
        <f t="shared" si="16"/>
        <v>0</v>
      </c>
      <c r="AP8" s="39"/>
      <c r="AQ8" s="35"/>
      <c r="AR8" s="36">
        <f t="shared" si="17"/>
        <v>0</v>
      </c>
      <c r="AS8" s="37"/>
      <c r="AT8" s="38">
        <f t="shared" si="18"/>
        <v>0</v>
      </c>
      <c r="AU8" s="37"/>
      <c r="AV8" s="38">
        <f t="shared" si="19"/>
        <v>0</v>
      </c>
      <c r="AW8" s="39"/>
      <c r="AX8" s="35"/>
      <c r="AY8" s="36">
        <f t="shared" si="20"/>
        <v>0</v>
      </c>
      <c r="AZ8" s="37"/>
      <c r="BA8" s="38">
        <f t="shared" si="21"/>
        <v>0</v>
      </c>
      <c r="BB8" s="37"/>
      <c r="BC8" s="38">
        <f t="shared" si="22"/>
        <v>0</v>
      </c>
      <c r="BD8" s="39"/>
      <c r="BE8" s="35"/>
      <c r="BF8" s="36">
        <f t="shared" si="23"/>
        <v>0</v>
      </c>
      <c r="BG8" s="37"/>
      <c r="BH8" s="38">
        <f t="shared" si="24"/>
        <v>0</v>
      </c>
      <c r="BI8" s="37"/>
      <c r="BJ8" s="38">
        <f t="shared" si="25"/>
        <v>0</v>
      </c>
      <c r="BK8" s="40">
        <f t="shared" si="0"/>
        <v>0</v>
      </c>
      <c r="BL8" s="40">
        <f t="shared" si="1"/>
        <v>0</v>
      </c>
      <c r="BM8" s="40">
        <f t="shared" si="26"/>
        <v>0</v>
      </c>
      <c r="BN8" s="15">
        <f t="shared" si="27"/>
        <v>0</v>
      </c>
    </row>
    <row r="9" spans="1:66" x14ac:dyDescent="0.25">
      <c r="A9" s="2"/>
      <c r="B9" s="2" t="s">
        <v>26</v>
      </c>
      <c r="C9" s="41" t="s">
        <v>22</v>
      </c>
      <c r="D9" s="50">
        <v>1</v>
      </c>
      <c r="E9" s="33">
        <v>45000</v>
      </c>
      <c r="F9" s="95">
        <v>45000</v>
      </c>
      <c r="G9" s="39"/>
      <c r="H9" s="35">
        <v>0.125</v>
      </c>
      <c r="I9" s="36">
        <f t="shared" si="2"/>
        <v>5625</v>
      </c>
      <c r="J9" s="37">
        <v>0.5</v>
      </c>
      <c r="K9" s="38">
        <f t="shared" si="3"/>
        <v>2812.5</v>
      </c>
      <c r="L9" s="37">
        <v>0.5</v>
      </c>
      <c r="M9" s="38">
        <f t="shared" si="4"/>
        <v>2812.5</v>
      </c>
      <c r="N9" s="39"/>
      <c r="O9" s="35">
        <v>0.125</v>
      </c>
      <c r="P9" s="36">
        <f t="shared" si="5"/>
        <v>5625</v>
      </c>
      <c r="Q9" s="37">
        <v>0.5</v>
      </c>
      <c r="R9" s="38">
        <f t="shared" si="6"/>
        <v>2812.5</v>
      </c>
      <c r="S9" s="37">
        <v>0.5</v>
      </c>
      <c r="T9" s="38">
        <f t="shared" si="7"/>
        <v>2812.5</v>
      </c>
      <c r="U9" s="39"/>
      <c r="V9" s="35">
        <v>0.125</v>
      </c>
      <c r="W9" s="36">
        <f t="shared" si="8"/>
        <v>5625</v>
      </c>
      <c r="X9" s="37">
        <v>0.5</v>
      </c>
      <c r="Y9" s="38">
        <f t="shared" si="9"/>
        <v>2812.5</v>
      </c>
      <c r="Z9" s="37">
        <v>0.5</v>
      </c>
      <c r="AA9" s="38">
        <f t="shared" si="10"/>
        <v>2812.5</v>
      </c>
      <c r="AB9" s="39"/>
      <c r="AC9" s="35">
        <v>0.125</v>
      </c>
      <c r="AD9" s="36">
        <f t="shared" si="11"/>
        <v>5625</v>
      </c>
      <c r="AE9" s="37">
        <v>0.5</v>
      </c>
      <c r="AF9" s="38">
        <f t="shared" si="12"/>
        <v>2812.5</v>
      </c>
      <c r="AG9" s="37">
        <v>0.5</v>
      </c>
      <c r="AH9" s="38">
        <f t="shared" si="13"/>
        <v>2812.5</v>
      </c>
      <c r="AI9" s="39"/>
      <c r="AJ9" s="35">
        <v>0.125</v>
      </c>
      <c r="AK9" s="36">
        <f t="shared" si="14"/>
        <v>5625</v>
      </c>
      <c r="AL9" s="37">
        <v>0.5</v>
      </c>
      <c r="AM9" s="38">
        <f t="shared" si="15"/>
        <v>2812.5</v>
      </c>
      <c r="AN9" s="37">
        <v>0.5</v>
      </c>
      <c r="AO9" s="38">
        <f t="shared" si="16"/>
        <v>2812.5</v>
      </c>
      <c r="AP9" s="39"/>
      <c r="AQ9" s="35">
        <v>0.125</v>
      </c>
      <c r="AR9" s="36">
        <f t="shared" si="17"/>
        <v>5625</v>
      </c>
      <c r="AS9" s="37">
        <v>0.5</v>
      </c>
      <c r="AT9" s="38">
        <f t="shared" si="18"/>
        <v>2812.5</v>
      </c>
      <c r="AU9" s="37">
        <v>0.5</v>
      </c>
      <c r="AV9" s="38">
        <f t="shared" si="19"/>
        <v>2812.5</v>
      </c>
      <c r="AW9" s="39"/>
      <c r="AX9" s="35">
        <v>0.125</v>
      </c>
      <c r="AY9" s="36">
        <f t="shared" si="20"/>
        <v>5625</v>
      </c>
      <c r="AZ9" s="37">
        <v>0.5</v>
      </c>
      <c r="BA9" s="38">
        <f t="shared" si="21"/>
        <v>2812.5</v>
      </c>
      <c r="BB9" s="37">
        <v>0.5</v>
      </c>
      <c r="BC9" s="38">
        <f t="shared" si="22"/>
        <v>2812.5</v>
      </c>
      <c r="BD9" s="39"/>
      <c r="BE9" s="35">
        <v>0.125</v>
      </c>
      <c r="BF9" s="36">
        <f t="shared" si="23"/>
        <v>5625</v>
      </c>
      <c r="BG9" s="37">
        <v>0.5</v>
      </c>
      <c r="BH9" s="38">
        <f t="shared" si="24"/>
        <v>2812.5</v>
      </c>
      <c r="BI9" s="37">
        <v>0.5</v>
      </c>
      <c r="BJ9" s="38">
        <f t="shared" si="25"/>
        <v>2812.5</v>
      </c>
      <c r="BK9" s="40">
        <f t="shared" si="0"/>
        <v>45000</v>
      </c>
      <c r="BL9" s="40">
        <f t="shared" si="1"/>
        <v>45000</v>
      </c>
      <c r="BM9" s="40">
        <f t="shared" si="26"/>
        <v>45000</v>
      </c>
      <c r="BN9" s="15">
        <f t="shared" si="27"/>
        <v>0</v>
      </c>
    </row>
    <row r="10" spans="1:66" x14ac:dyDescent="0.25">
      <c r="B10" s="45" t="s">
        <v>28</v>
      </c>
      <c r="C10" s="41" t="s">
        <v>22</v>
      </c>
      <c r="D10" s="50">
        <v>1</v>
      </c>
      <c r="E10" s="33">
        <v>15000</v>
      </c>
      <c r="F10" s="95">
        <v>15000</v>
      </c>
      <c r="G10" s="39"/>
      <c r="H10" s="35">
        <v>0.125</v>
      </c>
      <c r="I10" s="36">
        <f t="shared" si="2"/>
        <v>1875</v>
      </c>
      <c r="J10" s="37">
        <v>0.5</v>
      </c>
      <c r="K10" s="38">
        <f t="shared" si="3"/>
        <v>937.5</v>
      </c>
      <c r="L10" s="37">
        <v>0.5</v>
      </c>
      <c r="M10" s="38">
        <f t="shared" si="4"/>
        <v>937.5</v>
      </c>
      <c r="N10" s="39"/>
      <c r="O10" s="35">
        <v>0.125</v>
      </c>
      <c r="P10" s="36">
        <f t="shared" si="5"/>
        <v>1875</v>
      </c>
      <c r="Q10" s="37">
        <v>0.5</v>
      </c>
      <c r="R10" s="38">
        <f t="shared" si="6"/>
        <v>937.5</v>
      </c>
      <c r="S10" s="37">
        <v>0.5</v>
      </c>
      <c r="T10" s="38">
        <f t="shared" si="7"/>
        <v>937.5</v>
      </c>
      <c r="U10" s="39"/>
      <c r="V10" s="35">
        <v>0.125</v>
      </c>
      <c r="W10" s="36">
        <f t="shared" si="8"/>
        <v>1875</v>
      </c>
      <c r="X10" s="37">
        <v>0.5</v>
      </c>
      <c r="Y10" s="38">
        <f t="shared" si="9"/>
        <v>937.5</v>
      </c>
      <c r="Z10" s="37">
        <v>0.5</v>
      </c>
      <c r="AA10" s="38">
        <f t="shared" si="10"/>
        <v>937.5</v>
      </c>
      <c r="AB10" s="39"/>
      <c r="AC10" s="35">
        <v>0.125</v>
      </c>
      <c r="AD10" s="36">
        <f t="shared" si="11"/>
        <v>1875</v>
      </c>
      <c r="AE10" s="37">
        <v>0.5</v>
      </c>
      <c r="AF10" s="38">
        <f t="shared" si="12"/>
        <v>937.5</v>
      </c>
      <c r="AG10" s="37">
        <v>0.5</v>
      </c>
      <c r="AH10" s="38">
        <f t="shared" si="13"/>
        <v>937.5</v>
      </c>
      <c r="AI10" s="39"/>
      <c r="AJ10" s="35">
        <v>0.125</v>
      </c>
      <c r="AK10" s="36">
        <f t="shared" si="14"/>
        <v>1875</v>
      </c>
      <c r="AL10" s="37">
        <v>0.5</v>
      </c>
      <c r="AM10" s="38">
        <f t="shared" si="15"/>
        <v>937.5</v>
      </c>
      <c r="AN10" s="37">
        <v>0.5</v>
      </c>
      <c r="AO10" s="38">
        <f t="shared" si="16"/>
        <v>937.5</v>
      </c>
      <c r="AP10" s="39"/>
      <c r="AQ10" s="35">
        <v>0.125</v>
      </c>
      <c r="AR10" s="36">
        <f t="shared" si="17"/>
        <v>1875</v>
      </c>
      <c r="AS10" s="37">
        <v>0.5</v>
      </c>
      <c r="AT10" s="38">
        <f t="shared" si="18"/>
        <v>937.5</v>
      </c>
      <c r="AU10" s="37">
        <v>0.5</v>
      </c>
      <c r="AV10" s="38">
        <f t="shared" si="19"/>
        <v>937.5</v>
      </c>
      <c r="AW10" s="39"/>
      <c r="AX10" s="35">
        <v>0.125</v>
      </c>
      <c r="AY10" s="36">
        <f t="shared" si="20"/>
        <v>1875</v>
      </c>
      <c r="AZ10" s="37">
        <v>0.5</v>
      </c>
      <c r="BA10" s="38">
        <f t="shared" si="21"/>
        <v>937.5</v>
      </c>
      <c r="BB10" s="37">
        <v>0.5</v>
      </c>
      <c r="BC10" s="38">
        <f t="shared" si="22"/>
        <v>937.5</v>
      </c>
      <c r="BD10" s="39"/>
      <c r="BE10" s="35">
        <v>0.125</v>
      </c>
      <c r="BF10" s="36">
        <f t="shared" si="23"/>
        <v>1875</v>
      </c>
      <c r="BG10" s="37">
        <v>0.5</v>
      </c>
      <c r="BH10" s="38">
        <f t="shared" si="24"/>
        <v>937.5</v>
      </c>
      <c r="BI10" s="37">
        <v>0.5</v>
      </c>
      <c r="BJ10" s="38">
        <f t="shared" si="25"/>
        <v>937.5</v>
      </c>
      <c r="BK10" s="40">
        <f t="shared" si="0"/>
        <v>15000</v>
      </c>
      <c r="BL10" s="40">
        <f t="shared" si="1"/>
        <v>15000</v>
      </c>
      <c r="BM10" s="40">
        <f t="shared" si="26"/>
        <v>15000</v>
      </c>
      <c r="BN10" s="15">
        <f t="shared" si="27"/>
        <v>0</v>
      </c>
    </row>
    <row r="11" spans="1:66" x14ac:dyDescent="0.25">
      <c r="A11" s="2"/>
      <c r="B11" s="2" t="s">
        <v>29</v>
      </c>
      <c r="C11" s="41" t="s">
        <v>27</v>
      </c>
      <c r="D11" s="50">
        <v>45000</v>
      </c>
      <c r="E11" s="47">
        <v>0.25</v>
      </c>
      <c r="F11" s="95">
        <v>11250</v>
      </c>
      <c r="G11" s="39"/>
      <c r="H11" s="35"/>
      <c r="I11" s="36">
        <f t="shared" si="2"/>
        <v>0</v>
      </c>
      <c r="J11" s="37"/>
      <c r="K11" s="38">
        <f t="shared" si="3"/>
        <v>0</v>
      </c>
      <c r="L11" s="37"/>
      <c r="M11" s="38">
        <f t="shared" si="4"/>
        <v>0</v>
      </c>
      <c r="N11" s="39"/>
      <c r="O11" s="35">
        <v>1</v>
      </c>
      <c r="P11" s="36">
        <f t="shared" si="5"/>
        <v>11250</v>
      </c>
      <c r="Q11" s="37">
        <v>0.5</v>
      </c>
      <c r="R11" s="38">
        <f t="shared" si="6"/>
        <v>5625</v>
      </c>
      <c r="S11" s="37">
        <v>0.5</v>
      </c>
      <c r="T11" s="38">
        <f t="shared" si="7"/>
        <v>5625</v>
      </c>
      <c r="U11" s="39"/>
      <c r="V11" s="35"/>
      <c r="W11" s="36">
        <f t="shared" si="8"/>
        <v>0</v>
      </c>
      <c r="X11" s="37"/>
      <c r="Y11" s="38">
        <f t="shared" si="9"/>
        <v>0</v>
      </c>
      <c r="Z11" s="37"/>
      <c r="AA11" s="38">
        <f t="shared" si="10"/>
        <v>0</v>
      </c>
      <c r="AB11" s="39"/>
      <c r="AC11" s="35"/>
      <c r="AD11" s="36">
        <f t="shared" si="11"/>
        <v>0</v>
      </c>
      <c r="AE11" s="37"/>
      <c r="AF11" s="38">
        <f t="shared" si="12"/>
        <v>0</v>
      </c>
      <c r="AG11" s="37"/>
      <c r="AH11" s="38">
        <f t="shared" si="13"/>
        <v>0</v>
      </c>
      <c r="AI11" s="39"/>
      <c r="AJ11" s="35"/>
      <c r="AK11" s="36">
        <f t="shared" si="14"/>
        <v>0</v>
      </c>
      <c r="AL11" s="37"/>
      <c r="AM11" s="38">
        <f t="shared" si="15"/>
        <v>0</v>
      </c>
      <c r="AN11" s="37"/>
      <c r="AO11" s="38">
        <f t="shared" si="16"/>
        <v>0</v>
      </c>
      <c r="AP11" s="39"/>
      <c r="AQ11" s="35"/>
      <c r="AR11" s="36">
        <f t="shared" si="17"/>
        <v>0</v>
      </c>
      <c r="AS11" s="37"/>
      <c r="AT11" s="38">
        <f t="shared" si="18"/>
        <v>0</v>
      </c>
      <c r="AU11" s="37"/>
      <c r="AV11" s="38">
        <f t="shared" si="19"/>
        <v>0</v>
      </c>
      <c r="AW11" s="39"/>
      <c r="AX11" s="35"/>
      <c r="AY11" s="36">
        <f t="shared" si="20"/>
        <v>0</v>
      </c>
      <c r="AZ11" s="37"/>
      <c r="BA11" s="38">
        <f t="shared" si="21"/>
        <v>0</v>
      </c>
      <c r="BB11" s="37"/>
      <c r="BC11" s="38">
        <f t="shared" si="22"/>
        <v>0</v>
      </c>
      <c r="BD11" s="39"/>
      <c r="BE11" s="35"/>
      <c r="BF11" s="36">
        <f t="shared" si="23"/>
        <v>0</v>
      </c>
      <c r="BG11" s="37"/>
      <c r="BH11" s="38">
        <f t="shared" si="24"/>
        <v>0</v>
      </c>
      <c r="BI11" s="37"/>
      <c r="BJ11" s="38">
        <f t="shared" si="25"/>
        <v>0</v>
      </c>
      <c r="BK11" s="40">
        <f t="shared" si="0"/>
        <v>11250</v>
      </c>
      <c r="BL11" s="40">
        <f t="shared" si="1"/>
        <v>11250</v>
      </c>
      <c r="BM11" s="40">
        <f t="shared" si="26"/>
        <v>11250</v>
      </c>
      <c r="BN11" s="15">
        <f t="shared" si="27"/>
        <v>0</v>
      </c>
    </row>
    <row r="12" spans="1:66" x14ac:dyDescent="0.25">
      <c r="B12" s="43"/>
      <c r="C12" s="41"/>
      <c r="D12" s="50"/>
      <c r="E12" s="48"/>
      <c r="F12" s="95">
        <v>0</v>
      </c>
      <c r="G12" s="39"/>
      <c r="H12" s="35"/>
      <c r="I12" s="36">
        <f t="shared" si="2"/>
        <v>0</v>
      </c>
      <c r="J12" s="37"/>
      <c r="K12" s="38">
        <f t="shared" si="3"/>
        <v>0</v>
      </c>
      <c r="L12" s="37"/>
      <c r="M12" s="38">
        <f t="shared" si="4"/>
        <v>0</v>
      </c>
      <c r="N12" s="39"/>
      <c r="O12" s="35"/>
      <c r="P12" s="36">
        <f t="shared" si="5"/>
        <v>0</v>
      </c>
      <c r="Q12" s="37"/>
      <c r="R12" s="38">
        <f t="shared" si="6"/>
        <v>0</v>
      </c>
      <c r="S12" s="37"/>
      <c r="T12" s="38">
        <f t="shared" si="7"/>
        <v>0</v>
      </c>
      <c r="U12" s="39"/>
      <c r="V12" s="35"/>
      <c r="W12" s="36">
        <f t="shared" si="8"/>
        <v>0</v>
      </c>
      <c r="X12" s="37"/>
      <c r="Y12" s="38">
        <f t="shared" si="9"/>
        <v>0</v>
      </c>
      <c r="Z12" s="37"/>
      <c r="AA12" s="38">
        <f t="shared" si="10"/>
        <v>0</v>
      </c>
      <c r="AB12" s="39"/>
      <c r="AC12" s="35"/>
      <c r="AD12" s="36">
        <f t="shared" si="11"/>
        <v>0</v>
      </c>
      <c r="AE12" s="37"/>
      <c r="AF12" s="38">
        <f t="shared" si="12"/>
        <v>0</v>
      </c>
      <c r="AG12" s="37"/>
      <c r="AH12" s="38">
        <f t="shared" si="13"/>
        <v>0</v>
      </c>
      <c r="AI12" s="39"/>
      <c r="AJ12" s="35"/>
      <c r="AK12" s="36">
        <f t="shared" si="14"/>
        <v>0</v>
      </c>
      <c r="AL12" s="37"/>
      <c r="AM12" s="38">
        <f t="shared" si="15"/>
        <v>0</v>
      </c>
      <c r="AN12" s="37"/>
      <c r="AO12" s="38">
        <f t="shared" si="16"/>
        <v>0</v>
      </c>
      <c r="AP12" s="39"/>
      <c r="AQ12" s="35"/>
      <c r="AR12" s="36">
        <f t="shared" si="17"/>
        <v>0</v>
      </c>
      <c r="AS12" s="37"/>
      <c r="AT12" s="38">
        <f t="shared" si="18"/>
        <v>0</v>
      </c>
      <c r="AU12" s="37"/>
      <c r="AV12" s="38">
        <f t="shared" si="19"/>
        <v>0</v>
      </c>
      <c r="AW12" s="39"/>
      <c r="AX12" s="35"/>
      <c r="AY12" s="36">
        <f t="shared" si="20"/>
        <v>0</v>
      </c>
      <c r="AZ12" s="37"/>
      <c r="BA12" s="38">
        <f t="shared" si="21"/>
        <v>0</v>
      </c>
      <c r="BB12" s="37"/>
      <c r="BC12" s="38">
        <f t="shared" si="22"/>
        <v>0</v>
      </c>
      <c r="BD12" s="39"/>
      <c r="BE12" s="35"/>
      <c r="BF12" s="36">
        <f t="shared" si="23"/>
        <v>0</v>
      </c>
      <c r="BG12" s="37"/>
      <c r="BH12" s="38">
        <f t="shared" si="24"/>
        <v>0</v>
      </c>
      <c r="BI12" s="37"/>
      <c r="BJ12" s="38">
        <f t="shared" si="25"/>
        <v>0</v>
      </c>
      <c r="BK12" s="40">
        <f t="shared" si="0"/>
        <v>0</v>
      </c>
      <c r="BL12" s="40">
        <f t="shared" si="1"/>
        <v>0</v>
      </c>
      <c r="BM12" s="40">
        <f t="shared" si="26"/>
        <v>0</v>
      </c>
      <c r="BN12" s="15">
        <f t="shared" si="27"/>
        <v>0</v>
      </c>
    </row>
    <row r="13" spans="1:66" x14ac:dyDescent="0.25">
      <c r="A13" s="1" t="s">
        <v>36</v>
      </c>
      <c r="C13" s="44"/>
      <c r="D13" s="50"/>
      <c r="E13" s="48"/>
      <c r="F13" s="95">
        <v>0</v>
      </c>
      <c r="G13" s="39"/>
      <c r="H13" s="35"/>
      <c r="I13" s="36">
        <f t="shared" si="2"/>
        <v>0</v>
      </c>
      <c r="J13" s="37"/>
      <c r="K13" s="38">
        <f t="shared" si="3"/>
        <v>0</v>
      </c>
      <c r="L13" s="37"/>
      <c r="M13" s="38">
        <f t="shared" si="4"/>
        <v>0</v>
      </c>
      <c r="N13" s="39"/>
      <c r="O13" s="35"/>
      <c r="P13" s="36">
        <f t="shared" si="5"/>
        <v>0</v>
      </c>
      <c r="Q13" s="37"/>
      <c r="R13" s="38">
        <f t="shared" si="6"/>
        <v>0</v>
      </c>
      <c r="S13" s="37"/>
      <c r="T13" s="38">
        <f t="shared" si="7"/>
        <v>0</v>
      </c>
      <c r="U13" s="39"/>
      <c r="V13" s="35"/>
      <c r="W13" s="36">
        <f t="shared" si="8"/>
        <v>0</v>
      </c>
      <c r="X13" s="37"/>
      <c r="Y13" s="38">
        <f t="shared" si="9"/>
        <v>0</v>
      </c>
      <c r="Z13" s="37"/>
      <c r="AA13" s="38">
        <f t="shared" si="10"/>
        <v>0</v>
      </c>
      <c r="AB13" s="39"/>
      <c r="AC13" s="35"/>
      <c r="AD13" s="36">
        <f t="shared" si="11"/>
        <v>0</v>
      </c>
      <c r="AE13" s="37"/>
      <c r="AF13" s="38">
        <f t="shared" si="12"/>
        <v>0</v>
      </c>
      <c r="AG13" s="37"/>
      <c r="AH13" s="38">
        <f t="shared" si="13"/>
        <v>0</v>
      </c>
      <c r="AI13" s="39"/>
      <c r="AJ13" s="35"/>
      <c r="AK13" s="36">
        <f t="shared" si="14"/>
        <v>0</v>
      </c>
      <c r="AL13" s="37"/>
      <c r="AM13" s="38">
        <f t="shared" si="15"/>
        <v>0</v>
      </c>
      <c r="AN13" s="37"/>
      <c r="AO13" s="38">
        <f t="shared" si="16"/>
        <v>0</v>
      </c>
      <c r="AP13" s="39"/>
      <c r="AQ13" s="35"/>
      <c r="AR13" s="36">
        <f t="shared" si="17"/>
        <v>0</v>
      </c>
      <c r="AS13" s="37"/>
      <c r="AT13" s="38">
        <f t="shared" si="18"/>
        <v>0</v>
      </c>
      <c r="AU13" s="37"/>
      <c r="AV13" s="38">
        <f t="shared" si="19"/>
        <v>0</v>
      </c>
      <c r="AW13" s="39"/>
      <c r="AX13" s="35"/>
      <c r="AY13" s="36">
        <f t="shared" si="20"/>
        <v>0</v>
      </c>
      <c r="AZ13" s="37"/>
      <c r="BA13" s="38">
        <f t="shared" si="21"/>
        <v>0</v>
      </c>
      <c r="BB13" s="37"/>
      <c r="BC13" s="38">
        <f t="shared" si="22"/>
        <v>0</v>
      </c>
      <c r="BD13" s="39"/>
      <c r="BE13" s="35"/>
      <c r="BF13" s="36">
        <f t="shared" si="23"/>
        <v>0</v>
      </c>
      <c r="BG13" s="37"/>
      <c r="BH13" s="38">
        <f t="shared" si="24"/>
        <v>0</v>
      </c>
      <c r="BI13" s="37"/>
      <c r="BJ13" s="38">
        <f t="shared" si="25"/>
        <v>0</v>
      </c>
      <c r="BK13" s="40">
        <f t="shared" si="0"/>
        <v>0</v>
      </c>
      <c r="BL13" s="40">
        <f t="shared" si="1"/>
        <v>0</v>
      </c>
      <c r="BM13" s="40">
        <f t="shared" si="26"/>
        <v>0</v>
      </c>
      <c r="BN13" s="15">
        <f t="shared" si="27"/>
        <v>0</v>
      </c>
    </row>
    <row r="14" spans="1:66" x14ac:dyDescent="0.25">
      <c r="B14" s="43" t="s">
        <v>34</v>
      </c>
      <c r="C14" s="41" t="s">
        <v>30</v>
      </c>
      <c r="D14" s="50">
        <v>70</v>
      </c>
      <c r="E14" s="48">
        <v>650</v>
      </c>
      <c r="F14" s="95">
        <v>45500</v>
      </c>
      <c r="G14" s="39"/>
      <c r="H14" s="35"/>
      <c r="I14" s="36">
        <f t="shared" si="2"/>
        <v>0</v>
      </c>
      <c r="J14" s="37"/>
      <c r="K14" s="38">
        <f t="shared" si="3"/>
        <v>0</v>
      </c>
      <c r="L14" s="37"/>
      <c r="M14" s="38">
        <f t="shared" si="4"/>
        <v>0</v>
      </c>
      <c r="N14" s="39"/>
      <c r="O14" s="35"/>
      <c r="P14" s="36">
        <f t="shared" si="5"/>
        <v>0</v>
      </c>
      <c r="Q14" s="37"/>
      <c r="R14" s="38">
        <f t="shared" si="6"/>
        <v>0</v>
      </c>
      <c r="S14" s="37"/>
      <c r="T14" s="38">
        <f t="shared" si="7"/>
        <v>0</v>
      </c>
      <c r="U14" s="39"/>
      <c r="V14" s="35"/>
      <c r="W14" s="36">
        <f t="shared" si="8"/>
        <v>0</v>
      </c>
      <c r="X14" s="37"/>
      <c r="Y14" s="38">
        <f t="shared" si="9"/>
        <v>0</v>
      </c>
      <c r="Z14" s="37"/>
      <c r="AA14" s="38">
        <f t="shared" si="10"/>
        <v>0</v>
      </c>
      <c r="AB14" s="39"/>
      <c r="AC14" s="35">
        <v>0.95</v>
      </c>
      <c r="AD14" s="36">
        <f t="shared" si="11"/>
        <v>43225</v>
      </c>
      <c r="AE14" s="37">
        <v>0.5</v>
      </c>
      <c r="AF14" s="38">
        <f t="shared" si="12"/>
        <v>21612.5</v>
      </c>
      <c r="AG14" s="37">
        <v>0.5</v>
      </c>
      <c r="AH14" s="38">
        <f t="shared" si="13"/>
        <v>21612.5</v>
      </c>
      <c r="AI14" s="39"/>
      <c r="AJ14" s="35"/>
      <c r="AK14" s="36">
        <f t="shared" si="14"/>
        <v>0</v>
      </c>
      <c r="AL14" s="37"/>
      <c r="AM14" s="38">
        <f t="shared" si="15"/>
        <v>0</v>
      </c>
      <c r="AN14" s="37"/>
      <c r="AO14" s="38">
        <f t="shared" si="16"/>
        <v>0</v>
      </c>
      <c r="AP14" s="39"/>
      <c r="AQ14" s="35">
        <v>0.05</v>
      </c>
      <c r="AR14" s="36">
        <f t="shared" si="17"/>
        <v>2275</v>
      </c>
      <c r="AS14" s="37">
        <v>0.5</v>
      </c>
      <c r="AT14" s="38">
        <f t="shared" si="18"/>
        <v>1137.5</v>
      </c>
      <c r="AU14" s="37">
        <v>0.5</v>
      </c>
      <c r="AV14" s="38">
        <f t="shared" si="19"/>
        <v>1137.5</v>
      </c>
      <c r="AW14" s="39"/>
      <c r="AX14" s="35"/>
      <c r="AY14" s="36">
        <f t="shared" si="20"/>
        <v>0</v>
      </c>
      <c r="AZ14" s="37"/>
      <c r="BA14" s="38">
        <f t="shared" si="21"/>
        <v>0</v>
      </c>
      <c r="BB14" s="37"/>
      <c r="BC14" s="38">
        <f t="shared" si="22"/>
        <v>0</v>
      </c>
      <c r="BD14" s="39"/>
      <c r="BE14" s="35"/>
      <c r="BF14" s="36">
        <f t="shared" si="23"/>
        <v>0</v>
      </c>
      <c r="BG14" s="37"/>
      <c r="BH14" s="38">
        <f t="shared" si="24"/>
        <v>0</v>
      </c>
      <c r="BI14" s="37"/>
      <c r="BJ14" s="38">
        <f t="shared" si="25"/>
        <v>0</v>
      </c>
      <c r="BK14" s="40">
        <f t="shared" si="0"/>
        <v>45500</v>
      </c>
      <c r="BL14" s="40">
        <f t="shared" si="1"/>
        <v>45500</v>
      </c>
      <c r="BM14" s="40">
        <f t="shared" si="26"/>
        <v>45500</v>
      </c>
      <c r="BN14" s="15">
        <f t="shared" si="27"/>
        <v>0</v>
      </c>
    </row>
    <row r="15" spans="1:66" x14ac:dyDescent="0.25">
      <c r="B15" s="43" t="s">
        <v>35</v>
      </c>
      <c r="C15" s="41" t="s">
        <v>30</v>
      </c>
      <c r="D15" s="50">
        <v>70</v>
      </c>
      <c r="E15" s="33">
        <v>-180.52631578947367</v>
      </c>
      <c r="F15" s="95">
        <v>-12636.842105263157</v>
      </c>
      <c r="G15" s="39"/>
      <c r="H15" s="35"/>
      <c r="I15" s="36">
        <f t="shared" si="2"/>
        <v>0</v>
      </c>
      <c r="J15" s="37"/>
      <c r="K15" s="38">
        <f t="shared" si="3"/>
        <v>0</v>
      </c>
      <c r="L15" s="37"/>
      <c r="M15" s="38">
        <f t="shared" si="4"/>
        <v>0</v>
      </c>
      <c r="N15" s="39"/>
      <c r="O15" s="35"/>
      <c r="P15" s="36">
        <f t="shared" si="5"/>
        <v>0</v>
      </c>
      <c r="Q15" s="37"/>
      <c r="R15" s="38">
        <f t="shared" si="6"/>
        <v>0</v>
      </c>
      <c r="S15" s="37"/>
      <c r="T15" s="38">
        <f t="shared" si="7"/>
        <v>0</v>
      </c>
      <c r="U15" s="39"/>
      <c r="V15" s="35"/>
      <c r="W15" s="36">
        <f t="shared" si="8"/>
        <v>0</v>
      </c>
      <c r="X15" s="37"/>
      <c r="Y15" s="38">
        <f t="shared" si="9"/>
        <v>0</v>
      </c>
      <c r="Z15" s="37"/>
      <c r="AA15" s="38">
        <f t="shared" si="10"/>
        <v>0</v>
      </c>
      <c r="AB15" s="39"/>
      <c r="AC15" s="35">
        <v>0.95</v>
      </c>
      <c r="AD15" s="36">
        <f t="shared" si="11"/>
        <v>-12004.999999999998</v>
      </c>
      <c r="AE15" s="37">
        <v>0.5</v>
      </c>
      <c r="AF15" s="38">
        <f t="shared" si="12"/>
        <v>-6002.4999999999991</v>
      </c>
      <c r="AG15" s="37">
        <v>0.5</v>
      </c>
      <c r="AH15" s="38">
        <f t="shared" si="13"/>
        <v>-6002.4999999999991</v>
      </c>
      <c r="AI15" s="39"/>
      <c r="AJ15" s="35"/>
      <c r="AK15" s="36">
        <f t="shared" si="14"/>
        <v>0</v>
      </c>
      <c r="AL15" s="37"/>
      <c r="AM15" s="38">
        <f t="shared" si="15"/>
        <v>0</v>
      </c>
      <c r="AN15" s="37"/>
      <c r="AO15" s="38">
        <f t="shared" si="16"/>
        <v>0</v>
      </c>
      <c r="AP15" s="39"/>
      <c r="AQ15" s="35">
        <v>0.05</v>
      </c>
      <c r="AR15" s="36">
        <f t="shared" si="17"/>
        <v>-631.84210526315792</v>
      </c>
      <c r="AS15" s="37">
        <v>0.5</v>
      </c>
      <c r="AT15" s="38">
        <f t="shared" si="18"/>
        <v>-315.92105263157896</v>
      </c>
      <c r="AU15" s="37">
        <v>0.5</v>
      </c>
      <c r="AV15" s="38">
        <f t="shared" si="19"/>
        <v>-315.92105263157896</v>
      </c>
      <c r="AW15" s="39"/>
      <c r="AX15" s="35"/>
      <c r="AY15" s="36">
        <f t="shared" si="20"/>
        <v>0</v>
      </c>
      <c r="AZ15" s="37"/>
      <c r="BA15" s="38">
        <f t="shared" si="21"/>
        <v>0</v>
      </c>
      <c r="BB15" s="37"/>
      <c r="BC15" s="38">
        <f t="shared" si="22"/>
        <v>0</v>
      </c>
      <c r="BD15" s="39"/>
      <c r="BE15" s="35"/>
      <c r="BF15" s="36">
        <f t="shared" si="23"/>
        <v>0</v>
      </c>
      <c r="BG15" s="37"/>
      <c r="BH15" s="38">
        <f t="shared" si="24"/>
        <v>0</v>
      </c>
      <c r="BI15" s="37"/>
      <c r="BJ15" s="38">
        <f t="shared" si="25"/>
        <v>0</v>
      </c>
      <c r="BK15" s="40">
        <f t="shared" si="0"/>
        <v>-12636.842105263157</v>
      </c>
      <c r="BL15" s="40">
        <f t="shared" si="1"/>
        <v>-12636.842105263157</v>
      </c>
      <c r="BM15" s="40">
        <f t="shared" si="26"/>
        <v>-12636.842105263157</v>
      </c>
      <c r="BN15" s="15">
        <f t="shared" si="27"/>
        <v>0</v>
      </c>
    </row>
    <row r="16" spans="1:66" x14ac:dyDescent="0.25">
      <c r="B16" s="49" t="s">
        <v>33</v>
      </c>
      <c r="C16" s="51" t="s">
        <v>30</v>
      </c>
      <c r="D16" s="50">
        <v>25</v>
      </c>
      <c r="E16" s="33">
        <v>100</v>
      </c>
      <c r="F16" s="95">
        <v>2500</v>
      </c>
      <c r="G16" s="52"/>
      <c r="H16" s="35"/>
      <c r="I16" s="36">
        <f t="shared" si="2"/>
        <v>0</v>
      </c>
      <c r="J16" s="37"/>
      <c r="K16" s="38">
        <f t="shared" si="3"/>
        <v>0</v>
      </c>
      <c r="L16" s="37"/>
      <c r="M16" s="38">
        <f t="shared" si="4"/>
        <v>0</v>
      </c>
      <c r="N16" s="52"/>
      <c r="O16" s="53">
        <v>0.14285714285714288</v>
      </c>
      <c r="P16" s="36">
        <f t="shared" si="5"/>
        <v>357.14285714285717</v>
      </c>
      <c r="Q16" s="54">
        <v>0.5</v>
      </c>
      <c r="R16" s="38">
        <f t="shared" si="6"/>
        <v>178.57142857142858</v>
      </c>
      <c r="S16" s="54">
        <v>0.5</v>
      </c>
      <c r="T16" s="38">
        <f t="shared" si="7"/>
        <v>178.57142857142858</v>
      </c>
      <c r="U16" s="52"/>
      <c r="V16" s="53">
        <v>0.14285714285714288</v>
      </c>
      <c r="W16" s="36">
        <f t="shared" si="8"/>
        <v>357.14285714285717</v>
      </c>
      <c r="X16" s="54">
        <v>0.5</v>
      </c>
      <c r="Y16" s="38">
        <f t="shared" si="9"/>
        <v>178.57142857142858</v>
      </c>
      <c r="Z16" s="54">
        <v>0.5</v>
      </c>
      <c r="AA16" s="38">
        <f t="shared" si="10"/>
        <v>178.57142857142858</v>
      </c>
      <c r="AB16" s="52"/>
      <c r="AC16" s="53">
        <v>0.14285714285714288</v>
      </c>
      <c r="AD16" s="36">
        <f t="shared" si="11"/>
        <v>357.14285714285717</v>
      </c>
      <c r="AE16" s="54">
        <v>0.5</v>
      </c>
      <c r="AF16" s="38">
        <f t="shared" si="12"/>
        <v>178.57142857142858</v>
      </c>
      <c r="AG16" s="54">
        <v>0.5</v>
      </c>
      <c r="AH16" s="38">
        <f t="shared" si="13"/>
        <v>178.57142857142858</v>
      </c>
      <c r="AI16" s="52"/>
      <c r="AJ16" s="53">
        <v>0.14285714285714288</v>
      </c>
      <c r="AK16" s="36">
        <f t="shared" si="14"/>
        <v>357.14285714285717</v>
      </c>
      <c r="AL16" s="54">
        <v>0.5</v>
      </c>
      <c r="AM16" s="38">
        <f t="shared" si="15"/>
        <v>178.57142857142858</v>
      </c>
      <c r="AN16" s="54">
        <v>0.5</v>
      </c>
      <c r="AO16" s="38">
        <f t="shared" si="16"/>
        <v>178.57142857142858</v>
      </c>
      <c r="AP16" s="52"/>
      <c r="AQ16" s="53">
        <v>0.14285714285714288</v>
      </c>
      <c r="AR16" s="36">
        <f t="shared" si="17"/>
        <v>357.14285714285717</v>
      </c>
      <c r="AS16" s="54">
        <v>0.5</v>
      </c>
      <c r="AT16" s="38">
        <f t="shared" si="18"/>
        <v>178.57142857142858</v>
      </c>
      <c r="AU16" s="54">
        <v>0.5</v>
      </c>
      <c r="AV16" s="38">
        <f t="shared" si="19"/>
        <v>178.57142857142858</v>
      </c>
      <c r="AW16" s="52"/>
      <c r="AX16" s="53">
        <v>0.14285714285714288</v>
      </c>
      <c r="AY16" s="36">
        <f t="shared" si="20"/>
        <v>357.14285714285717</v>
      </c>
      <c r="AZ16" s="54">
        <v>0.5</v>
      </c>
      <c r="BA16" s="38">
        <f t="shared" si="21"/>
        <v>178.57142857142858</v>
      </c>
      <c r="BB16" s="54">
        <v>0.5</v>
      </c>
      <c r="BC16" s="38">
        <f t="shared" si="22"/>
        <v>178.57142857142858</v>
      </c>
      <c r="BD16" s="52"/>
      <c r="BE16" s="53">
        <v>0.14285714285714288</v>
      </c>
      <c r="BF16" s="36">
        <f t="shared" si="23"/>
        <v>357.14285714285717</v>
      </c>
      <c r="BG16" s="54">
        <v>0.5</v>
      </c>
      <c r="BH16" s="38">
        <f t="shared" si="24"/>
        <v>178.57142857142858</v>
      </c>
      <c r="BI16" s="54">
        <v>0.5</v>
      </c>
      <c r="BJ16" s="38">
        <f t="shared" si="25"/>
        <v>178.57142857142858</v>
      </c>
      <c r="BK16" s="40">
        <f t="shared" si="0"/>
        <v>2500</v>
      </c>
      <c r="BL16" s="40">
        <f t="shared" si="1"/>
        <v>2500.0000000000005</v>
      </c>
      <c r="BM16" s="40">
        <f t="shared" si="26"/>
        <v>2500.0000000000005</v>
      </c>
      <c r="BN16" s="15">
        <f t="shared" si="27"/>
        <v>0</v>
      </c>
    </row>
    <row r="17" spans="1:66" x14ac:dyDescent="0.25">
      <c r="B17" s="45" t="s">
        <v>119</v>
      </c>
      <c r="C17" s="51" t="s">
        <v>30</v>
      </c>
      <c r="D17" s="50">
        <v>4</v>
      </c>
      <c r="E17" s="33">
        <v>-660</v>
      </c>
      <c r="F17" s="95">
        <v>-2640</v>
      </c>
      <c r="G17" s="52"/>
      <c r="H17" s="35"/>
      <c r="I17" s="36">
        <f t="shared" si="2"/>
        <v>0</v>
      </c>
      <c r="J17" s="37"/>
      <c r="K17" s="38">
        <f t="shared" si="3"/>
        <v>0</v>
      </c>
      <c r="L17" s="37"/>
      <c r="M17" s="38">
        <f t="shared" si="4"/>
        <v>0</v>
      </c>
      <c r="N17" s="52"/>
      <c r="O17" s="53"/>
      <c r="P17" s="36">
        <f t="shared" si="5"/>
        <v>0</v>
      </c>
      <c r="Q17" s="54"/>
      <c r="R17" s="38">
        <f t="shared" si="6"/>
        <v>0</v>
      </c>
      <c r="S17" s="54"/>
      <c r="T17" s="38">
        <f t="shared" si="7"/>
        <v>0</v>
      </c>
      <c r="U17" s="52"/>
      <c r="V17" s="53"/>
      <c r="W17" s="36">
        <f t="shared" si="8"/>
        <v>0</v>
      </c>
      <c r="X17" s="54"/>
      <c r="Y17" s="38">
        <f t="shared" si="9"/>
        <v>0</v>
      </c>
      <c r="Z17" s="54"/>
      <c r="AA17" s="38">
        <f t="shared" si="10"/>
        <v>0</v>
      </c>
      <c r="AB17" s="52"/>
      <c r="AC17" s="53"/>
      <c r="AD17" s="36">
        <f t="shared" si="11"/>
        <v>0</v>
      </c>
      <c r="AE17" s="54"/>
      <c r="AF17" s="38">
        <f t="shared" si="12"/>
        <v>0</v>
      </c>
      <c r="AG17" s="54"/>
      <c r="AH17" s="38">
        <f t="shared" si="13"/>
        <v>0</v>
      </c>
      <c r="AI17" s="52"/>
      <c r="AJ17" s="53"/>
      <c r="AK17" s="36">
        <f t="shared" si="14"/>
        <v>0</v>
      </c>
      <c r="AL17" s="54"/>
      <c r="AM17" s="38">
        <f t="shared" si="15"/>
        <v>0</v>
      </c>
      <c r="AN17" s="54"/>
      <c r="AO17" s="38">
        <f t="shared" si="16"/>
        <v>0</v>
      </c>
      <c r="AP17" s="52"/>
      <c r="AQ17" s="53">
        <v>1</v>
      </c>
      <c r="AR17" s="36">
        <f t="shared" si="17"/>
        <v>-2640</v>
      </c>
      <c r="AS17" s="54">
        <v>0.5</v>
      </c>
      <c r="AT17" s="38">
        <f t="shared" si="18"/>
        <v>-1320</v>
      </c>
      <c r="AU17" s="54">
        <v>0.5</v>
      </c>
      <c r="AV17" s="38">
        <f t="shared" si="19"/>
        <v>-1320</v>
      </c>
      <c r="AW17" s="52"/>
      <c r="AX17" s="53"/>
      <c r="AY17" s="36">
        <f t="shared" si="20"/>
        <v>0</v>
      </c>
      <c r="AZ17" s="54"/>
      <c r="BA17" s="38">
        <f t="shared" si="21"/>
        <v>0</v>
      </c>
      <c r="BB17" s="54"/>
      <c r="BC17" s="38">
        <f t="shared" si="22"/>
        <v>0</v>
      </c>
      <c r="BD17" s="52"/>
      <c r="BE17" s="53"/>
      <c r="BF17" s="36">
        <f t="shared" si="23"/>
        <v>0</v>
      </c>
      <c r="BG17" s="54"/>
      <c r="BH17" s="38">
        <f t="shared" si="24"/>
        <v>0</v>
      </c>
      <c r="BI17" s="54"/>
      <c r="BJ17" s="38">
        <f t="shared" si="25"/>
        <v>0</v>
      </c>
      <c r="BK17" s="40">
        <f t="shared" si="0"/>
        <v>-2640</v>
      </c>
      <c r="BL17" s="40">
        <f t="shared" si="1"/>
        <v>-2640</v>
      </c>
      <c r="BM17" s="40">
        <f t="shared" si="26"/>
        <v>-2640</v>
      </c>
      <c r="BN17" s="15">
        <f t="shared" si="27"/>
        <v>0</v>
      </c>
    </row>
    <row r="18" spans="1:66" x14ac:dyDescent="0.25">
      <c r="B18" s="45" t="s">
        <v>32</v>
      </c>
      <c r="C18" s="51" t="s">
        <v>31</v>
      </c>
      <c r="D18" s="103">
        <v>5950</v>
      </c>
      <c r="E18" s="46">
        <v>-0.37018461538461545</v>
      </c>
      <c r="F18" s="95">
        <v>-2202.5984615384618</v>
      </c>
      <c r="G18" s="52"/>
      <c r="H18" s="35"/>
      <c r="I18" s="36">
        <f t="shared" si="2"/>
        <v>0</v>
      </c>
      <c r="J18" s="37"/>
      <c r="K18" s="38">
        <f t="shared" si="3"/>
        <v>0</v>
      </c>
      <c r="L18" s="37"/>
      <c r="M18" s="38">
        <f t="shared" si="4"/>
        <v>0</v>
      </c>
      <c r="N18" s="52"/>
      <c r="O18" s="53"/>
      <c r="P18" s="36">
        <f t="shared" si="5"/>
        <v>0</v>
      </c>
      <c r="Q18" s="54"/>
      <c r="R18" s="38">
        <f t="shared" si="6"/>
        <v>0</v>
      </c>
      <c r="S18" s="54"/>
      <c r="T18" s="38">
        <f t="shared" si="7"/>
        <v>0</v>
      </c>
      <c r="U18" s="52"/>
      <c r="V18" s="53"/>
      <c r="W18" s="36">
        <f t="shared" si="8"/>
        <v>0</v>
      </c>
      <c r="X18" s="54"/>
      <c r="Y18" s="38">
        <f t="shared" si="9"/>
        <v>0</v>
      </c>
      <c r="Z18" s="54"/>
      <c r="AA18" s="38">
        <f t="shared" si="10"/>
        <v>0</v>
      </c>
      <c r="AB18" s="52"/>
      <c r="AC18" s="53">
        <v>0.2</v>
      </c>
      <c r="AD18" s="36">
        <f t="shared" si="11"/>
        <v>-440.51969230769237</v>
      </c>
      <c r="AE18" s="54">
        <v>0.5</v>
      </c>
      <c r="AF18" s="38">
        <f t="shared" si="12"/>
        <v>-220.25984615384618</v>
      </c>
      <c r="AG18" s="54">
        <v>0.5</v>
      </c>
      <c r="AH18" s="38">
        <f t="shared" si="13"/>
        <v>-220.25984615384618</v>
      </c>
      <c r="AI18" s="52"/>
      <c r="AJ18" s="53"/>
      <c r="AK18" s="36">
        <f t="shared" si="14"/>
        <v>0</v>
      </c>
      <c r="AL18" s="54"/>
      <c r="AM18" s="38">
        <f t="shared" si="15"/>
        <v>0</v>
      </c>
      <c r="AN18" s="54"/>
      <c r="AO18" s="38">
        <f t="shared" si="16"/>
        <v>0</v>
      </c>
      <c r="AP18" s="52"/>
      <c r="AQ18" s="53">
        <v>0.8</v>
      </c>
      <c r="AR18" s="36">
        <f t="shared" si="17"/>
        <v>-1762.0787692307695</v>
      </c>
      <c r="AS18" s="54">
        <v>0.5</v>
      </c>
      <c r="AT18" s="38">
        <f t="shared" si="18"/>
        <v>-881.03938461538473</v>
      </c>
      <c r="AU18" s="54">
        <v>0.5</v>
      </c>
      <c r="AV18" s="38">
        <f t="shared" si="19"/>
        <v>-881.03938461538473</v>
      </c>
      <c r="AW18" s="52"/>
      <c r="AX18" s="53"/>
      <c r="AY18" s="36">
        <f t="shared" si="20"/>
        <v>0</v>
      </c>
      <c r="AZ18" s="54"/>
      <c r="BA18" s="38">
        <f t="shared" si="21"/>
        <v>0</v>
      </c>
      <c r="BB18" s="54"/>
      <c r="BC18" s="38">
        <f t="shared" si="22"/>
        <v>0</v>
      </c>
      <c r="BD18" s="52"/>
      <c r="BE18" s="53"/>
      <c r="BF18" s="36">
        <f t="shared" si="23"/>
        <v>0</v>
      </c>
      <c r="BG18" s="54"/>
      <c r="BH18" s="38">
        <f t="shared" si="24"/>
        <v>0</v>
      </c>
      <c r="BI18" s="54"/>
      <c r="BJ18" s="38">
        <f t="shared" si="25"/>
        <v>0</v>
      </c>
      <c r="BK18" s="40">
        <f t="shared" si="0"/>
        <v>-2202.5984615384618</v>
      </c>
      <c r="BL18" s="40">
        <f t="shared" si="1"/>
        <v>-2202.5984615384618</v>
      </c>
      <c r="BM18" s="40">
        <f t="shared" si="26"/>
        <v>-2202.5984615384618</v>
      </c>
      <c r="BN18" s="15">
        <f t="shared" si="27"/>
        <v>0</v>
      </c>
    </row>
    <row r="19" spans="1:66" x14ac:dyDescent="0.25">
      <c r="B19" s="43"/>
      <c r="C19" s="51"/>
      <c r="D19" s="50"/>
      <c r="E19" s="33"/>
      <c r="F19" s="95">
        <v>0</v>
      </c>
      <c r="G19" s="52"/>
      <c r="H19" s="35"/>
      <c r="I19" s="36">
        <f t="shared" si="2"/>
        <v>0</v>
      </c>
      <c r="J19" s="37"/>
      <c r="K19" s="38">
        <f t="shared" si="3"/>
        <v>0</v>
      </c>
      <c r="L19" s="37"/>
      <c r="M19" s="38">
        <f t="shared" si="4"/>
        <v>0</v>
      </c>
      <c r="N19" s="52"/>
      <c r="O19" s="53"/>
      <c r="P19" s="36">
        <f t="shared" si="5"/>
        <v>0</v>
      </c>
      <c r="Q19" s="54"/>
      <c r="R19" s="38">
        <f t="shared" si="6"/>
        <v>0</v>
      </c>
      <c r="S19" s="54"/>
      <c r="T19" s="38">
        <f t="shared" si="7"/>
        <v>0</v>
      </c>
      <c r="U19" s="52"/>
      <c r="V19" s="53"/>
      <c r="W19" s="36">
        <f t="shared" si="8"/>
        <v>0</v>
      </c>
      <c r="X19" s="54"/>
      <c r="Y19" s="38">
        <f t="shared" si="9"/>
        <v>0</v>
      </c>
      <c r="Z19" s="54"/>
      <c r="AA19" s="38">
        <f t="shared" si="10"/>
        <v>0</v>
      </c>
      <c r="AB19" s="52"/>
      <c r="AC19" s="53"/>
      <c r="AD19" s="36">
        <f t="shared" si="11"/>
        <v>0</v>
      </c>
      <c r="AE19" s="54"/>
      <c r="AF19" s="38">
        <f t="shared" si="12"/>
        <v>0</v>
      </c>
      <c r="AG19" s="54"/>
      <c r="AH19" s="38">
        <f t="shared" si="13"/>
        <v>0</v>
      </c>
      <c r="AI19" s="52"/>
      <c r="AJ19" s="53"/>
      <c r="AK19" s="36">
        <f t="shared" si="14"/>
        <v>0</v>
      </c>
      <c r="AL19" s="54"/>
      <c r="AM19" s="38">
        <f t="shared" si="15"/>
        <v>0</v>
      </c>
      <c r="AN19" s="54"/>
      <c r="AO19" s="38">
        <f t="shared" si="16"/>
        <v>0</v>
      </c>
      <c r="AP19" s="52"/>
      <c r="AQ19" s="53"/>
      <c r="AR19" s="36">
        <f t="shared" si="17"/>
        <v>0</v>
      </c>
      <c r="AS19" s="54"/>
      <c r="AT19" s="38">
        <f t="shared" si="18"/>
        <v>0</v>
      </c>
      <c r="AU19" s="54"/>
      <c r="AV19" s="38">
        <f t="shared" si="19"/>
        <v>0</v>
      </c>
      <c r="AW19" s="52"/>
      <c r="AX19" s="53"/>
      <c r="AY19" s="36">
        <f t="shared" si="20"/>
        <v>0</v>
      </c>
      <c r="AZ19" s="54"/>
      <c r="BA19" s="38">
        <f t="shared" si="21"/>
        <v>0</v>
      </c>
      <c r="BB19" s="54"/>
      <c r="BC19" s="38">
        <f t="shared" si="22"/>
        <v>0</v>
      </c>
      <c r="BD19" s="52"/>
      <c r="BE19" s="53"/>
      <c r="BF19" s="36">
        <f t="shared" si="23"/>
        <v>0</v>
      </c>
      <c r="BG19" s="54"/>
      <c r="BH19" s="38">
        <f t="shared" si="24"/>
        <v>0</v>
      </c>
      <c r="BI19" s="54"/>
      <c r="BJ19" s="38">
        <f t="shared" si="25"/>
        <v>0</v>
      </c>
      <c r="BK19" s="40">
        <f t="shared" si="0"/>
        <v>0</v>
      </c>
      <c r="BL19" s="40">
        <f t="shared" si="1"/>
        <v>0</v>
      </c>
      <c r="BM19" s="40">
        <f t="shared" si="26"/>
        <v>0</v>
      </c>
      <c r="BN19" s="15">
        <f t="shared" si="27"/>
        <v>0</v>
      </c>
    </row>
    <row r="20" spans="1:66" x14ac:dyDescent="0.25">
      <c r="A20" s="1" t="s">
        <v>37</v>
      </c>
      <c r="B20" s="43"/>
      <c r="C20" s="51"/>
      <c r="D20" s="50"/>
      <c r="E20" s="33"/>
      <c r="F20" s="95">
        <v>0</v>
      </c>
      <c r="G20" s="52"/>
      <c r="H20" s="35"/>
      <c r="I20" s="36">
        <f t="shared" si="2"/>
        <v>0</v>
      </c>
      <c r="J20" s="37"/>
      <c r="K20" s="38">
        <f t="shared" si="3"/>
        <v>0</v>
      </c>
      <c r="L20" s="37"/>
      <c r="M20" s="38">
        <f t="shared" si="4"/>
        <v>0</v>
      </c>
      <c r="N20" s="52"/>
      <c r="O20" s="53"/>
      <c r="P20" s="36">
        <f t="shared" si="5"/>
        <v>0</v>
      </c>
      <c r="Q20" s="54"/>
      <c r="R20" s="38">
        <f t="shared" si="6"/>
        <v>0</v>
      </c>
      <c r="S20" s="54"/>
      <c r="T20" s="38">
        <f t="shared" si="7"/>
        <v>0</v>
      </c>
      <c r="U20" s="52"/>
      <c r="V20" s="53"/>
      <c r="W20" s="36">
        <f t="shared" si="8"/>
        <v>0</v>
      </c>
      <c r="X20" s="54"/>
      <c r="Y20" s="38">
        <f t="shared" si="9"/>
        <v>0</v>
      </c>
      <c r="Z20" s="54"/>
      <c r="AA20" s="38">
        <f t="shared" si="10"/>
        <v>0</v>
      </c>
      <c r="AB20" s="52"/>
      <c r="AC20" s="53"/>
      <c r="AD20" s="36">
        <f t="shared" si="11"/>
        <v>0</v>
      </c>
      <c r="AE20" s="54"/>
      <c r="AF20" s="38">
        <f t="shared" si="12"/>
        <v>0</v>
      </c>
      <c r="AG20" s="54"/>
      <c r="AH20" s="38">
        <f t="shared" si="13"/>
        <v>0</v>
      </c>
      <c r="AI20" s="52"/>
      <c r="AJ20" s="53"/>
      <c r="AK20" s="36">
        <f t="shared" si="14"/>
        <v>0</v>
      </c>
      <c r="AL20" s="54"/>
      <c r="AM20" s="38">
        <f t="shared" si="15"/>
        <v>0</v>
      </c>
      <c r="AN20" s="54"/>
      <c r="AO20" s="38">
        <f t="shared" si="16"/>
        <v>0</v>
      </c>
      <c r="AP20" s="52"/>
      <c r="AQ20" s="53"/>
      <c r="AR20" s="36">
        <f t="shared" si="17"/>
        <v>0</v>
      </c>
      <c r="AS20" s="54"/>
      <c r="AT20" s="38">
        <f t="shared" si="18"/>
        <v>0</v>
      </c>
      <c r="AU20" s="54"/>
      <c r="AV20" s="38">
        <f t="shared" si="19"/>
        <v>0</v>
      </c>
      <c r="AW20" s="52"/>
      <c r="AX20" s="53"/>
      <c r="AY20" s="36">
        <f t="shared" si="20"/>
        <v>0</v>
      </c>
      <c r="AZ20" s="54"/>
      <c r="BA20" s="38">
        <f t="shared" si="21"/>
        <v>0</v>
      </c>
      <c r="BB20" s="54"/>
      <c r="BC20" s="38">
        <f t="shared" si="22"/>
        <v>0</v>
      </c>
      <c r="BD20" s="52"/>
      <c r="BE20" s="53"/>
      <c r="BF20" s="36">
        <f t="shared" si="23"/>
        <v>0</v>
      </c>
      <c r="BG20" s="54"/>
      <c r="BH20" s="38">
        <f t="shared" si="24"/>
        <v>0</v>
      </c>
      <c r="BI20" s="54"/>
      <c r="BJ20" s="38">
        <f t="shared" si="25"/>
        <v>0</v>
      </c>
      <c r="BK20" s="40">
        <f t="shared" si="0"/>
        <v>0</v>
      </c>
      <c r="BL20" s="40">
        <f t="shared" si="1"/>
        <v>0</v>
      </c>
      <c r="BM20" s="40">
        <f t="shared" si="26"/>
        <v>0</v>
      </c>
      <c r="BN20" s="15">
        <f t="shared" si="27"/>
        <v>0</v>
      </c>
    </row>
    <row r="21" spans="1:66" x14ac:dyDescent="0.25">
      <c r="B21" s="43" t="s">
        <v>38</v>
      </c>
      <c r="C21" s="51" t="s">
        <v>30</v>
      </c>
      <c r="D21" s="50">
        <v>7</v>
      </c>
      <c r="E21" s="33">
        <v>650</v>
      </c>
      <c r="F21" s="95">
        <v>4550</v>
      </c>
      <c r="G21" s="52"/>
      <c r="H21" s="35"/>
      <c r="I21" s="36">
        <f t="shared" si="2"/>
        <v>0</v>
      </c>
      <c r="J21" s="37"/>
      <c r="K21" s="38">
        <f t="shared" si="3"/>
        <v>0</v>
      </c>
      <c r="L21" s="37"/>
      <c r="M21" s="38">
        <f t="shared" si="4"/>
        <v>0</v>
      </c>
      <c r="N21" s="52"/>
      <c r="O21" s="53"/>
      <c r="P21" s="36">
        <f t="shared" si="5"/>
        <v>0</v>
      </c>
      <c r="Q21" s="54"/>
      <c r="R21" s="38">
        <f t="shared" si="6"/>
        <v>0</v>
      </c>
      <c r="S21" s="54"/>
      <c r="T21" s="38">
        <f t="shared" si="7"/>
        <v>0</v>
      </c>
      <c r="U21" s="52"/>
      <c r="V21" s="53">
        <v>0.6</v>
      </c>
      <c r="W21" s="36">
        <f t="shared" si="8"/>
        <v>2730</v>
      </c>
      <c r="X21" s="54">
        <v>0.5</v>
      </c>
      <c r="Y21" s="38">
        <f t="shared" si="9"/>
        <v>1365</v>
      </c>
      <c r="Z21" s="54">
        <v>0.5</v>
      </c>
      <c r="AA21" s="38">
        <f t="shared" si="10"/>
        <v>1365</v>
      </c>
      <c r="AB21" s="52"/>
      <c r="AC21" s="53">
        <v>0.2</v>
      </c>
      <c r="AD21" s="36">
        <f t="shared" si="11"/>
        <v>910</v>
      </c>
      <c r="AE21" s="54">
        <v>0.5</v>
      </c>
      <c r="AF21" s="38">
        <f t="shared" si="12"/>
        <v>455</v>
      </c>
      <c r="AG21" s="54">
        <v>0.5</v>
      </c>
      <c r="AH21" s="38">
        <f t="shared" si="13"/>
        <v>455</v>
      </c>
      <c r="AI21" s="52"/>
      <c r="AJ21" s="53">
        <v>0.15</v>
      </c>
      <c r="AK21" s="36">
        <f t="shared" si="14"/>
        <v>682.5</v>
      </c>
      <c r="AL21" s="54">
        <v>0.5</v>
      </c>
      <c r="AM21" s="38">
        <f t="shared" si="15"/>
        <v>341.25</v>
      </c>
      <c r="AN21" s="54">
        <v>0.5</v>
      </c>
      <c r="AO21" s="38">
        <f t="shared" si="16"/>
        <v>341.25</v>
      </c>
      <c r="AP21" s="52"/>
      <c r="AQ21" s="53">
        <v>0.05</v>
      </c>
      <c r="AR21" s="36">
        <f t="shared" si="17"/>
        <v>227.5</v>
      </c>
      <c r="AS21" s="54">
        <v>0.5</v>
      </c>
      <c r="AT21" s="38">
        <f t="shared" si="18"/>
        <v>113.75</v>
      </c>
      <c r="AU21" s="54">
        <v>0.5</v>
      </c>
      <c r="AV21" s="38">
        <f t="shared" si="19"/>
        <v>113.75</v>
      </c>
      <c r="AW21" s="52"/>
      <c r="AX21" s="53"/>
      <c r="AY21" s="36">
        <f t="shared" si="20"/>
        <v>0</v>
      </c>
      <c r="AZ21" s="54"/>
      <c r="BA21" s="38">
        <f t="shared" si="21"/>
        <v>0</v>
      </c>
      <c r="BB21" s="54"/>
      <c r="BC21" s="38">
        <f t="shared" si="22"/>
        <v>0</v>
      </c>
      <c r="BD21" s="52"/>
      <c r="BE21" s="53"/>
      <c r="BF21" s="36">
        <f t="shared" si="23"/>
        <v>0</v>
      </c>
      <c r="BG21" s="54"/>
      <c r="BH21" s="38">
        <f t="shared" si="24"/>
        <v>0</v>
      </c>
      <c r="BI21" s="54"/>
      <c r="BJ21" s="38">
        <f t="shared" si="25"/>
        <v>0</v>
      </c>
      <c r="BK21" s="40">
        <f t="shared" si="0"/>
        <v>4550</v>
      </c>
      <c r="BL21" s="40">
        <f t="shared" si="1"/>
        <v>4550</v>
      </c>
      <c r="BM21" s="40">
        <f t="shared" si="26"/>
        <v>4550</v>
      </c>
      <c r="BN21" s="15">
        <f t="shared" si="27"/>
        <v>0</v>
      </c>
    </row>
    <row r="22" spans="1:66" x14ac:dyDescent="0.25">
      <c r="B22" s="43" t="s">
        <v>39</v>
      </c>
      <c r="C22" s="51" t="s">
        <v>30</v>
      </c>
      <c r="D22" s="50">
        <v>7</v>
      </c>
      <c r="E22" s="33">
        <v>-180.52631578947367</v>
      </c>
      <c r="F22" s="95">
        <v>-1263.6842105263156</v>
      </c>
      <c r="G22" s="52"/>
      <c r="H22" s="35"/>
      <c r="I22" s="36">
        <f t="shared" si="2"/>
        <v>0</v>
      </c>
      <c r="J22" s="37"/>
      <c r="K22" s="38">
        <f t="shared" si="3"/>
        <v>0</v>
      </c>
      <c r="L22" s="37"/>
      <c r="M22" s="38">
        <f t="shared" si="4"/>
        <v>0</v>
      </c>
      <c r="N22" s="52"/>
      <c r="O22" s="53"/>
      <c r="P22" s="36">
        <f t="shared" si="5"/>
        <v>0</v>
      </c>
      <c r="Q22" s="54"/>
      <c r="R22" s="38">
        <f t="shared" si="6"/>
        <v>0</v>
      </c>
      <c r="S22" s="54"/>
      <c r="T22" s="38">
        <f t="shared" si="7"/>
        <v>0</v>
      </c>
      <c r="U22" s="52"/>
      <c r="V22" s="53">
        <v>0.6</v>
      </c>
      <c r="W22" s="36">
        <f t="shared" si="8"/>
        <v>-758.21052631578937</v>
      </c>
      <c r="X22" s="54">
        <v>0.5</v>
      </c>
      <c r="Y22" s="38">
        <f t="shared" si="9"/>
        <v>-379.10526315789468</v>
      </c>
      <c r="Z22" s="54">
        <v>0.5</v>
      </c>
      <c r="AA22" s="38">
        <f t="shared" si="10"/>
        <v>-379.10526315789468</v>
      </c>
      <c r="AB22" s="52"/>
      <c r="AC22" s="53">
        <v>0.25</v>
      </c>
      <c r="AD22" s="36">
        <f t="shared" si="11"/>
        <v>-315.9210526315789</v>
      </c>
      <c r="AE22" s="54">
        <v>0.5</v>
      </c>
      <c r="AF22" s="38">
        <f t="shared" si="12"/>
        <v>-157.96052631578945</v>
      </c>
      <c r="AG22" s="54">
        <v>0.5</v>
      </c>
      <c r="AH22" s="38">
        <f t="shared" si="13"/>
        <v>-157.96052631578945</v>
      </c>
      <c r="AI22" s="52"/>
      <c r="AJ22" s="53">
        <v>0.15</v>
      </c>
      <c r="AK22" s="36">
        <f t="shared" si="14"/>
        <v>-189.55263157894734</v>
      </c>
      <c r="AL22" s="54">
        <v>0.5</v>
      </c>
      <c r="AM22" s="38">
        <f t="shared" si="15"/>
        <v>-94.776315789473671</v>
      </c>
      <c r="AN22" s="54">
        <v>0.5</v>
      </c>
      <c r="AO22" s="38">
        <f t="shared" si="16"/>
        <v>-94.776315789473671</v>
      </c>
      <c r="AP22" s="52"/>
      <c r="AQ22" s="53"/>
      <c r="AR22" s="36">
        <f t="shared" si="17"/>
        <v>0</v>
      </c>
      <c r="AS22" s="54"/>
      <c r="AT22" s="38">
        <f t="shared" si="18"/>
        <v>0</v>
      </c>
      <c r="AU22" s="54"/>
      <c r="AV22" s="38">
        <f t="shared" si="19"/>
        <v>0</v>
      </c>
      <c r="AW22" s="52"/>
      <c r="AX22" s="53"/>
      <c r="AY22" s="36">
        <f t="shared" si="20"/>
        <v>0</v>
      </c>
      <c r="AZ22" s="54"/>
      <c r="BA22" s="38">
        <f t="shared" si="21"/>
        <v>0</v>
      </c>
      <c r="BB22" s="54"/>
      <c r="BC22" s="38">
        <f t="shared" si="22"/>
        <v>0</v>
      </c>
      <c r="BD22" s="52"/>
      <c r="BE22" s="53"/>
      <c r="BF22" s="36">
        <f t="shared" si="23"/>
        <v>0</v>
      </c>
      <c r="BG22" s="54"/>
      <c r="BH22" s="38">
        <f t="shared" si="24"/>
        <v>0</v>
      </c>
      <c r="BI22" s="54"/>
      <c r="BJ22" s="38">
        <f t="shared" si="25"/>
        <v>0</v>
      </c>
      <c r="BK22" s="40">
        <f t="shared" si="0"/>
        <v>-1263.6842105263156</v>
      </c>
      <c r="BL22" s="40">
        <f t="shared" si="1"/>
        <v>-1263.6842105263156</v>
      </c>
      <c r="BM22" s="40">
        <f t="shared" si="26"/>
        <v>-1263.6842105263156</v>
      </c>
      <c r="BN22" s="15">
        <f t="shared" si="27"/>
        <v>0</v>
      </c>
    </row>
    <row r="23" spans="1:66" x14ac:dyDescent="0.25">
      <c r="B23" s="49" t="s">
        <v>33</v>
      </c>
      <c r="C23" s="51" t="s">
        <v>30</v>
      </c>
      <c r="D23" s="50">
        <v>5</v>
      </c>
      <c r="E23" s="33">
        <v>100</v>
      </c>
      <c r="F23" s="95">
        <v>500</v>
      </c>
      <c r="G23" s="52"/>
      <c r="H23" s="35"/>
      <c r="I23" s="36">
        <f t="shared" si="2"/>
        <v>0</v>
      </c>
      <c r="J23" s="37"/>
      <c r="K23" s="38">
        <f t="shared" si="3"/>
        <v>0</v>
      </c>
      <c r="L23" s="37"/>
      <c r="M23" s="38">
        <f t="shared" si="4"/>
        <v>0</v>
      </c>
      <c r="N23" s="52"/>
      <c r="O23" s="53">
        <v>0.14285714285714288</v>
      </c>
      <c r="P23" s="36">
        <f t="shared" si="5"/>
        <v>71.428571428571445</v>
      </c>
      <c r="Q23" s="54">
        <v>0.5</v>
      </c>
      <c r="R23" s="38">
        <f t="shared" si="6"/>
        <v>35.714285714285722</v>
      </c>
      <c r="S23" s="54">
        <v>0.5</v>
      </c>
      <c r="T23" s="38">
        <f t="shared" si="7"/>
        <v>35.714285714285722</v>
      </c>
      <c r="U23" s="52"/>
      <c r="V23" s="53">
        <v>0.14285714285714288</v>
      </c>
      <c r="W23" s="36">
        <f t="shared" si="8"/>
        <v>71.428571428571445</v>
      </c>
      <c r="X23" s="54">
        <v>0.5</v>
      </c>
      <c r="Y23" s="38">
        <f t="shared" si="9"/>
        <v>35.714285714285722</v>
      </c>
      <c r="Z23" s="54">
        <v>0.5</v>
      </c>
      <c r="AA23" s="38">
        <f t="shared" si="10"/>
        <v>35.714285714285722</v>
      </c>
      <c r="AB23" s="52"/>
      <c r="AC23" s="53">
        <v>0.14285714285714288</v>
      </c>
      <c r="AD23" s="36">
        <f t="shared" si="11"/>
        <v>71.428571428571445</v>
      </c>
      <c r="AE23" s="54">
        <v>0.5</v>
      </c>
      <c r="AF23" s="38">
        <f t="shared" si="12"/>
        <v>35.714285714285722</v>
      </c>
      <c r="AG23" s="54">
        <v>0.5</v>
      </c>
      <c r="AH23" s="38">
        <f t="shared" si="13"/>
        <v>35.714285714285722</v>
      </c>
      <c r="AI23" s="52"/>
      <c r="AJ23" s="53">
        <v>0.14285714285714288</v>
      </c>
      <c r="AK23" s="36">
        <f t="shared" si="14"/>
        <v>71.428571428571445</v>
      </c>
      <c r="AL23" s="54">
        <v>0.5</v>
      </c>
      <c r="AM23" s="38">
        <f t="shared" si="15"/>
        <v>35.714285714285722</v>
      </c>
      <c r="AN23" s="54">
        <v>0.5</v>
      </c>
      <c r="AO23" s="38">
        <f t="shared" si="16"/>
        <v>35.714285714285722</v>
      </c>
      <c r="AP23" s="52"/>
      <c r="AQ23" s="53">
        <v>0.14285714285714288</v>
      </c>
      <c r="AR23" s="36">
        <f t="shared" si="17"/>
        <v>71.428571428571445</v>
      </c>
      <c r="AS23" s="54">
        <v>0.5</v>
      </c>
      <c r="AT23" s="38">
        <f t="shared" si="18"/>
        <v>35.714285714285722</v>
      </c>
      <c r="AU23" s="54">
        <v>0.5</v>
      </c>
      <c r="AV23" s="38">
        <f t="shared" si="19"/>
        <v>35.714285714285722</v>
      </c>
      <c r="AW23" s="52"/>
      <c r="AX23" s="53">
        <v>0.14285714285714288</v>
      </c>
      <c r="AY23" s="36">
        <f t="shared" si="20"/>
        <v>71.428571428571445</v>
      </c>
      <c r="AZ23" s="54">
        <v>0.5</v>
      </c>
      <c r="BA23" s="38">
        <f t="shared" si="21"/>
        <v>35.714285714285722</v>
      </c>
      <c r="BB23" s="54">
        <v>0.5</v>
      </c>
      <c r="BC23" s="38">
        <f t="shared" si="22"/>
        <v>35.714285714285722</v>
      </c>
      <c r="BD23" s="52"/>
      <c r="BE23" s="53">
        <v>0.14285714285714288</v>
      </c>
      <c r="BF23" s="36">
        <f t="shared" si="23"/>
        <v>71.428571428571445</v>
      </c>
      <c r="BG23" s="54">
        <v>0.5</v>
      </c>
      <c r="BH23" s="38">
        <f t="shared" si="24"/>
        <v>35.714285714285722</v>
      </c>
      <c r="BI23" s="54">
        <v>0.5</v>
      </c>
      <c r="BJ23" s="38">
        <f t="shared" si="25"/>
        <v>35.714285714285722</v>
      </c>
      <c r="BK23" s="40">
        <f t="shared" si="0"/>
        <v>500</v>
      </c>
      <c r="BL23" s="40">
        <f t="shared" si="1"/>
        <v>500.00000000000011</v>
      </c>
      <c r="BM23" s="40">
        <f t="shared" si="26"/>
        <v>500.00000000000011</v>
      </c>
      <c r="BN23" s="15">
        <f t="shared" si="27"/>
        <v>0</v>
      </c>
    </row>
    <row r="24" spans="1:66" x14ac:dyDescent="0.25">
      <c r="B24" s="43"/>
      <c r="C24" s="51"/>
      <c r="D24" s="42"/>
      <c r="E24" s="33"/>
      <c r="F24" s="33"/>
      <c r="G24" s="52"/>
      <c r="H24" s="35"/>
      <c r="I24" s="36">
        <f t="shared" si="2"/>
        <v>0</v>
      </c>
      <c r="J24" s="37"/>
      <c r="K24" s="38">
        <f t="shared" si="3"/>
        <v>0</v>
      </c>
      <c r="L24" s="37"/>
      <c r="M24" s="38">
        <f t="shared" si="4"/>
        <v>0</v>
      </c>
      <c r="N24" s="52"/>
      <c r="O24" s="53"/>
      <c r="P24" s="36">
        <f t="shared" si="5"/>
        <v>0</v>
      </c>
      <c r="Q24" s="54"/>
      <c r="R24" s="38">
        <f t="shared" si="6"/>
        <v>0</v>
      </c>
      <c r="S24" s="54"/>
      <c r="T24" s="38">
        <f t="shared" si="7"/>
        <v>0</v>
      </c>
      <c r="U24" s="52"/>
      <c r="V24" s="53"/>
      <c r="W24" s="36">
        <f t="shared" si="8"/>
        <v>0</v>
      </c>
      <c r="X24" s="54"/>
      <c r="Y24" s="38">
        <f t="shared" si="9"/>
        <v>0</v>
      </c>
      <c r="Z24" s="54"/>
      <c r="AA24" s="38">
        <f t="shared" si="10"/>
        <v>0</v>
      </c>
      <c r="AB24" s="52"/>
      <c r="AC24" s="53"/>
      <c r="AD24" s="36">
        <f t="shared" si="11"/>
        <v>0</v>
      </c>
      <c r="AE24" s="54"/>
      <c r="AF24" s="38">
        <f t="shared" si="12"/>
        <v>0</v>
      </c>
      <c r="AG24" s="54"/>
      <c r="AH24" s="38">
        <f t="shared" si="13"/>
        <v>0</v>
      </c>
      <c r="AI24" s="52"/>
      <c r="AJ24" s="53"/>
      <c r="AK24" s="36">
        <f t="shared" si="14"/>
        <v>0</v>
      </c>
      <c r="AL24" s="54"/>
      <c r="AM24" s="38">
        <f t="shared" si="15"/>
        <v>0</v>
      </c>
      <c r="AN24" s="54"/>
      <c r="AO24" s="38">
        <f t="shared" si="16"/>
        <v>0</v>
      </c>
      <c r="AP24" s="52"/>
      <c r="AQ24" s="53"/>
      <c r="AR24" s="36">
        <f t="shared" si="17"/>
        <v>0</v>
      </c>
      <c r="AS24" s="54"/>
      <c r="AT24" s="38">
        <f t="shared" si="18"/>
        <v>0</v>
      </c>
      <c r="AU24" s="54"/>
      <c r="AV24" s="38">
        <f t="shared" si="19"/>
        <v>0</v>
      </c>
      <c r="AW24" s="52"/>
      <c r="AX24" s="53"/>
      <c r="AY24" s="36">
        <f t="shared" si="20"/>
        <v>0</v>
      </c>
      <c r="AZ24" s="54"/>
      <c r="BA24" s="38">
        <f t="shared" si="21"/>
        <v>0</v>
      </c>
      <c r="BB24" s="54"/>
      <c r="BC24" s="38">
        <f t="shared" si="22"/>
        <v>0</v>
      </c>
      <c r="BD24" s="52"/>
      <c r="BE24" s="53"/>
      <c r="BF24" s="36">
        <f t="shared" si="23"/>
        <v>0</v>
      </c>
      <c r="BG24" s="54"/>
      <c r="BH24" s="38">
        <f t="shared" si="24"/>
        <v>0</v>
      </c>
      <c r="BI24" s="54"/>
      <c r="BJ24" s="38">
        <f t="shared" si="25"/>
        <v>0</v>
      </c>
      <c r="BK24" s="40">
        <f t="shared" si="0"/>
        <v>0</v>
      </c>
      <c r="BL24" s="40">
        <f t="shared" si="1"/>
        <v>0</v>
      </c>
      <c r="BM24" s="40">
        <f t="shared" si="26"/>
        <v>0</v>
      </c>
      <c r="BN24" s="15">
        <f t="shared" si="27"/>
        <v>0</v>
      </c>
    </row>
    <row r="25" spans="1:66" x14ac:dyDescent="0.25">
      <c r="B25" s="55" t="s">
        <v>0</v>
      </c>
      <c r="C25" s="56"/>
      <c r="D25" s="57"/>
      <c r="E25" s="58"/>
      <c r="F25" s="59">
        <v>155556.87522267207</v>
      </c>
      <c r="G25" s="59">
        <f>SUM(G4:G24)</f>
        <v>0</v>
      </c>
      <c r="H25" s="59"/>
      <c r="I25" s="59">
        <f>SUM(I4:I24)</f>
        <v>57500</v>
      </c>
      <c r="J25" s="59"/>
      <c r="K25" s="59">
        <f>SUM(K4:K24)</f>
        <v>28750</v>
      </c>
      <c r="L25" s="59"/>
      <c r="M25" s="59">
        <f>SUM(M4:M24)</f>
        <v>28750</v>
      </c>
      <c r="N25" s="59">
        <f>SUM(N4:N24)</f>
        <v>0</v>
      </c>
      <c r="O25" s="59"/>
      <c r="P25" s="59">
        <f>SUM(P4:P24)</f>
        <v>19178.571428571431</v>
      </c>
      <c r="Q25" s="59"/>
      <c r="R25" s="59">
        <f>SUM(R4:R24)</f>
        <v>9589.2857142857156</v>
      </c>
      <c r="S25" s="59"/>
      <c r="T25" s="59">
        <f>SUM(T4:T24)</f>
        <v>9589.2857142857156</v>
      </c>
      <c r="U25" s="59">
        <f>SUM(U4:U24)</f>
        <v>0</v>
      </c>
      <c r="V25" s="59"/>
      <c r="W25" s="59">
        <f>SUM(W4:W24)</f>
        <v>9900.3609022556375</v>
      </c>
      <c r="X25" s="59"/>
      <c r="Y25" s="59">
        <f>SUM(Y4:Y24)</f>
        <v>4950.1804511278187</v>
      </c>
      <c r="Z25" s="59"/>
      <c r="AA25" s="59">
        <f>SUM(AA4:AA24)</f>
        <v>4950.1804511278187</v>
      </c>
      <c r="AB25" s="59">
        <f>SUM(AB4:AB24)</f>
        <v>0</v>
      </c>
      <c r="AC25" s="59"/>
      <c r="AD25" s="59">
        <f>SUM(AD4:AD24)</f>
        <v>39302.130683632153</v>
      </c>
      <c r="AE25" s="59"/>
      <c r="AF25" s="59">
        <f>SUM(AF4:AF24)</f>
        <v>19651.065341816076</v>
      </c>
      <c r="AG25" s="59"/>
      <c r="AH25" s="59">
        <f>SUM(AH4:AH24)</f>
        <v>19651.065341816076</v>
      </c>
      <c r="AI25" s="59">
        <f>SUM(AI4:AI24)</f>
        <v>0</v>
      </c>
      <c r="AJ25" s="59"/>
      <c r="AK25" s="59">
        <f>SUM(AK4:AK24)</f>
        <v>8421.5187969924809</v>
      </c>
      <c r="AL25" s="59"/>
      <c r="AM25" s="59">
        <f>SUM(AM4:AM24)</f>
        <v>4210.7593984962405</v>
      </c>
      <c r="AN25" s="59"/>
      <c r="AO25" s="59">
        <f>SUM(AO4:AO24)</f>
        <v>4210.7593984962405</v>
      </c>
      <c r="AP25" s="59">
        <f>SUM(AP4:AP24)</f>
        <v>0</v>
      </c>
      <c r="AQ25" s="59"/>
      <c r="AR25" s="59">
        <f>SUM(AR4:AR24)</f>
        <v>5397.1505540775006</v>
      </c>
      <c r="AS25" s="59"/>
      <c r="AT25" s="59">
        <f>SUM(AT4:AT24)</f>
        <v>2698.5752770387503</v>
      </c>
      <c r="AU25" s="59"/>
      <c r="AV25" s="59">
        <f>SUM(AV4:AV24)</f>
        <v>2698.5752770387503</v>
      </c>
      <c r="AW25" s="59">
        <f>SUM(AW4:AW24)</f>
        <v>0</v>
      </c>
      <c r="AX25" s="59"/>
      <c r="AY25" s="59">
        <f>SUM(AY4:AY24)</f>
        <v>7928.5714285714284</v>
      </c>
      <c r="AZ25" s="59"/>
      <c r="BA25" s="59">
        <f>SUM(BA4:BA24)</f>
        <v>3964.2857142857142</v>
      </c>
      <c r="BB25" s="59"/>
      <c r="BC25" s="59">
        <f>SUM(BC4:BC24)</f>
        <v>3964.2857142857142</v>
      </c>
      <c r="BD25" s="59">
        <f>SUM(BD4:BD24)</f>
        <v>0</v>
      </c>
      <c r="BE25" s="59"/>
      <c r="BF25" s="59">
        <f>SUM(BF4:BF24)</f>
        <v>7928.5714285714284</v>
      </c>
      <c r="BG25" s="59"/>
      <c r="BH25" s="59">
        <f>SUM(BH4:BH24)</f>
        <v>3964.2857142857142</v>
      </c>
      <c r="BI25" s="59"/>
      <c r="BJ25" s="59">
        <f>SUM(BJ4:BJ24)</f>
        <v>3964.2857142857142</v>
      </c>
      <c r="BK25" s="40">
        <f t="shared" si="0"/>
        <v>155556.87522267207</v>
      </c>
      <c r="BL25" s="40">
        <f t="shared" si="1"/>
        <v>155556.87522267204</v>
      </c>
      <c r="BM25" s="40">
        <f t="shared" si="26"/>
        <v>155556.87522267207</v>
      </c>
      <c r="BN25" s="15">
        <f t="shared" si="27"/>
        <v>0</v>
      </c>
    </row>
    <row r="26" spans="1:66" x14ac:dyDescent="0.25">
      <c r="I26" s="36">
        <f>H26*F26</f>
        <v>0</v>
      </c>
      <c r="BK26" s="40">
        <f t="shared" si="0"/>
        <v>0</v>
      </c>
      <c r="BL26" s="40">
        <f t="shared" si="1"/>
        <v>0</v>
      </c>
      <c r="BM26" s="40">
        <f t="shared" si="26"/>
        <v>0</v>
      </c>
      <c r="BN26" s="15">
        <f t="shared" si="27"/>
        <v>0</v>
      </c>
    </row>
    <row r="27" spans="1:66" x14ac:dyDescent="0.25">
      <c r="I27" s="36">
        <f>H27*F27</f>
        <v>0</v>
      </c>
      <c r="BK27" s="40">
        <f t="shared" si="0"/>
        <v>0</v>
      </c>
      <c r="BL27" s="40">
        <f t="shared" si="1"/>
        <v>0</v>
      </c>
      <c r="BM27" s="40">
        <f t="shared" si="26"/>
        <v>0</v>
      </c>
      <c r="BN27" s="15">
        <f t="shared" si="27"/>
        <v>0</v>
      </c>
    </row>
    <row r="28" spans="1:66" x14ac:dyDescent="0.25">
      <c r="B28" s="45"/>
      <c r="C28" s="51"/>
      <c r="D28" s="68"/>
      <c r="E28" s="69"/>
      <c r="F28" s="69"/>
      <c r="G28" s="52"/>
      <c r="H28" s="53"/>
      <c r="I28" s="104" t="s">
        <v>120</v>
      </c>
      <c r="J28" s="105"/>
      <c r="K28" s="106"/>
      <c r="L28" s="54"/>
      <c r="N28" s="52"/>
      <c r="O28" s="53"/>
      <c r="P28" s="70"/>
      <c r="Q28" s="54"/>
      <c r="R28" s="71"/>
      <c r="S28" s="54"/>
      <c r="T28" s="71"/>
      <c r="U28" s="52"/>
      <c r="V28" s="53"/>
      <c r="W28" s="70"/>
      <c r="X28" s="54"/>
      <c r="Y28" s="71"/>
      <c r="Z28" s="54"/>
      <c r="AA28" s="71"/>
      <c r="AB28" s="52"/>
      <c r="AC28" s="53"/>
      <c r="AD28" s="70"/>
      <c r="AE28" s="54"/>
      <c r="AF28" s="71"/>
      <c r="AG28" s="54"/>
      <c r="AH28" s="71"/>
      <c r="AI28" s="52"/>
      <c r="AJ28" s="53"/>
      <c r="AK28" s="70"/>
      <c r="AL28" s="54"/>
      <c r="AM28" s="71"/>
      <c r="AN28" s="54"/>
      <c r="AO28" s="71"/>
      <c r="AP28" s="52"/>
      <c r="AQ28" s="53"/>
      <c r="AR28" s="70"/>
      <c r="AS28" s="54"/>
      <c r="AT28" s="71"/>
      <c r="AU28" s="54"/>
      <c r="AV28" s="71"/>
      <c r="AW28" s="52"/>
      <c r="AX28" s="53"/>
      <c r="AY28" s="70"/>
      <c r="AZ28" s="54"/>
      <c r="BA28" s="71"/>
      <c r="BB28" s="54"/>
      <c r="BC28" s="71"/>
      <c r="BD28" s="52"/>
      <c r="BE28" s="53"/>
      <c r="BF28" s="70"/>
      <c r="BG28" s="54"/>
      <c r="BH28" s="71"/>
      <c r="BI28" s="54"/>
      <c r="BJ28" s="71"/>
      <c r="BK28" s="40"/>
      <c r="BL28" s="40"/>
      <c r="BM28" s="40"/>
      <c r="BN28" s="15"/>
    </row>
    <row r="29" spans="1:66" x14ac:dyDescent="0.25">
      <c r="I29" s="102" t="s">
        <v>121</v>
      </c>
      <c r="J29" s="107"/>
      <c r="K29" s="51"/>
      <c r="L29" s="108"/>
    </row>
    <row r="30" spans="1:66" x14ac:dyDescent="0.25">
      <c r="B30" s="72" t="s">
        <v>122</v>
      </c>
      <c r="I30" s="69">
        <v>-180.52631578947367</v>
      </c>
      <c r="J30" s="69"/>
      <c r="L30" s="109"/>
    </row>
    <row r="31" spans="1:66" x14ac:dyDescent="0.25">
      <c r="B31" s="72" t="s">
        <v>123</v>
      </c>
      <c r="I31" s="110">
        <v>-0.39039473684210513</v>
      </c>
      <c r="J31" s="110"/>
      <c r="L31" s="109"/>
    </row>
    <row r="32" spans="1:66" x14ac:dyDescent="0.25">
      <c r="B32" s="72" t="s">
        <v>124</v>
      </c>
      <c r="I32" s="110">
        <v>-0.37018461538461545</v>
      </c>
      <c r="J32" s="110"/>
      <c r="L32" s="109"/>
    </row>
    <row r="33" spans="1:66" x14ac:dyDescent="0.25">
      <c r="B33" s="43" t="s">
        <v>125</v>
      </c>
      <c r="I33" s="110">
        <v>-0.18394000674081565</v>
      </c>
      <c r="J33" s="110"/>
      <c r="L33" s="109"/>
    </row>
    <row r="34" spans="1:66" x14ac:dyDescent="0.25">
      <c r="B34" s="43" t="s">
        <v>126</v>
      </c>
      <c r="I34" s="110">
        <v>-0.22371081900910006</v>
      </c>
      <c r="J34" s="110"/>
      <c r="L34" s="109"/>
    </row>
    <row r="35" spans="1:66" x14ac:dyDescent="0.25">
      <c r="B35" s="43" t="s">
        <v>127</v>
      </c>
      <c r="I35" s="69">
        <v>-460.98461538461538</v>
      </c>
      <c r="J35" s="69"/>
      <c r="L35" s="109"/>
    </row>
    <row r="36" spans="1:66" x14ac:dyDescent="0.25">
      <c r="B36" s="43" t="s">
        <v>128</v>
      </c>
      <c r="I36" s="110">
        <v>-0.36</v>
      </c>
      <c r="J36" s="110"/>
      <c r="L36" s="109"/>
    </row>
    <row r="37" spans="1:66" x14ac:dyDescent="0.25">
      <c r="B37" s="43" t="s">
        <v>129</v>
      </c>
      <c r="I37" s="110">
        <v>-1.7512999999999999</v>
      </c>
      <c r="J37" s="110"/>
      <c r="L37" s="109"/>
    </row>
    <row r="38" spans="1:66" s="60" customFormat="1" x14ac:dyDescent="0.25">
      <c r="A38" s="1"/>
      <c r="B38" s="43" t="s">
        <v>130</v>
      </c>
      <c r="D38" s="61"/>
      <c r="E38" s="62"/>
      <c r="F38" s="63"/>
      <c r="G38" s="64"/>
      <c r="H38" s="65"/>
      <c r="I38" s="110">
        <v>-1.5825</v>
      </c>
      <c r="J38" s="111"/>
      <c r="L38" s="109"/>
      <c r="N38" s="64"/>
      <c r="O38" s="65"/>
      <c r="P38" s="6"/>
      <c r="Q38" s="66"/>
      <c r="R38" s="6"/>
      <c r="S38" s="6"/>
      <c r="T38" s="2"/>
      <c r="U38" s="67"/>
      <c r="V38" s="65"/>
      <c r="W38" s="6"/>
      <c r="X38" s="66"/>
      <c r="Y38" s="6"/>
      <c r="Z38" s="6"/>
      <c r="AA38" s="2"/>
      <c r="AB38" s="67"/>
      <c r="AC38" s="65"/>
      <c r="AD38" s="6"/>
      <c r="AE38" s="66"/>
      <c r="AF38" s="6"/>
      <c r="AG38" s="6"/>
      <c r="AH38" s="2"/>
      <c r="AI38" s="67"/>
      <c r="AJ38" s="65"/>
      <c r="AK38" s="6"/>
      <c r="AL38" s="66"/>
      <c r="AM38" s="6"/>
      <c r="AN38" s="6"/>
      <c r="AO38" s="2"/>
      <c r="AP38" s="67"/>
      <c r="AQ38" s="65"/>
      <c r="AR38" s="6"/>
      <c r="AS38" s="66"/>
      <c r="AT38" s="6"/>
      <c r="AU38" s="6"/>
      <c r="AV38" s="2"/>
      <c r="AW38" s="67"/>
      <c r="AX38" s="65"/>
      <c r="AY38" s="6"/>
      <c r="AZ38" s="66"/>
      <c r="BA38" s="6"/>
      <c r="BB38" s="6"/>
      <c r="BC38" s="2"/>
      <c r="BD38" s="67"/>
      <c r="BE38" s="65"/>
      <c r="BF38" s="6"/>
      <c r="BG38" s="66"/>
      <c r="BH38" s="6"/>
      <c r="BI38" s="6"/>
      <c r="BJ38" s="2"/>
      <c r="BK38" s="5"/>
      <c r="BL38" s="6"/>
      <c r="BM38" s="6"/>
      <c r="BN38" s="2"/>
    </row>
    <row r="39" spans="1:66" x14ac:dyDescent="0.25">
      <c r="B39" s="43" t="s">
        <v>131</v>
      </c>
      <c r="I39" s="110">
        <v>-0.27325581395348836</v>
      </c>
      <c r="J39" s="110"/>
      <c r="L39" s="109"/>
    </row>
    <row r="40" spans="1:66" x14ac:dyDescent="0.25">
      <c r="B40" s="43"/>
      <c r="I40" s="112"/>
      <c r="J40" s="111"/>
      <c r="K40" s="109"/>
      <c r="L40" s="109"/>
    </row>
    <row r="41" spans="1:66" x14ac:dyDescent="0.25">
      <c r="B41" s="72"/>
      <c r="I41" s="108"/>
      <c r="J41" s="111"/>
      <c r="K41" s="109"/>
      <c r="L41" s="109"/>
      <c r="M41" s="112"/>
    </row>
    <row r="42" spans="1:66" x14ac:dyDescent="0.25">
      <c r="B42" s="43"/>
      <c r="I42" s="108"/>
      <c r="J42" s="111"/>
      <c r="K42" s="109"/>
      <c r="L42" s="109"/>
      <c r="M42" s="112"/>
    </row>
  </sheetData>
  <mergeCells count="26">
    <mergeCell ref="AQ1:AV1"/>
    <mergeCell ref="AX1:BC1"/>
    <mergeCell ref="BE1:BJ1"/>
    <mergeCell ref="C2:F2"/>
    <mergeCell ref="J2:K2"/>
    <mergeCell ref="L2:M2"/>
    <mergeCell ref="Q2:R2"/>
    <mergeCell ref="S2:T2"/>
    <mergeCell ref="X2:Y2"/>
    <mergeCell ref="Z2:AA2"/>
    <mergeCell ref="C1:F1"/>
    <mergeCell ref="H1:M1"/>
    <mergeCell ref="O1:T1"/>
    <mergeCell ref="V1:AA1"/>
    <mergeCell ref="AC1:AH1"/>
    <mergeCell ref="AJ1:AO1"/>
    <mergeCell ref="AZ2:BA2"/>
    <mergeCell ref="BB2:BC2"/>
    <mergeCell ref="BG2:BH2"/>
    <mergeCell ref="BI2:BJ2"/>
    <mergeCell ref="AE2:AF2"/>
    <mergeCell ref="AG2:AH2"/>
    <mergeCell ref="AL2:AM2"/>
    <mergeCell ref="AN2:AO2"/>
    <mergeCell ref="AS2:AT2"/>
    <mergeCell ref="AU2:AV2"/>
  </mergeCells>
  <printOptions gridLines="1"/>
  <pageMargins left="0.2" right="0.2" top="0.75" bottom="0.75" header="0.3" footer="0.3"/>
  <pageSetup scale="67" fitToWidth="12" fitToHeight="5" orientation="portrait" r:id="rId1"/>
  <colBreaks count="8" manualBreakCount="8">
    <brk id="6" max="60" man="1"/>
    <brk id="13" max="60" man="1"/>
    <brk id="20" max="60" man="1"/>
    <brk id="27" max="60" man="1"/>
    <brk id="34" max="60" man="1"/>
    <brk id="41" max="60" man="1"/>
    <brk id="48" max="60" man="1"/>
    <brk id="55" max="6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zoomScale="90" zoomScaleNormal="90" workbookViewId="0">
      <selection activeCell="A18" sqref="A18:I30"/>
    </sheetView>
  </sheetViews>
  <sheetFormatPr defaultRowHeight="15" x14ac:dyDescent="0.25"/>
  <cols>
    <col min="1" max="1" width="9.140625" style="118"/>
    <col min="2" max="2" width="82.28515625" style="118" bestFit="1" customWidth="1"/>
    <col min="3" max="5" width="9.140625" style="118"/>
    <col min="6" max="6" width="11.85546875" style="118" bestFit="1" customWidth="1"/>
    <col min="7" max="8" width="9.140625" style="118"/>
    <col min="9" max="9" width="10.28515625" style="118" customWidth="1"/>
    <col min="10" max="10" width="9.140625" style="118"/>
    <col min="11" max="11" width="8.5703125" style="118" bestFit="1" customWidth="1"/>
    <col min="12" max="12" width="9.140625" style="118"/>
    <col min="13" max="13" width="8.42578125" style="118" bestFit="1" customWidth="1"/>
    <col min="14" max="14" width="9.140625" style="118"/>
    <col min="15" max="15" width="11.7109375" style="118" bestFit="1" customWidth="1"/>
    <col min="16" max="16" width="9.140625" style="118"/>
    <col min="17" max="17" width="10.140625" style="118" bestFit="1" customWidth="1"/>
    <col min="18" max="19" width="9.140625" style="118"/>
    <col min="20" max="20" width="105.140625" style="118" bestFit="1" customWidth="1"/>
    <col min="21" max="32" width="9.140625" style="118"/>
    <col min="33" max="33" width="9.7109375" style="118" bestFit="1" customWidth="1"/>
    <col min="34" max="34" width="4.5703125" style="118" bestFit="1" customWidth="1"/>
    <col min="35" max="35" width="9.7109375" style="118" bestFit="1" customWidth="1"/>
    <col min="36" max="16384" width="9.140625" style="118"/>
  </cols>
  <sheetData>
    <row r="1" spans="1:36" x14ac:dyDescent="0.25">
      <c r="A1" s="1"/>
      <c r="B1" s="2"/>
      <c r="C1" s="60"/>
      <c r="D1" s="61"/>
      <c r="E1" s="62"/>
      <c r="F1" s="63" t="e">
        <f>#REF!+#REF!+#REF!</f>
        <v>#REF!</v>
      </c>
      <c r="G1" s="64"/>
      <c r="H1" s="65"/>
      <c r="I1" s="60"/>
      <c r="J1" s="66"/>
      <c r="K1" s="6"/>
      <c r="L1" s="6"/>
      <c r="M1" s="2"/>
      <c r="N1" s="6"/>
      <c r="O1" s="6"/>
      <c r="P1" s="6"/>
      <c r="Q1" s="2"/>
      <c r="R1" s="64"/>
      <c r="S1" s="65"/>
      <c r="T1" s="6"/>
      <c r="U1" s="66"/>
      <c r="V1" s="6"/>
      <c r="W1" s="6"/>
      <c r="X1" s="2"/>
      <c r="Y1" s="6"/>
      <c r="Z1" s="6"/>
      <c r="AA1" s="6"/>
      <c r="AB1" s="2"/>
      <c r="AC1" s="67"/>
      <c r="AD1" s="65"/>
      <c r="AE1" s="6"/>
      <c r="AF1" s="66"/>
      <c r="AG1" s="6"/>
      <c r="AH1" s="6"/>
      <c r="AI1" s="2"/>
      <c r="AJ1" s="6"/>
    </row>
    <row r="2" spans="1:36" x14ac:dyDescent="0.25">
      <c r="A2" s="1"/>
      <c r="B2" s="2"/>
      <c r="C2" s="60"/>
      <c r="D2" s="61"/>
      <c r="E2" s="62"/>
      <c r="F2" s="63">
        <v>11328802</v>
      </c>
      <c r="G2" s="64"/>
      <c r="H2" s="65"/>
      <c r="I2" s="60"/>
      <c r="J2" s="66"/>
      <c r="K2" s="6"/>
      <c r="L2" s="6"/>
      <c r="M2" s="2"/>
      <c r="N2" s="6"/>
      <c r="O2" s="119">
        <v>42314</v>
      </c>
      <c r="P2" s="6"/>
      <c r="Q2" s="119">
        <f>O2</f>
        <v>42314</v>
      </c>
      <c r="R2" s="64"/>
      <c r="S2" s="65"/>
      <c r="T2" s="6"/>
      <c r="U2" s="66"/>
      <c r="V2" s="6"/>
      <c r="W2" s="6"/>
      <c r="X2" s="2"/>
      <c r="Y2" s="6"/>
      <c r="Z2" s="6"/>
      <c r="AA2" s="6"/>
      <c r="AB2" s="2"/>
      <c r="AC2" s="67"/>
      <c r="AD2" s="65"/>
      <c r="AE2" s="6"/>
      <c r="AF2" s="66"/>
      <c r="AG2" s="119">
        <v>42369</v>
      </c>
      <c r="AH2" s="6"/>
      <c r="AI2" s="119">
        <v>42369</v>
      </c>
      <c r="AJ2" s="6"/>
    </row>
    <row r="3" spans="1:36" x14ac:dyDescent="0.25">
      <c r="A3" s="1"/>
      <c r="B3" s="45"/>
      <c r="C3" s="51"/>
      <c r="D3" s="68"/>
      <c r="E3" s="69"/>
      <c r="F3" s="69" t="e">
        <f>F1-F2</f>
        <v>#REF!</v>
      </c>
      <c r="G3" s="52"/>
      <c r="H3" s="53"/>
      <c r="I3" s="104" t="s">
        <v>120</v>
      </c>
      <c r="J3" s="66"/>
      <c r="K3" s="6"/>
      <c r="L3" s="6"/>
      <c r="M3" s="2"/>
      <c r="N3" s="6"/>
      <c r="O3" s="104" t="s">
        <v>120</v>
      </c>
      <c r="P3" s="6"/>
      <c r="Q3" s="120" t="s">
        <v>147</v>
      </c>
      <c r="R3" s="64"/>
      <c r="S3" s="65"/>
      <c r="T3" s="6"/>
      <c r="U3" s="66"/>
      <c r="V3" s="6"/>
      <c r="W3" s="6"/>
      <c r="X3" s="2"/>
      <c r="Y3" s="6"/>
      <c r="Z3" s="6"/>
      <c r="AA3" s="6"/>
      <c r="AB3" s="2"/>
      <c r="AC3" s="67"/>
      <c r="AD3" s="65"/>
      <c r="AE3" s="6"/>
      <c r="AF3" s="66"/>
      <c r="AG3" s="104" t="s">
        <v>120</v>
      </c>
      <c r="AH3" s="6"/>
      <c r="AI3" s="104" t="s">
        <v>147</v>
      </c>
      <c r="AJ3" s="6"/>
    </row>
    <row r="4" spans="1:36" x14ac:dyDescent="0.25">
      <c r="A4" s="1"/>
      <c r="B4" s="2"/>
      <c r="C4" s="60"/>
      <c r="D4" s="61"/>
      <c r="E4" s="62"/>
      <c r="F4" s="63"/>
      <c r="G4" s="64"/>
      <c r="H4" s="65"/>
      <c r="I4" s="117" t="s">
        <v>121</v>
      </c>
      <c r="J4" s="66"/>
      <c r="K4" s="6"/>
      <c r="L4" s="6"/>
      <c r="M4" s="2" t="s">
        <v>148</v>
      </c>
      <c r="N4" s="6"/>
      <c r="O4" s="117" t="s">
        <v>121</v>
      </c>
      <c r="P4" s="6"/>
      <c r="Q4" s="120" t="s">
        <v>121</v>
      </c>
      <c r="R4" s="64"/>
      <c r="S4" s="65"/>
      <c r="T4" s="121" t="s">
        <v>149</v>
      </c>
      <c r="U4" s="66"/>
      <c r="V4" s="6"/>
      <c r="W4" s="6"/>
      <c r="X4" s="2"/>
      <c r="Y4" s="6"/>
      <c r="Z4" s="6"/>
      <c r="AA4" s="6"/>
      <c r="AB4" s="2"/>
      <c r="AC4" s="67"/>
      <c r="AD4" s="65"/>
      <c r="AE4" s="6"/>
      <c r="AF4" s="66"/>
      <c r="AG4" s="117" t="s">
        <v>121</v>
      </c>
      <c r="AH4" s="6"/>
      <c r="AI4" s="117" t="s">
        <v>121</v>
      </c>
      <c r="AJ4" s="6"/>
    </row>
    <row r="5" spans="1:36" x14ac:dyDescent="0.25">
      <c r="A5" s="1"/>
      <c r="B5" s="72" t="s">
        <v>122</v>
      </c>
      <c r="C5" s="60"/>
      <c r="D5" s="61"/>
      <c r="E5" s="62"/>
      <c r="F5" s="122">
        <v>245</v>
      </c>
      <c r="G5" s="64"/>
      <c r="H5" s="65"/>
      <c r="I5" s="115">
        <v>-180.52631578947367</v>
      </c>
      <c r="J5" s="66"/>
      <c r="K5" s="123">
        <f>-I5/F5</f>
        <v>0.73684210526315785</v>
      </c>
      <c r="L5" s="124"/>
      <c r="M5" s="125">
        <f>I5-Q5</f>
        <v>-56.736315789473664</v>
      </c>
      <c r="N5" s="6"/>
      <c r="O5" s="126">
        <v>168</v>
      </c>
      <c r="P5" s="6"/>
      <c r="Q5" s="122">
        <f t="shared" ref="Q5:Q6" si="0">IF(O5="","",ROUND(O5*-K5,2))</f>
        <v>-123.79</v>
      </c>
      <c r="R5" s="64"/>
      <c r="S5" s="65"/>
      <c r="T5" s="127" t="s">
        <v>150</v>
      </c>
      <c r="U5" s="66"/>
      <c r="V5" s="6"/>
      <c r="W5" s="6"/>
      <c r="X5" s="2"/>
      <c r="Y5" s="6"/>
      <c r="Z5" s="6"/>
      <c r="AA5" s="6"/>
      <c r="AB5" s="2"/>
      <c r="AC5" s="67"/>
      <c r="AD5" s="65"/>
      <c r="AE5" s="6"/>
      <c r="AF5" s="66"/>
      <c r="AG5" s="128">
        <f>0.092*2000</f>
        <v>184</v>
      </c>
      <c r="AH5" s="6" t="s">
        <v>151</v>
      </c>
      <c r="AI5" s="122">
        <f>AG5*K5</f>
        <v>135.57894736842104</v>
      </c>
      <c r="AJ5" s="6"/>
    </row>
    <row r="6" spans="1:36" x14ac:dyDescent="0.25">
      <c r="A6" s="1"/>
      <c r="B6" s="72" t="s">
        <v>123</v>
      </c>
      <c r="C6" s="60"/>
      <c r="D6" s="61"/>
      <c r="E6" s="62"/>
      <c r="F6" s="122">
        <v>0.69</v>
      </c>
      <c r="G6" s="64"/>
      <c r="H6" s="65"/>
      <c r="I6" s="116">
        <v>-0.39039473684210513</v>
      </c>
      <c r="J6" s="66"/>
      <c r="K6" s="123">
        <f t="shared" ref="K6:K14" si="1">-I6/F6</f>
        <v>0.5657894736842104</v>
      </c>
      <c r="L6" s="124"/>
      <c r="M6" s="125">
        <f t="shared" ref="M6:M14" si="2">I6-Q6</f>
        <v>-1.0394736842105123E-2</v>
      </c>
      <c r="N6" s="6"/>
      <c r="O6" s="126">
        <v>0.67</v>
      </c>
      <c r="P6" s="6"/>
      <c r="Q6" s="122">
        <f t="shared" si="0"/>
        <v>-0.38</v>
      </c>
      <c r="R6" s="64"/>
      <c r="S6" s="65"/>
      <c r="T6" s="127" t="s">
        <v>152</v>
      </c>
      <c r="U6" s="66"/>
      <c r="V6" s="6"/>
      <c r="W6" s="6"/>
      <c r="X6" s="2"/>
      <c r="Y6" s="6"/>
      <c r="Z6" s="6"/>
      <c r="AA6" s="6"/>
      <c r="AB6" s="2"/>
      <c r="AC6" s="67"/>
      <c r="AD6" s="65"/>
      <c r="AE6" s="6"/>
      <c r="AF6" s="66"/>
      <c r="AG6" s="126">
        <v>0.68289999999999995</v>
      </c>
      <c r="AH6" s="6"/>
      <c r="AI6" s="122">
        <f t="shared" ref="AI6:AI14" si="3">AG6*K6</f>
        <v>0.38637763157894728</v>
      </c>
      <c r="AJ6" s="6"/>
    </row>
    <row r="7" spans="1:36" x14ac:dyDescent="0.25">
      <c r="A7" s="1"/>
      <c r="B7" s="72" t="s">
        <v>124</v>
      </c>
      <c r="C7" s="60"/>
      <c r="D7" s="61"/>
      <c r="E7" s="62"/>
      <c r="F7" s="122">
        <v>2.27</v>
      </c>
      <c r="G7" s="64"/>
      <c r="H7" s="65"/>
      <c r="I7" s="116">
        <v>-0.37018461538461545</v>
      </c>
      <c r="J7" s="66"/>
      <c r="K7" s="123">
        <f t="shared" si="1"/>
        <v>0.16307692307692309</v>
      </c>
      <c r="L7" s="124"/>
      <c r="M7" s="125">
        <f t="shared" si="2"/>
        <v>-1.8461538461544968E-4</v>
      </c>
      <c r="N7" s="6"/>
      <c r="O7" s="126">
        <v>2.29</v>
      </c>
      <c r="P7" s="6"/>
      <c r="Q7" s="122">
        <f>IF(O7="","",ROUND(O7*-K7,2))</f>
        <v>-0.37</v>
      </c>
      <c r="R7" s="64"/>
      <c r="S7" s="65"/>
      <c r="T7" s="127" t="s">
        <v>153</v>
      </c>
      <c r="U7" s="66"/>
      <c r="V7" s="6"/>
      <c r="W7" s="6"/>
      <c r="X7" s="2"/>
      <c r="Y7" s="6"/>
      <c r="Z7" s="6"/>
      <c r="AA7" s="6"/>
      <c r="AB7" s="2"/>
      <c r="AC7" s="67"/>
      <c r="AD7" s="65"/>
      <c r="AE7" s="6"/>
      <c r="AF7" s="66"/>
      <c r="AG7" s="126">
        <v>2.2759</v>
      </c>
      <c r="AH7" s="6" t="s">
        <v>151</v>
      </c>
      <c r="AI7" s="122">
        <f t="shared" si="3"/>
        <v>0.37114676923076928</v>
      </c>
      <c r="AJ7" s="6"/>
    </row>
    <row r="8" spans="1:36" x14ac:dyDescent="0.25">
      <c r="A8" s="1"/>
      <c r="B8" s="43" t="s">
        <v>125</v>
      </c>
      <c r="C8" s="60"/>
      <c r="D8" s="61"/>
      <c r="E8" s="62"/>
      <c r="F8" s="122">
        <v>0.5</v>
      </c>
      <c r="G8" s="64"/>
      <c r="H8" s="65"/>
      <c r="I8" s="116">
        <v>-0.18394000674081565</v>
      </c>
      <c r="J8" s="66"/>
      <c r="K8" s="123">
        <f t="shared" si="1"/>
        <v>0.3678800134816313</v>
      </c>
      <c r="L8" s="124"/>
      <c r="M8" s="125">
        <f t="shared" si="2"/>
        <v>-2.3940006740815645E-2</v>
      </c>
      <c r="N8" s="6"/>
      <c r="O8" s="126">
        <v>0.44</v>
      </c>
      <c r="P8" s="6"/>
      <c r="Q8" s="122">
        <f t="shared" ref="Q8:Q14" si="4">IF(O8="","",ROUND(O8*-K8,2))</f>
        <v>-0.16</v>
      </c>
      <c r="R8" s="64"/>
      <c r="S8" s="65"/>
      <c r="T8" s="127" t="s">
        <v>154</v>
      </c>
      <c r="U8" s="66"/>
      <c r="V8" s="6"/>
      <c r="W8" s="6"/>
      <c r="X8" s="2"/>
      <c r="Y8" s="6"/>
      <c r="Z8" s="6"/>
      <c r="AA8" s="6"/>
      <c r="AB8" s="2"/>
      <c r="AC8" s="67"/>
      <c r="AD8" s="65"/>
      <c r="AE8" s="6"/>
      <c r="AF8" s="66"/>
      <c r="AG8" s="128"/>
      <c r="AH8" s="6"/>
      <c r="AI8" s="122">
        <f t="shared" si="3"/>
        <v>0</v>
      </c>
      <c r="AJ8" s="6"/>
    </row>
    <row r="9" spans="1:36" x14ac:dyDescent="0.25">
      <c r="A9" s="1"/>
      <c r="B9" s="43" t="s">
        <v>126</v>
      </c>
      <c r="C9" s="60"/>
      <c r="D9" s="61"/>
      <c r="E9" s="62"/>
      <c r="F9" s="122">
        <v>0.5</v>
      </c>
      <c r="G9" s="64"/>
      <c r="H9" s="65"/>
      <c r="I9" s="110">
        <v>-0.22371081900910006</v>
      </c>
      <c r="J9" s="66"/>
      <c r="K9" s="123">
        <f t="shared" si="1"/>
        <v>0.44742163801820012</v>
      </c>
      <c r="L9" s="124"/>
      <c r="M9" s="125">
        <f t="shared" si="2"/>
        <v>-2.3710819009100048E-2</v>
      </c>
      <c r="N9" s="6"/>
      <c r="O9" s="126">
        <v>0.44</v>
      </c>
      <c r="P9" s="6"/>
      <c r="Q9" s="122">
        <f t="shared" si="4"/>
        <v>-0.2</v>
      </c>
      <c r="R9" s="64"/>
      <c r="S9" s="65"/>
      <c r="T9" s="127" t="s">
        <v>154</v>
      </c>
      <c r="U9" s="66"/>
      <c r="V9" s="6"/>
      <c r="W9" s="6"/>
      <c r="X9" s="2"/>
      <c r="Y9" s="6"/>
      <c r="Z9" s="6"/>
      <c r="AA9" s="6"/>
      <c r="AB9" s="2"/>
      <c r="AC9" s="67"/>
      <c r="AD9" s="65"/>
      <c r="AE9" s="6"/>
      <c r="AF9" s="66"/>
      <c r="AG9" s="128"/>
      <c r="AH9" s="6"/>
      <c r="AI9" s="122">
        <f t="shared" si="3"/>
        <v>0</v>
      </c>
      <c r="AJ9" s="6"/>
    </row>
    <row r="10" spans="1:36" x14ac:dyDescent="0.25">
      <c r="A10" s="1"/>
      <c r="B10" s="43" t="s">
        <v>127</v>
      </c>
      <c r="C10" s="60"/>
      <c r="D10" s="61"/>
      <c r="E10" s="62"/>
      <c r="F10" s="122"/>
      <c r="G10" s="64"/>
      <c r="H10" s="65"/>
      <c r="I10" s="69">
        <v>-460.98461538461538</v>
      </c>
      <c r="J10" s="66"/>
      <c r="K10" s="123"/>
      <c r="L10" s="124"/>
      <c r="M10" s="125"/>
      <c r="N10" s="6"/>
      <c r="O10" s="126"/>
      <c r="P10" s="6"/>
      <c r="Q10" s="122" t="str">
        <f t="shared" si="4"/>
        <v/>
      </c>
      <c r="R10" s="64"/>
      <c r="S10" s="65"/>
      <c r="T10" s="6"/>
      <c r="U10" s="66"/>
      <c r="V10" s="6"/>
      <c r="W10" s="6"/>
      <c r="X10" s="2"/>
      <c r="Y10" s="6"/>
      <c r="Z10" s="6"/>
      <c r="AA10" s="6"/>
      <c r="AB10" s="2"/>
      <c r="AC10" s="67"/>
      <c r="AD10" s="65"/>
      <c r="AE10" s="6"/>
      <c r="AF10" s="66"/>
      <c r="AG10" s="128"/>
      <c r="AH10" s="6"/>
      <c r="AI10" s="122">
        <f t="shared" si="3"/>
        <v>0</v>
      </c>
      <c r="AJ10" s="6"/>
    </row>
    <row r="11" spans="1:36" x14ac:dyDescent="0.25">
      <c r="A11" s="1"/>
      <c r="B11" s="43" t="s">
        <v>128</v>
      </c>
      <c r="C11" s="60"/>
      <c r="D11" s="61"/>
      <c r="E11" s="62"/>
      <c r="F11" s="122">
        <v>0.55000000000000004</v>
      </c>
      <c r="G11" s="64"/>
      <c r="H11" s="65"/>
      <c r="I11" s="110">
        <v>-0.36</v>
      </c>
      <c r="J11" s="66"/>
      <c r="K11" s="123">
        <f t="shared" si="1"/>
        <v>0.65454545454545443</v>
      </c>
      <c r="L11" s="124"/>
      <c r="M11" s="125">
        <f t="shared" si="2"/>
        <v>-0.10999999999999999</v>
      </c>
      <c r="N11" s="6"/>
      <c r="O11" s="126">
        <v>0.375</v>
      </c>
      <c r="P11" s="6"/>
      <c r="Q11" s="122">
        <f t="shared" si="4"/>
        <v>-0.25</v>
      </c>
      <c r="R11" s="64"/>
      <c r="S11" s="65"/>
      <c r="T11" s="127" t="s">
        <v>155</v>
      </c>
      <c r="U11" s="66"/>
      <c r="V11" s="6"/>
      <c r="W11" s="6"/>
      <c r="X11" s="2"/>
      <c r="Y11" s="6"/>
      <c r="Z11" s="6"/>
      <c r="AA11" s="6"/>
      <c r="AB11" s="2"/>
      <c r="AC11" s="67"/>
      <c r="AD11" s="65"/>
      <c r="AE11" s="6"/>
      <c r="AF11" s="66"/>
      <c r="AG11" s="128"/>
      <c r="AH11" s="6"/>
      <c r="AI11" s="122">
        <f t="shared" si="3"/>
        <v>0</v>
      </c>
      <c r="AJ11" s="6"/>
    </row>
    <row r="12" spans="1:36" x14ac:dyDescent="0.25">
      <c r="A12" s="1"/>
      <c r="B12" s="43" t="s">
        <v>129</v>
      </c>
      <c r="C12" s="60"/>
      <c r="D12" s="61"/>
      <c r="E12" s="62"/>
      <c r="F12" s="122">
        <v>1.66</v>
      </c>
      <c r="G12" s="64"/>
      <c r="H12" s="65"/>
      <c r="I12" s="110">
        <v>-1.7512999999999999</v>
      </c>
      <c r="J12" s="66"/>
      <c r="K12" s="123">
        <f t="shared" si="1"/>
        <v>1.0549999999999999</v>
      </c>
      <c r="L12" s="124"/>
      <c r="M12" s="125">
        <f t="shared" si="2"/>
        <v>-5.1299999999999901E-2</v>
      </c>
      <c r="N12" s="6"/>
      <c r="O12" s="126">
        <v>1.61</v>
      </c>
      <c r="P12" s="6"/>
      <c r="Q12" s="122">
        <f t="shared" si="4"/>
        <v>-1.7</v>
      </c>
      <c r="R12" s="64"/>
      <c r="S12" s="65"/>
      <c r="T12" s="127" t="s">
        <v>156</v>
      </c>
      <c r="U12" s="66"/>
      <c r="V12" s="6"/>
      <c r="W12" s="6"/>
      <c r="X12" s="2"/>
      <c r="Y12" s="6"/>
      <c r="Z12" s="6"/>
      <c r="AA12" s="6"/>
      <c r="AB12" s="2"/>
      <c r="AC12" s="67"/>
      <c r="AD12" s="65"/>
      <c r="AE12" s="6"/>
      <c r="AF12" s="66"/>
      <c r="AG12" s="128"/>
      <c r="AH12" s="6"/>
      <c r="AI12" s="122">
        <f t="shared" si="3"/>
        <v>0</v>
      </c>
      <c r="AJ12" s="6"/>
    </row>
    <row r="13" spans="1:36" x14ac:dyDescent="0.25">
      <c r="A13" s="1"/>
      <c r="B13" s="43" t="s">
        <v>130</v>
      </c>
      <c r="C13" s="60"/>
      <c r="D13" s="61"/>
      <c r="E13" s="62"/>
      <c r="F13" s="122">
        <v>2.0699999999999998</v>
      </c>
      <c r="G13" s="64"/>
      <c r="H13" s="65"/>
      <c r="I13" s="116">
        <v>-1.5825</v>
      </c>
      <c r="J13" s="66"/>
      <c r="K13" s="123">
        <f t="shared" si="1"/>
        <v>0.76449275362318847</v>
      </c>
      <c r="L13" s="124"/>
      <c r="M13" s="125">
        <f t="shared" si="2"/>
        <v>-6.25E-2</v>
      </c>
      <c r="N13" s="6"/>
      <c r="O13" s="126">
        <v>1.99</v>
      </c>
      <c r="P13" s="6"/>
      <c r="Q13" s="122">
        <f t="shared" si="4"/>
        <v>-1.52</v>
      </c>
      <c r="R13" s="64"/>
      <c r="S13" s="65"/>
      <c r="T13" s="127" t="s">
        <v>157</v>
      </c>
      <c r="U13" s="66"/>
      <c r="V13" s="6"/>
      <c r="W13" s="6"/>
      <c r="X13" s="2"/>
      <c r="Y13" s="6"/>
      <c r="Z13" s="6"/>
      <c r="AA13" s="6"/>
      <c r="AB13" s="2"/>
      <c r="AC13" s="67"/>
      <c r="AD13" s="65"/>
      <c r="AE13" s="6"/>
      <c r="AF13" s="66"/>
      <c r="AG13" s="128"/>
      <c r="AH13" s="6"/>
      <c r="AI13" s="122">
        <f t="shared" si="3"/>
        <v>0</v>
      </c>
      <c r="AJ13" s="6"/>
    </row>
    <row r="14" spans="1:36" x14ac:dyDescent="0.25">
      <c r="A14" s="1"/>
      <c r="B14" s="43" t="s">
        <v>131</v>
      </c>
      <c r="C14" s="60"/>
      <c r="D14" s="61"/>
      <c r="E14" s="62"/>
      <c r="F14" s="122">
        <v>0.5</v>
      </c>
      <c r="G14" s="64"/>
      <c r="H14" s="65"/>
      <c r="I14" s="110">
        <v>-0.27325581395348836</v>
      </c>
      <c r="J14" s="66"/>
      <c r="K14" s="123">
        <f t="shared" si="1"/>
        <v>0.54651162790697672</v>
      </c>
      <c r="L14" s="124"/>
      <c r="M14" s="125">
        <f t="shared" si="2"/>
        <v>-3.3255813953488367E-2</v>
      </c>
      <c r="N14" s="6"/>
      <c r="O14" s="126">
        <v>0.44</v>
      </c>
      <c r="P14" s="6"/>
      <c r="Q14" s="122">
        <f t="shared" si="4"/>
        <v>-0.24</v>
      </c>
      <c r="R14" s="64"/>
      <c r="S14" s="65"/>
      <c r="T14" s="127" t="s">
        <v>154</v>
      </c>
      <c r="U14" s="66"/>
      <c r="V14" s="6"/>
      <c r="W14" s="6"/>
      <c r="X14" s="2"/>
      <c r="Y14" s="6"/>
      <c r="Z14" s="6"/>
      <c r="AA14" s="6"/>
      <c r="AB14" s="2"/>
      <c r="AC14" s="67"/>
      <c r="AD14" s="65"/>
      <c r="AE14" s="6"/>
      <c r="AF14" s="66"/>
      <c r="AG14" s="128"/>
      <c r="AH14" s="6"/>
      <c r="AI14" s="122">
        <f t="shared" si="3"/>
        <v>0</v>
      </c>
      <c r="AJ14" s="6"/>
    </row>
    <row r="15" spans="1:36" x14ac:dyDescent="0.25">
      <c r="A15" s="1"/>
      <c r="B15" s="2"/>
      <c r="C15" s="60"/>
      <c r="D15" s="61"/>
      <c r="E15" s="62"/>
      <c r="F15" s="63"/>
      <c r="G15" s="64"/>
      <c r="H15" s="65"/>
      <c r="I15" s="60"/>
      <c r="J15" s="66"/>
      <c r="K15" s="6"/>
      <c r="L15" s="6"/>
      <c r="M15" s="2"/>
      <c r="N15" s="6"/>
      <c r="O15" s="6"/>
      <c r="P15" s="6"/>
      <c r="Q15" s="2"/>
      <c r="R15" s="64"/>
      <c r="S15" s="65"/>
      <c r="T15" s="6"/>
      <c r="U15" s="66"/>
      <c r="V15" s="6"/>
      <c r="W15" s="6"/>
      <c r="X15" s="2"/>
      <c r="Y15" s="6"/>
      <c r="Z15" s="6"/>
      <c r="AA15" s="6"/>
      <c r="AB15" s="2"/>
      <c r="AC15" s="67"/>
      <c r="AD15" s="65"/>
      <c r="AE15" s="6"/>
      <c r="AF15" s="66"/>
      <c r="AG15" s="6"/>
      <c r="AH15" s="6"/>
      <c r="AI15" s="2"/>
      <c r="AJ15" s="6"/>
    </row>
    <row r="16" spans="1:36" x14ac:dyDescent="0.25">
      <c r="A16" s="1"/>
      <c r="B16" s="2"/>
      <c r="C16" s="60"/>
      <c r="D16" s="61"/>
      <c r="E16" s="62"/>
      <c r="F16" s="63"/>
      <c r="G16" s="64"/>
      <c r="H16" s="65"/>
      <c r="I16" s="60"/>
      <c r="J16" s="66"/>
      <c r="K16" s="6"/>
      <c r="L16" s="6"/>
      <c r="M16" s="2"/>
      <c r="N16" s="6"/>
      <c r="O16" s="6"/>
      <c r="P16" s="6"/>
      <c r="Q16" s="2"/>
      <c r="R16" s="64"/>
      <c r="S16" s="65"/>
      <c r="T16" s="6"/>
      <c r="U16" s="66"/>
      <c r="V16" s="6"/>
      <c r="W16" s="6"/>
      <c r="X16" s="2"/>
      <c r="Y16" s="6"/>
      <c r="Z16" s="6"/>
      <c r="AA16" s="6"/>
      <c r="AB16" s="2"/>
      <c r="AC16" s="67"/>
      <c r="AD16" s="65"/>
      <c r="AE16" s="6"/>
      <c r="AF16" s="66"/>
      <c r="AG16" s="6"/>
      <c r="AH16" s="6"/>
      <c r="AI16" s="2"/>
      <c r="AJ16" s="6"/>
    </row>
    <row r="17" spans="1:36" x14ac:dyDescent="0.25">
      <c r="A17" s="1"/>
      <c r="B17" s="2"/>
      <c r="C17" s="60"/>
      <c r="D17" s="61"/>
      <c r="E17" s="62"/>
      <c r="F17" s="63"/>
      <c r="G17" s="64"/>
      <c r="H17" s="65"/>
      <c r="I17" s="60"/>
      <c r="J17" s="66"/>
      <c r="K17" s="6"/>
      <c r="L17" s="6"/>
      <c r="M17" s="2"/>
      <c r="N17" s="6"/>
      <c r="O17" s="6"/>
      <c r="P17" s="6"/>
      <c r="Q17" s="2"/>
      <c r="R17" s="64"/>
      <c r="S17" s="65"/>
      <c r="T17" s="6"/>
      <c r="U17" s="66"/>
      <c r="V17" s="6"/>
      <c r="W17" s="6"/>
      <c r="X17" s="2"/>
      <c r="Y17" s="6"/>
      <c r="Z17" s="6"/>
      <c r="AA17" s="6"/>
      <c r="AB17" s="2"/>
      <c r="AC17" s="67"/>
      <c r="AD17" s="65"/>
      <c r="AE17" s="6"/>
      <c r="AF17" s="66"/>
      <c r="AG17" s="6"/>
      <c r="AH17" s="6"/>
      <c r="AI17" s="2"/>
      <c r="AJ17" s="6"/>
    </row>
    <row r="18" spans="1:36" x14ac:dyDescent="0.25">
      <c r="A18" s="1"/>
      <c r="B18" s="2"/>
      <c r="C18" s="60"/>
      <c r="D18" s="61"/>
      <c r="E18" s="62"/>
      <c r="F18" s="119">
        <v>42314</v>
      </c>
      <c r="G18" s="64"/>
      <c r="H18" s="65"/>
      <c r="I18" s="119">
        <v>42314</v>
      </c>
      <c r="J18" s="66"/>
      <c r="K18" s="6"/>
      <c r="L18" s="6"/>
      <c r="M18" s="2"/>
      <c r="N18" s="6"/>
      <c r="O18" s="6"/>
      <c r="P18" s="6"/>
      <c r="Q18" s="2"/>
      <c r="R18" s="64"/>
      <c r="S18" s="65"/>
      <c r="T18" s="6"/>
      <c r="U18" s="66"/>
      <c r="V18" s="6"/>
      <c r="W18" s="6"/>
      <c r="X18" s="2"/>
      <c r="Y18" s="6"/>
      <c r="Z18" s="6"/>
      <c r="AA18" s="6"/>
      <c r="AB18" s="2"/>
      <c r="AC18" s="67"/>
      <c r="AD18" s="65"/>
      <c r="AE18" s="6"/>
      <c r="AF18" s="66"/>
      <c r="AG18" s="6"/>
      <c r="AH18" s="6"/>
      <c r="AI18" s="2"/>
      <c r="AJ18" s="6"/>
    </row>
    <row r="19" spans="1:36" x14ac:dyDescent="0.25">
      <c r="A19" s="1"/>
      <c r="B19" s="2"/>
      <c r="C19" s="60"/>
      <c r="D19" s="61"/>
      <c r="E19" s="62"/>
      <c r="F19" s="104" t="s">
        <v>120</v>
      </c>
      <c r="G19" s="64"/>
      <c r="H19" s="65"/>
      <c r="I19" s="120" t="s">
        <v>147</v>
      </c>
      <c r="J19" s="66"/>
      <c r="K19" s="6"/>
      <c r="L19" s="6"/>
      <c r="M19" s="2"/>
      <c r="N19" s="6"/>
      <c r="O19" s="6"/>
      <c r="P19" s="6"/>
      <c r="Q19" s="2"/>
      <c r="R19" s="64"/>
      <c r="S19" s="65"/>
      <c r="T19" s="6"/>
      <c r="U19" s="66"/>
      <c r="V19" s="6"/>
      <c r="W19" s="6"/>
      <c r="X19" s="2"/>
      <c r="Y19" s="6"/>
      <c r="Z19" s="6"/>
      <c r="AA19" s="6"/>
      <c r="AB19" s="2"/>
      <c r="AC19" s="67"/>
      <c r="AD19" s="65"/>
      <c r="AE19" s="6"/>
      <c r="AF19" s="66"/>
      <c r="AG19" s="6"/>
      <c r="AH19" s="6"/>
      <c r="AI19" s="2"/>
      <c r="AJ19" s="6"/>
    </row>
    <row r="20" spans="1:36" x14ac:dyDescent="0.25">
      <c r="A20" s="1"/>
      <c r="B20" s="2"/>
      <c r="C20" s="60"/>
      <c r="D20" s="61"/>
      <c r="E20" s="62"/>
      <c r="F20" s="117" t="s">
        <v>121</v>
      </c>
      <c r="G20" s="64"/>
      <c r="H20" s="65"/>
      <c r="I20" s="120" t="s">
        <v>121</v>
      </c>
      <c r="J20" s="66"/>
      <c r="K20" s="6"/>
      <c r="L20" s="6"/>
      <c r="M20" s="2"/>
      <c r="N20" s="6"/>
      <c r="O20" s="6"/>
      <c r="P20" s="6"/>
      <c r="Q20" s="2"/>
      <c r="R20" s="64"/>
      <c r="S20" s="65"/>
      <c r="T20" s="6"/>
      <c r="U20" s="66"/>
      <c r="V20" s="6"/>
      <c r="W20" s="6"/>
      <c r="X20" s="2"/>
      <c r="Y20" s="6"/>
      <c r="Z20" s="6"/>
      <c r="AA20" s="6"/>
      <c r="AB20" s="2"/>
      <c r="AC20" s="67"/>
      <c r="AD20" s="65"/>
      <c r="AE20" s="6"/>
      <c r="AF20" s="66"/>
      <c r="AG20" s="6"/>
      <c r="AH20" s="6"/>
      <c r="AI20" s="2"/>
      <c r="AJ20" s="6"/>
    </row>
    <row r="21" spans="1:36" x14ac:dyDescent="0.25">
      <c r="A21" s="1"/>
      <c r="B21" s="72" t="s">
        <v>158</v>
      </c>
      <c r="C21" s="60"/>
      <c r="D21" s="61"/>
      <c r="E21" s="62"/>
      <c r="F21" s="126">
        <v>168</v>
      </c>
      <c r="G21" s="64"/>
      <c r="H21" s="65"/>
      <c r="I21" s="115">
        <v>-123.79</v>
      </c>
      <c r="J21" s="66"/>
      <c r="K21" s="6"/>
      <c r="L21" s="6"/>
      <c r="M21" s="2"/>
      <c r="N21" s="6"/>
      <c r="O21" s="6"/>
      <c r="P21" s="6"/>
      <c r="Q21" s="2"/>
      <c r="R21" s="64"/>
      <c r="S21" s="65"/>
      <c r="T21" s="6"/>
      <c r="U21" s="66"/>
      <c r="V21" s="6"/>
      <c r="W21" s="6"/>
      <c r="X21" s="2"/>
      <c r="Y21" s="6"/>
      <c r="Z21" s="6"/>
      <c r="AA21" s="6"/>
      <c r="AB21" s="2"/>
      <c r="AC21" s="67"/>
      <c r="AD21" s="65"/>
      <c r="AE21" s="6"/>
      <c r="AF21" s="66"/>
      <c r="AG21" s="6"/>
      <c r="AH21" s="6"/>
      <c r="AI21" s="2"/>
      <c r="AJ21" s="6"/>
    </row>
    <row r="22" spans="1:36" x14ac:dyDescent="0.25">
      <c r="A22" s="1"/>
      <c r="B22" s="72" t="s">
        <v>159</v>
      </c>
      <c r="C22" s="60"/>
      <c r="D22" s="61"/>
      <c r="E22" s="62"/>
      <c r="F22" s="126">
        <v>0.67</v>
      </c>
      <c r="G22" s="64"/>
      <c r="H22" s="65"/>
      <c r="I22" s="116">
        <v>-0.38</v>
      </c>
      <c r="J22" s="66"/>
      <c r="K22" s="6"/>
      <c r="L22" s="6"/>
      <c r="M22" s="2"/>
      <c r="N22" s="6"/>
      <c r="O22" s="6"/>
      <c r="P22" s="6"/>
      <c r="Q22" s="2"/>
      <c r="R22" s="64"/>
      <c r="S22" s="65"/>
      <c r="T22" s="6"/>
      <c r="U22" s="66"/>
      <c r="V22" s="6"/>
      <c r="W22" s="6"/>
      <c r="X22" s="2"/>
      <c r="Y22" s="6"/>
      <c r="Z22" s="6"/>
      <c r="AA22" s="6"/>
      <c r="AB22" s="2"/>
      <c r="AC22" s="67"/>
      <c r="AD22" s="65"/>
      <c r="AE22" s="6"/>
      <c r="AF22" s="66"/>
      <c r="AG22" s="6"/>
      <c r="AH22" s="6"/>
      <c r="AI22" s="2"/>
      <c r="AJ22" s="6"/>
    </row>
    <row r="23" spans="1:36" x14ac:dyDescent="0.25">
      <c r="A23" s="1"/>
      <c r="B23" s="72" t="s">
        <v>160</v>
      </c>
      <c r="C23" s="60"/>
      <c r="D23" s="61"/>
      <c r="E23" s="62"/>
      <c r="F23" s="126">
        <v>2.29</v>
      </c>
      <c r="G23" s="64"/>
      <c r="H23" s="65"/>
      <c r="I23" s="116">
        <v>-0.37</v>
      </c>
      <c r="J23" s="66"/>
      <c r="K23" s="6"/>
      <c r="L23" s="6"/>
      <c r="M23" s="2"/>
      <c r="N23" s="6"/>
      <c r="O23" s="6"/>
      <c r="P23" s="6"/>
      <c r="Q23" s="2"/>
      <c r="R23" s="64"/>
      <c r="S23" s="65"/>
      <c r="T23" s="6"/>
      <c r="U23" s="66"/>
      <c r="V23" s="6"/>
      <c r="W23" s="6"/>
      <c r="X23" s="2"/>
      <c r="Y23" s="6"/>
      <c r="Z23" s="6"/>
      <c r="AA23" s="6"/>
      <c r="AB23" s="2"/>
      <c r="AC23" s="67"/>
      <c r="AD23" s="65"/>
      <c r="AE23" s="6"/>
      <c r="AF23" s="66"/>
      <c r="AG23" s="6"/>
      <c r="AH23" s="6"/>
      <c r="AI23" s="2"/>
      <c r="AJ23" s="6"/>
    </row>
    <row r="24" spans="1:36" x14ac:dyDescent="0.25">
      <c r="A24" s="1"/>
      <c r="B24" s="43" t="s">
        <v>161</v>
      </c>
      <c r="C24" s="60"/>
      <c r="D24" s="61"/>
      <c r="E24" s="62"/>
      <c r="F24" s="126">
        <v>0.44</v>
      </c>
      <c r="G24" s="64"/>
      <c r="H24" s="65"/>
      <c r="I24" s="116">
        <v>-0.16</v>
      </c>
      <c r="J24" s="66"/>
      <c r="K24" s="6"/>
      <c r="L24" s="6"/>
      <c r="M24" s="2"/>
      <c r="N24" s="6"/>
      <c r="O24" s="6"/>
      <c r="P24" s="6"/>
      <c r="Q24" s="2"/>
      <c r="R24" s="64"/>
      <c r="S24" s="65"/>
      <c r="T24" s="6"/>
      <c r="U24" s="66"/>
      <c r="V24" s="6"/>
      <c r="W24" s="6"/>
      <c r="X24" s="2"/>
      <c r="Y24" s="6"/>
      <c r="Z24" s="6"/>
      <c r="AA24" s="6"/>
      <c r="AB24" s="2"/>
      <c r="AC24" s="67"/>
      <c r="AD24" s="65"/>
      <c r="AE24" s="6"/>
      <c r="AF24" s="66"/>
      <c r="AG24" s="6"/>
      <c r="AH24" s="6"/>
      <c r="AI24" s="2"/>
      <c r="AJ24" s="6"/>
    </row>
    <row r="25" spans="1:36" x14ac:dyDescent="0.25">
      <c r="A25" s="1"/>
      <c r="B25" s="43" t="s">
        <v>162</v>
      </c>
      <c r="C25" s="60"/>
      <c r="D25" s="61"/>
      <c r="E25" s="62"/>
      <c r="F25" s="126">
        <v>0.44</v>
      </c>
      <c r="G25" s="64"/>
      <c r="H25" s="65"/>
      <c r="I25" s="110">
        <v>-0.2</v>
      </c>
      <c r="J25" s="66"/>
      <c r="K25" s="6"/>
      <c r="L25" s="6"/>
      <c r="M25" s="2"/>
      <c r="N25" s="6"/>
      <c r="O25" s="6"/>
      <c r="P25" s="6"/>
      <c r="Q25" s="2"/>
      <c r="R25" s="64"/>
      <c r="S25" s="65"/>
      <c r="T25" s="6"/>
      <c r="U25" s="66"/>
      <c r="V25" s="6"/>
      <c r="W25" s="6"/>
      <c r="X25" s="2"/>
      <c r="Y25" s="6"/>
      <c r="Z25" s="6"/>
      <c r="AA25" s="6"/>
      <c r="AB25" s="2"/>
      <c r="AC25" s="67"/>
      <c r="AD25" s="65"/>
      <c r="AE25" s="6"/>
      <c r="AF25" s="66"/>
      <c r="AG25" s="6"/>
      <c r="AH25" s="6"/>
      <c r="AI25" s="2"/>
      <c r="AJ25" s="6"/>
    </row>
    <row r="26" spans="1:36" x14ac:dyDescent="0.25">
      <c r="A26" s="1"/>
      <c r="B26" s="43" t="s">
        <v>163</v>
      </c>
      <c r="C26" s="60"/>
      <c r="D26" s="61"/>
      <c r="E26" s="62"/>
      <c r="F26" s="126"/>
      <c r="G26" s="64"/>
      <c r="H26" s="65"/>
      <c r="I26" s="69" t="s">
        <v>52</v>
      </c>
      <c r="J26" s="66"/>
      <c r="K26" s="6"/>
      <c r="L26" s="6"/>
      <c r="M26" s="2"/>
      <c r="N26" s="6"/>
      <c r="O26" s="6"/>
      <c r="P26" s="6"/>
      <c r="Q26" s="2"/>
      <c r="R26" s="64"/>
      <c r="S26" s="65"/>
      <c r="T26" s="6"/>
      <c r="U26" s="66"/>
      <c r="V26" s="6"/>
      <c r="W26" s="6"/>
      <c r="X26" s="2"/>
      <c r="Y26" s="6"/>
      <c r="Z26" s="6"/>
      <c r="AA26" s="6"/>
      <c r="AB26" s="2"/>
      <c r="AC26" s="67"/>
      <c r="AD26" s="65"/>
      <c r="AE26" s="6"/>
      <c r="AF26" s="66"/>
      <c r="AG26" s="6"/>
      <c r="AH26" s="6"/>
      <c r="AI26" s="2"/>
      <c r="AJ26" s="6"/>
    </row>
    <row r="27" spans="1:36" x14ac:dyDescent="0.25">
      <c r="A27" s="1"/>
      <c r="B27" s="43" t="s">
        <v>164</v>
      </c>
      <c r="C27" s="60"/>
      <c r="D27" s="61"/>
      <c r="E27" s="62"/>
      <c r="F27" s="126">
        <v>0.375</v>
      </c>
      <c r="G27" s="64"/>
      <c r="H27" s="65"/>
      <c r="I27" s="110">
        <v>-0.25</v>
      </c>
      <c r="J27" s="66"/>
      <c r="K27" s="6"/>
      <c r="L27" s="6"/>
      <c r="M27" s="2"/>
      <c r="N27" s="6"/>
      <c r="O27" s="6"/>
      <c r="P27" s="6"/>
      <c r="Q27" s="2"/>
      <c r="R27" s="64"/>
      <c r="S27" s="65"/>
      <c r="T27" s="6"/>
      <c r="U27" s="66"/>
      <c r="V27" s="6"/>
      <c r="W27" s="6"/>
      <c r="X27" s="2"/>
      <c r="Y27" s="6"/>
      <c r="Z27" s="6"/>
      <c r="AA27" s="6"/>
      <c r="AB27" s="2"/>
      <c r="AC27" s="67"/>
      <c r="AD27" s="65"/>
      <c r="AE27" s="6"/>
      <c r="AF27" s="66"/>
      <c r="AG27" s="6"/>
      <c r="AH27" s="6"/>
      <c r="AI27" s="2"/>
      <c r="AJ27" s="6"/>
    </row>
    <row r="28" spans="1:36" x14ac:dyDescent="0.25">
      <c r="A28" s="1"/>
      <c r="B28" s="43" t="s">
        <v>165</v>
      </c>
      <c r="C28" s="60"/>
      <c r="D28" s="61"/>
      <c r="E28" s="62"/>
      <c r="F28" s="126">
        <v>1.61</v>
      </c>
      <c r="G28" s="64"/>
      <c r="H28" s="65"/>
      <c r="I28" s="110">
        <v>-1.7</v>
      </c>
      <c r="J28" s="66"/>
      <c r="K28" s="6"/>
      <c r="L28" s="6"/>
      <c r="M28" s="2"/>
      <c r="N28" s="6"/>
      <c r="O28" s="6"/>
      <c r="P28" s="6"/>
      <c r="Q28" s="2"/>
      <c r="R28" s="64"/>
      <c r="S28" s="65"/>
      <c r="T28" s="6"/>
      <c r="U28" s="66"/>
      <c r="V28" s="6"/>
      <c r="W28" s="6"/>
      <c r="X28" s="2"/>
      <c r="Y28" s="6"/>
      <c r="Z28" s="6"/>
      <c r="AA28" s="6"/>
      <c r="AB28" s="2"/>
      <c r="AC28" s="67"/>
      <c r="AD28" s="65"/>
      <c r="AE28" s="6"/>
      <c r="AF28" s="66"/>
      <c r="AG28" s="6"/>
      <c r="AH28" s="6"/>
      <c r="AI28" s="2"/>
      <c r="AJ28" s="6"/>
    </row>
    <row r="29" spans="1:36" x14ac:dyDescent="0.25">
      <c r="A29" s="1"/>
      <c r="B29" s="43" t="s">
        <v>166</v>
      </c>
      <c r="C29" s="60"/>
      <c r="D29" s="61"/>
      <c r="E29" s="62"/>
      <c r="F29" s="126">
        <v>1.99</v>
      </c>
      <c r="G29" s="64"/>
      <c r="H29" s="65"/>
      <c r="I29" s="116">
        <v>-1.52</v>
      </c>
      <c r="J29" s="66"/>
      <c r="K29" s="6"/>
      <c r="L29" s="6"/>
      <c r="M29" s="2"/>
      <c r="N29" s="6"/>
      <c r="O29" s="6"/>
      <c r="P29" s="6"/>
      <c r="Q29" s="2"/>
      <c r="R29" s="64"/>
      <c r="S29" s="65"/>
      <c r="T29" s="6"/>
      <c r="U29" s="66"/>
      <c r="V29" s="6"/>
      <c r="W29" s="6"/>
      <c r="X29" s="2"/>
      <c r="Y29" s="6"/>
      <c r="Z29" s="6"/>
      <c r="AA29" s="6"/>
      <c r="AB29" s="2"/>
      <c r="AC29" s="67"/>
      <c r="AD29" s="65"/>
      <c r="AE29" s="6"/>
      <c r="AF29" s="66"/>
      <c r="AG29" s="6"/>
      <c r="AH29" s="6"/>
      <c r="AI29" s="2"/>
      <c r="AJ29" s="6"/>
    </row>
    <row r="30" spans="1:36" x14ac:dyDescent="0.25">
      <c r="A30" s="1"/>
      <c r="B30" s="43" t="s">
        <v>167</v>
      </c>
      <c r="C30" s="60"/>
      <c r="D30" s="61"/>
      <c r="E30" s="62"/>
      <c r="F30" s="126">
        <v>0.44</v>
      </c>
      <c r="G30" s="64"/>
      <c r="H30" s="65"/>
      <c r="I30" s="110">
        <v>-0.24</v>
      </c>
      <c r="J30" s="66"/>
      <c r="K30" s="6"/>
      <c r="L30" s="6"/>
      <c r="M30" s="2"/>
      <c r="N30" s="6"/>
      <c r="O30" s="6"/>
      <c r="P30" s="6"/>
      <c r="Q30" s="2"/>
      <c r="R30" s="64"/>
      <c r="S30" s="65"/>
      <c r="T30" s="6"/>
      <c r="U30" s="66"/>
      <c r="V30" s="6"/>
      <c r="W30" s="6"/>
      <c r="X30" s="2"/>
      <c r="Y30" s="6"/>
      <c r="Z30" s="6"/>
      <c r="AA30" s="6"/>
      <c r="AB30" s="2"/>
      <c r="AC30" s="67"/>
      <c r="AD30" s="65"/>
      <c r="AE30" s="6"/>
      <c r="AF30" s="66"/>
      <c r="AG30" s="6"/>
      <c r="AH30" s="6"/>
      <c r="AI30" s="2"/>
      <c r="AJ30" s="6"/>
    </row>
    <row r="31" spans="1:36" x14ac:dyDescent="0.25">
      <c r="A31" s="1"/>
      <c r="B31" s="2"/>
      <c r="C31" s="60"/>
      <c r="D31" s="61"/>
      <c r="E31" s="62"/>
      <c r="F31" s="63"/>
      <c r="G31" s="64"/>
      <c r="H31" s="65"/>
      <c r="I31" s="60"/>
      <c r="J31" s="66"/>
      <c r="K31" s="6"/>
      <c r="L31" s="6"/>
      <c r="M31" s="2"/>
      <c r="N31" s="6"/>
      <c r="O31" s="6"/>
      <c r="P31" s="6"/>
      <c r="Q31" s="2"/>
      <c r="R31" s="64"/>
      <c r="S31" s="65"/>
      <c r="T31" s="6"/>
      <c r="U31" s="66"/>
      <c r="V31" s="6"/>
      <c r="W31" s="6"/>
      <c r="X31" s="2"/>
      <c r="Y31" s="6"/>
      <c r="Z31" s="6"/>
      <c r="AA31" s="6"/>
      <c r="AB31" s="2"/>
      <c r="AC31" s="67"/>
      <c r="AD31" s="65"/>
      <c r="AE31" s="6"/>
      <c r="AF31" s="66"/>
      <c r="AG31" s="6"/>
      <c r="AH31" s="6"/>
      <c r="AI31" s="2"/>
      <c r="AJ31" s="6"/>
    </row>
    <row r="32" spans="1:36" x14ac:dyDescent="0.25">
      <c r="A32" s="1"/>
      <c r="B32" s="2"/>
      <c r="C32" s="60"/>
      <c r="D32" s="61"/>
      <c r="E32" s="62"/>
      <c r="F32" s="63"/>
      <c r="G32" s="64"/>
      <c r="H32" s="65"/>
      <c r="I32" s="60"/>
      <c r="J32" s="66"/>
      <c r="K32" s="6"/>
      <c r="L32" s="6"/>
      <c r="M32" s="2"/>
      <c r="N32" s="6"/>
      <c r="O32" s="6"/>
      <c r="P32" s="6"/>
      <c r="Q32" s="2"/>
      <c r="R32" s="64"/>
      <c r="S32" s="65"/>
      <c r="T32" s="6"/>
      <c r="U32" s="66"/>
      <c r="V32" s="6"/>
      <c r="W32" s="6"/>
      <c r="X32" s="2"/>
      <c r="Y32" s="6"/>
      <c r="Z32" s="6"/>
      <c r="AA32" s="6"/>
      <c r="AB32" s="2"/>
      <c r="AC32" s="67"/>
      <c r="AD32" s="65"/>
      <c r="AE32" s="6"/>
      <c r="AF32" s="66"/>
      <c r="AG32" s="6"/>
      <c r="AH32" s="6"/>
      <c r="AI32" s="2"/>
      <c r="AJ32" s="6"/>
    </row>
  </sheetData>
  <hyperlinks>
    <hyperlink ref="T5" r:id="rId1"/>
    <hyperlink ref="T6" r:id="rId2"/>
    <hyperlink ref="T7" r:id="rId3"/>
    <hyperlink ref="T8" r:id="rId4"/>
    <hyperlink ref="T9" r:id="rId5"/>
    <hyperlink ref="T12" r:id="rId6"/>
    <hyperlink ref="T14" r:id="rId7"/>
    <hyperlink ref="T13" r:id="rId8"/>
    <hyperlink ref="T11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Perdido Data</vt:lpstr>
      <vt:lpstr>Perdido Import</vt:lpstr>
      <vt:lpstr>Perdido Estimate</vt:lpstr>
      <vt:lpstr>Scrap Values</vt:lpstr>
      <vt:lpstr>'Perdido Data'!Print_Area</vt:lpstr>
      <vt:lpstr>'Perdido Estimate'!Print_Area</vt:lpstr>
      <vt:lpstr>'Perdido Data'!Print_Titles</vt:lpstr>
      <vt:lpstr>'Perdido Estimate'!Print_Titles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bastim</dc:creator>
  <cp:lastModifiedBy>Richard Cornelius</cp:lastModifiedBy>
  <dcterms:created xsi:type="dcterms:W3CDTF">2014-05-01T12:31:08Z</dcterms:created>
  <dcterms:modified xsi:type="dcterms:W3CDTF">2016-04-21T13:25:19Z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-110792410</vt:i4>
  </property>
  <property fmtid="{D5CDD505-2E9C-101B-9397-08002B2CF9AE}" pid="3" name="_NewReviewCycle">
    <vt:lpwstr/>
  </property>
  <property fmtid="{D5CDD505-2E9C-101B-9397-08002B2CF9AE}" pid="4" name="_EmailSubject">
    <vt:lpwstr>Docket No. 160170 Depreciation &amp; Dismantlement 3 of 4</vt:lpwstr>
  </property>
  <property fmtid="{D5CDD505-2E9C-101B-9397-08002B2CF9AE}" pid="5" name="_AuthorEmail">
    <vt:lpwstr>MBROADWA@SOUTHERNCO.COM</vt:lpwstr>
  </property>
  <property fmtid="{D5CDD505-2E9C-101B-9397-08002B2CF9AE}" pid="6" name="_AuthorEmailDisplayName">
    <vt:lpwstr>Broadway, Mike</vt:lpwstr>
  </property>
</Properties>
</file>